
<file path=[Content_Types].xml><?xml version="1.0" encoding="utf-8"?>
<Types xmlns="http://schemas.openxmlformats.org/package/2006/content-types">
  <Default Extension="xml" ContentType="application/xml"/>
  <Default Extension="jpeg" ContentType="image/jpeg"/>
  <Default Extension="png" ContentType="image/png"/>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comments4.xml" ContentType="application/vnd.openxmlformats-officedocument.spreadsheetml.comments+xml"/>
  <Override PartName="/xl/drawings/drawing9.xml" ContentType="application/vnd.openxmlformats-officedocument.drawing+xml"/>
  <Override PartName="/xl/comments5.xml" ContentType="application/vnd.openxmlformats-officedocument.spreadsheetml.comments+xml"/>
  <Override PartName="/xl/drawings/drawing10.xml" ContentType="application/vnd.openxmlformats-officedocument.drawing+xml"/>
  <Override PartName="/xl/comments6.xml" ContentType="application/vnd.openxmlformats-officedocument.spreadsheetml.comments+xml"/>
  <Override PartName="/xl/drawings/drawing11.xml" ContentType="application/vnd.openxmlformats-officedocument.drawing+xml"/>
  <Override PartName="/xl/comments7.xml" ContentType="application/vnd.openxmlformats-officedocument.spreadsheetml.comments+xml"/>
  <Override PartName="/xl/drawings/drawing12.xml" ContentType="application/vnd.openxmlformats-officedocument.drawing+xml"/>
  <Override PartName="/xl/comments8.xml" ContentType="application/vnd.openxmlformats-officedocument.spreadsheetml.comments+xml"/>
  <Override PartName="/xl/drawings/drawing13.xml" ContentType="application/vnd.openxmlformats-officedocument.drawing+xml"/>
  <Override PartName="/xl/comments9.xml" ContentType="application/vnd.openxmlformats-officedocument.spreadsheetml.comments+xml"/>
  <Override PartName="/xl/drawings/drawing14.xml" ContentType="application/vnd.openxmlformats-officedocument.drawing+xml"/>
  <Override PartName="/xl/comments10.xml" ContentType="application/vnd.openxmlformats-officedocument.spreadsheetml.comments+xml"/>
  <Override PartName="/xl/drawings/drawing15.xml" ContentType="application/vnd.openxmlformats-officedocument.drawing+xml"/>
  <Override PartName="/xl/comments11.xml" ContentType="application/vnd.openxmlformats-officedocument.spreadsheetml.comments+xml"/>
  <Override PartName="/xl/drawings/drawing16.xml" ContentType="application/vnd.openxmlformats-officedocument.drawing+xml"/>
  <Override PartName="/xl/comments12.xml" ContentType="application/vnd.openxmlformats-officedocument.spreadsheetml.comments+xml"/>
  <Override PartName="/xl/drawings/drawing17.xml" ContentType="application/vnd.openxmlformats-officedocument.drawing+xml"/>
  <Override PartName="/xl/comments13.xml" ContentType="application/vnd.openxmlformats-officedocument.spreadsheetml.comments+xml"/>
  <Override PartName="/xl/drawings/drawing18.xml" ContentType="application/vnd.openxmlformats-officedocument.drawing+xml"/>
  <Override PartName="/xl/comments14.xml" ContentType="application/vnd.openxmlformats-officedocument.spreadsheetml.comments+xml"/>
  <Override PartName="/xl/drawings/drawing19.xml" ContentType="application/vnd.openxmlformats-officedocument.drawing+xml"/>
  <Override PartName="/xl/comments15.xml" ContentType="application/vnd.openxmlformats-officedocument.spreadsheetml.comments+xml"/>
  <Override PartName="/xl/drawings/drawing20.xml" ContentType="application/vnd.openxmlformats-officedocument.drawing+xml"/>
  <Override PartName="/xl/comments16.xml" ContentType="application/vnd.openxmlformats-officedocument.spreadsheetml.comments+xml"/>
  <Override PartName="/xl/drawings/drawing21.xml" ContentType="application/vnd.openxmlformats-officedocument.drawing+xml"/>
  <Override PartName="/xl/comments17.xml" ContentType="application/vnd.openxmlformats-officedocument.spreadsheetml.comments+xml"/>
  <Override PartName="/xl/drawings/drawing22.xml" ContentType="application/vnd.openxmlformats-officedocument.drawing+xml"/>
  <Override PartName="/xl/comments18.xml" ContentType="application/vnd.openxmlformats-officedocument.spreadsheetml.comments+xml"/>
  <Override PartName="/xl/drawings/drawing23.xml" ContentType="application/vnd.openxmlformats-officedocument.drawing+xml"/>
  <Override PartName="/xl/comments19.xml" ContentType="application/vnd.openxmlformats-officedocument.spreadsheetml.comments+xml"/>
  <Override PartName="/xl/drawings/drawing24.xml" ContentType="application/vnd.openxmlformats-officedocument.drawing+xml"/>
  <Override PartName="/xl/comments20.xml" ContentType="application/vnd.openxmlformats-officedocument.spreadsheetml.comments+xml"/>
  <Override PartName="/xl/drawings/drawing25.xml" ContentType="application/vnd.openxmlformats-officedocument.drawing+xml"/>
  <Override PartName="/xl/comments21.xml" ContentType="application/vnd.openxmlformats-officedocument.spreadsheetml.comments+xml"/>
  <Override PartName="/xl/drawings/drawing26.xml" ContentType="application/vnd.openxmlformats-officedocument.drawing+xml"/>
  <Override PartName="/xl/comments22.xml" ContentType="application/vnd.openxmlformats-officedocument.spreadsheetml.comments+xml"/>
  <Override PartName="/xl/drawings/drawing27.xml" ContentType="application/vnd.openxmlformats-officedocument.drawing+xml"/>
  <Override PartName="/xl/comments23.xml" ContentType="application/vnd.openxmlformats-officedocument.spreadsheetml.comments+xml"/>
  <Override PartName="/xl/drawings/drawing28.xml" ContentType="application/vnd.openxmlformats-officedocument.drawing+xml"/>
  <Override PartName="/xl/comments24.xml" ContentType="application/vnd.openxmlformats-officedocument.spreadsheetml.comments+xml"/>
  <Override PartName="/xl/drawings/drawing29.xml" ContentType="application/vnd.openxmlformats-officedocument.drawing+xml"/>
  <Override PartName="/xl/comments25.xml" ContentType="application/vnd.openxmlformats-officedocument.spreadsheetml.comments+xml"/>
  <Override PartName="/xl/drawings/drawing30.xml" ContentType="application/vnd.openxmlformats-officedocument.drawing+xml"/>
  <Override PartName="/xl/comments26.xml" ContentType="application/vnd.openxmlformats-officedocument.spreadsheetml.comments+xml"/>
  <Override PartName="/xl/drawings/drawing31.xml" ContentType="application/vnd.openxmlformats-officedocument.drawing+xml"/>
  <Override PartName="/xl/comments27.xml" ContentType="application/vnd.openxmlformats-officedocument.spreadsheetml.comments+xml"/>
  <Override PartName="/xl/drawings/drawing32.xml" ContentType="application/vnd.openxmlformats-officedocument.drawing+xml"/>
  <Override PartName="/xl/comments28.xml" ContentType="application/vnd.openxmlformats-officedocument.spreadsheetml.comments+xml"/>
  <Override PartName="/xl/drawings/drawing33.xml" ContentType="application/vnd.openxmlformats-officedocument.drawing+xml"/>
  <Override PartName="/xl/comments29.xml" ContentType="application/vnd.openxmlformats-officedocument.spreadsheetml.comments+xml"/>
  <Override PartName="/xl/drawings/drawing34.xml" ContentType="application/vnd.openxmlformats-officedocument.drawing+xml"/>
  <Override PartName="/xl/comments30.xml" ContentType="application/vnd.openxmlformats-officedocument.spreadsheetml.comments+xml"/>
  <Override PartName="/xl/drawings/drawing35.xml" ContentType="application/vnd.openxmlformats-officedocument.drawing+xml"/>
  <Override PartName="/xl/comments31.xml" ContentType="application/vnd.openxmlformats-officedocument.spreadsheetml.comments+xml"/>
  <Override PartName="/xl/drawings/drawing36.xml" ContentType="application/vnd.openxmlformats-officedocument.drawing+xml"/>
  <Override PartName="/xl/comments32.xml" ContentType="application/vnd.openxmlformats-officedocument.spreadsheetml.comments+xml"/>
  <Override PartName="/xl/drawings/drawing37.xml" ContentType="application/vnd.openxmlformats-officedocument.drawing+xml"/>
  <Override PartName="/xl/drawings/drawing38.xml" ContentType="application/vnd.openxmlformats-officedocument.drawing+xml"/>
  <Override PartName="/xl/comments33.xml" ContentType="application/vnd.openxmlformats-officedocument.spreadsheetml.comments+xml"/>
  <Override PartName="/xl/drawings/drawing39.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40.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41.xml" ContentType="application/vnd.openxmlformats-officedocument.drawing+xml"/>
  <Override PartName="/xl/drawings/drawing42.xml" ContentType="application/vnd.openxmlformats-officedocument.drawing+xml"/>
  <Override PartName="/xl/comments34.xml" ContentType="application/vnd.openxmlformats-officedocument.spreadsheetml.comments+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8502"/>
  <workbookPr codeName="EstaPasta_de_trabalho"/>
  <mc:AlternateContent xmlns:mc="http://schemas.openxmlformats.org/markup-compatibility/2006">
    <mc:Choice Requires="x15">
      <x15ac:absPath xmlns:x15ac="http://schemas.microsoft.com/office/spreadsheetml/2010/11/ac" url="/Users/ruyfranca/Dropbox (luz lab)/luz.vc/Produtos/Planilhas Individuais/4 - Recursos Humanos/Horas Extras 3.5/"/>
    </mc:Choice>
  </mc:AlternateContent>
  <bookViews>
    <workbookView xWindow="0" yWindow="460" windowWidth="28800" windowHeight="17460" tabRatio="0"/>
  </bookViews>
  <sheets>
    <sheet name="Ini" sheetId="2" r:id="rId1"/>
    <sheet name="P Gerais" sheetId="3" r:id="rId2"/>
    <sheet name="Departamentos" sheetId="26" r:id="rId3"/>
    <sheet name="Funcionários" sheetId="29" r:id="rId4"/>
    <sheet name="Jornada" sheetId="30" r:id="rId5"/>
    <sheet name="Lanç" sheetId="4" r:id="rId6"/>
    <sheet name="Lanç (2)" sheetId="31" r:id="rId7"/>
    <sheet name="Lanç (3)" sheetId="32" r:id="rId8"/>
    <sheet name="Lanç (4)" sheetId="33" r:id="rId9"/>
    <sheet name="Lanç (5)" sheetId="34" r:id="rId10"/>
    <sheet name="Lanç (6)" sheetId="35" r:id="rId11"/>
    <sheet name="Lanç (7)" sheetId="36" r:id="rId12"/>
    <sheet name="Lanç (8)" sheetId="37" r:id="rId13"/>
    <sheet name="Lanç (9)" sheetId="38" r:id="rId14"/>
    <sheet name="Lanç (10)" sheetId="39" r:id="rId15"/>
    <sheet name="Lanç (11)" sheetId="40" r:id="rId16"/>
    <sheet name="Lanç (12)" sheetId="41" r:id="rId17"/>
    <sheet name="Lanç (13)" sheetId="42" r:id="rId18"/>
    <sheet name="Lanç (14)" sheetId="43" r:id="rId19"/>
    <sheet name="Lanç (15)" sheetId="44" r:id="rId20"/>
    <sheet name="Lanç (16)" sheetId="45" r:id="rId21"/>
    <sheet name="Lanç (17)" sheetId="46" r:id="rId22"/>
    <sheet name="Lanç (18)" sheetId="47" r:id="rId23"/>
    <sheet name="Lanç (19)" sheetId="48" r:id="rId24"/>
    <sheet name="Lanç (20)" sheetId="49" r:id="rId25"/>
    <sheet name="Lanç (21)" sheetId="50" r:id="rId26"/>
    <sheet name="Lanç (22)" sheetId="51" r:id="rId27"/>
    <sheet name="Lanç (23)" sheetId="52" r:id="rId28"/>
    <sheet name="Lanç (24)" sheetId="53" r:id="rId29"/>
    <sheet name="Lanç (25)" sheetId="54" r:id="rId30"/>
    <sheet name="Lanç (26)" sheetId="55" r:id="rId31"/>
    <sheet name="Lanç (27)" sheetId="56" r:id="rId32"/>
    <sheet name="Lanç (28)" sheetId="57" r:id="rId33"/>
    <sheet name="Lanç (29)" sheetId="58" r:id="rId34"/>
    <sheet name="Lanç (30)" sheetId="59" r:id="rId35"/>
    <sheet name="Resul" sheetId="5" r:id="rId36"/>
    <sheet name="Geral" sheetId="62" r:id="rId37"/>
    <sheet name="ResÁrea" sheetId="60" r:id="rId38"/>
    <sheet name="Gra" sheetId="6" r:id="rId39"/>
    <sheet name="GrÁrea" sheetId="61" r:id="rId40"/>
    <sheet name="Ale" sheetId="7" r:id="rId41"/>
    <sheet name="Rel" sheetId="8" r:id="rId42"/>
    <sheet name="Fol" sheetId="9" r:id="rId43"/>
    <sheet name="Dúvidas" sheetId="10" r:id="rId44"/>
    <sheet name="Sugestões" sheetId="11" r:id="rId45"/>
    <sheet name="Sobre a LUZ" sheetId="12" r:id="rId46"/>
  </sheets>
  <definedNames>
    <definedName name="_xlnm.Print_Area" localSheetId="40">Ale!$D$5:$F$14</definedName>
    <definedName name="_xlnm.Print_Area" localSheetId="2">Departamentos!$C$5:$C$14</definedName>
    <definedName name="_xlnm.Print_Area" localSheetId="43">Dúvidas!$C$4:$T$14</definedName>
    <definedName name="_xlnm.Print_Area" localSheetId="42">Fol!$C$5:$U$55</definedName>
    <definedName name="_xlnm.Print_Area" localSheetId="3">Funcionários!$C$5:$E$36</definedName>
    <definedName name="_xlnm.Print_Area" localSheetId="36">Geral!$C$6:$P$22</definedName>
    <definedName name="_xlnm.Print_Area" localSheetId="38">Gra!$C$5:$R$33</definedName>
    <definedName name="_xlnm.Print_Area" localSheetId="39">GrÁrea!$C$5:$R$33</definedName>
    <definedName name="_xlnm.Print_Area" localSheetId="0">Ini!$C$1:$M$26</definedName>
    <definedName name="_xlnm.Print_Area" localSheetId="4">Jornada!$C$6:$V$37</definedName>
    <definedName name="_xlnm.Print_Area" localSheetId="5">Lanç!$C$7:$U$38</definedName>
    <definedName name="_xlnm.Print_Area" localSheetId="14">'Lanç (10)'!$C$7:$U$38</definedName>
    <definedName name="_xlnm.Print_Area" localSheetId="15">'Lanç (11)'!$C$7:$U$38</definedName>
    <definedName name="_xlnm.Print_Area" localSheetId="16">'Lanç (12)'!$C$7:$U$38</definedName>
    <definedName name="_xlnm.Print_Area" localSheetId="17">'Lanç (13)'!$C$7:$U$38</definedName>
    <definedName name="_xlnm.Print_Area" localSheetId="18">'Lanç (14)'!$C$7:$U$38</definedName>
    <definedName name="_xlnm.Print_Area" localSheetId="19">'Lanç (15)'!$C$7:$U$38</definedName>
    <definedName name="_xlnm.Print_Area" localSheetId="20">'Lanç (16)'!$C$7:$U$38</definedName>
    <definedName name="_xlnm.Print_Area" localSheetId="21">'Lanç (17)'!$C$7:$U$38</definedName>
    <definedName name="_xlnm.Print_Area" localSheetId="22">'Lanç (18)'!$C$7:$U$38</definedName>
    <definedName name="_xlnm.Print_Area" localSheetId="23">'Lanç (19)'!$C$7:$U$38</definedName>
    <definedName name="_xlnm.Print_Area" localSheetId="6">'Lanç (2)'!$C$7:$U$38</definedName>
    <definedName name="_xlnm.Print_Area" localSheetId="24">'Lanç (20)'!$C$7:$U$38</definedName>
    <definedName name="_xlnm.Print_Area" localSheetId="25">'Lanç (21)'!$C$7:$U$38</definedName>
    <definedName name="_xlnm.Print_Area" localSheetId="26">'Lanç (22)'!$C$7:$U$38</definedName>
    <definedName name="_xlnm.Print_Area" localSheetId="27">'Lanç (23)'!$C$7:$U$38</definedName>
    <definedName name="_xlnm.Print_Area" localSheetId="28">'Lanç (24)'!$C$7:$U$38</definedName>
    <definedName name="_xlnm.Print_Area" localSheetId="29">'Lanç (25)'!$C$7:$U$38</definedName>
    <definedName name="_xlnm.Print_Area" localSheetId="30">'Lanç (26)'!$C$7:$U$38</definedName>
    <definedName name="_xlnm.Print_Area" localSheetId="31">'Lanç (27)'!$C$7:$U$38</definedName>
    <definedName name="_xlnm.Print_Area" localSheetId="32">'Lanç (28)'!$C$7:$U$38</definedName>
    <definedName name="_xlnm.Print_Area" localSheetId="33">'Lanç (29)'!$C$7:$U$38</definedName>
    <definedName name="_xlnm.Print_Area" localSheetId="7">'Lanç (3)'!$C$7:$U$38</definedName>
    <definedName name="_xlnm.Print_Area" localSheetId="34">'Lanç (30)'!$C$7:$U$38</definedName>
    <definedName name="_xlnm.Print_Area" localSheetId="8">'Lanç (4)'!$C$7:$U$38</definedName>
    <definedName name="_xlnm.Print_Area" localSheetId="9">'Lanç (5)'!$C$7:$U$38</definedName>
    <definedName name="_xlnm.Print_Area" localSheetId="10">'Lanç (6)'!$C$7:$U$38</definedName>
    <definedName name="_xlnm.Print_Area" localSheetId="11">'Lanç (7)'!$C$7:$U$38</definedName>
    <definedName name="_xlnm.Print_Area" localSheetId="12">'Lanç (8)'!$C$7:$U$38</definedName>
    <definedName name="_xlnm.Print_Area" localSheetId="13">'Lanç (9)'!$C$7:$U$38</definedName>
    <definedName name="_xlnm.Print_Area" localSheetId="1">'P Gerais'!$C$5:$M$20</definedName>
    <definedName name="_xlnm.Print_Area" localSheetId="41">Rel!$C$5:$L$80</definedName>
    <definedName name="_xlnm.Print_Area" localSheetId="37">ResÁrea!$C$6:$N$40</definedName>
    <definedName name="_xlnm.Print_Area" localSheetId="35">Resul!$C$6:$N$40</definedName>
    <definedName name="_xlnm.Print_Area" localSheetId="45">'Sobre a LUZ'!$C$4:$T$14</definedName>
    <definedName name="_xlnm.Print_Area" localSheetId="44">Sugestões!$B$5:$G$23</definedName>
  </definedNames>
  <calcPr calcId="15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X8" i="30" l="1"/>
  <c r="Y8" i="30"/>
  <c r="Z8" i="30"/>
  <c r="AA8" i="30"/>
  <c r="AB8" i="30"/>
  <c r="AC8" i="30"/>
  <c r="AD8" i="30"/>
  <c r="AE8" i="30"/>
  <c r="AF8" i="30"/>
  <c r="T7" i="62"/>
  <c r="C7" i="62"/>
  <c r="C8" i="30"/>
  <c r="E7" i="62"/>
  <c r="M7" i="62"/>
  <c r="D7" i="62"/>
  <c r="AT37" i="30"/>
  <c r="AS37" i="30"/>
  <c r="AR37" i="30"/>
  <c r="AQ37" i="30"/>
  <c r="AP37" i="30"/>
  <c r="AO37" i="30"/>
  <c r="AT36" i="30"/>
  <c r="AS36" i="30"/>
  <c r="AR36" i="30"/>
  <c r="AQ36" i="30"/>
  <c r="AP36" i="30"/>
  <c r="AO36" i="30"/>
  <c r="AT35" i="30"/>
  <c r="AS35" i="30"/>
  <c r="AR35" i="30"/>
  <c r="AQ35" i="30"/>
  <c r="AP35" i="30"/>
  <c r="AO35" i="30"/>
  <c r="AT34" i="30"/>
  <c r="AS34" i="30"/>
  <c r="AR34" i="30"/>
  <c r="AQ34" i="30"/>
  <c r="AP34" i="30"/>
  <c r="AO34" i="30"/>
  <c r="AT33" i="30"/>
  <c r="AS33" i="30"/>
  <c r="AR33" i="30"/>
  <c r="AQ33" i="30"/>
  <c r="AP33" i="30"/>
  <c r="AO33" i="30"/>
  <c r="AT32" i="30"/>
  <c r="AS32" i="30"/>
  <c r="AR32" i="30"/>
  <c r="AQ32" i="30"/>
  <c r="AP32" i="30"/>
  <c r="AO32" i="30"/>
  <c r="AT31" i="30"/>
  <c r="AS31" i="30"/>
  <c r="AR31" i="30"/>
  <c r="AQ31" i="30"/>
  <c r="AP31" i="30"/>
  <c r="AO31" i="30"/>
  <c r="AT30" i="30"/>
  <c r="AS30" i="30"/>
  <c r="AR30" i="30"/>
  <c r="AQ30" i="30"/>
  <c r="AP30" i="30"/>
  <c r="AO30" i="30"/>
  <c r="AT29" i="30"/>
  <c r="AS29" i="30"/>
  <c r="AR29" i="30"/>
  <c r="AQ29" i="30"/>
  <c r="AP29" i="30"/>
  <c r="AO29" i="30"/>
  <c r="AT28" i="30"/>
  <c r="AS28" i="30"/>
  <c r="AR28" i="30"/>
  <c r="AQ28" i="30"/>
  <c r="AP28" i="30"/>
  <c r="AO28" i="30"/>
  <c r="AT27" i="30"/>
  <c r="AS27" i="30"/>
  <c r="AR27" i="30"/>
  <c r="AQ27" i="30"/>
  <c r="AP27" i="30"/>
  <c r="AO27" i="30"/>
  <c r="AT26" i="30"/>
  <c r="AS26" i="30"/>
  <c r="AR26" i="30"/>
  <c r="AQ26" i="30"/>
  <c r="AP26" i="30"/>
  <c r="AO26" i="30"/>
  <c r="AT25" i="30"/>
  <c r="AS25" i="30"/>
  <c r="AR25" i="30"/>
  <c r="AQ25" i="30"/>
  <c r="AP25" i="30"/>
  <c r="AO25" i="30"/>
  <c r="AT24" i="30"/>
  <c r="AS24" i="30"/>
  <c r="AR24" i="30"/>
  <c r="AQ24" i="30"/>
  <c r="AP24" i="30"/>
  <c r="AO24" i="30"/>
  <c r="AT23" i="30"/>
  <c r="AS23" i="30"/>
  <c r="AR23" i="30"/>
  <c r="AQ23" i="30"/>
  <c r="AP23" i="30"/>
  <c r="AO23" i="30"/>
  <c r="AT22" i="30"/>
  <c r="AS22" i="30"/>
  <c r="AR22" i="30"/>
  <c r="AQ22" i="30"/>
  <c r="AP22" i="30"/>
  <c r="AO22" i="30"/>
  <c r="AT21" i="30"/>
  <c r="AS21" i="30"/>
  <c r="AR21" i="30"/>
  <c r="AQ21" i="30"/>
  <c r="AP21" i="30"/>
  <c r="AO21" i="30"/>
  <c r="AT20" i="30"/>
  <c r="AS20" i="30"/>
  <c r="AR20" i="30"/>
  <c r="AQ20" i="30"/>
  <c r="AP20" i="30"/>
  <c r="AO20" i="30"/>
  <c r="AT19" i="30"/>
  <c r="AS19" i="30"/>
  <c r="AR19" i="30"/>
  <c r="AQ19" i="30"/>
  <c r="AP19" i="30"/>
  <c r="AO19" i="30"/>
  <c r="AT18" i="30"/>
  <c r="AS18" i="30"/>
  <c r="AR18" i="30"/>
  <c r="AQ18" i="30"/>
  <c r="AP18" i="30"/>
  <c r="AO18" i="30"/>
  <c r="AT17" i="30"/>
  <c r="AS17" i="30"/>
  <c r="AR17" i="30"/>
  <c r="AQ17" i="30"/>
  <c r="AP17" i="30"/>
  <c r="AO17" i="30"/>
  <c r="AT16" i="30"/>
  <c r="AS16" i="30"/>
  <c r="AR16" i="30"/>
  <c r="AQ16" i="30"/>
  <c r="AP16" i="30"/>
  <c r="AO16" i="30"/>
  <c r="AT15" i="30"/>
  <c r="AS15" i="30"/>
  <c r="AR15" i="30"/>
  <c r="AQ15" i="30"/>
  <c r="AP15" i="30"/>
  <c r="AO15" i="30"/>
  <c r="AT14" i="30"/>
  <c r="AS14" i="30"/>
  <c r="AR14" i="30"/>
  <c r="AQ14" i="30"/>
  <c r="AP14" i="30"/>
  <c r="AO14" i="30"/>
  <c r="AT13" i="30"/>
  <c r="AS13" i="30"/>
  <c r="AR13" i="30"/>
  <c r="AQ13" i="30"/>
  <c r="AP13" i="30"/>
  <c r="AO13" i="30"/>
  <c r="AT12" i="30"/>
  <c r="AS12" i="30"/>
  <c r="AR12" i="30"/>
  <c r="AQ12" i="30"/>
  <c r="AP12" i="30"/>
  <c r="AO12" i="30"/>
  <c r="AT11" i="30"/>
  <c r="AS11" i="30"/>
  <c r="AR11" i="30"/>
  <c r="AQ11" i="30"/>
  <c r="AP11" i="30"/>
  <c r="AO11" i="30"/>
  <c r="AT10" i="30"/>
  <c r="AS10" i="30"/>
  <c r="AR10" i="30"/>
  <c r="AQ10" i="30"/>
  <c r="AP10" i="30"/>
  <c r="AO10" i="30"/>
  <c r="AT9" i="30"/>
  <c r="AS9" i="30"/>
  <c r="AR9" i="30"/>
  <c r="AQ9" i="30"/>
  <c r="AP9" i="30"/>
  <c r="AO9" i="30"/>
  <c r="AT8" i="30"/>
  <c r="AS8" i="30"/>
  <c r="AR8" i="30"/>
  <c r="AQ8" i="30"/>
  <c r="AP8" i="30"/>
  <c r="AO8" i="30"/>
  <c r="AN37" i="30"/>
  <c r="AN36" i="30"/>
  <c r="AN35" i="30"/>
  <c r="AN34" i="30"/>
  <c r="AN33" i="30"/>
  <c r="AN32" i="30"/>
  <c r="AN31" i="30"/>
  <c r="AN30" i="30"/>
  <c r="AN29" i="30"/>
  <c r="AN28" i="30"/>
  <c r="AN27" i="30"/>
  <c r="AN26" i="30"/>
  <c r="AN25" i="30"/>
  <c r="AN24" i="30"/>
  <c r="AN23" i="30"/>
  <c r="AN22" i="30"/>
  <c r="AN21" i="30"/>
  <c r="AN20" i="30"/>
  <c r="AN19" i="30"/>
  <c r="AN18" i="30"/>
  <c r="AN17" i="30"/>
  <c r="AN16" i="30"/>
  <c r="AN15" i="30"/>
  <c r="AN14" i="30"/>
  <c r="AN13" i="30"/>
  <c r="AN12" i="30"/>
  <c r="AN11" i="30"/>
  <c r="AN10" i="30"/>
  <c r="AN9" i="30"/>
  <c r="AN8" i="30"/>
  <c r="AD37" i="30"/>
  <c r="AC37" i="30"/>
  <c r="AB37" i="30"/>
  <c r="AA37" i="30"/>
  <c r="Z37" i="30"/>
  <c r="Y37" i="30"/>
  <c r="X37" i="30"/>
  <c r="AD36" i="30"/>
  <c r="AC36" i="30"/>
  <c r="AB36" i="30"/>
  <c r="AA36" i="30"/>
  <c r="Z36" i="30"/>
  <c r="Y36" i="30"/>
  <c r="X36" i="30"/>
  <c r="AD35" i="30"/>
  <c r="AC35" i="30"/>
  <c r="AB35" i="30"/>
  <c r="AA35" i="30"/>
  <c r="Z35" i="30"/>
  <c r="Y35" i="30"/>
  <c r="X35" i="30"/>
  <c r="AD34" i="30"/>
  <c r="AC34" i="30"/>
  <c r="AB34" i="30"/>
  <c r="AA34" i="30"/>
  <c r="Z34" i="30"/>
  <c r="Y34" i="30"/>
  <c r="X34" i="30"/>
  <c r="AD33" i="30"/>
  <c r="AC33" i="30"/>
  <c r="AB33" i="30"/>
  <c r="AA33" i="30"/>
  <c r="Z33" i="30"/>
  <c r="Y33" i="30"/>
  <c r="X33" i="30"/>
  <c r="AD32" i="30"/>
  <c r="AC32" i="30"/>
  <c r="AB32" i="30"/>
  <c r="AA32" i="30"/>
  <c r="Z32" i="30"/>
  <c r="Y32" i="30"/>
  <c r="X32" i="30"/>
  <c r="AD31" i="30"/>
  <c r="AC31" i="30"/>
  <c r="AB31" i="30"/>
  <c r="AA31" i="30"/>
  <c r="Z31" i="30"/>
  <c r="Y31" i="30"/>
  <c r="X31" i="30"/>
  <c r="AD30" i="30"/>
  <c r="AC30" i="30"/>
  <c r="AB30" i="30"/>
  <c r="AA30" i="30"/>
  <c r="Z30" i="30"/>
  <c r="Y30" i="30"/>
  <c r="X30" i="30"/>
  <c r="AD29" i="30"/>
  <c r="AC29" i="30"/>
  <c r="AB29" i="30"/>
  <c r="AA29" i="30"/>
  <c r="Z29" i="30"/>
  <c r="Y29" i="30"/>
  <c r="X29" i="30"/>
  <c r="AD28" i="30"/>
  <c r="AC28" i="30"/>
  <c r="AB28" i="30"/>
  <c r="AA28" i="30"/>
  <c r="Z28" i="30"/>
  <c r="Y28" i="30"/>
  <c r="X28" i="30"/>
  <c r="AD27" i="30"/>
  <c r="AC27" i="30"/>
  <c r="AB27" i="30"/>
  <c r="AA27" i="30"/>
  <c r="Z27" i="30"/>
  <c r="Y27" i="30"/>
  <c r="X27" i="30"/>
  <c r="AD26" i="30"/>
  <c r="AC26" i="30"/>
  <c r="AB26" i="30"/>
  <c r="AA26" i="30"/>
  <c r="Z26" i="30"/>
  <c r="Y26" i="30"/>
  <c r="X26" i="30"/>
  <c r="AD25" i="30"/>
  <c r="AC25" i="30"/>
  <c r="AB25" i="30"/>
  <c r="AA25" i="30"/>
  <c r="Z25" i="30"/>
  <c r="Y25" i="30"/>
  <c r="X25" i="30"/>
  <c r="AD24" i="30"/>
  <c r="AC24" i="30"/>
  <c r="AB24" i="30"/>
  <c r="AA24" i="30"/>
  <c r="Z24" i="30"/>
  <c r="Y24" i="30"/>
  <c r="X24" i="30"/>
  <c r="AD23" i="30"/>
  <c r="AC23" i="30"/>
  <c r="AB23" i="30"/>
  <c r="AA23" i="30"/>
  <c r="Z23" i="30"/>
  <c r="Y23" i="30"/>
  <c r="X23" i="30"/>
  <c r="AD22" i="30"/>
  <c r="AC22" i="30"/>
  <c r="AB22" i="30"/>
  <c r="AA22" i="30"/>
  <c r="Z22" i="30"/>
  <c r="Y22" i="30"/>
  <c r="X22" i="30"/>
  <c r="AD21" i="30"/>
  <c r="AC21" i="30"/>
  <c r="AB21" i="30"/>
  <c r="AA21" i="30"/>
  <c r="Z21" i="30"/>
  <c r="Y21" i="30"/>
  <c r="X21" i="30"/>
  <c r="AD20" i="30"/>
  <c r="AC20" i="30"/>
  <c r="AB20" i="30"/>
  <c r="AA20" i="30"/>
  <c r="Z20" i="30"/>
  <c r="Y20" i="30"/>
  <c r="X20" i="30"/>
  <c r="AD19" i="30"/>
  <c r="AC19" i="30"/>
  <c r="AB19" i="30"/>
  <c r="AA19" i="30"/>
  <c r="Z19" i="30"/>
  <c r="Y19" i="30"/>
  <c r="X19" i="30"/>
  <c r="AD18" i="30"/>
  <c r="AC18" i="30"/>
  <c r="AB18" i="30"/>
  <c r="AA18" i="30"/>
  <c r="Z18" i="30"/>
  <c r="Y18" i="30"/>
  <c r="X18" i="30"/>
  <c r="AD17" i="30"/>
  <c r="AC17" i="30"/>
  <c r="AB17" i="30"/>
  <c r="AA17" i="30"/>
  <c r="Z17" i="30"/>
  <c r="Y17" i="30"/>
  <c r="X17" i="30"/>
  <c r="AD16" i="30"/>
  <c r="AC16" i="30"/>
  <c r="AB16" i="30"/>
  <c r="AA16" i="30"/>
  <c r="Z16" i="30"/>
  <c r="Y16" i="30"/>
  <c r="X16" i="30"/>
  <c r="AD15" i="30"/>
  <c r="AC15" i="30"/>
  <c r="AB15" i="30"/>
  <c r="AA15" i="30"/>
  <c r="Z15" i="30"/>
  <c r="Y15" i="30"/>
  <c r="X15" i="30"/>
  <c r="AD14" i="30"/>
  <c r="AC14" i="30"/>
  <c r="AB14" i="30"/>
  <c r="AA14" i="30"/>
  <c r="Z14" i="30"/>
  <c r="Y14" i="30"/>
  <c r="X14" i="30"/>
  <c r="AD13" i="30"/>
  <c r="AC13" i="30"/>
  <c r="AB13" i="30"/>
  <c r="AA13" i="30"/>
  <c r="Z13" i="30"/>
  <c r="Y13" i="30"/>
  <c r="X13" i="30"/>
  <c r="AD12" i="30"/>
  <c r="AC12" i="30"/>
  <c r="AB12" i="30"/>
  <c r="AA12" i="30"/>
  <c r="Z12" i="30"/>
  <c r="Y12" i="30"/>
  <c r="X12" i="30"/>
  <c r="AD11" i="30"/>
  <c r="AC11" i="30"/>
  <c r="AB11" i="30"/>
  <c r="AA11" i="30"/>
  <c r="Z11" i="30"/>
  <c r="Y11" i="30"/>
  <c r="X11" i="30"/>
  <c r="AD10" i="30"/>
  <c r="AC10" i="30"/>
  <c r="AB10" i="30"/>
  <c r="AA10" i="30"/>
  <c r="Z10" i="30"/>
  <c r="Y10" i="30"/>
  <c r="X10" i="30"/>
  <c r="AD9" i="30"/>
  <c r="AC9" i="30"/>
  <c r="AB9" i="30"/>
  <c r="AA9" i="30"/>
  <c r="Z9" i="30"/>
  <c r="Y9" i="30"/>
  <c r="X9" i="30"/>
  <c r="E7" i="4"/>
  <c r="D8" i="4"/>
  <c r="F8" i="4"/>
  <c r="D9" i="4"/>
  <c r="F9" i="4"/>
  <c r="D10" i="4"/>
  <c r="F10" i="4"/>
  <c r="D11" i="4"/>
  <c r="F11" i="4"/>
  <c r="C8" i="4"/>
  <c r="M8" i="4"/>
  <c r="P8" i="4"/>
  <c r="Q8" i="4"/>
  <c r="M9" i="4"/>
  <c r="P9" i="4"/>
  <c r="Q9" i="4"/>
  <c r="M10" i="4"/>
  <c r="P10" i="4"/>
  <c r="Q10" i="4"/>
  <c r="M11" i="4"/>
  <c r="P11" i="4"/>
  <c r="Q11" i="4"/>
  <c r="Q12" i="4"/>
  <c r="Q13" i="4"/>
  <c r="D12" i="4"/>
  <c r="D13" i="4"/>
  <c r="D14" i="4"/>
  <c r="F14" i="4"/>
  <c r="M14" i="4"/>
  <c r="P14" i="4"/>
  <c r="Q14" i="4"/>
  <c r="D15" i="4"/>
  <c r="F15" i="4"/>
  <c r="M15" i="4"/>
  <c r="P15" i="4"/>
  <c r="Q15" i="4"/>
  <c r="D16" i="4"/>
  <c r="F16" i="4"/>
  <c r="M16" i="4"/>
  <c r="P16" i="4"/>
  <c r="Q16" i="4"/>
  <c r="D17" i="4"/>
  <c r="F17" i="4"/>
  <c r="M17" i="4"/>
  <c r="P17" i="4"/>
  <c r="Q17" i="4"/>
  <c r="D18" i="4"/>
  <c r="F18" i="4"/>
  <c r="M18" i="4"/>
  <c r="P18" i="4"/>
  <c r="Q18" i="4"/>
  <c r="Q19" i="4"/>
  <c r="Q20" i="4"/>
  <c r="D19" i="4"/>
  <c r="D20" i="4"/>
  <c r="D21" i="4"/>
  <c r="F21" i="4"/>
  <c r="M21" i="4"/>
  <c r="P21" i="4"/>
  <c r="Q21" i="4"/>
  <c r="D22" i="4"/>
  <c r="F22" i="4"/>
  <c r="M22" i="4"/>
  <c r="P22" i="4"/>
  <c r="Q22" i="4"/>
  <c r="D23" i="4"/>
  <c r="F23" i="4"/>
  <c r="M23" i="4"/>
  <c r="P23" i="4"/>
  <c r="Q23" i="4"/>
  <c r="D24" i="4"/>
  <c r="F24" i="4"/>
  <c r="M24" i="4"/>
  <c r="P24" i="4"/>
  <c r="Q24" i="4"/>
  <c r="D25" i="4"/>
  <c r="F25" i="4"/>
  <c r="M25" i="4"/>
  <c r="P25" i="4"/>
  <c r="Q25" i="4"/>
  <c r="Q26" i="4"/>
  <c r="Q27" i="4"/>
  <c r="D26" i="4"/>
  <c r="D27" i="4"/>
  <c r="D28" i="4"/>
  <c r="F28" i="4"/>
  <c r="M28" i="4"/>
  <c r="P28" i="4"/>
  <c r="Q28" i="4"/>
  <c r="D29" i="4"/>
  <c r="F29" i="4"/>
  <c r="M29" i="4"/>
  <c r="P29" i="4"/>
  <c r="Q29" i="4"/>
  <c r="D30" i="4"/>
  <c r="F30" i="4"/>
  <c r="M30" i="4"/>
  <c r="P30" i="4"/>
  <c r="Q30" i="4"/>
  <c r="D31" i="4"/>
  <c r="F31" i="4"/>
  <c r="M31" i="4"/>
  <c r="P31" i="4"/>
  <c r="Q31" i="4"/>
  <c r="Q32" i="4"/>
  <c r="Q33" i="4"/>
  <c r="Q34" i="4"/>
  <c r="D32" i="4"/>
  <c r="D33" i="4"/>
  <c r="D34" i="4"/>
  <c r="D35" i="4"/>
  <c r="F35" i="4"/>
  <c r="M35" i="4"/>
  <c r="P35" i="4"/>
  <c r="Q35" i="4"/>
  <c r="D36" i="4"/>
  <c r="F36" i="4"/>
  <c r="M36" i="4"/>
  <c r="P36" i="4"/>
  <c r="Q36" i="4"/>
  <c r="D37" i="4"/>
  <c r="F37" i="4"/>
  <c r="M37" i="4"/>
  <c r="P37" i="4"/>
  <c r="Q37" i="4"/>
  <c r="D38" i="4"/>
  <c r="F38" i="4"/>
  <c r="M38" i="4"/>
  <c r="P38" i="4"/>
  <c r="Q38" i="4"/>
  <c r="F12" i="4"/>
  <c r="F13" i="4"/>
  <c r="F19" i="4"/>
  <c r="F20" i="4"/>
  <c r="F26" i="4"/>
  <c r="F27" i="4"/>
  <c r="F32" i="4"/>
  <c r="F33" i="4"/>
  <c r="F34" i="4"/>
  <c r="F41" i="4"/>
  <c r="AD9" i="5"/>
  <c r="F8" i="31"/>
  <c r="F9" i="31"/>
  <c r="F10" i="31"/>
  <c r="F11" i="31"/>
  <c r="C9" i="31"/>
  <c r="M8" i="31"/>
  <c r="P8" i="31"/>
  <c r="Q8" i="31"/>
  <c r="M9" i="31"/>
  <c r="P9" i="31"/>
  <c r="Q9" i="31"/>
  <c r="M10" i="31"/>
  <c r="P10" i="31"/>
  <c r="Q10" i="31"/>
  <c r="M11" i="31"/>
  <c r="P11" i="31"/>
  <c r="Q11" i="31"/>
  <c r="F12" i="31"/>
  <c r="M12" i="31"/>
  <c r="P12" i="31"/>
  <c r="Q12" i="31"/>
  <c r="Q13" i="31"/>
  <c r="F14" i="31"/>
  <c r="M14" i="31"/>
  <c r="P14" i="31"/>
  <c r="Q14" i="31"/>
  <c r="F15" i="31"/>
  <c r="M15" i="31"/>
  <c r="P15" i="31"/>
  <c r="Q15" i="31"/>
  <c r="F16" i="31"/>
  <c r="M16" i="31"/>
  <c r="P16" i="31"/>
  <c r="Q16" i="31"/>
  <c r="F17" i="31"/>
  <c r="M17" i="31"/>
  <c r="P17" i="31"/>
  <c r="Q17" i="31"/>
  <c r="F18" i="31"/>
  <c r="M18" i="31"/>
  <c r="P18" i="31"/>
  <c r="Q18" i="31"/>
  <c r="F19" i="31"/>
  <c r="M19" i="31"/>
  <c r="P19" i="31"/>
  <c r="Q19" i="31"/>
  <c r="Q20" i="31"/>
  <c r="F21" i="31"/>
  <c r="M21" i="31"/>
  <c r="P21" i="31"/>
  <c r="Q21" i="31"/>
  <c r="F22" i="31"/>
  <c r="M22" i="31"/>
  <c r="P22" i="31"/>
  <c r="Q22" i="31"/>
  <c r="F23" i="31"/>
  <c r="M23" i="31"/>
  <c r="P23" i="31"/>
  <c r="Q23" i="31"/>
  <c r="F24" i="31"/>
  <c r="M24" i="31"/>
  <c r="P24" i="31"/>
  <c r="Q24" i="31"/>
  <c r="F25" i="31"/>
  <c r="M25" i="31"/>
  <c r="P25" i="31"/>
  <c r="Q25" i="31"/>
  <c r="F26" i="31"/>
  <c r="M26" i="31"/>
  <c r="P26" i="31"/>
  <c r="Q26" i="31"/>
  <c r="Q27" i="31"/>
  <c r="F28" i="31"/>
  <c r="M28" i="31"/>
  <c r="P28" i="31"/>
  <c r="Q28" i="31"/>
  <c r="F29" i="31"/>
  <c r="M29" i="31"/>
  <c r="P29" i="31"/>
  <c r="Q29" i="31"/>
  <c r="F30" i="31"/>
  <c r="M30" i="31"/>
  <c r="P30" i="31"/>
  <c r="Q30" i="31"/>
  <c r="F31" i="31"/>
  <c r="M31" i="31"/>
  <c r="P31" i="31"/>
  <c r="Q31" i="31"/>
  <c r="F32" i="31"/>
  <c r="M32" i="31"/>
  <c r="P32" i="31"/>
  <c r="Q32" i="31"/>
  <c r="Q33" i="31"/>
  <c r="Q34" i="31"/>
  <c r="F35" i="31"/>
  <c r="M35" i="31"/>
  <c r="P35" i="31"/>
  <c r="Q35" i="31"/>
  <c r="F36" i="31"/>
  <c r="M36" i="31"/>
  <c r="P36" i="31"/>
  <c r="Q36" i="31"/>
  <c r="F37" i="31"/>
  <c r="M37" i="31"/>
  <c r="P37" i="31"/>
  <c r="Q37" i="31"/>
  <c r="F38" i="31"/>
  <c r="M38" i="31"/>
  <c r="P38" i="31"/>
  <c r="Q38" i="31"/>
  <c r="F13" i="31"/>
  <c r="F20" i="31"/>
  <c r="F27" i="31"/>
  <c r="F33" i="31"/>
  <c r="F34" i="31"/>
  <c r="F41" i="31"/>
  <c r="AD10" i="5"/>
  <c r="F8" i="32"/>
  <c r="F9" i="32"/>
  <c r="F10" i="32"/>
  <c r="F11" i="32"/>
  <c r="C10" i="32"/>
  <c r="M8" i="32"/>
  <c r="P8" i="32"/>
  <c r="Q8" i="32"/>
  <c r="M9" i="32"/>
  <c r="P9" i="32"/>
  <c r="Q9" i="32"/>
  <c r="M10" i="32"/>
  <c r="P10" i="32"/>
  <c r="Q10" i="32"/>
  <c r="M11" i="32"/>
  <c r="P11" i="32"/>
  <c r="Q11" i="32"/>
  <c r="Q12" i="32"/>
  <c r="Q13" i="32"/>
  <c r="F14" i="32"/>
  <c r="M14" i="32"/>
  <c r="P14" i="32"/>
  <c r="Q14" i="32"/>
  <c r="F15" i="32"/>
  <c r="M15" i="32"/>
  <c r="P15" i="32"/>
  <c r="Q15" i="32"/>
  <c r="F16" i="32"/>
  <c r="M16" i="32"/>
  <c r="P16" i="32"/>
  <c r="Q16" i="32"/>
  <c r="F17" i="32"/>
  <c r="M17" i="32"/>
  <c r="P17" i="32"/>
  <c r="Q17" i="32"/>
  <c r="F18" i="32"/>
  <c r="M18" i="32"/>
  <c r="P18" i="32"/>
  <c r="Q18" i="32"/>
  <c r="Q19" i="32"/>
  <c r="Q20" i="32"/>
  <c r="F21" i="32"/>
  <c r="M21" i="32"/>
  <c r="P21" i="32"/>
  <c r="Q21" i="32"/>
  <c r="F22" i="32"/>
  <c r="M22" i="32"/>
  <c r="P22" i="32"/>
  <c r="Q22" i="32"/>
  <c r="F23" i="32"/>
  <c r="M23" i="32"/>
  <c r="P23" i="32"/>
  <c r="Q23" i="32"/>
  <c r="F24" i="32"/>
  <c r="M24" i="32"/>
  <c r="P24" i="32"/>
  <c r="Q24" i="32"/>
  <c r="F25" i="32"/>
  <c r="M25" i="32"/>
  <c r="P25" i="32"/>
  <c r="Q25" i="32"/>
  <c r="Q26" i="32"/>
  <c r="Q27" i="32"/>
  <c r="F28" i="32"/>
  <c r="M28" i="32"/>
  <c r="P28" i="32"/>
  <c r="Q28" i="32"/>
  <c r="F29" i="32"/>
  <c r="M29" i="32"/>
  <c r="P29" i="32"/>
  <c r="Q29" i="32"/>
  <c r="F30" i="32"/>
  <c r="M30" i="32"/>
  <c r="P30" i="32"/>
  <c r="Q30" i="32"/>
  <c r="F31" i="32"/>
  <c r="M31" i="32"/>
  <c r="P31" i="32"/>
  <c r="Q31" i="32"/>
  <c r="Q32" i="32"/>
  <c r="Q33" i="32"/>
  <c r="Q34" i="32"/>
  <c r="F35" i="32"/>
  <c r="M35" i="32"/>
  <c r="P35" i="32"/>
  <c r="Q35" i="32"/>
  <c r="F36" i="32"/>
  <c r="M36" i="32"/>
  <c r="P36" i="32"/>
  <c r="Q36" i="32"/>
  <c r="F37" i="32"/>
  <c r="M37" i="32"/>
  <c r="P37" i="32"/>
  <c r="Q37" i="32"/>
  <c r="F38" i="32"/>
  <c r="M38" i="32"/>
  <c r="P38" i="32"/>
  <c r="Q38" i="32"/>
  <c r="F12" i="32"/>
  <c r="F13" i="32"/>
  <c r="F19" i="32"/>
  <c r="F20" i="32"/>
  <c r="F26" i="32"/>
  <c r="F27" i="32"/>
  <c r="F32" i="32"/>
  <c r="F33" i="32"/>
  <c r="F34" i="32"/>
  <c r="F41" i="32"/>
  <c r="AD11" i="5"/>
  <c r="F8" i="33"/>
  <c r="F9" i="33"/>
  <c r="F10" i="33"/>
  <c r="F11" i="33"/>
  <c r="Q8" i="33"/>
  <c r="Q9" i="33"/>
  <c r="Q10" i="33"/>
  <c r="Q11" i="33"/>
  <c r="Q12" i="33"/>
  <c r="Q13" i="33"/>
  <c r="Q14" i="33"/>
  <c r="Q15" i="33"/>
  <c r="Q16" i="33"/>
  <c r="Q17" i="33"/>
  <c r="Q18" i="33"/>
  <c r="Q19" i="33"/>
  <c r="Q20" i="33"/>
  <c r="Q21" i="33"/>
  <c r="Q22" i="33"/>
  <c r="Q23" i="33"/>
  <c r="Q24" i="33"/>
  <c r="Q25" i="33"/>
  <c r="Q26" i="33"/>
  <c r="Q27" i="33"/>
  <c r="Q28" i="33"/>
  <c r="Q29" i="33"/>
  <c r="Q30" i="33"/>
  <c r="Q31" i="33"/>
  <c r="Q32" i="33"/>
  <c r="Q33" i="33"/>
  <c r="Q34" i="33"/>
  <c r="Q35" i="33"/>
  <c r="Q36" i="33"/>
  <c r="Q37" i="33"/>
  <c r="Q38" i="33"/>
  <c r="F12" i="33"/>
  <c r="F13" i="33"/>
  <c r="F14" i="33"/>
  <c r="F15" i="33"/>
  <c r="F16" i="33"/>
  <c r="F17" i="33"/>
  <c r="F18" i="33"/>
  <c r="F19" i="33"/>
  <c r="F20" i="33"/>
  <c r="F21" i="33"/>
  <c r="F22" i="33"/>
  <c r="F23" i="33"/>
  <c r="F24" i="33"/>
  <c r="F25" i="33"/>
  <c r="F26" i="33"/>
  <c r="F27" i="33"/>
  <c r="F28" i="33"/>
  <c r="F29" i="33"/>
  <c r="F30" i="33"/>
  <c r="F31" i="33"/>
  <c r="F32" i="33"/>
  <c r="F33" i="33"/>
  <c r="F34" i="33"/>
  <c r="F35" i="33"/>
  <c r="F36" i="33"/>
  <c r="F37" i="33"/>
  <c r="F38" i="33"/>
  <c r="F41" i="33"/>
  <c r="AD12" i="5"/>
  <c r="F8" i="34"/>
  <c r="F9" i="34"/>
  <c r="F10" i="34"/>
  <c r="F11" i="34"/>
  <c r="C12" i="34"/>
  <c r="M8" i="34"/>
  <c r="P8" i="34"/>
  <c r="Q8" i="34"/>
  <c r="M9" i="34"/>
  <c r="P9" i="34"/>
  <c r="Q9" i="34"/>
  <c r="M10" i="34"/>
  <c r="P10" i="34"/>
  <c r="Q10" i="34"/>
  <c r="M11" i="34"/>
  <c r="P11" i="34"/>
  <c r="Q11" i="34"/>
  <c r="Q12" i="34"/>
  <c r="Q13" i="34"/>
  <c r="F14" i="34"/>
  <c r="M14" i="34"/>
  <c r="P14" i="34"/>
  <c r="Q14" i="34"/>
  <c r="F15" i="34"/>
  <c r="M15" i="34"/>
  <c r="P15" i="34"/>
  <c r="Q15" i="34"/>
  <c r="F16" i="34"/>
  <c r="M16" i="34"/>
  <c r="P16" i="34"/>
  <c r="Q16" i="34"/>
  <c r="F17" i="34"/>
  <c r="M17" i="34"/>
  <c r="P17" i="34"/>
  <c r="Q17" i="34"/>
  <c r="F18" i="34"/>
  <c r="M18" i="34"/>
  <c r="P18" i="34"/>
  <c r="Q18" i="34"/>
  <c r="Q19" i="34"/>
  <c r="Q20" i="34"/>
  <c r="F21" i="34"/>
  <c r="M21" i="34"/>
  <c r="P21" i="34"/>
  <c r="Q21" i="34"/>
  <c r="F22" i="34"/>
  <c r="M22" i="34"/>
  <c r="P22" i="34"/>
  <c r="Q22" i="34"/>
  <c r="F23" i="34"/>
  <c r="M23" i="34"/>
  <c r="P23" i="34"/>
  <c r="Q23" i="34"/>
  <c r="F24" i="34"/>
  <c r="M24" i="34"/>
  <c r="P24" i="34"/>
  <c r="Q24" i="34"/>
  <c r="F25" i="34"/>
  <c r="M25" i="34"/>
  <c r="P25" i="34"/>
  <c r="Q25" i="34"/>
  <c r="Q26" i="34"/>
  <c r="Q27" i="34"/>
  <c r="Q28" i="34"/>
  <c r="F29" i="34"/>
  <c r="M29" i="34"/>
  <c r="P29" i="34"/>
  <c r="Q29" i="34"/>
  <c r="F30" i="34"/>
  <c r="M30" i="34"/>
  <c r="P30" i="34"/>
  <c r="Q30" i="34"/>
  <c r="F31" i="34"/>
  <c r="M31" i="34"/>
  <c r="P31" i="34"/>
  <c r="Q31" i="34"/>
  <c r="Q32" i="34"/>
  <c r="Q33" i="34"/>
  <c r="Q34" i="34"/>
  <c r="F35" i="34"/>
  <c r="M35" i="34"/>
  <c r="P35" i="34"/>
  <c r="Q35" i="34"/>
  <c r="F36" i="34"/>
  <c r="M36" i="34"/>
  <c r="P36" i="34"/>
  <c r="Q36" i="34"/>
  <c r="F37" i="34"/>
  <c r="M37" i="34"/>
  <c r="P37" i="34"/>
  <c r="Q37" i="34"/>
  <c r="F38" i="34"/>
  <c r="M38" i="34"/>
  <c r="P38" i="34"/>
  <c r="Q38" i="34"/>
  <c r="F12" i="34"/>
  <c r="F13" i="34"/>
  <c r="F19" i="34"/>
  <c r="F20" i="34"/>
  <c r="F26" i="34"/>
  <c r="F27" i="34"/>
  <c r="F28" i="34"/>
  <c r="F32" i="34"/>
  <c r="F33" i="34"/>
  <c r="F34" i="34"/>
  <c r="F41" i="34"/>
  <c r="AD13" i="5"/>
  <c r="F8" i="35"/>
  <c r="F9" i="35"/>
  <c r="F10" i="35"/>
  <c r="F11" i="35"/>
  <c r="Q8" i="35"/>
  <c r="Q9" i="35"/>
  <c r="Q10" i="35"/>
  <c r="Q11" i="35"/>
  <c r="Q12" i="35"/>
  <c r="Q13" i="35"/>
  <c r="Q14" i="35"/>
  <c r="Q15" i="35"/>
  <c r="Q16" i="35"/>
  <c r="Q17" i="35"/>
  <c r="Q18" i="35"/>
  <c r="Q19" i="35"/>
  <c r="Q20" i="35"/>
  <c r="Q21" i="35"/>
  <c r="Q22" i="35"/>
  <c r="Q23" i="35"/>
  <c r="Q24" i="35"/>
  <c r="Q25" i="35"/>
  <c r="Q26" i="35"/>
  <c r="Q27" i="35"/>
  <c r="Q28" i="35"/>
  <c r="Q29" i="35"/>
  <c r="Q30" i="35"/>
  <c r="Q31" i="35"/>
  <c r="Q32" i="35"/>
  <c r="Q33" i="35"/>
  <c r="Q34" i="35"/>
  <c r="Q35" i="35"/>
  <c r="Q36" i="35"/>
  <c r="Q37" i="35"/>
  <c r="Q38" i="35"/>
  <c r="F12" i="35"/>
  <c r="F13" i="35"/>
  <c r="F14" i="35"/>
  <c r="F15" i="35"/>
  <c r="F16" i="35"/>
  <c r="F17" i="35"/>
  <c r="F18" i="35"/>
  <c r="F19" i="35"/>
  <c r="F20" i="35"/>
  <c r="F21" i="35"/>
  <c r="F22" i="35"/>
  <c r="F23" i="35"/>
  <c r="F24" i="35"/>
  <c r="F25" i="35"/>
  <c r="F26" i="35"/>
  <c r="F27" i="35"/>
  <c r="F28" i="35"/>
  <c r="F29" i="35"/>
  <c r="F30" i="35"/>
  <c r="F31" i="35"/>
  <c r="F32" i="35"/>
  <c r="F33" i="35"/>
  <c r="F34" i="35"/>
  <c r="F35" i="35"/>
  <c r="F36" i="35"/>
  <c r="F37" i="35"/>
  <c r="F38" i="35"/>
  <c r="F41" i="35"/>
  <c r="AD14" i="5"/>
  <c r="F8" i="36"/>
  <c r="F9" i="36"/>
  <c r="F10" i="36"/>
  <c r="F11" i="36"/>
  <c r="Q8" i="36"/>
  <c r="Q9" i="36"/>
  <c r="Q10" i="36"/>
  <c r="Q11" i="36"/>
  <c r="Q12" i="36"/>
  <c r="Q13" i="36"/>
  <c r="Q14" i="36"/>
  <c r="Q15" i="36"/>
  <c r="Q16" i="36"/>
  <c r="Q17" i="36"/>
  <c r="Q18" i="36"/>
  <c r="Q19" i="36"/>
  <c r="Q20" i="36"/>
  <c r="Q21" i="36"/>
  <c r="Q22" i="36"/>
  <c r="Q23" i="36"/>
  <c r="Q24" i="36"/>
  <c r="Q25" i="36"/>
  <c r="Q26" i="36"/>
  <c r="Q27" i="36"/>
  <c r="Q28" i="36"/>
  <c r="Q29" i="36"/>
  <c r="Q30" i="36"/>
  <c r="Q31" i="36"/>
  <c r="Q32" i="36"/>
  <c r="Q33" i="36"/>
  <c r="Q34" i="36"/>
  <c r="Q35" i="36"/>
  <c r="Q36" i="36"/>
  <c r="Q37" i="36"/>
  <c r="Q38" i="36"/>
  <c r="F12" i="36"/>
  <c r="F13" i="36"/>
  <c r="F14" i="36"/>
  <c r="F15" i="36"/>
  <c r="F16" i="36"/>
  <c r="F17" i="36"/>
  <c r="F18" i="36"/>
  <c r="F19" i="36"/>
  <c r="F20" i="36"/>
  <c r="F21" i="36"/>
  <c r="F22" i="36"/>
  <c r="F23" i="36"/>
  <c r="F24" i="36"/>
  <c r="F25" i="36"/>
  <c r="F26" i="36"/>
  <c r="F27" i="36"/>
  <c r="F28" i="36"/>
  <c r="F29" i="36"/>
  <c r="F30" i="36"/>
  <c r="F31" i="36"/>
  <c r="F32" i="36"/>
  <c r="F33" i="36"/>
  <c r="F34" i="36"/>
  <c r="F35" i="36"/>
  <c r="F36" i="36"/>
  <c r="F37" i="36"/>
  <c r="F38" i="36"/>
  <c r="F41" i="36"/>
  <c r="AD15" i="5"/>
  <c r="F8" i="37"/>
  <c r="F9" i="37"/>
  <c r="F10" i="37"/>
  <c r="F11" i="37"/>
  <c r="Q8" i="37"/>
  <c r="Q9" i="37"/>
  <c r="Q10" i="37"/>
  <c r="Q11" i="37"/>
  <c r="Q12" i="37"/>
  <c r="Q13" i="37"/>
  <c r="Q14" i="37"/>
  <c r="Q15" i="37"/>
  <c r="Q16" i="37"/>
  <c r="Q17" i="37"/>
  <c r="Q18" i="37"/>
  <c r="Q19" i="37"/>
  <c r="Q20" i="37"/>
  <c r="Q21" i="37"/>
  <c r="Q22" i="37"/>
  <c r="Q23" i="37"/>
  <c r="Q24" i="37"/>
  <c r="Q25" i="37"/>
  <c r="Q26" i="37"/>
  <c r="Q27" i="37"/>
  <c r="Q28" i="37"/>
  <c r="Q29" i="37"/>
  <c r="Q30" i="37"/>
  <c r="Q31" i="37"/>
  <c r="Q32" i="37"/>
  <c r="Q33" i="37"/>
  <c r="Q34" i="37"/>
  <c r="Q35" i="37"/>
  <c r="Q36" i="37"/>
  <c r="Q37" i="37"/>
  <c r="Q38" i="37"/>
  <c r="F12" i="37"/>
  <c r="F13" i="37"/>
  <c r="F14" i="37"/>
  <c r="F15" i="37"/>
  <c r="F16" i="37"/>
  <c r="F17" i="37"/>
  <c r="F18" i="37"/>
  <c r="F19" i="37"/>
  <c r="F20" i="37"/>
  <c r="F21" i="37"/>
  <c r="F22" i="37"/>
  <c r="F23" i="37"/>
  <c r="F24" i="37"/>
  <c r="F25" i="37"/>
  <c r="F26" i="37"/>
  <c r="F27" i="37"/>
  <c r="F28" i="37"/>
  <c r="F29" i="37"/>
  <c r="F30" i="37"/>
  <c r="F31" i="37"/>
  <c r="F32" i="37"/>
  <c r="F33" i="37"/>
  <c r="F34" i="37"/>
  <c r="F35" i="37"/>
  <c r="F36" i="37"/>
  <c r="F37" i="37"/>
  <c r="F38" i="37"/>
  <c r="F41" i="37"/>
  <c r="AD16" i="5"/>
  <c r="F8" i="38"/>
  <c r="F9" i="38"/>
  <c r="F10" i="38"/>
  <c r="F11" i="38"/>
  <c r="Q8" i="38"/>
  <c r="Q9" i="38"/>
  <c r="Q10" i="38"/>
  <c r="Q11" i="38"/>
  <c r="Q12" i="38"/>
  <c r="Q13" i="38"/>
  <c r="Q14" i="38"/>
  <c r="Q15" i="38"/>
  <c r="Q16" i="38"/>
  <c r="Q17" i="38"/>
  <c r="Q18" i="38"/>
  <c r="Q19" i="38"/>
  <c r="Q20" i="38"/>
  <c r="Q21" i="38"/>
  <c r="Q22" i="38"/>
  <c r="Q23" i="38"/>
  <c r="Q24" i="38"/>
  <c r="Q25" i="38"/>
  <c r="Q26" i="38"/>
  <c r="Q27" i="38"/>
  <c r="Q28" i="38"/>
  <c r="Q29" i="38"/>
  <c r="Q30" i="38"/>
  <c r="Q31" i="38"/>
  <c r="Q32" i="38"/>
  <c r="Q33" i="38"/>
  <c r="Q34" i="38"/>
  <c r="Q35" i="38"/>
  <c r="Q36" i="38"/>
  <c r="Q37" i="38"/>
  <c r="Q38" i="38"/>
  <c r="F12" i="38"/>
  <c r="F13" i="38"/>
  <c r="F14" i="38"/>
  <c r="F15" i="38"/>
  <c r="F16" i="38"/>
  <c r="F17" i="38"/>
  <c r="F18" i="38"/>
  <c r="F19" i="38"/>
  <c r="F20" i="38"/>
  <c r="F21" i="38"/>
  <c r="F22" i="38"/>
  <c r="F23" i="38"/>
  <c r="F24" i="38"/>
  <c r="F25" i="38"/>
  <c r="F26" i="38"/>
  <c r="F27" i="38"/>
  <c r="F28" i="38"/>
  <c r="F29" i="38"/>
  <c r="F30" i="38"/>
  <c r="F31" i="38"/>
  <c r="F32" i="38"/>
  <c r="F33" i="38"/>
  <c r="F34" i="38"/>
  <c r="F35" i="38"/>
  <c r="F36" i="38"/>
  <c r="F37" i="38"/>
  <c r="F38" i="38"/>
  <c r="F41" i="38"/>
  <c r="AD17" i="5"/>
  <c r="F8" i="39"/>
  <c r="F9" i="39"/>
  <c r="F10" i="39"/>
  <c r="F11" i="39"/>
  <c r="Q8" i="39"/>
  <c r="Q9" i="39"/>
  <c r="Q10" i="39"/>
  <c r="Q11" i="39"/>
  <c r="Q12" i="39"/>
  <c r="Q13" i="39"/>
  <c r="Q14" i="39"/>
  <c r="Q15" i="39"/>
  <c r="Q16" i="39"/>
  <c r="Q17" i="39"/>
  <c r="Q18" i="39"/>
  <c r="Q19" i="39"/>
  <c r="Q20" i="39"/>
  <c r="Q21" i="39"/>
  <c r="Q22" i="39"/>
  <c r="Q23" i="39"/>
  <c r="Q24" i="39"/>
  <c r="Q25" i="39"/>
  <c r="Q26" i="39"/>
  <c r="Q27" i="39"/>
  <c r="Q28" i="39"/>
  <c r="Q29" i="39"/>
  <c r="Q30" i="39"/>
  <c r="Q31" i="39"/>
  <c r="Q32" i="39"/>
  <c r="Q33" i="39"/>
  <c r="Q34" i="39"/>
  <c r="Q35" i="39"/>
  <c r="Q36" i="39"/>
  <c r="Q37" i="39"/>
  <c r="Q38" i="39"/>
  <c r="F12" i="39"/>
  <c r="F13" i="39"/>
  <c r="F14" i="39"/>
  <c r="F15" i="39"/>
  <c r="F16" i="39"/>
  <c r="F17" i="39"/>
  <c r="F18" i="39"/>
  <c r="F19" i="39"/>
  <c r="F20" i="39"/>
  <c r="F21" i="39"/>
  <c r="F22" i="39"/>
  <c r="F23" i="39"/>
  <c r="F24" i="39"/>
  <c r="F25" i="39"/>
  <c r="F26" i="39"/>
  <c r="F27" i="39"/>
  <c r="F28" i="39"/>
  <c r="F29" i="39"/>
  <c r="F30" i="39"/>
  <c r="F31" i="39"/>
  <c r="F32" i="39"/>
  <c r="F33" i="39"/>
  <c r="F34" i="39"/>
  <c r="F35" i="39"/>
  <c r="F36" i="39"/>
  <c r="F37" i="39"/>
  <c r="F38" i="39"/>
  <c r="F41" i="39"/>
  <c r="AD18" i="5"/>
  <c r="F8" i="40"/>
  <c r="F9" i="40"/>
  <c r="F10" i="40"/>
  <c r="F11" i="40"/>
  <c r="Q8" i="40"/>
  <c r="Q9" i="40"/>
  <c r="Q10" i="40"/>
  <c r="Q11" i="40"/>
  <c r="Q12" i="40"/>
  <c r="Q13" i="40"/>
  <c r="Q14" i="40"/>
  <c r="Q15" i="40"/>
  <c r="Q16" i="40"/>
  <c r="Q17" i="40"/>
  <c r="Q18" i="40"/>
  <c r="Q19" i="40"/>
  <c r="Q20" i="40"/>
  <c r="Q21" i="40"/>
  <c r="Q22" i="40"/>
  <c r="Q23" i="40"/>
  <c r="Q24" i="40"/>
  <c r="Q25" i="40"/>
  <c r="Q26" i="40"/>
  <c r="Q27" i="40"/>
  <c r="Q28" i="40"/>
  <c r="Q29" i="40"/>
  <c r="Q30" i="40"/>
  <c r="Q31" i="40"/>
  <c r="Q32" i="40"/>
  <c r="Q33" i="40"/>
  <c r="Q34" i="40"/>
  <c r="Q35" i="40"/>
  <c r="Q36" i="40"/>
  <c r="Q37" i="40"/>
  <c r="Q38" i="40"/>
  <c r="F12" i="40"/>
  <c r="F13" i="40"/>
  <c r="F14" i="40"/>
  <c r="F15" i="40"/>
  <c r="F16" i="40"/>
  <c r="F17" i="40"/>
  <c r="F18" i="40"/>
  <c r="F19" i="40"/>
  <c r="F20" i="40"/>
  <c r="F21" i="40"/>
  <c r="F22" i="40"/>
  <c r="F23" i="40"/>
  <c r="F24" i="40"/>
  <c r="F25" i="40"/>
  <c r="F26" i="40"/>
  <c r="F27" i="40"/>
  <c r="F28" i="40"/>
  <c r="F29" i="40"/>
  <c r="F30" i="40"/>
  <c r="F31" i="40"/>
  <c r="F32" i="40"/>
  <c r="F33" i="40"/>
  <c r="F34" i="40"/>
  <c r="F35" i="40"/>
  <c r="F36" i="40"/>
  <c r="F37" i="40"/>
  <c r="F38" i="40"/>
  <c r="F41" i="40"/>
  <c r="AD19" i="5"/>
  <c r="F8" i="41"/>
  <c r="F9" i="41"/>
  <c r="F10" i="41"/>
  <c r="F11" i="41"/>
  <c r="Q8" i="41"/>
  <c r="Q9" i="41"/>
  <c r="Q10" i="41"/>
  <c r="Q11" i="41"/>
  <c r="Q12" i="41"/>
  <c r="Q13" i="41"/>
  <c r="Q14" i="41"/>
  <c r="Q15" i="41"/>
  <c r="Q16" i="41"/>
  <c r="Q17" i="41"/>
  <c r="Q18" i="41"/>
  <c r="Q19" i="41"/>
  <c r="Q20" i="41"/>
  <c r="Q21" i="41"/>
  <c r="Q22" i="41"/>
  <c r="Q23" i="41"/>
  <c r="Q24" i="41"/>
  <c r="Q25" i="41"/>
  <c r="Q26" i="41"/>
  <c r="Q27" i="41"/>
  <c r="Q28" i="41"/>
  <c r="Q29" i="41"/>
  <c r="Q30" i="41"/>
  <c r="Q31" i="41"/>
  <c r="Q32" i="41"/>
  <c r="Q33" i="41"/>
  <c r="Q34" i="41"/>
  <c r="Q35" i="41"/>
  <c r="Q36" i="41"/>
  <c r="Q37" i="41"/>
  <c r="Q38" i="41"/>
  <c r="F12" i="41"/>
  <c r="F13" i="41"/>
  <c r="F14" i="41"/>
  <c r="F15" i="41"/>
  <c r="F16" i="41"/>
  <c r="F17" i="41"/>
  <c r="F18" i="41"/>
  <c r="F19" i="41"/>
  <c r="F20" i="41"/>
  <c r="F21" i="41"/>
  <c r="F22" i="41"/>
  <c r="F23" i="41"/>
  <c r="F24" i="41"/>
  <c r="F25" i="41"/>
  <c r="F26" i="41"/>
  <c r="F27" i="41"/>
  <c r="F28" i="41"/>
  <c r="F29" i="41"/>
  <c r="F30" i="41"/>
  <c r="F31" i="41"/>
  <c r="F32" i="41"/>
  <c r="F33" i="41"/>
  <c r="F34" i="41"/>
  <c r="F35" i="41"/>
  <c r="F36" i="41"/>
  <c r="F37" i="41"/>
  <c r="F38" i="41"/>
  <c r="F41" i="41"/>
  <c r="AD20" i="5"/>
  <c r="F8" i="42"/>
  <c r="F9" i="42"/>
  <c r="F10" i="42"/>
  <c r="F11" i="42"/>
  <c r="Q8" i="42"/>
  <c r="Q9" i="42"/>
  <c r="Q10" i="42"/>
  <c r="Q11" i="42"/>
  <c r="Q12" i="42"/>
  <c r="Q13" i="42"/>
  <c r="Q14" i="42"/>
  <c r="Q15" i="42"/>
  <c r="Q16" i="42"/>
  <c r="Q17" i="42"/>
  <c r="Q18" i="42"/>
  <c r="Q19" i="42"/>
  <c r="Q20" i="42"/>
  <c r="Q21" i="42"/>
  <c r="Q22" i="42"/>
  <c r="Q23" i="42"/>
  <c r="Q24" i="42"/>
  <c r="Q25" i="42"/>
  <c r="Q26" i="42"/>
  <c r="Q27" i="42"/>
  <c r="Q28" i="42"/>
  <c r="Q29" i="42"/>
  <c r="Q30" i="42"/>
  <c r="Q31" i="42"/>
  <c r="Q32" i="42"/>
  <c r="Q33" i="42"/>
  <c r="Q34" i="42"/>
  <c r="Q35" i="42"/>
  <c r="Q36" i="42"/>
  <c r="Q37" i="42"/>
  <c r="Q38" i="42"/>
  <c r="F12" i="42"/>
  <c r="F13" i="42"/>
  <c r="F14" i="42"/>
  <c r="F15" i="42"/>
  <c r="F16" i="42"/>
  <c r="F17" i="42"/>
  <c r="F18" i="42"/>
  <c r="F19" i="42"/>
  <c r="F20" i="42"/>
  <c r="F21" i="42"/>
  <c r="F22" i="42"/>
  <c r="F23" i="42"/>
  <c r="F24" i="42"/>
  <c r="F25" i="42"/>
  <c r="F26" i="42"/>
  <c r="F27" i="42"/>
  <c r="F28" i="42"/>
  <c r="F29" i="42"/>
  <c r="F30" i="42"/>
  <c r="F31" i="42"/>
  <c r="F32" i="42"/>
  <c r="F33" i="42"/>
  <c r="F34" i="42"/>
  <c r="F35" i="42"/>
  <c r="F36" i="42"/>
  <c r="F37" i="42"/>
  <c r="F38" i="42"/>
  <c r="F41" i="42"/>
  <c r="AD21" i="5"/>
  <c r="F8" i="43"/>
  <c r="F9" i="43"/>
  <c r="F10" i="43"/>
  <c r="F11" i="43"/>
  <c r="Q8" i="43"/>
  <c r="Q9" i="43"/>
  <c r="Q10" i="43"/>
  <c r="Q11" i="43"/>
  <c r="Q12" i="43"/>
  <c r="Q13" i="43"/>
  <c r="Q14" i="43"/>
  <c r="Q15" i="43"/>
  <c r="Q16" i="43"/>
  <c r="Q17" i="43"/>
  <c r="Q18" i="43"/>
  <c r="Q19" i="43"/>
  <c r="Q20" i="43"/>
  <c r="Q21" i="43"/>
  <c r="Q22" i="43"/>
  <c r="Q23" i="43"/>
  <c r="Q24" i="43"/>
  <c r="Q25" i="43"/>
  <c r="Q26" i="43"/>
  <c r="Q27" i="43"/>
  <c r="Q28" i="43"/>
  <c r="Q29" i="43"/>
  <c r="Q30" i="43"/>
  <c r="Q31" i="43"/>
  <c r="Q32" i="43"/>
  <c r="Q33" i="43"/>
  <c r="Q34" i="43"/>
  <c r="Q35" i="43"/>
  <c r="Q36" i="43"/>
  <c r="Q37" i="43"/>
  <c r="Q38" i="43"/>
  <c r="F12" i="43"/>
  <c r="F13" i="43"/>
  <c r="F14" i="43"/>
  <c r="F15" i="43"/>
  <c r="F16" i="43"/>
  <c r="F17" i="43"/>
  <c r="F18" i="43"/>
  <c r="F19" i="43"/>
  <c r="F20" i="43"/>
  <c r="F21" i="43"/>
  <c r="F22" i="43"/>
  <c r="F23" i="43"/>
  <c r="F24" i="43"/>
  <c r="F25" i="43"/>
  <c r="F26" i="43"/>
  <c r="F27" i="43"/>
  <c r="F28" i="43"/>
  <c r="F29" i="43"/>
  <c r="F30" i="43"/>
  <c r="F31" i="43"/>
  <c r="F32" i="43"/>
  <c r="F33" i="43"/>
  <c r="F34" i="43"/>
  <c r="F35" i="43"/>
  <c r="F36" i="43"/>
  <c r="F37" i="43"/>
  <c r="F38" i="43"/>
  <c r="F41" i="43"/>
  <c r="AD22" i="5"/>
  <c r="F8" i="44"/>
  <c r="F9" i="44"/>
  <c r="F10" i="44"/>
  <c r="F11" i="44"/>
  <c r="Q8" i="44"/>
  <c r="Q9" i="44"/>
  <c r="Q10" i="44"/>
  <c r="Q11" i="44"/>
  <c r="Q12" i="44"/>
  <c r="Q13" i="44"/>
  <c r="Q14" i="44"/>
  <c r="Q15" i="44"/>
  <c r="Q16" i="44"/>
  <c r="Q17" i="44"/>
  <c r="Q18" i="44"/>
  <c r="Q19" i="44"/>
  <c r="Q20" i="44"/>
  <c r="Q21" i="44"/>
  <c r="Q22" i="44"/>
  <c r="Q23" i="44"/>
  <c r="Q24" i="44"/>
  <c r="Q25" i="44"/>
  <c r="Q26" i="44"/>
  <c r="Q27" i="44"/>
  <c r="Q28" i="44"/>
  <c r="Q29" i="44"/>
  <c r="Q30" i="44"/>
  <c r="Q31" i="44"/>
  <c r="Q32" i="44"/>
  <c r="Q33" i="44"/>
  <c r="Q34" i="44"/>
  <c r="Q35" i="44"/>
  <c r="Q36" i="44"/>
  <c r="Q37" i="44"/>
  <c r="Q38" i="44"/>
  <c r="F12" i="44"/>
  <c r="F13" i="44"/>
  <c r="F14" i="44"/>
  <c r="F15" i="44"/>
  <c r="F16" i="44"/>
  <c r="F17" i="44"/>
  <c r="F18" i="44"/>
  <c r="F19" i="44"/>
  <c r="F20" i="44"/>
  <c r="F21" i="44"/>
  <c r="F22" i="44"/>
  <c r="F23" i="44"/>
  <c r="F24" i="44"/>
  <c r="F25" i="44"/>
  <c r="F26" i="44"/>
  <c r="F27" i="44"/>
  <c r="F28" i="44"/>
  <c r="F29" i="44"/>
  <c r="F30" i="44"/>
  <c r="F31" i="44"/>
  <c r="F32" i="44"/>
  <c r="F33" i="44"/>
  <c r="F34" i="44"/>
  <c r="F35" i="44"/>
  <c r="F36" i="44"/>
  <c r="F37" i="44"/>
  <c r="F38" i="44"/>
  <c r="F41" i="44"/>
  <c r="AD23" i="5"/>
  <c r="F8" i="45"/>
  <c r="F9" i="45"/>
  <c r="F10" i="45"/>
  <c r="F11" i="45"/>
  <c r="Q8" i="45"/>
  <c r="Q9" i="45"/>
  <c r="Q10" i="45"/>
  <c r="Q11" i="45"/>
  <c r="Q12" i="45"/>
  <c r="Q13" i="45"/>
  <c r="Q14" i="45"/>
  <c r="Q15" i="45"/>
  <c r="Q16" i="45"/>
  <c r="Q17" i="45"/>
  <c r="Q18" i="45"/>
  <c r="Q19" i="45"/>
  <c r="Q20" i="45"/>
  <c r="Q21" i="45"/>
  <c r="Q22" i="45"/>
  <c r="Q23" i="45"/>
  <c r="Q24" i="45"/>
  <c r="Q25" i="45"/>
  <c r="Q26" i="45"/>
  <c r="Q27" i="45"/>
  <c r="Q28" i="45"/>
  <c r="Q29" i="45"/>
  <c r="Q30" i="45"/>
  <c r="Q31" i="45"/>
  <c r="Q32" i="45"/>
  <c r="Q33" i="45"/>
  <c r="Q34" i="45"/>
  <c r="Q35" i="45"/>
  <c r="Q36" i="45"/>
  <c r="Q37" i="45"/>
  <c r="Q38" i="45"/>
  <c r="F12" i="45"/>
  <c r="F13" i="45"/>
  <c r="F14" i="45"/>
  <c r="F15" i="45"/>
  <c r="F16" i="45"/>
  <c r="F17" i="45"/>
  <c r="F18" i="45"/>
  <c r="F19" i="45"/>
  <c r="F20" i="45"/>
  <c r="F21" i="45"/>
  <c r="F22" i="45"/>
  <c r="F23" i="45"/>
  <c r="F24" i="45"/>
  <c r="F25" i="45"/>
  <c r="F26" i="45"/>
  <c r="F27" i="45"/>
  <c r="F28" i="45"/>
  <c r="F29" i="45"/>
  <c r="F30" i="45"/>
  <c r="F31" i="45"/>
  <c r="F32" i="45"/>
  <c r="F33" i="45"/>
  <c r="F34" i="45"/>
  <c r="F35" i="45"/>
  <c r="F36" i="45"/>
  <c r="F37" i="45"/>
  <c r="F38" i="45"/>
  <c r="F41" i="45"/>
  <c r="AD24" i="5"/>
  <c r="F8" i="46"/>
  <c r="F9" i="46"/>
  <c r="F10" i="46"/>
  <c r="F11" i="46"/>
  <c r="Q8" i="46"/>
  <c r="Q9" i="46"/>
  <c r="Q10" i="46"/>
  <c r="Q11" i="46"/>
  <c r="Q12" i="46"/>
  <c r="Q13" i="46"/>
  <c r="Q14" i="46"/>
  <c r="Q15" i="46"/>
  <c r="Q16" i="46"/>
  <c r="Q17" i="46"/>
  <c r="Q18" i="46"/>
  <c r="Q19" i="46"/>
  <c r="Q20" i="46"/>
  <c r="Q21" i="46"/>
  <c r="Q22" i="46"/>
  <c r="Q23" i="46"/>
  <c r="Q24" i="46"/>
  <c r="Q25" i="46"/>
  <c r="Q26" i="46"/>
  <c r="Q27" i="46"/>
  <c r="Q28" i="46"/>
  <c r="Q29" i="46"/>
  <c r="Q30" i="46"/>
  <c r="Q31" i="46"/>
  <c r="Q32" i="46"/>
  <c r="Q33" i="46"/>
  <c r="Q34" i="46"/>
  <c r="Q35" i="46"/>
  <c r="Q36" i="46"/>
  <c r="Q37" i="46"/>
  <c r="Q38" i="46"/>
  <c r="F12" i="46"/>
  <c r="F13" i="46"/>
  <c r="F14" i="46"/>
  <c r="F15" i="46"/>
  <c r="F16" i="46"/>
  <c r="F17" i="46"/>
  <c r="F18" i="46"/>
  <c r="F19" i="46"/>
  <c r="F20" i="46"/>
  <c r="F21" i="46"/>
  <c r="F22" i="46"/>
  <c r="F23" i="46"/>
  <c r="F24" i="46"/>
  <c r="F25" i="46"/>
  <c r="F26" i="46"/>
  <c r="F27" i="46"/>
  <c r="F28" i="46"/>
  <c r="F29" i="46"/>
  <c r="F30" i="46"/>
  <c r="F31" i="46"/>
  <c r="F32" i="46"/>
  <c r="F33" i="46"/>
  <c r="F34" i="46"/>
  <c r="F35" i="46"/>
  <c r="F36" i="46"/>
  <c r="F37" i="46"/>
  <c r="F38" i="46"/>
  <c r="F41" i="46"/>
  <c r="AD25" i="5"/>
  <c r="F8" i="47"/>
  <c r="F9" i="47"/>
  <c r="F10" i="47"/>
  <c r="F11" i="47"/>
  <c r="Q8" i="47"/>
  <c r="Q9" i="47"/>
  <c r="Q10" i="47"/>
  <c r="Q11" i="47"/>
  <c r="Q12" i="47"/>
  <c r="Q13" i="47"/>
  <c r="Q14" i="47"/>
  <c r="Q15" i="47"/>
  <c r="Q16" i="47"/>
  <c r="Q17" i="47"/>
  <c r="Q18" i="47"/>
  <c r="Q19" i="47"/>
  <c r="Q20" i="47"/>
  <c r="Q21" i="47"/>
  <c r="Q22" i="47"/>
  <c r="Q23" i="47"/>
  <c r="Q24" i="47"/>
  <c r="Q25" i="47"/>
  <c r="Q26" i="47"/>
  <c r="Q27" i="47"/>
  <c r="Q28" i="47"/>
  <c r="Q29" i="47"/>
  <c r="Q30" i="47"/>
  <c r="Q31" i="47"/>
  <c r="Q32" i="47"/>
  <c r="Q33" i="47"/>
  <c r="Q34" i="47"/>
  <c r="Q35" i="47"/>
  <c r="Q36" i="47"/>
  <c r="Q37" i="47"/>
  <c r="Q38" i="47"/>
  <c r="F12" i="47"/>
  <c r="F13" i="47"/>
  <c r="F14" i="47"/>
  <c r="F15" i="47"/>
  <c r="F16" i="47"/>
  <c r="F17" i="47"/>
  <c r="F18" i="47"/>
  <c r="F19" i="47"/>
  <c r="F20" i="47"/>
  <c r="F21" i="47"/>
  <c r="F22" i="47"/>
  <c r="F23" i="47"/>
  <c r="F24" i="47"/>
  <c r="F25" i="47"/>
  <c r="F26" i="47"/>
  <c r="F27" i="47"/>
  <c r="F28" i="47"/>
  <c r="F29" i="47"/>
  <c r="F30" i="47"/>
  <c r="F31" i="47"/>
  <c r="F32" i="47"/>
  <c r="F33" i="47"/>
  <c r="F34" i="47"/>
  <c r="F35" i="47"/>
  <c r="F36" i="47"/>
  <c r="F37" i="47"/>
  <c r="F38" i="47"/>
  <c r="F41" i="47"/>
  <c r="AD26" i="5"/>
  <c r="F8" i="48"/>
  <c r="F9" i="48"/>
  <c r="F10" i="48"/>
  <c r="F11" i="48"/>
  <c r="Q8" i="48"/>
  <c r="Q9" i="48"/>
  <c r="Q10" i="48"/>
  <c r="Q11" i="48"/>
  <c r="Q12" i="48"/>
  <c r="Q13" i="48"/>
  <c r="Q14" i="48"/>
  <c r="Q15" i="48"/>
  <c r="Q16" i="48"/>
  <c r="Q17" i="48"/>
  <c r="Q18" i="48"/>
  <c r="Q19" i="48"/>
  <c r="Q20" i="48"/>
  <c r="Q21" i="48"/>
  <c r="Q22" i="48"/>
  <c r="Q23" i="48"/>
  <c r="Q24" i="48"/>
  <c r="Q25" i="48"/>
  <c r="Q26" i="48"/>
  <c r="Q27" i="48"/>
  <c r="Q28" i="48"/>
  <c r="Q29" i="48"/>
  <c r="Q30" i="48"/>
  <c r="Q31" i="48"/>
  <c r="Q32" i="48"/>
  <c r="Q33" i="48"/>
  <c r="Q34" i="48"/>
  <c r="Q35" i="48"/>
  <c r="Q36" i="48"/>
  <c r="Q37" i="48"/>
  <c r="Q38" i="48"/>
  <c r="F12" i="48"/>
  <c r="F13" i="48"/>
  <c r="F14" i="48"/>
  <c r="F15" i="48"/>
  <c r="F16" i="48"/>
  <c r="F17" i="48"/>
  <c r="F18" i="48"/>
  <c r="F19" i="48"/>
  <c r="F20" i="48"/>
  <c r="F21" i="48"/>
  <c r="F22" i="48"/>
  <c r="F23" i="48"/>
  <c r="F24" i="48"/>
  <c r="F25" i="48"/>
  <c r="F26" i="48"/>
  <c r="F27" i="48"/>
  <c r="F28" i="48"/>
  <c r="F29" i="48"/>
  <c r="F30" i="48"/>
  <c r="F31" i="48"/>
  <c r="F32" i="48"/>
  <c r="F33" i="48"/>
  <c r="F34" i="48"/>
  <c r="F35" i="48"/>
  <c r="F36" i="48"/>
  <c r="F37" i="48"/>
  <c r="F38" i="48"/>
  <c r="F41" i="48"/>
  <c r="AD27" i="5"/>
  <c r="F8" i="49"/>
  <c r="F9" i="49"/>
  <c r="F10" i="49"/>
  <c r="F11" i="49"/>
  <c r="Q8" i="49"/>
  <c r="Q9" i="49"/>
  <c r="Q10" i="49"/>
  <c r="Q11" i="49"/>
  <c r="Q12" i="49"/>
  <c r="Q13" i="49"/>
  <c r="Q14" i="49"/>
  <c r="Q15" i="49"/>
  <c r="Q16" i="49"/>
  <c r="Q17" i="49"/>
  <c r="Q18" i="49"/>
  <c r="Q19" i="49"/>
  <c r="Q20" i="49"/>
  <c r="Q21" i="49"/>
  <c r="Q22" i="49"/>
  <c r="Q23" i="49"/>
  <c r="Q24" i="49"/>
  <c r="Q25" i="49"/>
  <c r="Q26" i="49"/>
  <c r="Q27" i="49"/>
  <c r="Q28" i="49"/>
  <c r="Q29" i="49"/>
  <c r="Q30" i="49"/>
  <c r="Q31" i="49"/>
  <c r="Q32" i="49"/>
  <c r="Q33" i="49"/>
  <c r="Q34" i="49"/>
  <c r="Q35" i="49"/>
  <c r="Q36" i="49"/>
  <c r="Q37" i="49"/>
  <c r="Q38" i="49"/>
  <c r="F12" i="49"/>
  <c r="F13" i="49"/>
  <c r="F14" i="49"/>
  <c r="F15" i="49"/>
  <c r="F16" i="49"/>
  <c r="F17" i="49"/>
  <c r="F18" i="49"/>
  <c r="F19" i="49"/>
  <c r="F20" i="49"/>
  <c r="F21" i="49"/>
  <c r="F22" i="49"/>
  <c r="F23" i="49"/>
  <c r="F24" i="49"/>
  <c r="F25" i="49"/>
  <c r="F26" i="49"/>
  <c r="F27" i="49"/>
  <c r="F28" i="49"/>
  <c r="F29" i="49"/>
  <c r="F30" i="49"/>
  <c r="F31" i="49"/>
  <c r="F32" i="49"/>
  <c r="F33" i="49"/>
  <c r="F34" i="49"/>
  <c r="F35" i="49"/>
  <c r="F36" i="49"/>
  <c r="F37" i="49"/>
  <c r="F38" i="49"/>
  <c r="F41" i="49"/>
  <c r="AD28" i="5"/>
  <c r="F8" i="50"/>
  <c r="F9" i="50"/>
  <c r="F10" i="50"/>
  <c r="F11" i="50"/>
  <c r="Q8" i="50"/>
  <c r="Q9" i="50"/>
  <c r="Q10" i="50"/>
  <c r="Q11" i="50"/>
  <c r="Q12" i="50"/>
  <c r="Q13" i="50"/>
  <c r="Q14" i="50"/>
  <c r="Q15" i="50"/>
  <c r="Q16" i="50"/>
  <c r="Q17" i="50"/>
  <c r="Q18" i="50"/>
  <c r="Q19" i="50"/>
  <c r="Q20" i="50"/>
  <c r="Q21" i="50"/>
  <c r="Q22" i="50"/>
  <c r="Q23" i="50"/>
  <c r="Q24" i="50"/>
  <c r="Q25" i="50"/>
  <c r="Q26" i="50"/>
  <c r="Q27" i="50"/>
  <c r="Q28" i="50"/>
  <c r="Q29" i="50"/>
  <c r="Q30" i="50"/>
  <c r="Q31" i="50"/>
  <c r="Q32" i="50"/>
  <c r="Q33" i="50"/>
  <c r="Q34" i="50"/>
  <c r="Q35" i="50"/>
  <c r="Q36" i="50"/>
  <c r="Q37" i="50"/>
  <c r="Q38" i="50"/>
  <c r="F12" i="50"/>
  <c r="F13" i="50"/>
  <c r="F14" i="50"/>
  <c r="F15" i="50"/>
  <c r="F16" i="50"/>
  <c r="F17" i="50"/>
  <c r="F18" i="50"/>
  <c r="F19" i="50"/>
  <c r="F20" i="50"/>
  <c r="F21" i="50"/>
  <c r="F22" i="50"/>
  <c r="F23" i="50"/>
  <c r="F24" i="50"/>
  <c r="F25" i="50"/>
  <c r="F26" i="50"/>
  <c r="F27" i="50"/>
  <c r="F28" i="50"/>
  <c r="F29" i="50"/>
  <c r="F30" i="50"/>
  <c r="F31" i="50"/>
  <c r="F32" i="50"/>
  <c r="F33" i="50"/>
  <c r="F34" i="50"/>
  <c r="F35" i="50"/>
  <c r="F36" i="50"/>
  <c r="F37" i="50"/>
  <c r="F38" i="50"/>
  <c r="F41" i="50"/>
  <c r="AD29" i="5"/>
  <c r="F8" i="51"/>
  <c r="F9" i="51"/>
  <c r="F10" i="51"/>
  <c r="F11" i="51"/>
  <c r="Q8" i="51"/>
  <c r="Q9" i="51"/>
  <c r="Q10" i="51"/>
  <c r="Q11" i="51"/>
  <c r="Q12" i="51"/>
  <c r="Q13" i="51"/>
  <c r="Q14" i="51"/>
  <c r="Q15" i="51"/>
  <c r="Q16" i="51"/>
  <c r="Q17" i="51"/>
  <c r="Q18" i="51"/>
  <c r="Q19" i="51"/>
  <c r="Q20" i="51"/>
  <c r="Q21" i="51"/>
  <c r="Q22" i="51"/>
  <c r="Q23" i="51"/>
  <c r="Q24" i="51"/>
  <c r="Q25" i="51"/>
  <c r="Q26" i="51"/>
  <c r="Q27" i="51"/>
  <c r="Q28" i="51"/>
  <c r="Q29" i="51"/>
  <c r="Q30" i="51"/>
  <c r="Q31" i="51"/>
  <c r="Q32" i="51"/>
  <c r="Q33" i="51"/>
  <c r="Q34" i="51"/>
  <c r="Q35" i="51"/>
  <c r="Q36" i="51"/>
  <c r="Q37" i="51"/>
  <c r="Q38" i="51"/>
  <c r="F12" i="51"/>
  <c r="F13" i="51"/>
  <c r="F14" i="51"/>
  <c r="F15" i="51"/>
  <c r="F16" i="51"/>
  <c r="F17" i="51"/>
  <c r="F18" i="51"/>
  <c r="F19" i="51"/>
  <c r="F20" i="51"/>
  <c r="F21" i="51"/>
  <c r="F22" i="51"/>
  <c r="F23" i="51"/>
  <c r="F24" i="51"/>
  <c r="F25" i="51"/>
  <c r="F26" i="51"/>
  <c r="F27" i="51"/>
  <c r="F28" i="51"/>
  <c r="F29" i="51"/>
  <c r="F30" i="51"/>
  <c r="F31" i="51"/>
  <c r="F32" i="51"/>
  <c r="F33" i="51"/>
  <c r="F34" i="51"/>
  <c r="F35" i="51"/>
  <c r="F36" i="51"/>
  <c r="F37" i="51"/>
  <c r="F38" i="51"/>
  <c r="F41" i="51"/>
  <c r="AD30" i="5"/>
  <c r="F8" i="52"/>
  <c r="F9" i="52"/>
  <c r="F10" i="52"/>
  <c r="F11" i="52"/>
  <c r="Q8" i="52"/>
  <c r="Q9" i="52"/>
  <c r="Q10" i="52"/>
  <c r="Q11" i="52"/>
  <c r="Q12" i="52"/>
  <c r="Q13" i="52"/>
  <c r="Q14" i="52"/>
  <c r="Q15" i="52"/>
  <c r="Q16" i="52"/>
  <c r="Q17" i="52"/>
  <c r="Q18" i="52"/>
  <c r="Q19" i="52"/>
  <c r="Q20" i="52"/>
  <c r="Q21" i="52"/>
  <c r="Q22" i="52"/>
  <c r="Q23" i="52"/>
  <c r="Q24" i="52"/>
  <c r="Q25" i="52"/>
  <c r="Q26" i="52"/>
  <c r="Q27" i="52"/>
  <c r="Q28" i="52"/>
  <c r="Q29" i="52"/>
  <c r="Q30" i="52"/>
  <c r="Q31" i="52"/>
  <c r="Q32" i="52"/>
  <c r="Q33" i="52"/>
  <c r="Q34" i="52"/>
  <c r="Q35" i="52"/>
  <c r="Q36" i="52"/>
  <c r="Q37" i="52"/>
  <c r="Q38" i="52"/>
  <c r="F12" i="52"/>
  <c r="F13" i="52"/>
  <c r="F14" i="52"/>
  <c r="F15" i="52"/>
  <c r="F16" i="52"/>
  <c r="F17" i="52"/>
  <c r="F18" i="52"/>
  <c r="F19" i="52"/>
  <c r="F20" i="52"/>
  <c r="F21" i="52"/>
  <c r="F22" i="52"/>
  <c r="F23" i="52"/>
  <c r="F24" i="52"/>
  <c r="F25" i="52"/>
  <c r="F26" i="52"/>
  <c r="F27" i="52"/>
  <c r="F28" i="52"/>
  <c r="F29" i="52"/>
  <c r="F30" i="52"/>
  <c r="F31" i="52"/>
  <c r="F32" i="52"/>
  <c r="F33" i="52"/>
  <c r="F34" i="52"/>
  <c r="F35" i="52"/>
  <c r="F36" i="52"/>
  <c r="F37" i="52"/>
  <c r="F38" i="52"/>
  <c r="F41" i="52"/>
  <c r="AD31" i="5"/>
  <c r="F8" i="53"/>
  <c r="F9" i="53"/>
  <c r="F10" i="53"/>
  <c r="F11" i="53"/>
  <c r="Q8" i="53"/>
  <c r="Q9" i="53"/>
  <c r="Q10" i="53"/>
  <c r="Q11" i="53"/>
  <c r="Q12" i="53"/>
  <c r="Q13" i="53"/>
  <c r="Q14" i="53"/>
  <c r="Q15" i="53"/>
  <c r="Q16" i="53"/>
  <c r="Q17" i="53"/>
  <c r="Q18" i="53"/>
  <c r="Q19" i="53"/>
  <c r="Q20" i="53"/>
  <c r="Q21" i="53"/>
  <c r="Q22" i="53"/>
  <c r="Q23" i="53"/>
  <c r="Q24" i="53"/>
  <c r="Q25" i="53"/>
  <c r="Q26" i="53"/>
  <c r="Q27" i="53"/>
  <c r="Q28" i="53"/>
  <c r="Q29" i="53"/>
  <c r="Q30" i="53"/>
  <c r="Q31" i="53"/>
  <c r="Q32" i="53"/>
  <c r="Q33" i="53"/>
  <c r="Q34" i="53"/>
  <c r="Q35" i="53"/>
  <c r="Q36" i="53"/>
  <c r="Q37" i="53"/>
  <c r="Q38" i="53"/>
  <c r="F12" i="53"/>
  <c r="F13" i="53"/>
  <c r="F14" i="53"/>
  <c r="F15" i="53"/>
  <c r="F16" i="53"/>
  <c r="F17" i="53"/>
  <c r="F18" i="53"/>
  <c r="F19" i="53"/>
  <c r="F20" i="53"/>
  <c r="F21" i="53"/>
  <c r="F22" i="53"/>
  <c r="F23" i="53"/>
  <c r="F24" i="53"/>
  <c r="F25" i="53"/>
  <c r="F26" i="53"/>
  <c r="F27" i="53"/>
  <c r="F28" i="53"/>
  <c r="F29" i="53"/>
  <c r="F30" i="53"/>
  <c r="F31" i="53"/>
  <c r="F32" i="53"/>
  <c r="F33" i="53"/>
  <c r="F34" i="53"/>
  <c r="F35" i="53"/>
  <c r="F36" i="53"/>
  <c r="F37" i="53"/>
  <c r="F38" i="53"/>
  <c r="F41" i="53"/>
  <c r="AD32" i="5"/>
  <c r="F8" i="54"/>
  <c r="F9" i="54"/>
  <c r="F10" i="54"/>
  <c r="F11" i="54"/>
  <c r="Q8" i="54"/>
  <c r="Q9" i="54"/>
  <c r="Q10" i="54"/>
  <c r="Q11" i="54"/>
  <c r="Q12" i="54"/>
  <c r="Q13" i="54"/>
  <c r="Q14" i="54"/>
  <c r="Q15" i="54"/>
  <c r="Q16" i="54"/>
  <c r="Q17" i="54"/>
  <c r="Q18" i="54"/>
  <c r="Q19" i="54"/>
  <c r="Q20" i="54"/>
  <c r="Q21" i="54"/>
  <c r="Q22" i="54"/>
  <c r="Q23" i="54"/>
  <c r="Q24" i="54"/>
  <c r="Q25" i="54"/>
  <c r="Q26" i="54"/>
  <c r="Q27" i="54"/>
  <c r="Q28" i="54"/>
  <c r="Q29" i="54"/>
  <c r="Q30" i="54"/>
  <c r="Q31" i="54"/>
  <c r="Q32" i="54"/>
  <c r="Q33" i="54"/>
  <c r="Q34" i="54"/>
  <c r="Q35" i="54"/>
  <c r="Q36" i="54"/>
  <c r="Q37" i="54"/>
  <c r="Q38" i="54"/>
  <c r="F12" i="54"/>
  <c r="F13" i="54"/>
  <c r="F14" i="54"/>
  <c r="F15" i="54"/>
  <c r="F16" i="54"/>
  <c r="F17" i="54"/>
  <c r="F18" i="54"/>
  <c r="F19" i="54"/>
  <c r="F20" i="54"/>
  <c r="F21" i="54"/>
  <c r="F22" i="54"/>
  <c r="F23" i="54"/>
  <c r="F24" i="54"/>
  <c r="F25" i="54"/>
  <c r="F26" i="54"/>
  <c r="F27" i="54"/>
  <c r="F28" i="54"/>
  <c r="F29" i="54"/>
  <c r="F30" i="54"/>
  <c r="F31" i="54"/>
  <c r="F32" i="54"/>
  <c r="F33" i="54"/>
  <c r="F34" i="54"/>
  <c r="F35" i="54"/>
  <c r="F36" i="54"/>
  <c r="F37" i="54"/>
  <c r="F38" i="54"/>
  <c r="F41" i="54"/>
  <c r="AD33" i="5"/>
  <c r="F8" i="55"/>
  <c r="F9" i="55"/>
  <c r="F10" i="55"/>
  <c r="F11" i="55"/>
  <c r="Q8" i="55"/>
  <c r="Q9" i="55"/>
  <c r="Q10" i="55"/>
  <c r="Q11" i="55"/>
  <c r="Q12" i="55"/>
  <c r="Q13" i="55"/>
  <c r="Q14" i="55"/>
  <c r="Q15" i="55"/>
  <c r="Q16" i="55"/>
  <c r="Q17" i="55"/>
  <c r="Q18" i="55"/>
  <c r="Q19" i="55"/>
  <c r="Q20" i="55"/>
  <c r="Q21" i="55"/>
  <c r="Q22" i="55"/>
  <c r="Q23" i="55"/>
  <c r="Q24" i="55"/>
  <c r="Q25" i="55"/>
  <c r="Q26" i="55"/>
  <c r="Q27" i="55"/>
  <c r="Q28" i="55"/>
  <c r="Q29" i="55"/>
  <c r="Q30" i="55"/>
  <c r="Q31" i="55"/>
  <c r="Q32" i="55"/>
  <c r="Q33" i="55"/>
  <c r="Q34" i="55"/>
  <c r="Q35" i="55"/>
  <c r="Q36" i="55"/>
  <c r="Q37" i="55"/>
  <c r="Q38" i="55"/>
  <c r="F12" i="55"/>
  <c r="F13" i="55"/>
  <c r="F14" i="55"/>
  <c r="F15" i="55"/>
  <c r="F16" i="55"/>
  <c r="F17" i="55"/>
  <c r="F18" i="55"/>
  <c r="F19" i="55"/>
  <c r="F20" i="55"/>
  <c r="F21" i="55"/>
  <c r="F22" i="55"/>
  <c r="F23" i="55"/>
  <c r="F24" i="55"/>
  <c r="F25" i="55"/>
  <c r="F26" i="55"/>
  <c r="F27" i="55"/>
  <c r="F28" i="55"/>
  <c r="F29" i="55"/>
  <c r="F30" i="55"/>
  <c r="F31" i="55"/>
  <c r="F32" i="55"/>
  <c r="F33" i="55"/>
  <c r="F34" i="55"/>
  <c r="F35" i="55"/>
  <c r="F36" i="55"/>
  <c r="F37" i="55"/>
  <c r="F38" i="55"/>
  <c r="F41" i="55"/>
  <c r="AD34" i="5"/>
  <c r="F8" i="56"/>
  <c r="F9" i="56"/>
  <c r="F10" i="56"/>
  <c r="F11" i="56"/>
  <c r="Q8" i="56"/>
  <c r="Q9" i="56"/>
  <c r="Q10" i="56"/>
  <c r="Q11" i="56"/>
  <c r="Q12" i="56"/>
  <c r="Q13" i="56"/>
  <c r="Q14" i="56"/>
  <c r="Q15" i="56"/>
  <c r="Q16" i="56"/>
  <c r="Q17" i="56"/>
  <c r="Q18" i="56"/>
  <c r="Q19" i="56"/>
  <c r="Q20" i="56"/>
  <c r="Q21" i="56"/>
  <c r="Q22" i="56"/>
  <c r="Q23" i="56"/>
  <c r="Q24" i="56"/>
  <c r="Q25" i="56"/>
  <c r="Q26" i="56"/>
  <c r="Q27" i="56"/>
  <c r="Q28" i="56"/>
  <c r="Q29" i="56"/>
  <c r="Q30" i="56"/>
  <c r="Q31" i="56"/>
  <c r="Q32" i="56"/>
  <c r="Q33" i="56"/>
  <c r="Q34" i="56"/>
  <c r="Q35" i="56"/>
  <c r="Q36" i="56"/>
  <c r="Q37" i="56"/>
  <c r="Q38" i="56"/>
  <c r="F12" i="56"/>
  <c r="F13" i="56"/>
  <c r="F14" i="56"/>
  <c r="F15" i="56"/>
  <c r="F16" i="56"/>
  <c r="F17" i="56"/>
  <c r="F18" i="56"/>
  <c r="F19" i="56"/>
  <c r="F20" i="56"/>
  <c r="F21" i="56"/>
  <c r="F22" i="56"/>
  <c r="F23" i="56"/>
  <c r="F24" i="56"/>
  <c r="F25" i="56"/>
  <c r="F26" i="56"/>
  <c r="F27" i="56"/>
  <c r="F28" i="56"/>
  <c r="F29" i="56"/>
  <c r="F30" i="56"/>
  <c r="F31" i="56"/>
  <c r="F32" i="56"/>
  <c r="F33" i="56"/>
  <c r="F34" i="56"/>
  <c r="F35" i="56"/>
  <c r="F36" i="56"/>
  <c r="F37" i="56"/>
  <c r="F38" i="56"/>
  <c r="F41" i="56"/>
  <c r="AD35" i="5"/>
  <c r="F8" i="57"/>
  <c r="F9" i="57"/>
  <c r="F10" i="57"/>
  <c r="F11" i="57"/>
  <c r="Q8" i="57"/>
  <c r="Q9" i="57"/>
  <c r="Q10" i="57"/>
  <c r="Q11" i="57"/>
  <c r="Q12" i="57"/>
  <c r="Q13" i="57"/>
  <c r="Q14" i="57"/>
  <c r="Q15" i="57"/>
  <c r="Q16" i="57"/>
  <c r="Q17" i="57"/>
  <c r="Q18" i="57"/>
  <c r="Q19" i="57"/>
  <c r="Q20" i="57"/>
  <c r="Q21" i="57"/>
  <c r="Q22" i="57"/>
  <c r="Q23" i="57"/>
  <c r="Q24" i="57"/>
  <c r="Q25" i="57"/>
  <c r="Q26" i="57"/>
  <c r="Q27" i="57"/>
  <c r="Q28" i="57"/>
  <c r="Q29" i="57"/>
  <c r="Q30" i="57"/>
  <c r="Q31" i="57"/>
  <c r="Q32" i="57"/>
  <c r="Q33" i="57"/>
  <c r="Q34" i="57"/>
  <c r="Q35" i="57"/>
  <c r="Q36" i="57"/>
  <c r="Q37" i="57"/>
  <c r="Q38" i="57"/>
  <c r="F12" i="57"/>
  <c r="F13" i="57"/>
  <c r="F14" i="57"/>
  <c r="F15" i="57"/>
  <c r="F16" i="57"/>
  <c r="F17" i="57"/>
  <c r="F18" i="57"/>
  <c r="F19" i="57"/>
  <c r="F20" i="57"/>
  <c r="F21" i="57"/>
  <c r="F22" i="57"/>
  <c r="F23" i="57"/>
  <c r="F24" i="57"/>
  <c r="F25" i="57"/>
  <c r="F26" i="57"/>
  <c r="F27" i="57"/>
  <c r="F28" i="57"/>
  <c r="F29" i="57"/>
  <c r="F30" i="57"/>
  <c r="F31" i="57"/>
  <c r="F32" i="57"/>
  <c r="F33" i="57"/>
  <c r="F34" i="57"/>
  <c r="F35" i="57"/>
  <c r="F36" i="57"/>
  <c r="F37" i="57"/>
  <c r="F38" i="57"/>
  <c r="F41" i="57"/>
  <c r="AD36" i="5"/>
  <c r="F8" i="58"/>
  <c r="F9" i="58"/>
  <c r="F10" i="58"/>
  <c r="F11" i="58"/>
  <c r="Q8" i="58"/>
  <c r="Q9" i="58"/>
  <c r="Q10" i="58"/>
  <c r="Q11" i="58"/>
  <c r="Q12" i="58"/>
  <c r="Q13" i="58"/>
  <c r="Q14" i="58"/>
  <c r="Q15" i="58"/>
  <c r="Q16" i="58"/>
  <c r="Q17" i="58"/>
  <c r="Q18" i="58"/>
  <c r="Q19" i="58"/>
  <c r="Q20" i="58"/>
  <c r="Q21" i="58"/>
  <c r="Q22" i="58"/>
  <c r="Q23" i="58"/>
  <c r="Q24" i="58"/>
  <c r="Q25" i="58"/>
  <c r="Q26" i="58"/>
  <c r="Q27" i="58"/>
  <c r="Q28" i="58"/>
  <c r="Q29" i="58"/>
  <c r="Q30" i="58"/>
  <c r="Q31" i="58"/>
  <c r="Q32" i="58"/>
  <c r="Q33" i="58"/>
  <c r="Q34" i="58"/>
  <c r="Q35" i="58"/>
  <c r="Q36" i="58"/>
  <c r="Q37" i="58"/>
  <c r="Q38" i="58"/>
  <c r="F12" i="58"/>
  <c r="F13" i="58"/>
  <c r="F14" i="58"/>
  <c r="F15" i="58"/>
  <c r="F16" i="58"/>
  <c r="F17" i="58"/>
  <c r="F18" i="58"/>
  <c r="F19" i="58"/>
  <c r="F20" i="58"/>
  <c r="F21" i="58"/>
  <c r="F22" i="58"/>
  <c r="F23" i="58"/>
  <c r="F24" i="58"/>
  <c r="F25" i="58"/>
  <c r="F26" i="58"/>
  <c r="F27" i="58"/>
  <c r="F28" i="58"/>
  <c r="F29" i="58"/>
  <c r="F30" i="58"/>
  <c r="F31" i="58"/>
  <c r="F32" i="58"/>
  <c r="F33" i="58"/>
  <c r="F34" i="58"/>
  <c r="F35" i="58"/>
  <c r="F36" i="58"/>
  <c r="F37" i="58"/>
  <c r="F38" i="58"/>
  <c r="F41" i="58"/>
  <c r="AD37" i="5"/>
  <c r="F8" i="59"/>
  <c r="F9" i="59"/>
  <c r="F10" i="59"/>
  <c r="F11" i="59"/>
  <c r="Q8" i="59"/>
  <c r="Q9" i="59"/>
  <c r="Q10" i="59"/>
  <c r="Q11" i="59"/>
  <c r="Q12" i="59"/>
  <c r="Q13" i="59"/>
  <c r="Q14" i="59"/>
  <c r="Q15" i="59"/>
  <c r="Q16" i="59"/>
  <c r="Q17" i="59"/>
  <c r="Q18" i="59"/>
  <c r="Q19" i="59"/>
  <c r="Q20" i="59"/>
  <c r="Q21" i="59"/>
  <c r="Q22" i="59"/>
  <c r="Q23" i="59"/>
  <c r="Q24" i="59"/>
  <c r="Q25" i="59"/>
  <c r="Q26" i="59"/>
  <c r="Q27" i="59"/>
  <c r="Q28" i="59"/>
  <c r="Q29" i="59"/>
  <c r="Q30" i="59"/>
  <c r="Q31" i="59"/>
  <c r="Q32" i="59"/>
  <c r="Q33" i="59"/>
  <c r="Q34" i="59"/>
  <c r="Q35" i="59"/>
  <c r="Q36" i="59"/>
  <c r="Q37" i="59"/>
  <c r="Q38" i="59"/>
  <c r="F12" i="59"/>
  <c r="F13" i="59"/>
  <c r="F14" i="59"/>
  <c r="F15" i="59"/>
  <c r="F16" i="59"/>
  <c r="F17" i="59"/>
  <c r="F18" i="59"/>
  <c r="F19" i="59"/>
  <c r="F20" i="59"/>
  <c r="F21" i="59"/>
  <c r="F22" i="59"/>
  <c r="F23" i="59"/>
  <c r="F24" i="59"/>
  <c r="F25" i="59"/>
  <c r="F26" i="59"/>
  <c r="F27" i="59"/>
  <c r="F28" i="59"/>
  <c r="F29" i="59"/>
  <c r="F30" i="59"/>
  <c r="F31" i="59"/>
  <c r="F32" i="59"/>
  <c r="F33" i="59"/>
  <c r="F34" i="59"/>
  <c r="F35" i="59"/>
  <c r="F36" i="59"/>
  <c r="F37" i="59"/>
  <c r="F38" i="59"/>
  <c r="F41" i="59"/>
  <c r="AD38" i="5"/>
  <c r="F12" i="5"/>
  <c r="F42" i="4"/>
  <c r="AF9" i="5"/>
  <c r="F42" i="31"/>
  <c r="AF10" i="5"/>
  <c r="F42" i="32"/>
  <c r="AF11" i="5"/>
  <c r="F42" i="33"/>
  <c r="AF12" i="5"/>
  <c r="F42" i="34"/>
  <c r="AF13" i="5"/>
  <c r="F42" i="35"/>
  <c r="AF14" i="5"/>
  <c r="F42" i="36"/>
  <c r="AF15" i="5"/>
  <c r="F42" i="37"/>
  <c r="AF16" i="5"/>
  <c r="F42" i="38"/>
  <c r="AF17" i="5"/>
  <c r="F42" i="39"/>
  <c r="AF18" i="5"/>
  <c r="F42" i="40"/>
  <c r="AF19" i="5"/>
  <c r="F42" i="41"/>
  <c r="AF20" i="5"/>
  <c r="F42" i="42"/>
  <c r="AF21" i="5"/>
  <c r="F42" i="43"/>
  <c r="AF22" i="5"/>
  <c r="F42" i="44"/>
  <c r="AF23" i="5"/>
  <c r="F42" i="45"/>
  <c r="AF24" i="5"/>
  <c r="F42" i="46"/>
  <c r="AF25" i="5"/>
  <c r="F42" i="47"/>
  <c r="AF26" i="5"/>
  <c r="F42" i="48"/>
  <c r="AF27" i="5"/>
  <c r="F42" i="49"/>
  <c r="AF28" i="5"/>
  <c r="F42" i="50"/>
  <c r="AF29" i="5"/>
  <c r="F42" i="51"/>
  <c r="AF30" i="5"/>
  <c r="F42" i="52"/>
  <c r="AF31" i="5"/>
  <c r="F42" i="53"/>
  <c r="AF32" i="5"/>
  <c r="F42" i="54"/>
  <c r="AF33" i="5"/>
  <c r="F42" i="55"/>
  <c r="AF34" i="5"/>
  <c r="F42" i="56"/>
  <c r="AF35" i="5"/>
  <c r="F42" i="57"/>
  <c r="AF36" i="5"/>
  <c r="F42" i="58"/>
  <c r="AF37" i="5"/>
  <c r="F42" i="59"/>
  <c r="AF38" i="5"/>
  <c r="F14" i="5"/>
  <c r="F43" i="4"/>
  <c r="AH9" i="5"/>
  <c r="F43" i="31"/>
  <c r="AH10" i="5"/>
  <c r="F43" i="32"/>
  <c r="AH11" i="5"/>
  <c r="F43" i="33"/>
  <c r="AH12" i="5"/>
  <c r="F43" i="34"/>
  <c r="AH13" i="5"/>
  <c r="F43" i="35"/>
  <c r="AH14" i="5"/>
  <c r="F43" i="36"/>
  <c r="AH15" i="5"/>
  <c r="F43" i="37"/>
  <c r="AH16" i="5"/>
  <c r="F43" i="38"/>
  <c r="AH17" i="5"/>
  <c r="F43" i="39"/>
  <c r="AH18" i="5"/>
  <c r="F43" i="40"/>
  <c r="AH19" i="5"/>
  <c r="F43" i="41"/>
  <c r="AH20" i="5"/>
  <c r="F43" i="42"/>
  <c r="AH21" i="5"/>
  <c r="F43" i="43"/>
  <c r="AH22" i="5"/>
  <c r="F43" i="44"/>
  <c r="AH23" i="5"/>
  <c r="F43" i="45"/>
  <c r="AH24" i="5"/>
  <c r="F43" i="46"/>
  <c r="AH25" i="5"/>
  <c r="F43" i="47"/>
  <c r="AH26" i="5"/>
  <c r="F43" i="48"/>
  <c r="AH27" i="5"/>
  <c r="F43" i="49"/>
  <c r="AH28" i="5"/>
  <c r="F43" i="50"/>
  <c r="AH29" i="5"/>
  <c r="F43" i="51"/>
  <c r="AH30" i="5"/>
  <c r="F43" i="52"/>
  <c r="AH31" i="5"/>
  <c r="F43" i="53"/>
  <c r="AH32" i="5"/>
  <c r="F43" i="54"/>
  <c r="AH33" i="5"/>
  <c r="F43" i="55"/>
  <c r="AH34" i="5"/>
  <c r="F43" i="56"/>
  <c r="AH35" i="5"/>
  <c r="F43" i="57"/>
  <c r="AH36" i="5"/>
  <c r="F43" i="58"/>
  <c r="AH37" i="5"/>
  <c r="F43" i="59"/>
  <c r="AH38" i="5"/>
  <c r="F16" i="5"/>
  <c r="F44" i="4"/>
  <c r="AJ9" i="5"/>
  <c r="F44" i="31"/>
  <c r="AJ10" i="5"/>
  <c r="F44" i="32"/>
  <c r="AJ11" i="5"/>
  <c r="F44" i="33"/>
  <c r="AJ12" i="5"/>
  <c r="F44" i="34"/>
  <c r="AJ13" i="5"/>
  <c r="F44" i="35"/>
  <c r="AJ14" i="5"/>
  <c r="F44" i="36"/>
  <c r="AJ15" i="5"/>
  <c r="F44" i="37"/>
  <c r="AJ16" i="5"/>
  <c r="F44" i="38"/>
  <c r="AJ17" i="5"/>
  <c r="F44" i="39"/>
  <c r="AJ18" i="5"/>
  <c r="F44" i="40"/>
  <c r="AJ19" i="5"/>
  <c r="F44" i="41"/>
  <c r="AJ20" i="5"/>
  <c r="F44" i="42"/>
  <c r="AJ21" i="5"/>
  <c r="F44" i="43"/>
  <c r="AJ22" i="5"/>
  <c r="F44" i="44"/>
  <c r="AJ23" i="5"/>
  <c r="F44" i="45"/>
  <c r="AJ24" i="5"/>
  <c r="F44" i="46"/>
  <c r="AJ25" i="5"/>
  <c r="F44" i="47"/>
  <c r="AJ26" i="5"/>
  <c r="F44" i="48"/>
  <c r="AJ27" i="5"/>
  <c r="F44" i="49"/>
  <c r="AJ28" i="5"/>
  <c r="F44" i="50"/>
  <c r="AJ29" i="5"/>
  <c r="F44" i="51"/>
  <c r="AJ30" i="5"/>
  <c r="F44" i="52"/>
  <c r="AJ31" i="5"/>
  <c r="F44" i="53"/>
  <c r="AJ32" i="5"/>
  <c r="F44" i="54"/>
  <c r="AJ33" i="5"/>
  <c r="F44" i="55"/>
  <c r="AJ34" i="5"/>
  <c r="F44" i="56"/>
  <c r="AJ35" i="5"/>
  <c r="F44" i="57"/>
  <c r="AJ36" i="5"/>
  <c r="F44" i="58"/>
  <c r="AJ37" i="5"/>
  <c r="F44" i="59"/>
  <c r="AJ38" i="5"/>
  <c r="F18" i="5"/>
  <c r="F45" i="4"/>
  <c r="AL9" i="5"/>
  <c r="F45" i="31"/>
  <c r="AL10" i="5"/>
  <c r="F45" i="32"/>
  <c r="AL11" i="5"/>
  <c r="F45" i="33"/>
  <c r="AL12" i="5"/>
  <c r="F45" i="34"/>
  <c r="AL13" i="5"/>
  <c r="F45" i="35"/>
  <c r="AL14" i="5"/>
  <c r="F45" i="36"/>
  <c r="AL15" i="5"/>
  <c r="F45" i="37"/>
  <c r="AL16" i="5"/>
  <c r="F45" i="38"/>
  <c r="AL17" i="5"/>
  <c r="F45" i="39"/>
  <c r="AL18" i="5"/>
  <c r="F45" i="40"/>
  <c r="AL19" i="5"/>
  <c r="F45" i="41"/>
  <c r="AL20" i="5"/>
  <c r="F45" i="42"/>
  <c r="AL21" i="5"/>
  <c r="F45" i="43"/>
  <c r="AL22" i="5"/>
  <c r="F45" i="44"/>
  <c r="AL23" i="5"/>
  <c r="F45" i="45"/>
  <c r="AL24" i="5"/>
  <c r="F45" i="46"/>
  <c r="AL25" i="5"/>
  <c r="F45" i="47"/>
  <c r="AL26" i="5"/>
  <c r="F45" i="48"/>
  <c r="AL27" i="5"/>
  <c r="F45" i="49"/>
  <c r="AL28" i="5"/>
  <c r="F45" i="50"/>
  <c r="AL29" i="5"/>
  <c r="F45" i="51"/>
  <c r="AL30" i="5"/>
  <c r="F45" i="52"/>
  <c r="AL31" i="5"/>
  <c r="F45" i="53"/>
  <c r="AL32" i="5"/>
  <c r="F45" i="54"/>
  <c r="AL33" i="5"/>
  <c r="F45" i="55"/>
  <c r="AL34" i="5"/>
  <c r="F45" i="56"/>
  <c r="AL35" i="5"/>
  <c r="F45" i="57"/>
  <c r="AL36" i="5"/>
  <c r="F45" i="58"/>
  <c r="AL37" i="5"/>
  <c r="F45" i="59"/>
  <c r="AL38" i="5"/>
  <c r="F20" i="5"/>
  <c r="F46" i="4"/>
  <c r="AN9" i="5"/>
  <c r="F46" i="31"/>
  <c r="AN10" i="5"/>
  <c r="F46" i="32"/>
  <c r="AN11" i="5"/>
  <c r="F46" i="33"/>
  <c r="AN12" i="5"/>
  <c r="F46" i="34"/>
  <c r="AN13" i="5"/>
  <c r="F46" i="35"/>
  <c r="AN14" i="5"/>
  <c r="F46" i="36"/>
  <c r="AN15" i="5"/>
  <c r="F46" i="37"/>
  <c r="AN16" i="5"/>
  <c r="F46" i="38"/>
  <c r="AN17" i="5"/>
  <c r="F46" i="39"/>
  <c r="AN18" i="5"/>
  <c r="F46" i="40"/>
  <c r="AN19" i="5"/>
  <c r="F46" i="41"/>
  <c r="AN20" i="5"/>
  <c r="F46" i="42"/>
  <c r="AN21" i="5"/>
  <c r="F46" i="43"/>
  <c r="AN22" i="5"/>
  <c r="F46" i="44"/>
  <c r="AN23" i="5"/>
  <c r="F46" i="45"/>
  <c r="AN24" i="5"/>
  <c r="F46" i="46"/>
  <c r="AN25" i="5"/>
  <c r="F46" i="47"/>
  <c r="AN26" i="5"/>
  <c r="F46" i="48"/>
  <c r="AN27" i="5"/>
  <c r="F46" i="49"/>
  <c r="AN28" i="5"/>
  <c r="F46" i="50"/>
  <c r="AN29" i="5"/>
  <c r="F46" i="51"/>
  <c r="AN30" i="5"/>
  <c r="F46" i="52"/>
  <c r="AN31" i="5"/>
  <c r="F46" i="53"/>
  <c r="AN32" i="5"/>
  <c r="F46" i="54"/>
  <c r="AN33" i="5"/>
  <c r="F46" i="55"/>
  <c r="AN34" i="5"/>
  <c r="F46" i="56"/>
  <c r="AN35" i="5"/>
  <c r="F46" i="57"/>
  <c r="AN36" i="5"/>
  <c r="F46" i="58"/>
  <c r="AN37" i="5"/>
  <c r="F46" i="59"/>
  <c r="AN38" i="5"/>
  <c r="F22" i="5"/>
  <c r="F47" i="4"/>
  <c r="AP9" i="5"/>
  <c r="F47" i="31"/>
  <c r="AP10" i="5"/>
  <c r="F47" i="32"/>
  <c r="AP11" i="5"/>
  <c r="F47" i="33"/>
  <c r="AP12" i="5"/>
  <c r="F47" i="34"/>
  <c r="AP13" i="5"/>
  <c r="F47" i="35"/>
  <c r="AP14" i="5"/>
  <c r="F47" i="36"/>
  <c r="AP15" i="5"/>
  <c r="F47" i="37"/>
  <c r="AP16" i="5"/>
  <c r="F47" i="38"/>
  <c r="AP17" i="5"/>
  <c r="F47" i="39"/>
  <c r="AP18" i="5"/>
  <c r="F47" i="40"/>
  <c r="AP19" i="5"/>
  <c r="F47" i="41"/>
  <c r="AP20" i="5"/>
  <c r="F47" i="42"/>
  <c r="AP21" i="5"/>
  <c r="F47" i="43"/>
  <c r="AP22" i="5"/>
  <c r="F47" i="44"/>
  <c r="AP23" i="5"/>
  <c r="F47" i="45"/>
  <c r="AP24" i="5"/>
  <c r="F47" i="46"/>
  <c r="AP25" i="5"/>
  <c r="F47" i="47"/>
  <c r="AP26" i="5"/>
  <c r="F47" i="48"/>
  <c r="AP27" i="5"/>
  <c r="F47" i="49"/>
  <c r="AP28" i="5"/>
  <c r="F47" i="50"/>
  <c r="AP29" i="5"/>
  <c r="F47" i="51"/>
  <c r="AP30" i="5"/>
  <c r="F47" i="52"/>
  <c r="AP31" i="5"/>
  <c r="F47" i="53"/>
  <c r="AP32" i="5"/>
  <c r="F47" i="54"/>
  <c r="AP33" i="5"/>
  <c r="F47" i="55"/>
  <c r="AP34" i="5"/>
  <c r="F47" i="56"/>
  <c r="AP35" i="5"/>
  <c r="F47" i="57"/>
  <c r="AP36" i="5"/>
  <c r="F47" i="58"/>
  <c r="AP37" i="5"/>
  <c r="F47" i="59"/>
  <c r="AP38" i="5"/>
  <c r="F24" i="5"/>
  <c r="F48" i="4"/>
  <c r="AR9" i="5"/>
  <c r="F48" i="31"/>
  <c r="AR10" i="5"/>
  <c r="F48" i="32"/>
  <c r="AR11" i="5"/>
  <c r="F48" i="33"/>
  <c r="AR12" i="5"/>
  <c r="F48" i="34"/>
  <c r="AR13" i="5"/>
  <c r="F48" i="35"/>
  <c r="AR14" i="5"/>
  <c r="F48" i="36"/>
  <c r="AR15" i="5"/>
  <c r="F48" i="37"/>
  <c r="AR16" i="5"/>
  <c r="F48" i="38"/>
  <c r="AR17" i="5"/>
  <c r="F48" i="39"/>
  <c r="AR18" i="5"/>
  <c r="F48" i="40"/>
  <c r="AR19" i="5"/>
  <c r="F48" i="41"/>
  <c r="AR20" i="5"/>
  <c r="F48" i="42"/>
  <c r="AR21" i="5"/>
  <c r="F48" i="43"/>
  <c r="AR22" i="5"/>
  <c r="F48" i="44"/>
  <c r="AR23" i="5"/>
  <c r="F48" i="45"/>
  <c r="AR24" i="5"/>
  <c r="F48" i="46"/>
  <c r="AR25" i="5"/>
  <c r="F48" i="47"/>
  <c r="AR26" i="5"/>
  <c r="F48" i="48"/>
  <c r="AR27" i="5"/>
  <c r="F48" i="49"/>
  <c r="AR28" i="5"/>
  <c r="F48" i="50"/>
  <c r="AR29" i="5"/>
  <c r="F48" i="51"/>
  <c r="AR30" i="5"/>
  <c r="F48" i="52"/>
  <c r="AR31" i="5"/>
  <c r="F48" i="53"/>
  <c r="AR32" i="5"/>
  <c r="F48" i="54"/>
  <c r="AR33" i="5"/>
  <c r="F48" i="55"/>
  <c r="AR34" i="5"/>
  <c r="F48" i="56"/>
  <c r="AR35" i="5"/>
  <c r="F48" i="57"/>
  <c r="AR36" i="5"/>
  <c r="F48" i="58"/>
  <c r="AR37" i="5"/>
  <c r="F48" i="59"/>
  <c r="AR38" i="5"/>
  <c r="K12" i="5"/>
  <c r="F49" i="4"/>
  <c r="AT9" i="5"/>
  <c r="F49" i="31"/>
  <c r="AT10" i="5"/>
  <c r="F49" i="32"/>
  <c r="AT11" i="5"/>
  <c r="F49" i="33"/>
  <c r="AT12" i="5"/>
  <c r="F49" i="34"/>
  <c r="AT13" i="5"/>
  <c r="F49" i="35"/>
  <c r="AT14" i="5"/>
  <c r="F49" i="36"/>
  <c r="AT15" i="5"/>
  <c r="F49" i="37"/>
  <c r="AT16" i="5"/>
  <c r="F49" i="38"/>
  <c r="AT17" i="5"/>
  <c r="F49" i="39"/>
  <c r="AT18" i="5"/>
  <c r="F49" i="40"/>
  <c r="AT19" i="5"/>
  <c r="F49" i="41"/>
  <c r="AT20" i="5"/>
  <c r="F49" i="42"/>
  <c r="AT21" i="5"/>
  <c r="F49" i="43"/>
  <c r="AT22" i="5"/>
  <c r="F49" i="44"/>
  <c r="AT23" i="5"/>
  <c r="F49" i="45"/>
  <c r="AT24" i="5"/>
  <c r="F49" i="46"/>
  <c r="AT25" i="5"/>
  <c r="F49" i="47"/>
  <c r="AT26" i="5"/>
  <c r="F49" i="48"/>
  <c r="AT27" i="5"/>
  <c r="F49" i="49"/>
  <c r="AT28" i="5"/>
  <c r="F49" i="50"/>
  <c r="AT29" i="5"/>
  <c r="F49" i="51"/>
  <c r="AT30" i="5"/>
  <c r="F49" i="52"/>
  <c r="AT31" i="5"/>
  <c r="F49" i="53"/>
  <c r="AT32" i="5"/>
  <c r="F49" i="54"/>
  <c r="AT33" i="5"/>
  <c r="F49" i="55"/>
  <c r="AT34" i="5"/>
  <c r="F49" i="56"/>
  <c r="AT35" i="5"/>
  <c r="F49" i="57"/>
  <c r="AT36" i="5"/>
  <c r="F49" i="58"/>
  <c r="AT37" i="5"/>
  <c r="F49" i="59"/>
  <c r="AT38" i="5"/>
  <c r="K14" i="5"/>
  <c r="M41" i="4"/>
  <c r="AJ8" i="4"/>
  <c r="AK8" i="4"/>
  <c r="AJ9" i="4"/>
  <c r="AK9" i="4"/>
  <c r="AJ10" i="4"/>
  <c r="AK10" i="4"/>
  <c r="AJ11" i="4"/>
  <c r="AK11" i="4"/>
  <c r="AJ12" i="4"/>
  <c r="AK12" i="4"/>
  <c r="AJ13" i="4"/>
  <c r="AK13" i="4"/>
  <c r="AJ14" i="4"/>
  <c r="AK14" i="4"/>
  <c r="AJ15" i="4"/>
  <c r="AK15" i="4"/>
  <c r="AJ16" i="4"/>
  <c r="AK16" i="4"/>
  <c r="AJ17" i="4"/>
  <c r="AK17" i="4"/>
  <c r="AJ18" i="4"/>
  <c r="AK18" i="4"/>
  <c r="AJ19" i="4"/>
  <c r="AK19" i="4"/>
  <c r="AJ20" i="4"/>
  <c r="AK20" i="4"/>
  <c r="AJ21" i="4"/>
  <c r="AK21" i="4"/>
  <c r="AJ22" i="4"/>
  <c r="AK22" i="4"/>
  <c r="AJ23" i="4"/>
  <c r="AK23" i="4"/>
  <c r="AJ24" i="4"/>
  <c r="AK24" i="4"/>
  <c r="AJ25" i="4"/>
  <c r="AK25" i="4"/>
  <c r="AJ26" i="4"/>
  <c r="AK26" i="4"/>
  <c r="AJ27" i="4"/>
  <c r="AK27" i="4"/>
  <c r="AJ28" i="4"/>
  <c r="AK28" i="4"/>
  <c r="AJ29" i="4"/>
  <c r="AK29" i="4"/>
  <c r="AJ30" i="4"/>
  <c r="AK30" i="4"/>
  <c r="AJ31" i="4"/>
  <c r="AK31" i="4"/>
  <c r="AJ32" i="4"/>
  <c r="AK32" i="4"/>
  <c r="AJ33" i="4"/>
  <c r="AK33" i="4"/>
  <c r="AJ34" i="4"/>
  <c r="AK34" i="4"/>
  <c r="AJ35" i="4"/>
  <c r="AK35" i="4"/>
  <c r="AJ36" i="4"/>
  <c r="AK36" i="4"/>
  <c r="AJ37" i="4"/>
  <c r="AK37" i="4"/>
  <c r="AJ38" i="4"/>
  <c r="AK38" i="4"/>
  <c r="G51" i="4"/>
  <c r="F51" i="4"/>
  <c r="AV9" i="5"/>
  <c r="M41" i="31"/>
  <c r="AJ8" i="31"/>
  <c r="AK8" i="31"/>
  <c r="AJ9" i="31"/>
  <c r="AK9" i="31"/>
  <c r="AJ10" i="31"/>
  <c r="AK10" i="31"/>
  <c r="AJ11" i="31"/>
  <c r="AK11" i="31"/>
  <c r="AJ12" i="31"/>
  <c r="AK12" i="31"/>
  <c r="AJ13" i="31"/>
  <c r="AK13" i="31"/>
  <c r="AJ14" i="31"/>
  <c r="AK14" i="31"/>
  <c r="AJ15" i="31"/>
  <c r="AK15" i="31"/>
  <c r="AJ16" i="31"/>
  <c r="AK16" i="31"/>
  <c r="AJ17" i="31"/>
  <c r="AK17" i="31"/>
  <c r="AJ18" i="31"/>
  <c r="AK18" i="31"/>
  <c r="AJ19" i="31"/>
  <c r="AK19" i="31"/>
  <c r="AJ20" i="31"/>
  <c r="AK20" i="31"/>
  <c r="AJ21" i="31"/>
  <c r="AK21" i="31"/>
  <c r="AJ22" i="31"/>
  <c r="AK22" i="31"/>
  <c r="AJ23" i="31"/>
  <c r="AK23" i="31"/>
  <c r="AJ24" i="31"/>
  <c r="AK24" i="31"/>
  <c r="AJ25" i="31"/>
  <c r="AK25" i="31"/>
  <c r="AJ26" i="31"/>
  <c r="AK26" i="31"/>
  <c r="AJ27" i="31"/>
  <c r="AK27" i="31"/>
  <c r="AJ28" i="31"/>
  <c r="AK28" i="31"/>
  <c r="AJ29" i="31"/>
  <c r="AK29" i="31"/>
  <c r="AJ30" i="31"/>
  <c r="AK30" i="31"/>
  <c r="AJ31" i="31"/>
  <c r="AK31" i="31"/>
  <c r="AJ32" i="31"/>
  <c r="AK32" i="31"/>
  <c r="AJ33" i="31"/>
  <c r="AK33" i="31"/>
  <c r="AJ34" i="31"/>
  <c r="AK34" i="31"/>
  <c r="AJ35" i="31"/>
  <c r="AK35" i="31"/>
  <c r="AJ36" i="31"/>
  <c r="AK36" i="31"/>
  <c r="AJ37" i="31"/>
  <c r="AK37" i="31"/>
  <c r="AJ38" i="31"/>
  <c r="AK38" i="31"/>
  <c r="G51" i="31"/>
  <c r="F51" i="31"/>
  <c r="AV10" i="5"/>
  <c r="M41" i="32"/>
  <c r="AJ8" i="32"/>
  <c r="AK8" i="32"/>
  <c r="AJ9" i="32"/>
  <c r="AK9" i="32"/>
  <c r="AJ10" i="32"/>
  <c r="AK10" i="32"/>
  <c r="AJ11" i="32"/>
  <c r="AK11" i="32"/>
  <c r="AJ12" i="32"/>
  <c r="AK12" i="32"/>
  <c r="AJ13" i="32"/>
  <c r="AK13" i="32"/>
  <c r="AJ14" i="32"/>
  <c r="AK14" i="32"/>
  <c r="AJ15" i="32"/>
  <c r="AK15" i="32"/>
  <c r="AJ16" i="32"/>
  <c r="AK16" i="32"/>
  <c r="AJ17" i="32"/>
  <c r="AK17" i="32"/>
  <c r="AJ18" i="32"/>
  <c r="AK18" i="32"/>
  <c r="AJ19" i="32"/>
  <c r="AK19" i="32"/>
  <c r="AJ20" i="32"/>
  <c r="AK20" i="32"/>
  <c r="AJ21" i="32"/>
  <c r="AK21" i="32"/>
  <c r="AJ22" i="32"/>
  <c r="AK22" i="32"/>
  <c r="AJ23" i="32"/>
  <c r="AK23" i="32"/>
  <c r="AJ24" i="32"/>
  <c r="AK24" i="32"/>
  <c r="AJ25" i="32"/>
  <c r="AK25" i="32"/>
  <c r="AJ26" i="32"/>
  <c r="AK26" i="32"/>
  <c r="AJ27" i="32"/>
  <c r="AK27" i="32"/>
  <c r="AJ28" i="32"/>
  <c r="AK28" i="32"/>
  <c r="AJ29" i="32"/>
  <c r="AK29" i="32"/>
  <c r="AJ30" i="32"/>
  <c r="AK30" i="32"/>
  <c r="AJ31" i="32"/>
  <c r="AK31" i="32"/>
  <c r="AJ32" i="32"/>
  <c r="AK32" i="32"/>
  <c r="AJ33" i="32"/>
  <c r="AK33" i="32"/>
  <c r="AJ34" i="32"/>
  <c r="AK34" i="32"/>
  <c r="AJ35" i="32"/>
  <c r="AK35" i="32"/>
  <c r="AJ36" i="32"/>
  <c r="AK36" i="32"/>
  <c r="AJ37" i="32"/>
  <c r="AK37" i="32"/>
  <c r="AJ38" i="32"/>
  <c r="AK38" i="32"/>
  <c r="G51" i="32"/>
  <c r="F51" i="32"/>
  <c r="AV11" i="5"/>
  <c r="M41" i="33"/>
  <c r="AJ8" i="33"/>
  <c r="AK8" i="33"/>
  <c r="AJ9" i="33"/>
  <c r="AK9" i="33"/>
  <c r="AJ10" i="33"/>
  <c r="AK10" i="33"/>
  <c r="AJ11" i="33"/>
  <c r="AK11" i="33"/>
  <c r="AJ12" i="33"/>
  <c r="AK12" i="33"/>
  <c r="AJ13" i="33"/>
  <c r="AK13" i="33"/>
  <c r="AJ14" i="33"/>
  <c r="AK14" i="33"/>
  <c r="AJ15" i="33"/>
  <c r="AK15" i="33"/>
  <c r="AJ16" i="33"/>
  <c r="AK16" i="33"/>
  <c r="AJ17" i="33"/>
  <c r="AK17" i="33"/>
  <c r="AJ18" i="33"/>
  <c r="AK18" i="33"/>
  <c r="AJ19" i="33"/>
  <c r="AK19" i="33"/>
  <c r="AJ20" i="33"/>
  <c r="AK20" i="33"/>
  <c r="AJ21" i="33"/>
  <c r="AK21" i="33"/>
  <c r="AJ22" i="33"/>
  <c r="AK22" i="33"/>
  <c r="AJ23" i="33"/>
  <c r="AK23" i="33"/>
  <c r="AJ24" i="33"/>
  <c r="AK24" i="33"/>
  <c r="AJ25" i="33"/>
  <c r="AK25" i="33"/>
  <c r="AJ26" i="33"/>
  <c r="AK26" i="33"/>
  <c r="AJ27" i="33"/>
  <c r="AK27" i="33"/>
  <c r="AJ28" i="33"/>
  <c r="AK28" i="33"/>
  <c r="AJ29" i="33"/>
  <c r="AK29" i="33"/>
  <c r="AJ30" i="33"/>
  <c r="AK30" i="33"/>
  <c r="AJ31" i="33"/>
  <c r="AK31" i="33"/>
  <c r="AJ32" i="33"/>
  <c r="AK32" i="33"/>
  <c r="AJ33" i="33"/>
  <c r="AK33" i="33"/>
  <c r="AJ34" i="33"/>
  <c r="AK34" i="33"/>
  <c r="AJ35" i="33"/>
  <c r="AK35" i="33"/>
  <c r="AJ36" i="33"/>
  <c r="AK36" i="33"/>
  <c r="AJ37" i="33"/>
  <c r="AK37" i="33"/>
  <c r="AJ38" i="33"/>
  <c r="AK38" i="33"/>
  <c r="G51" i="33"/>
  <c r="F51" i="33"/>
  <c r="AV12" i="5"/>
  <c r="M41" i="34"/>
  <c r="AJ8" i="34"/>
  <c r="AK8" i="34"/>
  <c r="AJ9" i="34"/>
  <c r="AK9" i="34"/>
  <c r="AJ10" i="34"/>
  <c r="AK10" i="34"/>
  <c r="AJ11" i="34"/>
  <c r="AK11" i="34"/>
  <c r="AJ12" i="34"/>
  <c r="AK12" i="34"/>
  <c r="AJ13" i="34"/>
  <c r="AK13" i="34"/>
  <c r="AJ14" i="34"/>
  <c r="AK14" i="34"/>
  <c r="AJ15" i="34"/>
  <c r="AK15" i="34"/>
  <c r="AJ16" i="34"/>
  <c r="AK16" i="34"/>
  <c r="AJ17" i="34"/>
  <c r="AK17" i="34"/>
  <c r="AJ18" i="34"/>
  <c r="AK18" i="34"/>
  <c r="AJ19" i="34"/>
  <c r="AK19" i="34"/>
  <c r="AJ20" i="34"/>
  <c r="AK20" i="34"/>
  <c r="AJ21" i="34"/>
  <c r="AK21" i="34"/>
  <c r="AJ22" i="34"/>
  <c r="AK22" i="34"/>
  <c r="AJ23" i="34"/>
  <c r="AK23" i="34"/>
  <c r="AJ24" i="34"/>
  <c r="AK24" i="34"/>
  <c r="AJ25" i="34"/>
  <c r="AK25" i="34"/>
  <c r="AJ26" i="34"/>
  <c r="AK26" i="34"/>
  <c r="AJ27" i="34"/>
  <c r="AK27" i="34"/>
  <c r="AJ28" i="34"/>
  <c r="AK28" i="34"/>
  <c r="AJ29" i="34"/>
  <c r="AK29" i="34"/>
  <c r="AJ30" i="34"/>
  <c r="AK30" i="34"/>
  <c r="AJ31" i="34"/>
  <c r="AK31" i="34"/>
  <c r="AJ32" i="34"/>
  <c r="AK32" i="34"/>
  <c r="AJ33" i="34"/>
  <c r="AK33" i="34"/>
  <c r="AJ34" i="34"/>
  <c r="AK34" i="34"/>
  <c r="AJ35" i="34"/>
  <c r="AK35" i="34"/>
  <c r="AJ36" i="34"/>
  <c r="AK36" i="34"/>
  <c r="AJ37" i="34"/>
  <c r="AK37" i="34"/>
  <c r="AJ38" i="34"/>
  <c r="AK38" i="34"/>
  <c r="G51" i="34"/>
  <c r="F51" i="34"/>
  <c r="AV13" i="5"/>
  <c r="M41" i="35"/>
  <c r="AJ8" i="35"/>
  <c r="AK8" i="35"/>
  <c r="AJ9" i="35"/>
  <c r="AK9" i="35"/>
  <c r="AJ10" i="35"/>
  <c r="AK10" i="35"/>
  <c r="AJ11" i="35"/>
  <c r="AK11" i="35"/>
  <c r="AJ12" i="35"/>
  <c r="AK12" i="35"/>
  <c r="AJ13" i="35"/>
  <c r="AK13" i="35"/>
  <c r="AJ14" i="35"/>
  <c r="AK14" i="35"/>
  <c r="AJ15" i="35"/>
  <c r="AK15" i="35"/>
  <c r="AJ16" i="35"/>
  <c r="AK16" i="35"/>
  <c r="AJ17" i="35"/>
  <c r="AK17" i="35"/>
  <c r="AJ18" i="35"/>
  <c r="AK18" i="35"/>
  <c r="AJ19" i="35"/>
  <c r="AK19" i="35"/>
  <c r="AJ20" i="35"/>
  <c r="AK20" i="35"/>
  <c r="AJ21" i="35"/>
  <c r="AK21" i="35"/>
  <c r="AJ22" i="35"/>
  <c r="AK22" i="35"/>
  <c r="AJ23" i="35"/>
  <c r="AK23" i="35"/>
  <c r="AJ24" i="35"/>
  <c r="AK24" i="35"/>
  <c r="AJ25" i="35"/>
  <c r="AK25" i="35"/>
  <c r="AJ26" i="35"/>
  <c r="AK26" i="35"/>
  <c r="AJ27" i="35"/>
  <c r="AK27" i="35"/>
  <c r="AJ28" i="35"/>
  <c r="AK28" i="35"/>
  <c r="AJ29" i="35"/>
  <c r="AK29" i="35"/>
  <c r="AJ30" i="35"/>
  <c r="AK30" i="35"/>
  <c r="AJ31" i="35"/>
  <c r="AK31" i="35"/>
  <c r="AJ32" i="35"/>
  <c r="AK32" i="35"/>
  <c r="AJ33" i="35"/>
  <c r="AK33" i="35"/>
  <c r="AJ34" i="35"/>
  <c r="AK34" i="35"/>
  <c r="AJ35" i="35"/>
  <c r="AK35" i="35"/>
  <c r="AJ36" i="35"/>
  <c r="AK36" i="35"/>
  <c r="AJ37" i="35"/>
  <c r="AK37" i="35"/>
  <c r="AJ38" i="35"/>
  <c r="AK38" i="35"/>
  <c r="G51" i="35"/>
  <c r="F51" i="35"/>
  <c r="AV14" i="5"/>
  <c r="M41" i="36"/>
  <c r="AJ8" i="36"/>
  <c r="AK8" i="36"/>
  <c r="AJ9" i="36"/>
  <c r="AK9" i="36"/>
  <c r="AJ10" i="36"/>
  <c r="AK10" i="36"/>
  <c r="AJ11" i="36"/>
  <c r="AK11" i="36"/>
  <c r="AJ12" i="36"/>
  <c r="AK12" i="36"/>
  <c r="AJ13" i="36"/>
  <c r="AK13" i="36"/>
  <c r="AJ14" i="36"/>
  <c r="AK14" i="36"/>
  <c r="AJ15" i="36"/>
  <c r="AK15" i="36"/>
  <c r="AJ16" i="36"/>
  <c r="AK16" i="36"/>
  <c r="AJ17" i="36"/>
  <c r="AK17" i="36"/>
  <c r="AJ18" i="36"/>
  <c r="AK18" i="36"/>
  <c r="AJ19" i="36"/>
  <c r="AK19" i="36"/>
  <c r="AJ20" i="36"/>
  <c r="AK20" i="36"/>
  <c r="AJ21" i="36"/>
  <c r="AK21" i="36"/>
  <c r="AJ22" i="36"/>
  <c r="AK22" i="36"/>
  <c r="AJ23" i="36"/>
  <c r="AK23" i="36"/>
  <c r="AJ24" i="36"/>
  <c r="AK24" i="36"/>
  <c r="AJ25" i="36"/>
  <c r="AK25" i="36"/>
  <c r="AJ26" i="36"/>
  <c r="AK26" i="36"/>
  <c r="AJ27" i="36"/>
  <c r="AK27" i="36"/>
  <c r="AJ28" i="36"/>
  <c r="AK28" i="36"/>
  <c r="AJ29" i="36"/>
  <c r="AK29" i="36"/>
  <c r="AJ30" i="36"/>
  <c r="AK30" i="36"/>
  <c r="AJ31" i="36"/>
  <c r="AK31" i="36"/>
  <c r="AJ32" i="36"/>
  <c r="AK32" i="36"/>
  <c r="AJ33" i="36"/>
  <c r="AK33" i="36"/>
  <c r="AJ34" i="36"/>
  <c r="AK34" i="36"/>
  <c r="AJ35" i="36"/>
  <c r="AK35" i="36"/>
  <c r="AJ36" i="36"/>
  <c r="AK36" i="36"/>
  <c r="AJ37" i="36"/>
  <c r="AK37" i="36"/>
  <c r="AJ38" i="36"/>
  <c r="AK38" i="36"/>
  <c r="G51" i="36"/>
  <c r="F51" i="36"/>
  <c r="AV15" i="5"/>
  <c r="M41" i="37"/>
  <c r="AJ8" i="37"/>
  <c r="AK8" i="37"/>
  <c r="AJ9" i="37"/>
  <c r="AK9" i="37"/>
  <c r="AJ10" i="37"/>
  <c r="AK10" i="37"/>
  <c r="AJ11" i="37"/>
  <c r="AK11" i="37"/>
  <c r="AJ12" i="37"/>
  <c r="AK12" i="37"/>
  <c r="AJ13" i="37"/>
  <c r="AK13" i="37"/>
  <c r="AJ14" i="37"/>
  <c r="AK14" i="37"/>
  <c r="AJ15" i="37"/>
  <c r="AK15" i="37"/>
  <c r="AJ16" i="37"/>
  <c r="AK16" i="37"/>
  <c r="AJ17" i="37"/>
  <c r="AK17" i="37"/>
  <c r="AJ18" i="37"/>
  <c r="AK18" i="37"/>
  <c r="AJ19" i="37"/>
  <c r="AK19" i="37"/>
  <c r="AJ20" i="37"/>
  <c r="AK20" i="37"/>
  <c r="AJ21" i="37"/>
  <c r="AK21" i="37"/>
  <c r="AJ22" i="37"/>
  <c r="AK22" i="37"/>
  <c r="AJ23" i="37"/>
  <c r="AK23" i="37"/>
  <c r="AJ24" i="37"/>
  <c r="AK24" i="37"/>
  <c r="AJ25" i="37"/>
  <c r="AK25" i="37"/>
  <c r="AJ26" i="37"/>
  <c r="AK26" i="37"/>
  <c r="AJ27" i="37"/>
  <c r="AK27" i="37"/>
  <c r="AJ28" i="37"/>
  <c r="AK28" i="37"/>
  <c r="AJ29" i="37"/>
  <c r="AK29" i="37"/>
  <c r="AJ30" i="37"/>
  <c r="AK30" i="37"/>
  <c r="AJ31" i="37"/>
  <c r="AK31" i="37"/>
  <c r="AJ32" i="37"/>
  <c r="AK32" i="37"/>
  <c r="AJ33" i="37"/>
  <c r="AK33" i="37"/>
  <c r="AJ34" i="37"/>
  <c r="AK34" i="37"/>
  <c r="AJ35" i="37"/>
  <c r="AK35" i="37"/>
  <c r="AJ36" i="37"/>
  <c r="AK36" i="37"/>
  <c r="AJ37" i="37"/>
  <c r="AK37" i="37"/>
  <c r="AJ38" i="37"/>
  <c r="AK38" i="37"/>
  <c r="G51" i="37"/>
  <c r="F51" i="37"/>
  <c r="AV16" i="5"/>
  <c r="M41" i="38"/>
  <c r="AJ8" i="38"/>
  <c r="AK8" i="38"/>
  <c r="AJ9" i="38"/>
  <c r="AK9" i="38"/>
  <c r="AJ10" i="38"/>
  <c r="AK10" i="38"/>
  <c r="AJ11" i="38"/>
  <c r="AK11" i="38"/>
  <c r="AJ12" i="38"/>
  <c r="AK12" i="38"/>
  <c r="AJ13" i="38"/>
  <c r="AK13" i="38"/>
  <c r="AJ14" i="38"/>
  <c r="AK14" i="38"/>
  <c r="AJ15" i="38"/>
  <c r="AK15" i="38"/>
  <c r="AJ16" i="38"/>
  <c r="AK16" i="38"/>
  <c r="AJ17" i="38"/>
  <c r="AK17" i="38"/>
  <c r="AJ18" i="38"/>
  <c r="AK18" i="38"/>
  <c r="AJ19" i="38"/>
  <c r="AK19" i="38"/>
  <c r="AJ20" i="38"/>
  <c r="AK20" i="38"/>
  <c r="AJ21" i="38"/>
  <c r="AK21" i="38"/>
  <c r="AJ22" i="38"/>
  <c r="AK22" i="38"/>
  <c r="AJ23" i="38"/>
  <c r="AK23" i="38"/>
  <c r="AJ24" i="38"/>
  <c r="AK24" i="38"/>
  <c r="AJ25" i="38"/>
  <c r="AK25" i="38"/>
  <c r="AJ26" i="38"/>
  <c r="AK26" i="38"/>
  <c r="AJ27" i="38"/>
  <c r="AK27" i="38"/>
  <c r="AJ28" i="38"/>
  <c r="AK28" i="38"/>
  <c r="AJ29" i="38"/>
  <c r="AK29" i="38"/>
  <c r="AJ30" i="38"/>
  <c r="AK30" i="38"/>
  <c r="AJ31" i="38"/>
  <c r="AK31" i="38"/>
  <c r="AJ32" i="38"/>
  <c r="AK32" i="38"/>
  <c r="AJ33" i="38"/>
  <c r="AK33" i="38"/>
  <c r="AJ34" i="38"/>
  <c r="AK34" i="38"/>
  <c r="AJ35" i="38"/>
  <c r="AK35" i="38"/>
  <c r="AJ36" i="38"/>
  <c r="AK36" i="38"/>
  <c r="AJ37" i="38"/>
  <c r="AK37" i="38"/>
  <c r="AJ38" i="38"/>
  <c r="AK38" i="38"/>
  <c r="G51" i="38"/>
  <c r="F51" i="38"/>
  <c r="AV17" i="5"/>
  <c r="M41" i="39"/>
  <c r="AJ8" i="39"/>
  <c r="AK8" i="39"/>
  <c r="AJ9" i="39"/>
  <c r="AK9" i="39"/>
  <c r="AJ10" i="39"/>
  <c r="AK10" i="39"/>
  <c r="AJ11" i="39"/>
  <c r="AK11" i="39"/>
  <c r="AJ12" i="39"/>
  <c r="AK12" i="39"/>
  <c r="AJ13" i="39"/>
  <c r="AK13" i="39"/>
  <c r="AJ14" i="39"/>
  <c r="AK14" i="39"/>
  <c r="AJ15" i="39"/>
  <c r="AK15" i="39"/>
  <c r="AJ16" i="39"/>
  <c r="AK16" i="39"/>
  <c r="AJ17" i="39"/>
  <c r="AK17" i="39"/>
  <c r="AJ18" i="39"/>
  <c r="AK18" i="39"/>
  <c r="AJ19" i="39"/>
  <c r="AK19" i="39"/>
  <c r="AJ20" i="39"/>
  <c r="AK20" i="39"/>
  <c r="AJ21" i="39"/>
  <c r="AK21" i="39"/>
  <c r="AJ22" i="39"/>
  <c r="AK22" i="39"/>
  <c r="AJ23" i="39"/>
  <c r="AK23" i="39"/>
  <c r="AJ24" i="39"/>
  <c r="AK24" i="39"/>
  <c r="AJ25" i="39"/>
  <c r="AK25" i="39"/>
  <c r="AJ26" i="39"/>
  <c r="AK26" i="39"/>
  <c r="AJ27" i="39"/>
  <c r="AK27" i="39"/>
  <c r="AJ28" i="39"/>
  <c r="AK28" i="39"/>
  <c r="AJ29" i="39"/>
  <c r="AK29" i="39"/>
  <c r="AJ30" i="39"/>
  <c r="AK30" i="39"/>
  <c r="AJ31" i="39"/>
  <c r="AK31" i="39"/>
  <c r="AJ32" i="39"/>
  <c r="AK32" i="39"/>
  <c r="AJ33" i="39"/>
  <c r="AK33" i="39"/>
  <c r="AJ34" i="39"/>
  <c r="AK34" i="39"/>
  <c r="AJ35" i="39"/>
  <c r="AK35" i="39"/>
  <c r="AJ36" i="39"/>
  <c r="AK36" i="39"/>
  <c r="AJ37" i="39"/>
  <c r="AK37" i="39"/>
  <c r="AJ38" i="39"/>
  <c r="AK38" i="39"/>
  <c r="G51" i="39"/>
  <c r="F51" i="39"/>
  <c r="AV18" i="5"/>
  <c r="M41" i="40"/>
  <c r="AJ8" i="40"/>
  <c r="AK8" i="40"/>
  <c r="AJ9" i="40"/>
  <c r="AK9" i="40"/>
  <c r="AJ10" i="40"/>
  <c r="AK10" i="40"/>
  <c r="AJ11" i="40"/>
  <c r="AK11" i="40"/>
  <c r="AJ12" i="40"/>
  <c r="AK12" i="40"/>
  <c r="AJ13" i="40"/>
  <c r="AK13" i="40"/>
  <c r="AJ14" i="40"/>
  <c r="AK14" i="40"/>
  <c r="AJ15" i="40"/>
  <c r="AK15" i="40"/>
  <c r="AJ16" i="40"/>
  <c r="AK16" i="40"/>
  <c r="AJ17" i="40"/>
  <c r="AK17" i="40"/>
  <c r="AJ18" i="40"/>
  <c r="AK18" i="40"/>
  <c r="AJ19" i="40"/>
  <c r="AK19" i="40"/>
  <c r="AJ20" i="40"/>
  <c r="AK20" i="40"/>
  <c r="AJ21" i="40"/>
  <c r="AK21" i="40"/>
  <c r="AJ22" i="40"/>
  <c r="AK22" i="40"/>
  <c r="AJ23" i="40"/>
  <c r="AK23" i="40"/>
  <c r="AJ24" i="40"/>
  <c r="AK24" i="40"/>
  <c r="AJ25" i="40"/>
  <c r="AK25" i="40"/>
  <c r="AJ26" i="40"/>
  <c r="AK26" i="40"/>
  <c r="AJ27" i="40"/>
  <c r="AK27" i="40"/>
  <c r="AJ28" i="40"/>
  <c r="AK28" i="40"/>
  <c r="AJ29" i="40"/>
  <c r="AK29" i="40"/>
  <c r="AJ30" i="40"/>
  <c r="AK30" i="40"/>
  <c r="AJ31" i="40"/>
  <c r="AK31" i="40"/>
  <c r="AJ32" i="40"/>
  <c r="AK32" i="40"/>
  <c r="AJ33" i="40"/>
  <c r="AK33" i="40"/>
  <c r="AJ34" i="40"/>
  <c r="AK34" i="40"/>
  <c r="AJ35" i="40"/>
  <c r="AK35" i="40"/>
  <c r="AJ36" i="40"/>
  <c r="AK36" i="40"/>
  <c r="AJ37" i="40"/>
  <c r="AK37" i="40"/>
  <c r="AJ38" i="40"/>
  <c r="AK38" i="40"/>
  <c r="G51" i="40"/>
  <c r="F51" i="40"/>
  <c r="AV19" i="5"/>
  <c r="M41" i="41"/>
  <c r="AJ8" i="41"/>
  <c r="AK8" i="41"/>
  <c r="AJ9" i="41"/>
  <c r="AK9" i="41"/>
  <c r="AJ10" i="41"/>
  <c r="AK10" i="41"/>
  <c r="AJ11" i="41"/>
  <c r="AK11" i="41"/>
  <c r="AJ12" i="41"/>
  <c r="AK12" i="41"/>
  <c r="AJ13" i="41"/>
  <c r="AK13" i="41"/>
  <c r="AJ14" i="41"/>
  <c r="AK14" i="41"/>
  <c r="AJ15" i="41"/>
  <c r="AK15" i="41"/>
  <c r="AJ16" i="41"/>
  <c r="AK16" i="41"/>
  <c r="AJ17" i="41"/>
  <c r="AK17" i="41"/>
  <c r="AJ18" i="41"/>
  <c r="AK18" i="41"/>
  <c r="AJ19" i="41"/>
  <c r="AK19" i="41"/>
  <c r="AJ20" i="41"/>
  <c r="AK20" i="41"/>
  <c r="AJ21" i="41"/>
  <c r="AK21" i="41"/>
  <c r="AJ22" i="41"/>
  <c r="AK22" i="41"/>
  <c r="AJ23" i="41"/>
  <c r="AK23" i="41"/>
  <c r="AJ24" i="41"/>
  <c r="AK24" i="41"/>
  <c r="AJ25" i="41"/>
  <c r="AK25" i="41"/>
  <c r="AJ26" i="41"/>
  <c r="AK26" i="41"/>
  <c r="AJ27" i="41"/>
  <c r="AK27" i="41"/>
  <c r="AJ28" i="41"/>
  <c r="AK28" i="41"/>
  <c r="AJ29" i="41"/>
  <c r="AK29" i="41"/>
  <c r="AJ30" i="41"/>
  <c r="AK30" i="41"/>
  <c r="AJ31" i="41"/>
  <c r="AK31" i="41"/>
  <c r="AJ32" i="41"/>
  <c r="AK32" i="41"/>
  <c r="AJ33" i="41"/>
  <c r="AK33" i="41"/>
  <c r="AJ34" i="41"/>
  <c r="AK34" i="41"/>
  <c r="AJ35" i="41"/>
  <c r="AK35" i="41"/>
  <c r="AJ36" i="41"/>
  <c r="AK36" i="41"/>
  <c r="AJ37" i="41"/>
  <c r="AK37" i="41"/>
  <c r="AJ38" i="41"/>
  <c r="AK38" i="41"/>
  <c r="G51" i="41"/>
  <c r="F51" i="41"/>
  <c r="AV20" i="5"/>
  <c r="M41" i="42"/>
  <c r="AJ8" i="42"/>
  <c r="AK8" i="42"/>
  <c r="AJ9" i="42"/>
  <c r="AK9" i="42"/>
  <c r="AJ10" i="42"/>
  <c r="AK10" i="42"/>
  <c r="AJ11" i="42"/>
  <c r="AK11" i="42"/>
  <c r="AJ12" i="42"/>
  <c r="AK12" i="42"/>
  <c r="AJ13" i="42"/>
  <c r="AK13" i="42"/>
  <c r="AJ14" i="42"/>
  <c r="AK14" i="42"/>
  <c r="AJ15" i="42"/>
  <c r="AK15" i="42"/>
  <c r="AJ16" i="42"/>
  <c r="AK16" i="42"/>
  <c r="AJ17" i="42"/>
  <c r="AK17" i="42"/>
  <c r="AJ18" i="42"/>
  <c r="AK18" i="42"/>
  <c r="AJ19" i="42"/>
  <c r="AK19" i="42"/>
  <c r="AJ20" i="42"/>
  <c r="AK20" i="42"/>
  <c r="AJ21" i="42"/>
  <c r="AK21" i="42"/>
  <c r="AJ22" i="42"/>
  <c r="AK22" i="42"/>
  <c r="AJ23" i="42"/>
  <c r="AK23" i="42"/>
  <c r="AJ24" i="42"/>
  <c r="AK24" i="42"/>
  <c r="AJ25" i="42"/>
  <c r="AK25" i="42"/>
  <c r="AJ26" i="42"/>
  <c r="AK26" i="42"/>
  <c r="AJ27" i="42"/>
  <c r="AK27" i="42"/>
  <c r="AJ28" i="42"/>
  <c r="AK28" i="42"/>
  <c r="AJ29" i="42"/>
  <c r="AK29" i="42"/>
  <c r="AJ30" i="42"/>
  <c r="AK30" i="42"/>
  <c r="AJ31" i="42"/>
  <c r="AK31" i="42"/>
  <c r="AJ32" i="42"/>
  <c r="AK32" i="42"/>
  <c r="AJ33" i="42"/>
  <c r="AK33" i="42"/>
  <c r="AJ34" i="42"/>
  <c r="AK34" i="42"/>
  <c r="AJ35" i="42"/>
  <c r="AK35" i="42"/>
  <c r="AJ36" i="42"/>
  <c r="AK36" i="42"/>
  <c r="AJ37" i="42"/>
  <c r="AK37" i="42"/>
  <c r="AJ38" i="42"/>
  <c r="AK38" i="42"/>
  <c r="G51" i="42"/>
  <c r="F51" i="42"/>
  <c r="AV21" i="5"/>
  <c r="M41" i="43"/>
  <c r="AJ8" i="43"/>
  <c r="AK8" i="43"/>
  <c r="AJ9" i="43"/>
  <c r="AK9" i="43"/>
  <c r="AJ10" i="43"/>
  <c r="AK10" i="43"/>
  <c r="AJ11" i="43"/>
  <c r="AK11" i="43"/>
  <c r="AJ12" i="43"/>
  <c r="AK12" i="43"/>
  <c r="AJ13" i="43"/>
  <c r="AK13" i="43"/>
  <c r="AJ14" i="43"/>
  <c r="AK14" i="43"/>
  <c r="AJ15" i="43"/>
  <c r="AK15" i="43"/>
  <c r="AJ16" i="43"/>
  <c r="AK16" i="43"/>
  <c r="AJ17" i="43"/>
  <c r="AK17" i="43"/>
  <c r="AJ18" i="43"/>
  <c r="AK18" i="43"/>
  <c r="AJ19" i="43"/>
  <c r="AK19" i="43"/>
  <c r="AJ20" i="43"/>
  <c r="AK20" i="43"/>
  <c r="AJ21" i="43"/>
  <c r="AK21" i="43"/>
  <c r="AJ22" i="43"/>
  <c r="AK22" i="43"/>
  <c r="AJ23" i="43"/>
  <c r="AK23" i="43"/>
  <c r="AJ24" i="43"/>
  <c r="AK24" i="43"/>
  <c r="AJ25" i="43"/>
  <c r="AK25" i="43"/>
  <c r="AJ26" i="43"/>
  <c r="AK26" i="43"/>
  <c r="AJ27" i="43"/>
  <c r="AK27" i="43"/>
  <c r="AJ28" i="43"/>
  <c r="AK28" i="43"/>
  <c r="AJ29" i="43"/>
  <c r="AK29" i="43"/>
  <c r="AJ30" i="43"/>
  <c r="AK30" i="43"/>
  <c r="AJ31" i="43"/>
  <c r="AK31" i="43"/>
  <c r="AJ32" i="43"/>
  <c r="AK32" i="43"/>
  <c r="AJ33" i="43"/>
  <c r="AK33" i="43"/>
  <c r="AJ34" i="43"/>
  <c r="AK34" i="43"/>
  <c r="AJ35" i="43"/>
  <c r="AK35" i="43"/>
  <c r="AJ36" i="43"/>
  <c r="AK36" i="43"/>
  <c r="AJ37" i="43"/>
  <c r="AK37" i="43"/>
  <c r="AJ38" i="43"/>
  <c r="AK38" i="43"/>
  <c r="G51" i="43"/>
  <c r="F51" i="43"/>
  <c r="AV22" i="5"/>
  <c r="M41" i="44"/>
  <c r="AJ8" i="44"/>
  <c r="AK8" i="44"/>
  <c r="AJ9" i="44"/>
  <c r="AK9" i="44"/>
  <c r="AJ10" i="44"/>
  <c r="AK10" i="44"/>
  <c r="AJ11" i="44"/>
  <c r="AK11" i="44"/>
  <c r="AJ12" i="44"/>
  <c r="AK12" i="44"/>
  <c r="AJ13" i="44"/>
  <c r="AK13" i="44"/>
  <c r="AJ14" i="44"/>
  <c r="AK14" i="44"/>
  <c r="AJ15" i="44"/>
  <c r="AK15" i="44"/>
  <c r="AJ16" i="44"/>
  <c r="AK16" i="44"/>
  <c r="AJ17" i="44"/>
  <c r="AK17" i="44"/>
  <c r="AJ18" i="44"/>
  <c r="AK18" i="44"/>
  <c r="AJ19" i="44"/>
  <c r="AK19" i="44"/>
  <c r="AJ20" i="44"/>
  <c r="AK20" i="44"/>
  <c r="AJ21" i="44"/>
  <c r="AK21" i="44"/>
  <c r="AJ22" i="44"/>
  <c r="AK22" i="44"/>
  <c r="AJ23" i="44"/>
  <c r="AK23" i="44"/>
  <c r="AJ24" i="44"/>
  <c r="AK24" i="44"/>
  <c r="AJ25" i="44"/>
  <c r="AK25" i="44"/>
  <c r="AJ26" i="44"/>
  <c r="AK26" i="44"/>
  <c r="AJ27" i="44"/>
  <c r="AK27" i="44"/>
  <c r="AJ28" i="44"/>
  <c r="AK28" i="44"/>
  <c r="AJ29" i="44"/>
  <c r="AK29" i="44"/>
  <c r="AJ30" i="44"/>
  <c r="AK30" i="44"/>
  <c r="AJ31" i="44"/>
  <c r="AK31" i="44"/>
  <c r="AJ32" i="44"/>
  <c r="AK32" i="44"/>
  <c r="AJ33" i="44"/>
  <c r="AK33" i="44"/>
  <c r="AJ34" i="44"/>
  <c r="AK34" i="44"/>
  <c r="AJ35" i="44"/>
  <c r="AK35" i="44"/>
  <c r="AJ36" i="44"/>
  <c r="AK36" i="44"/>
  <c r="AJ37" i="44"/>
  <c r="AK37" i="44"/>
  <c r="AJ38" i="44"/>
  <c r="AK38" i="44"/>
  <c r="G51" i="44"/>
  <c r="F51" i="44"/>
  <c r="AV23" i="5"/>
  <c r="M41" i="45"/>
  <c r="AJ8" i="45"/>
  <c r="AK8" i="45"/>
  <c r="AJ9" i="45"/>
  <c r="AK9" i="45"/>
  <c r="AJ10" i="45"/>
  <c r="AK10" i="45"/>
  <c r="AJ11" i="45"/>
  <c r="AK11" i="45"/>
  <c r="AJ12" i="45"/>
  <c r="AK12" i="45"/>
  <c r="AJ13" i="45"/>
  <c r="AK13" i="45"/>
  <c r="AJ14" i="45"/>
  <c r="AK14" i="45"/>
  <c r="AJ15" i="45"/>
  <c r="AK15" i="45"/>
  <c r="AJ16" i="45"/>
  <c r="AK16" i="45"/>
  <c r="AJ17" i="45"/>
  <c r="AK17" i="45"/>
  <c r="AJ18" i="45"/>
  <c r="AK18" i="45"/>
  <c r="AJ19" i="45"/>
  <c r="AK19" i="45"/>
  <c r="AJ20" i="45"/>
  <c r="AK20" i="45"/>
  <c r="AJ21" i="45"/>
  <c r="AK21" i="45"/>
  <c r="AJ22" i="45"/>
  <c r="AK22" i="45"/>
  <c r="AJ23" i="45"/>
  <c r="AK23" i="45"/>
  <c r="AJ24" i="45"/>
  <c r="AK24" i="45"/>
  <c r="AJ25" i="45"/>
  <c r="AK25" i="45"/>
  <c r="AJ26" i="45"/>
  <c r="AK26" i="45"/>
  <c r="AJ27" i="45"/>
  <c r="AK27" i="45"/>
  <c r="AJ28" i="45"/>
  <c r="AK28" i="45"/>
  <c r="AJ29" i="45"/>
  <c r="AK29" i="45"/>
  <c r="AJ30" i="45"/>
  <c r="AK30" i="45"/>
  <c r="AJ31" i="45"/>
  <c r="AK31" i="45"/>
  <c r="AJ32" i="45"/>
  <c r="AK32" i="45"/>
  <c r="AJ33" i="45"/>
  <c r="AK33" i="45"/>
  <c r="AJ34" i="45"/>
  <c r="AK34" i="45"/>
  <c r="AJ35" i="45"/>
  <c r="AK35" i="45"/>
  <c r="AJ36" i="45"/>
  <c r="AK36" i="45"/>
  <c r="AJ37" i="45"/>
  <c r="AK37" i="45"/>
  <c r="AJ38" i="45"/>
  <c r="AK38" i="45"/>
  <c r="G51" i="45"/>
  <c r="F51" i="45"/>
  <c r="AV24" i="5"/>
  <c r="M41" i="46"/>
  <c r="AJ8" i="46"/>
  <c r="AK8" i="46"/>
  <c r="AJ9" i="46"/>
  <c r="AK9" i="46"/>
  <c r="AJ10" i="46"/>
  <c r="AK10" i="46"/>
  <c r="AJ11" i="46"/>
  <c r="AK11" i="46"/>
  <c r="AJ12" i="46"/>
  <c r="AK12" i="46"/>
  <c r="AJ13" i="46"/>
  <c r="AK13" i="46"/>
  <c r="AJ14" i="46"/>
  <c r="AK14" i="46"/>
  <c r="AJ15" i="46"/>
  <c r="AK15" i="46"/>
  <c r="AJ16" i="46"/>
  <c r="AK16" i="46"/>
  <c r="AJ17" i="46"/>
  <c r="AK17" i="46"/>
  <c r="AJ18" i="46"/>
  <c r="AK18" i="46"/>
  <c r="AJ19" i="46"/>
  <c r="AK19" i="46"/>
  <c r="AJ20" i="46"/>
  <c r="AK20" i="46"/>
  <c r="AJ21" i="46"/>
  <c r="AK21" i="46"/>
  <c r="AJ22" i="46"/>
  <c r="AK22" i="46"/>
  <c r="AJ23" i="46"/>
  <c r="AK23" i="46"/>
  <c r="AJ24" i="46"/>
  <c r="AK24" i="46"/>
  <c r="AJ25" i="46"/>
  <c r="AK25" i="46"/>
  <c r="AJ26" i="46"/>
  <c r="AK26" i="46"/>
  <c r="AJ27" i="46"/>
  <c r="AK27" i="46"/>
  <c r="AJ28" i="46"/>
  <c r="AK28" i="46"/>
  <c r="AJ29" i="46"/>
  <c r="AK29" i="46"/>
  <c r="AJ30" i="46"/>
  <c r="AK30" i="46"/>
  <c r="AJ31" i="46"/>
  <c r="AK31" i="46"/>
  <c r="AJ32" i="46"/>
  <c r="AK32" i="46"/>
  <c r="AJ33" i="46"/>
  <c r="AK33" i="46"/>
  <c r="AJ34" i="46"/>
  <c r="AK34" i="46"/>
  <c r="AJ35" i="46"/>
  <c r="AK35" i="46"/>
  <c r="AJ36" i="46"/>
  <c r="AK36" i="46"/>
  <c r="AJ37" i="46"/>
  <c r="AK37" i="46"/>
  <c r="AJ38" i="46"/>
  <c r="AK38" i="46"/>
  <c r="G51" i="46"/>
  <c r="F51" i="46"/>
  <c r="AV25" i="5"/>
  <c r="M41" i="47"/>
  <c r="AJ8" i="47"/>
  <c r="AK8" i="47"/>
  <c r="AJ9" i="47"/>
  <c r="AK9" i="47"/>
  <c r="AJ10" i="47"/>
  <c r="AK10" i="47"/>
  <c r="AJ11" i="47"/>
  <c r="AK11" i="47"/>
  <c r="AJ12" i="47"/>
  <c r="AK12" i="47"/>
  <c r="AJ13" i="47"/>
  <c r="AK13" i="47"/>
  <c r="AJ14" i="47"/>
  <c r="AK14" i="47"/>
  <c r="AJ15" i="47"/>
  <c r="AK15" i="47"/>
  <c r="AJ16" i="47"/>
  <c r="AK16" i="47"/>
  <c r="AJ17" i="47"/>
  <c r="AK17" i="47"/>
  <c r="AJ18" i="47"/>
  <c r="AK18" i="47"/>
  <c r="AJ19" i="47"/>
  <c r="AK19" i="47"/>
  <c r="AJ20" i="47"/>
  <c r="AK20" i="47"/>
  <c r="AJ21" i="47"/>
  <c r="AK21" i="47"/>
  <c r="AJ22" i="47"/>
  <c r="AK22" i="47"/>
  <c r="AJ23" i="47"/>
  <c r="AK23" i="47"/>
  <c r="AJ24" i="47"/>
  <c r="AK24" i="47"/>
  <c r="AJ25" i="47"/>
  <c r="AK25" i="47"/>
  <c r="AJ26" i="47"/>
  <c r="AK26" i="47"/>
  <c r="AJ27" i="47"/>
  <c r="AK27" i="47"/>
  <c r="AJ28" i="47"/>
  <c r="AK28" i="47"/>
  <c r="AJ29" i="47"/>
  <c r="AK29" i="47"/>
  <c r="AJ30" i="47"/>
  <c r="AK30" i="47"/>
  <c r="AJ31" i="47"/>
  <c r="AK31" i="47"/>
  <c r="AJ32" i="47"/>
  <c r="AK32" i="47"/>
  <c r="AJ33" i="47"/>
  <c r="AK33" i="47"/>
  <c r="AJ34" i="47"/>
  <c r="AK34" i="47"/>
  <c r="AJ35" i="47"/>
  <c r="AK35" i="47"/>
  <c r="AJ36" i="47"/>
  <c r="AK36" i="47"/>
  <c r="AJ37" i="47"/>
  <c r="AK37" i="47"/>
  <c r="AJ38" i="47"/>
  <c r="AK38" i="47"/>
  <c r="G51" i="47"/>
  <c r="F51" i="47"/>
  <c r="AV26" i="5"/>
  <c r="M41" i="48"/>
  <c r="AJ8" i="48"/>
  <c r="AK8" i="48"/>
  <c r="AJ9" i="48"/>
  <c r="AK9" i="48"/>
  <c r="AJ10" i="48"/>
  <c r="AK10" i="48"/>
  <c r="AJ11" i="48"/>
  <c r="AK11" i="48"/>
  <c r="AJ12" i="48"/>
  <c r="AK12" i="48"/>
  <c r="AJ13" i="48"/>
  <c r="AK13" i="48"/>
  <c r="AJ14" i="48"/>
  <c r="AK14" i="48"/>
  <c r="AJ15" i="48"/>
  <c r="AK15" i="48"/>
  <c r="AJ16" i="48"/>
  <c r="AK16" i="48"/>
  <c r="AJ17" i="48"/>
  <c r="AK17" i="48"/>
  <c r="AJ18" i="48"/>
  <c r="AK18" i="48"/>
  <c r="AJ19" i="48"/>
  <c r="AK19" i="48"/>
  <c r="AJ20" i="48"/>
  <c r="AK20" i="48"/>
  <c r="AJ21" i="48"/>
  <c r="AK21" i="48"/>
  <c r="AJ22" i="48"/>
  <c r="AK22" i="48"/>
  <c r="AJ23" i="48"/>
  <c r="AK23" i="48"/>
  <c r="AJ24" i="48"/>
  <c r="AK24" i="48"/>
  <c r="AJ25" i="48"/>
  <c r="AK25" i="48"/>
  <c r="AJ26" i="48"/>
  <c r="AK26" i="48"/>
  <c r="AJ27" i="48"/>
  <c r="AK27" i="48"/>
  <c r="AJ28" i="48"/>
  <c r="AK28" i="48"/>
  <c r="AJ29" i="48"/>
  <c r="AK29" i="48"/>
  <c r="AJ30" i="48"/>
  <c r="AK30" i="48"/>
  <c r="AJ31" i="48"/>
  <c r="AK31" i="48"/>
  <c r="AJ32" i="48"/>
  <c r="AK32" i="48"/>
  <c r="AJ33" i="48"/>
  <c r="AK33" i="48"/>
  <c r="AJ34" i="48"/>
  <c r="AK34" i="48"/>
  <c r="AJ35" i="48"/>
  <c r="AK35" i="48"/>
  <c r="AJ36" i="48"/>
  <c r="AK36" i="48"/>
  <c r="AJ37" i="48"/>
  <c r="AK37" i="48"/>
  <c r="AJ38" i="48"/>
  <c r="AK38" i="48"/>
  <c r="G51" i="48"/>
  <c r="F51" i="48"/>
  <c r="AV27" i="5"/>
  <c r="M41" i="49"/>
  <c r="AJ8" i="49"/>
  <c r="AK8" i="49"/>
  <c r="AJ9" i="49"/>
  <c r="AK9" i="49"/>
  <c r="AJ10" i="49"/>
  <c r="AK10" i="49"/>
  <c r="AJ11" i="49"/>
  <c r="AK11" i="49"/>
  <c r="AJ12" i="49"/>
  <c r="AK12" i="49"/>
  <c r="AJ13" i="49"/>
  <c r="AK13" i="49"/>
  <c r="AJ14" i="49"/>
  <c r="AK14" i="49"/>
  <c r="AJ15" i="49"/>
  <c r="AK15" i="49"/>
  <c r="AJ16" i="49"/>
  <c r="AK16" i="49"/>
  <c r="AJ17" i="49"/>
  <c r="AK17" i="49"/>
  <c r="AJ18" i="49"/>
  <c r="AK18" i="49"/>
  <c r="AJ19" i="49"/>
  <c r="AK19" i="49"/>
  <c r="AJ20" i="49"/>
  <c r="AK20" i="49"/>
  <c r="AJ21" i="49"/>
  <c r="AK21" i="49"/>
  <c r="AJ22" i="49"/>
  <c r="AK22" i="49"/>
  <c r="AJ23" i="49"/>
  <c r="AK23" i="49"/>
  <c r="AJ24" i="49"/>
  <c r="AK24" i="49"/>
  <c r="AJ25" i="49"/>
  <c r="AK25" i="49"/>
  <c r="AJ26" i="49"/>
  <c r="AK26" i="49"/>
  <c r="AJ27" i="49"/>
  <c r="AK27" i="49"/>
  <c r="AJ28" i="49"/>
  <c r="AK28" i="49"/>
  <c r="AJ29" i="49"/>
  <c r="AK29" i="49"/>
  <c r="AJ30" i="49"/>
  <c r="AK30" i="49"/>
  <c r="AJ31" i="49"/>
  <c r="AK31" i="49"/>
  <c r="AJ32" i="49"/>
  <c r="AK32" i="49"/>
  <c r="AJ33" i="49"/>
  <c r="AK33" i="49"/>
  <c r="AJ34" i="49"/>
  <c r="AK34" i="49"/>
  <c r="AJ35" i="49"/>
  <c r="AK35" i="49"/>
  <c r="AJ36" i="49"/>
  <c r="AK36" i="49"/>
  <c r="AJ37" i="49"/>
  <c r="AK37" i="49"/>
  <c r="AJ38" i="49"/>
  <c r="AK38" i="49"/>
  <c r="G51" i="49"/>
  <c r="F51" i="49"/>
  <c r="AV28" i="5"/>
  <c r="M41" i="50"/>
  <c r="AJ8" i="50"/>
  <c r="AK8" i="50"/>
  <c r="AJ9" i="50"/>
  <c r="AK9" i="50"/>
  <c r="AJ10" i="50"/>
  <c r="AK10" i="50"/>
  <c r="AJ11" i="50"/>
  <c r="AK11" i="50"/>
  <c r="AJ12" i="50"/>
  <c r="AK12" i="50"/>
  <c r="AJ13" i="50"/>
  <c r="AK13" i="50"/>
  <c r="AJ14" i="50"/>
  <c r="AK14" i="50"/>
  <c r="AJ15" i="50"/>
  <c r="AK15" i="50"/>
  <c r="AJ16" i="50"/>
  <c r="AK16" i="50"/>
  <c r="AJ17" i="50"/>
  <c r="AK17" i="50"/>
  <c r="AJ18" i="50"/>
  <c r="AK18" i="50"/>
  <c r="AJ19" i="50"/>
  <c r="AK19" i="50"/>
  <c r="AJ20" i="50"/>
  <c r="AK20" i="50"/>
  <c r="AJ21" i="50"/>
  <c r="AK21" i="50"/>
  <c r="AJ22" i="50"/>
  <c r="AK22" i="50"/>
  <c r="AJ23" i="50"/>
  <c r="AK23" i="50"/>
  <c r="AJ24" i="50"/>
  <c r="AK24" i="50"/>
  <c r="AJ25" i="50"/>
  <c r="AK25" i="50"/>
  <c r="AJ26" i="50"/>
  <c r="AK26" i="50"/>
  <c r="AJ27" i="50"/>
  <c r="AK27" i="50"/>
  <c r="AJ28" i="50"/>
  <c r="AK28" i="50"/>
  <c r="AJ29" i="50"/>
  <c r="AK29" i="50"/>
  <c r="AJ30" i="50"/>
  <c r="AK30" i="50"/>
  <c r="AJ31" i="50"/>
  <c r="AK31" i="50"/>
  <c r="AJ32" i="50"/>
  <c r="AK32" i="50"/>
  <c r="AJ33" i="50"/>
  <c r="AK33" i="50"/>
  <c r="AJ34" i="50"/>
  <c r="AK34" i="50"/>
  <c r="AJ35" i="50"/>
  <c r="AK35" i="50"/>
  <c r="AJ36" i="50"/>
  <c r="AK36" i="50"/>
  <c r="AJ37" i="50"/>
  <c r="AK37" i="50"/>
  <c r="AJ38" i="50"/>
  <c r="AK38" i="50"/>
  <c r="G51" i="50"/>
  <c r="F51" i="50"/>
  <c r="AV29" i="5"/>
  <c r="M41" i="51"/>
  <c r="AJ8" i="51"/>
  <c r="AK8" i="51"/>
  <c r="AJ9" i="51"/>
  <c r="AK9" i="51"/>
  <c r="AJ10" i="51"/>
  <c r="AK10" i="51"/>
  <c r="AJ11" i="51"/>
  <c r="AK11" i="51"/>
  <c r="AJ12" i="51"/>
  <c r="AK12" i="51"/>
  <c r="AJ13" i="51"/>
  <c r="AK13" i="51"/>
  <c r="AJ14" i="51"/>
  <c r="AK14" i="51"/>
  <c r="AJ15" i="51"/>
  <c r="AK15" i="51"/>
  <c r="AJ16" i="51"/>
  <c r="AK16" i="51"/>
  <c r="AJ17" i="51"/>
  <c r="AK17" i="51"/>
  <c r="AJ18" i="51"/>
  <c r="AK18" i="51"/>
  <c r="AJ19" i="51"/>
  <c r="AK19" i="51"/>
  <c r="AJ20" i="51"/>
  <c r="AK20" i="51"/>
  <c r="AJ21" i="51"/>
  <c r="AK21" i="51"/>
  <c r="AJ22" i="51"/>
  <c r="AK22" i="51"/>
  <c r="AJ23" i="51"/>
  <c r="AK23" i="51"/>
  <c r="AJ24" i="51"/>
  <c r="AK24" i="51"/>
  <c r="AJ25" i="51"/>
  <c r="AK25" i="51"/>
  <c r="AJ26" i="51"/>
  <c r="AK26" i="51"/>
  <c r="AJ27" i="51"/>
  <c r="AK27" i="51"/>
  <c r="AJ28" i="51"/>
  <c r="AK28" i="51"/>
  <c r="AJ29" i="51"/>
  <c r="AK29" i="51"/>
  <c r="AJ30" i="51"/>
  <c r="AK30" i="51"/>
  <c r="AJ31" i="51"/>
  <c r="AK31" i="51"/>
  <c r="AJ32" i="51"/>
  <c r="AK32" i="51"/>
  <c r="AJ33" i="51"/>
  <c r="AK33" i="51"/>
  <c r="AJ34" i="51"/>
  <c r="AK34" i="51"/>
  <c r="AJ35" i="51"/>
  <c r="AK35" i="51"/>
  <c r="AJ36" i="51"/>
  <c r="AK36" i="51"/>
  <c r="AJ37" i="51"/>
  <c r="AK37" i="51"/>
  <c r="AJ38" i="51"/>
  <c r="AK38" i="51"/>
  <c r="G51" i="51"/>
  <c r="F51" i="51"/>
  <c r="AV30" i="5"/>
  <c r="M41" i="52"/>
  <c r="AJ8" i="52"/>
  <c r="AK8" i="52"/>
  <c r="AJ9" i="52"/>
  <c r="AK9" i="52"/>
  <c r="AJ10" i="52"/>
  <c r="AK10" i="52"/>
  <c r="AJ11" i="52"/>
  <c r="AK11" i="52"/>
  <c r="AJ12" i="52"/>
  <c r="AK12" i="52"/>
  <c r="AJ13" i="52"/>
  <c r="AK13" i="52"/>
  <c r="AJ14" i="52"/>
  <c r="AK14" i="52"/>
  <c r="AJ15" i="52"/>
  <c r="AK15" i="52"/>
  <c r="AJ16" i="52"/>
  <c r="AK16" i="52"/>
  <c r="AJ17" i="52"/>
  <c r="AK17" i="52"/>
  <c r="AJ18" i="52"/>
  <c r="AK18" i="52"/>
  <c r="AJ19" i="52"/>
  <c r="AK19" i="52"/>
  <c r="AJ20" i="52"/>
  <c r="AK20" i="52"/>
  <c r="AJ21" i="52"/>
  <c r="AK21" i="52"/>
  <c r="AJ22" i="52"/>
  <c r="AK22" i="52"/>
  <c r="AJ23" i="52"/>
  <c r="AK23" i="52"/>
  <c r="AJ24" i="52"/>
  <c r="AK24" i="52"/>
  <c r="AJ25" i="52"/>
  <c r="AK25" i="52"/>
  <c r="AJ26" i="52"/>
  <c r="AK26" i="52"/>
  <c r="AJ27" i="52"/>
  <c r="AK27" i="52"/>
  <c r="AJ28" i="52"/>
  <c r="AK28" i="52"/>
  <c r="AJ29" i="52"/>
  <c r="AK29" i="52"/>
  <c r="AJ30" i="52"/>
  <c r="AK30" i="52"/>
  <c r="AJ31" i="52"/>
  <c r="AK31" i="52"/>
  <c r="AJ32" i="52"/>
  <c r="AK32" i="52"/>
  <c r="AJ33" i="52"/>
  <c r="AK33" i="52"/>
  <c r="AJ34" i="52"/>
  <c r="AK34" i="52"/>
  <c r="AJ35" i="52"/>
  <c r="AK35" i="52"/>
  <c r="AJ36" i="52"/>
  <c r="AK36" i="52"/>
  <c r="AJ37" i="52"/>
  <c r="AK37" i="52"/>
  <c r="AJ38" i="52"/>
  <c r="AK38" i="52"/>
  <c r="G51" i="52"/>
  <c r="F51" i="52"/>
  <c r="AV31" i="5"/>
  <c r="M41" i="53"/>
  <c r="AJ8" i="53"/>
  <c r="AK8" i="53"/>
  <c r="AJ9" i="53"/>
  <c r="AK9" i="53"/>
  <c r="AJ10" i="53"/>
  <c r="AK10" i="53"/>
  <c r="AJ11" i="53"/>
  <c r="AK11" i="53"/>
  <c r="AJ12" i="53"/>
  <c r="AK12" i="53"/>
  <c r="AJ13" i="53"/>
  <c r="AK13" i="53"/>
  <c r="AJ14" i="53"/>
  <c r="AK14" i="53"/>
  <c r="AJ15" i="53"/>
  <c r="AK15" i="53"/>
  <c r="AJ16" i="53"/>
  <c r="AK16" i="53"/>
  <c r="AJ17" i="53"/>
  <c r="AK17" i="53"/>
  <c r="AJ18" i="53"/>
  <c r="AK18" i="53"/>
  <c r="AJ19" i="53"/>
  <c r="AK19" i="53"/>
  <c r="AJ20" i="53"/>
  <c r="AK20" i="53"/>
  <c r="AJ21" i="53"/>
  <c r="AK21" i="53"/>
  <c r="AJ22" i="53"/>
  <c r="AK22" i="53"/>
  <c r="AJ23" i="53"/>
  <c r="AK23" i="53"/>
  <c r="AJ24" i="53"/>
  <c r="AK24" i="53"/>
  <c r="AJ25" i="53"/>
  <c r="AK25" i="53"/>
  <c r="AJ26" i="53"/>
  <c r="AK26" i="53"/>
  <c r="AJ27" i="53"/>
  <c r="AK27" i="53"/>
  <c r="AJ28" i="53"/>
  <c r="AK28" i="53"/>
  <c r="AJ29" i="53"/>
  <c r="AK29" i="53"/>
  <c r="AJ30" i="53"/>
  <c r="AK30" i="53"/>
  <c r="AJ31" i="53"/>
  <c r="AK31" i="53"/>
  <c r="AJ32" i="53"/>
  <c r="AK32" i="53"/>
  <c r="AJ33" i="53"/>
  <c r="AK33" i="53"/>
  <c r="AJ34" i="53"/>
  <c r="AK34" i="53"/>
  <c r="AJ35" i="53"/>
  <c r="AK35" i="53"/>
  <c r="AJ36" i="53"/>
  <c r="AK36" i="53"/>
  <c r="AJ37" i="53"/>
  <c r="AK37" i="53"/>
  <c r="AJ38" i="53"/>
  <c r="AK38" i="53"/>
  <c r="G51" i="53"/>
  <c r="F51" i="53"/>
  <c r="AV32" i="5"/>
  <c r="M41" i="54"/>
  <c r="AJ8" i="54"/>
  <c r="AK8" i="54"/>
  <c r="AJ9" i="54"/>
  <c r="AK9" i="54"/>
  <c r="AJ10" i="54"/>
  <c r="AK10" i="54"/>
  <c r="AJ11" i="54"/>
  <c r="AK11" i="54"/>
  <c r="AJ12" i="54"/>
  <c r="AK12" i="54"/>
  <c r="AJ13" i="54"/>
  <c r="AK13" i="54"/>
  <c r="AJ14" i="54"/>
  <c r="AK14" i="54"/>
  <c r="AJ15" i="54"/>
  <c r="AK15" i="54"/>
  <c r="AJ16" i="54"/>
  <c r="AK16" i="54"/>
  <c r="AJ17" i="54"/>
  <c r="AK17" i="54"/>
  <c r="AJ18" i="54"/>
  <c r="AK18" i="54"/>
  <c r="AJ19" i="54"/>
  <c r="AK19" i="54"/>
  <c r="AJ20" i="54"/>
  <c r="AK20" i="54"/>
  <c r="AJ21" i="54"/>
  <c r="AK21" i="54"/>
  <c r="AJ22" i="54"/>
  <c r="AK22" i="54"/>
  <c r="AJ23" i="54"/>
  <c r="AK23" i="54"/>
  <c r="AJ24" i="54"/>
  <c r="AK24" i="54"/>
  <c r="AJ25" i="54"/>
  <c r="AK25" i="54"/>
  <c r="AJ26" i="54"/>
  <c r="AK26" i="54"/>
  <c r="AJ27" i="54"/>
  <c r="AK27" i="54"/>
  <c r="AJ28" i="54"/>
  <c r="AK28" i="54"/>
  <c r="AJ29" i="54"/>
  <c r="AK29" i="54"/>
  <c r="AJ30" i="54"/>
  <c r="AK30" i="54"/>
  <c r="AJ31" i="54"/>
  <c r="AK31" i="54"/>
  <c r="AJ32" i="54"/>
  <c r="AK32" i="54"/>
  <c r="AJ33" i="54"/>
  <c r="AK33" i="54"/>
  <c r="AJ34" i="54"/>
  <c r="AK34" i="54"/>
  <c r="AJ35" i="54"/>
  <c r="AK35" i="54"/>
  <c r="AJ36" i="54"/>
  <c r="AK36" i="54"/>
  <c r="AJ37" i="54"/>
  <c r="AK37" i="54"/>
  <c r="AJ38" i="54"/>
  <c r="AK38" i="54"/>
  <c r="G51" i="54"/>
  <c r="F51" i="54"/>
  <c r="AV33" i="5"/>
  <c r="M41" i="55"/>
  <c r="AJ8" i="55"/>
  <c r="AK8" i="55"/>
  <c r="AJ9" i="55"/>
  <c r="AK9" i="55"/>
  <c r="AJ10" i="55"/>
  <c r="AK10" i="55"/>
  <c r="AJ11" i="55"/>
  <c r="AK11" i="55"/>
  <c r="AJ12" i="55"/>
  <c r="AK12" i="55"/>
  <c r="AJ13" i="55"/>
  <c r="AK13" i="55"/>
  <c r="AJ14" i="55"/>
  <c r="AK14" i="55"/>
  <c r="AJ15" i="55"/>
  <c r="AK15" i="55"/>
  <c r="AJ16" i="55"/>
  <c r="AK16" i="55"/>
  <c r="AJ17" i="55"/>
  <c r="AK17" i="55"/>
  <c r="AJ18" i="55"/>
  <c r="AK18" i="55"/>
  <c r="AJ19" i="55"/>
  <c r="AK19" i="55"/>
  <c r="AJ20" i="55"/>
  <c r="AK20" i="55"/>
  <c r="AJ21" i="55"/>
  <c r="AK21" i="55"/>
  <c r="AJ22" i="55"/>
  <c r="AK22" i="55"/>
  <c r="AJ23" i="55"/>
  <c r="AK23" i="55"/>
  <c r="AJ24" i="55"/>
  <c r="AK24" i="55"/>
  <c r="AJ25" i="55"/>
  <c r="AK25" i="55"/>
  <c r="AJ26" i="55"/>
  <c r="AK26" i="55"/>
  <c r="AJ27" i="55"/>
  <c r="AK27" i="55"/>
  <c r="AJ28" i="55"/>
  <c r="AK28" i="55"/>
  <c r="AJ29" i="55"/>
  <c r="AK29" i="55"/>
  <c r="AJ30" i="55"/>
  <c r="AK30" i="55"/>
  <c r="AJ31" i="55"/>
  <c r="AK31" i="55"/>
  <c r="AJ32" i="55"/>
  <c r="AK32" i="55"/>
  <c r="AJ33" i="55"/>
  <c r="AK33" i="55"/>
  <c r="AJ34" i="55"/>
  <c r="AK34" i="55"/>
  <c r="AJ35" i="55"/>
  <c r="AK35" i="55"/>
  <c r="AJ36" i="55"/>
  <c r="AK36" i="55"/>
  <c r="AJ37" i="55"/>
  <c r="AK37" i="55"/>
  <c r="AJ38" i="55"/>
  <c r="AK38" i="55"/>
  <c r="G51" i="55"/>
  <c r="F51" i="55"/>
  <c r="AV34" i="5"/>
  <c r="M41" i="56"/>
  <c r="AJ8" i="56"/>
  <c r="AK8" i="56"/>
  <c r="AJ9" i="56"/>
  <c r="AK9" i="56"/>
  <c r="AJ10" i="56"/>
  <c r="AK10" i="56"/>
  <c r="AJ11" i="56"/>
  <c r="AK11" i="56"/>
  <c r="AJ12" i="56"/>
  <c r="AK12" i="56"/>
  <c r="AJ13" i="56"/>
  <c r="AK13" i="56"/>
  <c r="AJ14" i="56"/>
  <c r="AK14" i="56"/>
  <c r="AJ15" i="56"/>
  <c r="AK15" i="56"/>
  <c r="AJ16" i="56"/>
  <c r="AK16" i="56"/>
  <c r="AJ17" i="56"/>
  <c r="AK17" i="56"/>
  <c r="AJ18" i="56"/>
  <c r="AK18" i="56"/>
  <c r="AJ19" i="56"/>
  <c r="AK19" i="56"/>
  <c r="AJ20" i="56"/>
  <c r="AK20" i="56"/>
  <c r="AJ21" i="56"/>
  <c r="AK21" i="56"/>
  <c r="AJ22" i="56"/>
  <c r="AK22" i="56"/>
  <c r="AJ23" i="56"/>
  <c r="AK23" i="56"/>
  <c r="AJ24" i="56"/>
  <c r="AK24" i="56"/>
  <c r="AJ25" i="56"/>
  <c r="AK25" i="56"/>
  <c r="AJ26" i="56"/>
  <c r="AK26" i="56"/>
  <c r="AJ27" i="56"/>
  <c r="AK27" i="56"/>
  <c r="AJ28" i="56"/>
  <c r="AK28" i="56"/>
  <c r="AJ29" i="56"/>
  <c r="AK29" i="56"/>
  <c r="AJ30" i="56"/>
  <c r="AK30" i="56"/>
  <c r="AJ31" i="56"/>
  <c r="AK31" i="56"/>
  <c r="AJ32" i="56"/>
  <c r="AK32" i="56"/>
  <c r="AJ33" i="56"/>
  <c r="AK33" i="56"/>
  <c r="AJ34" i="56"/>
  <c r="AK34" i="56"/>
  <c r="AJ35" i="56"/>
  <c r="AK35" i="56"/>
  <c r="AJ36" i="56"/>
  <c r="AK36" i="56"/>
  <c r="AJ37" i="56"/>
  <c r="AK37" i="56"/>
  <c r="AJ38" i="56"/>
  <c r="AK38" i="56"/>
  <c r="G51" i="56"/>
  <c r="F51" i="56"/>
  <c r="AV35" i="5"/>
  <c r="M41" i="57"/>
  <c r="AJ8" i="57"/>
  <c r="AK8" i="57"/>
  <c r="AJ9" i="57"/>
  <c r="AK9" i="57"/>
  <c r="AJ10" i="57"/>
  <c r="AK10" i="57"/>
  <c r="AJ11" i="57"/>
  <c r="AK11" i="57"/>
  <c r="AJ12" i="57"/>
  <c r="AK12" i="57"/>
  <c r="AJ13" i="57"/>
  <c r="AK13" i="57"/>
  <c r="AJ14" i="57"/>
  <c r="AK14" i="57"/>
  <c r="AJ15" i="57"/>
  <c r="AK15" i="57"/>
  <c r="AJ16" i="57"/>
  <c r="AK16" i="57"/>
  <c r="AJ17" i="57"/>
  <c r="AK17" i="57"/>
  <c r="AJ18" i="57"/>
  <c r="AK18" i="57"/>
  <c r="AJ19" i="57"/>
  <c r="AK19" i="57"/>
  <c r="AJ20" i="57"/>
  <c r="AK20" i="57"/>
  <c r="AJ21" i="57"/>
  <c r="AK21" i="57"/>
  <c r="AJ22" i="57"/>
  <c r="AK22" i="57"/>
  <c r="AJ23" i="57"/>
  <c r="AK23" i="57"/>
  <c r="AJ24" i="57"/>
  <c r="AK24" i="57"/>
  <c r="AJ25" i="57"/>
  <c r="AK25" i="57"/>
  <c r="AJ26" i="57"/>
  <c r="AK26" i="57"/>
  <c r="AJ27" i="57"/>
  <c r="AK27" i="57"/>
  <c r="AJ28" i="57"/>
  <c r="AK28" i="57"/>
  <c r="AJ29" i="57"/>
  <c r="AK29" i="57"/>
  <c r="AJ30" i="57"/>
  <c r="AK30" i="57"/>
  <c r="AJ31" i="57"/>
  <c r="AK31" i="57"/>
  <c r="AJ32" i="57"/>
  <c r="AK32" i="57"/>
  <c r="AJ33" i="57"/>
  <c r="AK33" i="57"/>
  <c r="AJ34" i="57"/>
  <c r="AK34" i="57"/>
  <c r="AJ35" i="57"/>
  <c r="AK35" i="57"/>
  <c r="AJ36" i="57"/>
  <c r="AK36" i="57"/>
  <c r="AJ37" i="57"/>
  <c r="AK37" i="57"/>
  <c r="AJ38" i="57"/>
  <c r="AK38" i="57"/>
  <c r="G51" i="57"/>
  <c r="F51" i="57"/>
  <c r="AV36" i="5"/>
  <c r="M41" i="58"/>
  <c r="AJ8" i="58"/>
  <c r="AK8" i="58"/>
  <c r="AJ9" i="58"/>
  <c r="AK9" i="58"/>
  <c r="AJ10" i="58"/>
  <c r="AK10" i="58"/>
  <c r="AJ11" i="58"/>
  <c r="AK11" i="58"/>
  <c r="AJ12" i="58"/>
  <c r="AK12" i="58"/>
  <c r="AJ13" i="58"/>
  <c r="AK13" i="58"/>
  <c r="AJ14" i="58"/>
  <c r="AK14" i="58"/>
  <c r="AJ15" i="58"/>
  <c r="AK15" i="58"/>
  <c r="AJ16" i="58"/>
  <c r="AK16" i="58"/>
  <c r="AJ17" i="58"/>
  <c r="AK17" i="58"/>
  <c r="AJ18" i="58"/>
  <c r="AK18" i="58"/>
  <c r="AJ19" i="58"/>
  <c r="AK19" i="58"/>
  <c r="AJ20" i="58"/>
  <c r="AK20" i="58"/>
  <c r="AJ21" i="58"/>
  <c r="AK21" i="58"/>
  <c r="AJ22" i="58"/>
  <c r="AK22" i="58"/>
  <c r="AJ23" i="58"/>
  <c r="AK23" i="58"/>
  <c r="AJ24" i="58"/>
  <c r="AK24" i="58"/>
  <c r="AJ25" i="58"/>
  <c r="AK25" i="58"/>
  <c r="AJ26" i="58"/>
  <c r="AK26" i="58"/>
  <c r="AJ27" i="58"/>
  <c r="AK27" i="58"/>
  <c r="AJ28" i="58"/>
  <c r="AK28" i="58"/>
  <c r="AJ29" i="58"/>
  <c r="AK29" i="58"/>
  <c r="AJ30" i="58"/>
  <c r="AK30" i="58"/>
  <c r="AJ31" i="58"/>
  <c r="AK31" i="58"/>
  <c r="AJ32" i="58"/>
  <c r="AK32" i="58"/>
  <c r="AJ33" i="58"/>
  <c r="AK33" i="58"/>
  <c r="AJ34" i="58"/>
  <c r="AK34" i="58"/>
  <c r="AJ35" i="58"/>
  <c r="AK35" i="58"/>
  <c r="AJ36" i="58"/>
  <c r="AK36" i="58"/>
  <c r="AJ37" i="58"/>
  <c r="AK37" i="58"/>
  <c r="AJ38" i="58"/>
  <c r="AK38" i="58"/>
  <c r="G51" i="58"/>
  <c r="F51" i="58"/>
  <c r="AV37" i="5"/>
  <c r="M41" i="59"/>
  <c r="AJ8" i="59"/>
  <c r="AK8" i="59"/>
  <c r="AJ9" i="59"/>
  <c r="AK9" i="59"/>
  <c r="AJ10" i="59"/>
  <c r="AK10" i="59"/>
  <c r="AJ11" i="59"/>
  <c r="AK11" i="59"/>
  <c r="AJ12" i="59"/>
  <c r="AK12" i="59"/>
  <c r="AJ13" i="59"/>
  <c r="AK13" i="59"/>
  <c r="AJ14" i="59"/>
  <c r="AK14" i="59"/>
  <c r="AJ15" i="59"/>
  <c r="AK15" i="59"/>
  <c r="AJ16" i="59"/>
  <c r="AK16" i="59"/>
  <c r="AJ17" i="59"/>
  <c r="AK17" i="59"/>
  <c r="AJ18" i="59"/>
  <c r="AK18" i="59"/>
  <c r="AJ19" i="59"/>
  <c r="AK19" i="59"/>
  <c r="AJ20" i="59"/>
  <c r="AK20" i="59"/>
  <c r="AJ21" i="59"/>
  <c r="AK21" i="59"/>
  <c r="AJ22" i="59"/>
  <c r="AK22" i="59"/>
  <c r="AJ23" i="59"/>
  <c r="AK23" i="59"/>
  <c r="AJ24" i="59"/>
  <c r="AK24" i="59"/>
  <c r="AJ25" i="59"/>
  <c r="AK25" i="59"/>
  <c r="AJ26" i="59"/>
  <c r="AK26" i="59"/>
  <c r="AJ27" i="59"/>
  <c r="AK27" i="59"/>
  <c r="AJ28" i="59"/>
  <c r="AK28" i="59"/>
  <c r="AJ29" i="59"/>
  <c r="AK29" i="59"/>
  <c r="AJ30" i="59"/>
  <c r="AK30" i="59"/>
  <c r="AJ31" i="59"/>
  <c r="AK31" i="59"/>
  <c r="AJ32" i="59"/>
  <c r="AK32" i="59"/>
  <c r="AJ33" i="59"/>
  <c r="AK33" i="59"/>
  <c r="AJ34" i="59"/>
  <c r="AK34" i="59"/>
  <c r="AJ35" i="59"/>
  <c r="AK35" i="59"/>
  <c r="AJ36" i="59"/>
  <c r="AK36" i="59"/>
  <c r="AJ37" i="59"/>
  <c r="AK37" i="59"/>
  <c r="AJ38" i="59"/>
  <c r="AK38" i="59"/>
  <c r="G51" i="59"/>
  <c r="F51" i="59"/>
  <c r="AV38" i="5"/>
  <c r="K16" i="5"/>
  <c r="AG8" i="4"/>
  <c r="AI8" i="4"/>
  <c r="AG9" i="4"/>
  <c r="AI9" i="4"/>
  <c r="AG10" i="4"/>
  <c r="AI10" i="4"/>
  <c r="AG11" i="4"/>
  <c r="AI11" i="4"/>
  <c r="M12" i="4"/>
  <c r="AG12" i="4"/>
  <c r="AI12" i="4"/>
  <c r="M13" i="4"/>
  <c r="AG13" i="4"/>
  <c r="AI13" i="4"/>
  <c r="AG14" i="4"/>
  <c r="AI14" i="4"/>
  <c r="AG15" i="4"/>
  <c r="AI15" i="4"/>
  <c r="AG16" i="4"/>
  <c r="AI16" i="4"/>
  <c r="AG17" i="4"/>
  <c r="AI17" i="4"/>
  <c r="AG18" i="4"/>
  <c r="AI18" i="4"/>
  <c r="M19" i="4"/>
  <c r="AG19" i="4"/>
  <c r="AI19" i="4"/>
  <c r="M20" i="4"/>
  <c r="AG20" i="4"/>
  <c r="AI20" i="4"/>
  <c r="AG21" i="4"/>
  <c r="AI21" i="4"/>
  <c r="AG22" i="4"/>
  <c r="AI22" i="4"/>
  <c r="AG23" i="4"/>
  <c r="AI23" i="4"/>
  <c r="AG24" i="4"/>
  <c r="AI24" i="4"/>
  <c r="AG25" i="4"/>
  <c r="AI25" i="4"/>
  <c r="M26" i="4"/>
  <c r="AG26" i="4"/>
  <c r="AI26" i="4"/>
  <c r="M27" i="4"/>
  <c r="AG27" i="4"/>
  <c r="AI27" i="4"/>
  <c r="AG28" i="4"/>
  <c r="AI28" i="4"/>
  <c r="AG29" i="4"/>
  <c r="AI29" i="4"/>
  <c r="AG30" i="4"/>
  <c r="AI30" i="4"/>
  <c r="AG31" i="4"/>
  <c r="AI31" i="4"/>
  <c r="M32" i="4"/>
  <c r="AG32" i="4"/>
  <c r="AI32" i="4"/>
  <c r="M33" i="4"/>
  <c r="AG33" i="4"/>
  <c r="AI33" i="4"/>
  <c r="M34" i="4"/>
  <c r="AG34" i="4"/>
  <c r="AI34" i="4"/>
  <c r="AG35" i="4"/>
  <c r="AI35" i="4"/>
  <c r="AG36" i="4"/>
  <c r="AI36" i="4"/>
  <c r="AG37" i="4"/>
  <c r="AI37" i="4"/>
  <c r="AG38" i="4"/>
  <c r="AI38" i="4"/>
  <c r="G50" i="4"/>
  <c r="F50" i="4"/>
  <c r="AX9" i="5"/>
  <c r="AG8" i="31"/>
  <c r="AI8" i="31"/>
  <c r="AG9" i="31"/>
  <c r="AI9" i="31"/>
  <c r="AG10" i="31"/>
  <c r="AI10" i="31"/>
  <c r="AG11" i="31"/>
  <c r="AI11" i="31"/>
  <c r="AG12" i="31"/>
  <c r="AI12" i="31"/>
  <c r="M13" i="31"/>
  <c r="AG13" i="31"/>
  <c r="AI13" i="31"/>
  <c r="AG14" i="31"/>
  <c r="AI14" i="31"/>
  <c r="AG15" i="31"/>
  <c r="AI15" i="31"/>
  <c r="AG16" i="31"/>
  <c r="AI16" i="31"/>
  <c r="AG17" i="31"/>
  <c r="AI17" i="31"/>
  <c r="AG18" i="31"/>
  <c r="AI18" i="31"/>
  <c r="AG19" i="31"/>
  <c r="AI19" i="31"/>
  <c r="M20" i="31"/>
  <c r="AG20" i="31"/>
  <c r="AI20" i="31"/>
  <c r="AG21" i="31"/>
  <c r="AI21" i="31"/>
  <c r="AG22" i="31"/>
  <c r="AI22" i="31"/>
  <c r="AG23" i="31"/>
  <c r="AI23" i="31"/>
  <c r="AG24" i="31"/>
  <c r="AI24" i="31"/>
  <c r="AG25" i="31"/>
  <c r="AI25" i="31"/>
  <c r="AG26" i="31"/>
  <c r="AI26" i="31"/>
  <c r="M27" i="31"/>
  <c r="AG27" i="31"/>
  <c r="AI27" i="31"/>
  <c r="AG28" i="31"/>
  <c r="AI28" i="31"/>
  <c r="AG29" i="31"/>
  <c r="AI29" i="31"/>
  <c r="AG30" i="31"/>
  <c r="AI30" i="31"/>
  <c r="AG31" i="31"/>
  <c r="AI31" i="31"/>
  <c r="AG32" i="31"/>
  <c r="AI32" i="31"/>
  <c r="M33" i="31"/>
  <c r="AG33" i="31"/>
  <c r="AI33" i="31"/>
  <c r="M34" i="31"/>
  <c r="AG34" i="31"/>
  <c r="AI34" i="31"/>
  <c r="AG35" i="31"/>
  <c r="AI35" i="31"/>
  <c r="AG36" i="31"/>
  <c r="AI36" i="31"/>
  <c r="AG37" i="31"/>
  <c r="AI37" i="31"/>
  <c r="AG38" i="31"/>
  <c r="AI38" i="31"/>
  <c r="G50" i="31"/>
  <c r="F50" i="31"/>
  <c r="AX10" i="5"/>
  <c r="AG8" i="32"/>
  <c r="AI8" i="32"/>
  <c r="AG9" i="32"/>
  <c r="AI9" i="32"/>
  <c r="AG10" i="32"/>
  <c r="AI10" i="32"/>
  <c r="AG11" i="32"/>
  <c r="AI11" i="32"/>
  <c r="M12" i="32"/>
  <c r="AG12" i="32"/>
  <c r="AI12" i="32"/>
  <c r="M13" i="32"/>
  <c r="AG13" i="32"/>
  <c r="AI13" i="32"/>
  <c r="AG14" i="32"/>
  <c r="AI14" i="32"/>
  <c r="AG15" i="32"/>
  <c r="AI15" i="32"/>
  <c r="AG16" i="32"/>
  <c r="AI16" i="32"/>
  <c r="AG17" i="32"/>
  <c r="AI17" i="32"/>
  <c r="AG18" i="32"/>
  <c r="AI18" i="32"/>
  <c r="M19" i="32"/>
  <c r="AG19" i="32"/>
  <c r="AI19" i="32"/>
  <c r="M20" i="32"/>
  <c r="AG20" i="32"/>
  <c r="AI20" i="32"/>
  <c r="AG21" i="32"/>
  <c r="AI21" i="32"/>
  <c r="AG22" i="32"/>
  <c r="AI22" i="32"/>
  <c r="AG23" i="32"/>
  <c r="AI23" i="32"/>
  <c r="AG24" i="32"/>
  <c r="AI24" i="32"/>
  <c r="AG25" i="32"/>
  <c r="AI25" i="32"/>
  <c r="M26" i="32"/>
  <c r="AG26" i="32"/>
  <c r="AI26" i="32"/>
  <c r="M27" i="32"/>
  <c r="AG27" i="32"/>
  <c r="AI27" i="32"/>
  <c r="AG28" i="32"/>
  <c r="AI28" i="32"/>
  <c r="AG29" i="32"/>
  <c r="AI29" i="32"/>
  <c r="AG30" i="32"/>
  <c r="AI30" i="32"/>
  <c r="AG31" i="32"/>
  <c r="AI31" i="32"/>
  <c r="M32" i="32"/>
  <c r="AG32" i="32"/>
  <c r="AI32" i="32"/>
  <c r="M33" i="32"/>
  <c r="AG33" i="32"/>
  <c r="AI33" i="32"/>
  <c r="M34" i="32"/>
  <c r="AG34" i="32"/>
  <c r="AI34" i="32"/>
  <c r="AG35" i="32"/>
  <c r="AI35" i="32"/>
  <c r="AG36" i="32"/>
  <c r="AI36" i="32"/>
  <c r="AG37" i="32"/>
  <c r="AI37" i="32"/>
  <c r="AG38" i="32"/>
  <c r="AI38" i="32"/>
  <c r="G50" i="32"/>
  <c r="F50" i="32"/>
  <c r="AX11" i="5"/>
  <c r="C11" i="33"/>
  <c r="M8" i="33"/>
  <c r="AG8" i="33"/>
  <c r="AI8" i="33"/>
  <c r="M9" i="33"/>
  <c r="AG9" i="33"/>
  <c r="AI9" i="33"/>
  <c r="M10" i="33"/>
  <c r="AG10" i="33"/>
  <c r="AI10" i="33"/>
  <c r="M11" i="33"/>
  <c r="AG11" i="33"/>
  <c r="AI11" i="33"/>
  <c r="M12" i="33"/>
  <c r="AG12" i="33"/>
  <c r="AI12" i="33"/>
  <c r="M13" i="33"/>
  <c r="AG13" i="33"/>
  <c r="AI13" i="33"/>
  <c r="M14" i="33"/>
  <c r="AG14" i="33"/>
  <c r="AI14" i="33"/>
  <c r="M15" i="33"/>
  <c r="AG15" i="33"/>
  <c r="AI15" i="33"/>
  <c r="M16" i="33"/>
  <c r="AG16" i="33"/>
  <c r="AI16" i="33"/>
  <c r="M17" i="33"/>
  <c r="AG17" i="33"/>
  <c r="AI17" i="33"/>
  <c r="M18" i="33"/>
  <c r="AG18" i="33"/>
  <c r="AI18" i="33"/>
  <c r="M19" i="33"/>
  <c r="AG19" i="33"/>
  <c r="AI19" i="33"/>
  <c r="M20" i="33"/>
  <c r="AG20" i="33"/>
  <c r="AI20" i="33"/>
  <c r="M21" i="33"/>
  <c r="AG21" i="33"/>
  <c r="AI21" i="33"/>
  <c r="M22" i="33"/>
  <c r="AG22" i="33"/>
  <c r="AI22" i="33"/>
  <c r="M23" i="33"/>
  <c r="AG23" i="33"/>
  <c r="AI23" i="33"/>
  <c r="M24" i="33"/>
  <c r="AG24" i="33"/>
  <c r="AI24" i="33"/>
  <c r="M25" i="33"/>
  <c r="AG25" i="33"/>
  <c r="AI25" i="33"/>
  <c r="M26" i="33"/>
  <c r="AG26" i="33"/>
  <c r="AI26" i="33"/>
  <c r="M27" i="33"/>
  <c r="AG27" i="33"/>
  <c r="AI27" i="33"/>
  <c r="M28" i="33"/>
  <c r="AG28" i="33"/>
  <c r="AI28" i="33"/>
  <c r="M29" i="33"/>
  <c r="AG29" i="33"/>
  <c r="AI29" i="33"/>
  <c r="M30" i="33"/>
  <c r="AG30" i="33"/>
  <c r="AI30" i="33"/>
  <c r="M31" i="33"/>
  <c r="AG31" i="33"/>
  <c r="AI31" i="33"/>
  <c r="M32" i="33"/>
  <c r="AG32" i="33"/>
  <c r="AI32" i="33"/>
  <c r="M33" i="33"/>
  <c r="AG33" i="33"/>
  <c r="AI33" i="33"/>
  <c r="M34" i="33"/>
  <c r="AG34" i="33"/>
  <c r="AI34" i="33"/>
  <c r="M35" i="33"/>
  <c r="AG35" i="33"/>
  <c r="AI35" i="33"/>
  <c r="M36" i="33"/>
  <c r="AG36" i="33"/>
  <c r="AI36" i="33"/>
  <c r="M37" i="33"/>
  <c r="AG37" i="33"/>
  <c r="AI37" i="33"/>
  <c r="M38" i="33"/>
  <c r="AG38" i="33"/>
  <c r="AI38" i="33"/>
  <c r="G50" i="33"/>
  <c r="F50" i="33"/>
  <c r="AX12" i="5"/>
  <c r="AI8" i="34"/>
  <c r="AI9" i="34"/>
  <c r="AI10" i="34"/>
  <c r="AI11" i="34"/>
  <c r="M12" i="34"/>
  <c r="AG12" i="34"/>
  <c r="AI12" i="34"/>
  <c r="M13" i="34"/>
  <c r="AG13" i="34"/>
  <c r="AI13" i="34"/>
  <c r="AI14" i="34"/>
  <c r="AI15" i="34"/>
  <c r="AI16" i="34"/>
  <c r="AI17" i="34"/>
  <c r="AI18" i="34"/>
  <c r="M19" i="34"/>
  <c r="AG19" i="34"/>
  <c r="AI19" i="34"/>
  <c r="M20" i="34"/>
  <c r="AG20" i="34"/>
  <c r="AI20" i="34"/>
  <c r="AI21" i="34"/>
  <c r="AI22" i="34"/>
  <c r="AI23" i="34"/>
  <c r="AI24" i="34"/>
  <c r="AI25" i="34"/>
  <c r="M26" i="34"/>
  <c r="AG26" i="34"/>
  <c r="AI26" i="34"/>
  <c r="M27" i="34"/>
  <c r="AG27" i="34"/>
  <c r="AI27" i="34"/>
  <c r="M28" i="34"/>
  <c r="AG28" i="34"/>
  <c r="AI28" i="34"/>
  <c r="AI29" i="34"/>
  <c r="AI30" i="34"/>
  <c r="AI31" i="34"/>
  <c r="M32" i="34"/>
  <c r="AG32" i="34"/>
  <c r="AI32" i="34"/>
  <c r="M33" i="34"/>
  <c r="AG33" i="34"/>
  <c r="AI33" i="34"/>
  <c r="M34" i="34"/>
  <c r="AG34" i="34"/>
  <c r="AI34" i="34"/>
  <c r="AI35" i="34"/>
  <c r="AI36" i="34"/>
  <c r="AI37" i="34"/>
  <c r="AI38" i="34"/>
  <c r="G50" i="34"/>
  <c r="F50" i="34"/>
  <c r="AX13" i="5"/>
  <c r="C13" i="35"/>
  <c r="M8" i="35"/>
  <c r="AG8" i="35"/>
  <c r="AI8" i="35"/>
  <c r="M9" i="35"/>
  <c r="AG9" i="35"/>
  <c r="AI9" i="35"/>
  <c r="M10" i="35"/>
  <c r="AG10" i="35"/>
  <c r="AI10" i="35"/>
  <c r="M11" i="35"/>
  <c r="AG11" i="35"/>
  <c r="AI11" i="35"/>
  <c r="M12" i="35"/>
  <c r="AG12" i="35"/>
  <c r="AI12" i="35"/>
  <c r="M13" i="35"/>
  <c r="AG13" i="35"/>
  <c r="AI13" i="35"/>
  <c r="M14" i="35"/>
  <c r="AG14" i="35"/>
  <c r="AI14" i="35"/>
  <c r="M15" i="35"/>
  <c r="AG15" i="35"/>
  <c r="AI15" i="35"/>
  <c r="M16" i="35"/>
  <c r="AG16" i="35"/>
  <c r="AI16" i="35"/>
  <c r="M17" i="35"/>
  <c r="AG17" i="35"/>
  <c r="AI17" i="35"/>
  <c r="M18" i="35"/>
  <c r="AG18" i="35"/>
  <c r="AI18" i="35"/>
  <c r="M19" i="35"/>
  <c r="AG19" i="35"/>
  <c r="AI19" i="35"/>
  <c r="M20" i="35"/>
  <c r="AG20" i="35"/>
  <c r="AI20" i="35"/>
  <c r="M21" i="35"/>
  <c r="AG21" i="35"/>
  <c r="AI21" i="35"/>
  <c r="M22" i="35"/>
  <c r="AG22" i="35"/>
  <c r="AI22" i="35"/>
  <c r="M23" i="35"/>
  <c r="AG23" i="35"/>
  <c r="AI23" i="35"/>
  <c r="M24" i="35"/>
  <c r="AG24" i="35"/>
  <c r="AI24" i="35"/>
  <c r="M25" i="35"/>
  <c r="AG25" i="35"/>
  <c r="AI25" i="35"/>
  <c r="M26" i="35"/>
  <c r="AG26" i="35"/>
  <c r="AI26" i="35"/>
  <c r="M27" i="35"/>
  <c r="AG27" i="35"/>
  <c r="AI27" i="35"/>
  <c r="M28" i="35"/>
  <c r="AG28" i="35"/>
  <c r="AI28" i="35"/>
  <c r="M29" i="35"/>
  <c r="AG29" i="35"/>
  <c r="AI29" i="35"/>
  <c r="M30" i="35"/>
  <c r="AG30" i="35"/>
  <c r="AI30" i="35"/>
  <c r="M31" i="35"/>
  <c r="AG31" i="35"/>
  <c r="AI31" i="35"/>
  <c r="M32" i="35"/>
  <c r="AG32" i="35"/>
  <c r="AI32" i="35"/>
  <c r="M33" i="35"/>
  <c r="AG33" i="35"/>
  <c r="AI33" i="35"/>
  <c r="M34" i="35"/>
  <c r="AG34" i="35"/>
  <c r="AI34" i="35"/>
  <c r="M35" i="35"/>
  <c r="AG35" i="35"/>
  <c r="AI35" i="35"/>
  <c r="M36" i="35"/>
  <c r="AG36" i="35"/>
  <c r="AI36" i="35"/>
  <c r="M37" i="35"/>
  <c r="AG37" i="35"/>
  <c r="AI37" i="35"/>
  <c r="M38" i="35"/>
  <c r="AG38" i="35"/>
  <c r="AI38" i="35"/>
  <c r="G50" i="35"/>
  <c r="F50" i="35"/>
  <c r="AX14" i="5"/>
  <c r="C14" i="36"/>
  <c r="M8" i="36"/>
  <c r="AG8" i="36"/>
  <c r="AI8" i="36"/>
  <c r="M9" i="36"/>
  <c r="AG9" i="36"/>
  <c r="AI9" i="36"/>
  <c r="M10" i="36"/>
  <c r="AG10" i="36"/>
  <c r="AI10" i="36"/>
  <c r="M11" i="36"/>
  <c r="AG11" i="36"/>
  <c r="AI11" i="36"/>
  <c r="M12" i="36"/>
  <c r="AG12" i="36"/>
  <c r="AI12" i="36"/>
  <c r="M13" i="36"/>
  <c r="AG13" i="36"/>
  <c r="AI13" i="36"/>
  <c r="M14" i="36"/>
  <c r="AG14" i="36"/>
  <c r="AI14" i="36"/>
  <c r="M15" i="36"/>
  <c r="AG15" i="36"/>
  <c r="AI15" i="36"/>
  <c r="M16" i="36"/>
  <c r="AG16" i="36"/>
  <c r="AI16" i="36"/>
  <c r="M17" i="36"/>
  <c r="AG17" i="36"/>
  <c r="AI17" i="36"/>
  <c r="M18" i="36"/>
  <c r="AG18" i="36"/>
  <c r="AI18" i="36"/>
  <c r="M19" i="36"/>
  <c r="AG19" i="36"/>
  <c r="AI19" i="36"/>
  <c r="M20" i="36"/>
  <c r="AG20" i="36"/>
  <c r="AI20" i="36"/>
  <c r="M21" i="36"/>
  <c r="AG21" i="36"/>
  <c r="AI21" i="36"/>
  <c r="M22" i="36"/>
  <c r="AG22" i="36"/>
  <c r="AI22" i="36"/>
  <c r="M23" i="36"/>
  <c r="AG23" i="36"/>
  <c r="AI23" i="36"/>
  <c r="M24" i="36"/>
  <c r="AG24" i="36"/>
  <c r="AI24" i="36"/>
  <c r="M25" i="36"/>
  <c r="AG25" i="36"/>
  <c r="AI25" i="36"/>
  <c r="M26" i="36"/>
  <c r="AG26" i="36"/>
  <c r="AI26" i="36"/>
  <c r="M27" i="36"/>
  <c r="AG27" i="36"/>
  <c r="AI27" i="36"/>
  <c r="M28" i="36"/>
  <c r="AG28" i="36"/>
  <c r="AI28" i="36"/>
  <c r="M29" i="36"/>
  <c r="AG29" i="36"/>
  <c r="AI29" i="36"/>
  <c r="M30" i="36"/>
  <c r="AG30" i="36"/>
  <c r="AI30" i="36"/>
  <c r="M31" i="36"/>
  <c r="AG31" i="36"/>
  <c r="AI31" i="36"/>
  <c r="M32" i="36"/>
  <c r="AG32" i="36"/>
  <c r="AI32" i="36"/>
  <c r="M33" i="36"/>
  <c r="AG33" i="36"/>
  <c r="AI33" i="36"/>
  <c r="M34" i="36"/>
  <c r="AG34" i="36"/>
  <c r="AI34" i="36"/>
  <c r="M35" i="36"/>
  <c r="AG35" i="36"/>
  <c r="AI35" i="36"/>
  <c r="M36" i="36"/>
  <c r="AG36" i="36"/>
  <c r="AI36" i="36"/>
  <c r="M37" i="36"/>
  <c r="AG37" i="36"/>
  <c r="AI37" i="36"/>
  <c r="M38" i="36"/>
  <c r="AG38" i="36"/>
  <c r="AI38" i="36"/>
  <c r="G50" i="36"/>
  <c r="F50" i="36"/>
  <c r="AX15" i="5"/>
  <c r="C15" i="37"/>
  <c r="M8" i="37"/>
  <c r="AG8" i="37"/>
  <c r="AI8" i="37"/>
  <c r="M9" i="37"/>
  <c r="AG9" i="37"/>
  <c r="AI9" i="37"/>
  <c r="M10" i="37"/>
  <c r="AG10" i="37"/>
  <c r="AI10" i="37"/>
  <c r="M11" i="37"/>
  <c r="AG11" i="37"/>
  <c r="AI11" i="37"/>
  <c r="M12" i="37"/>
  <c r="AG12" i="37"/>
  <c r="AI12" i="37"/>
  <c r="M13" i="37"/>
  <c r="AG13" i="37"/>
  <c r="AI13" i="37"/>
  <c r="M14" i="37"/>
  <c r="AG14" i="37"/>
  <c r="AI14" i="37"/>
  <c r="M15" i="37"/>
  <c r="AG15" i="37"/>
  <c r="AI15" i="37"/>
  <c r="M16" i="37"/>
  <c r="AG16" i="37"/>
  <c r="AI16" i="37"/>
  <c r="M17" i="37"/>
  <c r="AG17" i="37"/>
  <c r="AI17" i="37"/>
  <c r="M18" i="37"/>
  <c r="AG18" i="37"/>
  <c r="AI18" i="37"/>
  <c r="M19" i="37"/>
  <c r="AG19" i="37"/>
  <c r="AI19" i="37"/>
  <c r="M20" i="37"/>
  <c r="AG20" i="37"/>
  <c r="AI20" i="37"/>
  <c r="M21" i="37"/>
  <c r="AG21" i="37"/>
  <c r="AI21" i="37"/>
  <c r="M22" i="37"/>
  <c r="AG22" i="37"/>
  <c r="AI22" i="37"/>
  <c r="M23" i="37"/>
  <c r="AG23" i="37"/>
  <c r="AI23" i="37"/>
  <c r="M24" i="37"/>
  <c r="AG24" i="37"/>
  <c r="AI24" i="37"/>
  <c r="M25" i="37"/>
  <c r="AG25" i="37"/>
  <c r="AI25" i="37"/>
  <c r="M26" i="37"/>
  <c r="AG26" i="37"/>
  <c r="AI26" i="37"/>
  <c r="M27" i="37"/>
  <c r="AG27" i="37"/>
  <c r="AI27" i="37"/>
  <c r="M28" i="37"/>
  <c r="AG28" i="37"/>
  <c r="AI28" i="37"/>
  <c r="M29" i="37"/>
  <c r="AG29" i="37"/>
  <c r="AI29" i="37"/>
  <c r="M30" i="37"/>
  <c r="AG30" i="37"/>
  <c r="AI30" i="37"/>
  <c r="M31" i="37"/>
  <c r="AG31" i="37"/>
  <c r="AI31" i="37"/>
  <c r="M32" i="37"/>
  <c r="AG32" i="37"/>
  <c r="AI32" i="37"/>
  <c r="M33" i="37"/>
  <c r="AG33" i="37"/>
  <c r="AI33" i="37"/>
  <c r="M34" i="37"/>
  <c r="AG34" i="37"/>
  <c r="AI34" i="37"/>
  <c r="M35" i="37"/>
  <c r="AG35" i="37"/>
  <c r="AI35" i="37"/>
  <c r="M36" i="37"/>
  <c r="AG36" i="37"/>
  <c r="AI36" i="37"/>
  <c r="M37" i="37"/>
  <c r="AG37" i="37"/>
  <c r="AI37" i="37"/>
  <c r="M38" i="37"/>
  <c r="AG38" i="37"/>
  <c r="AI38" i="37"/>
  <c r="G50" i="37"/>
  <c r="F50" i="37"/>
  <c r="AX16" i="5"/>
  <c r="C16" i="38"/>
  <c r="M8" i="38"/>
  <c r="AG8" i="38"/>
  <c r="AI8" i="38"/>
  <c r="M9" i="38"/>
  <c r="AG9" i="38"/>
  <c r="AI9" i="38"/>
  <c r="M10" i="38"/>
  <c r="AG10" i="38"/>
  <c r="AI10" i="38"/>
  <c r="M11" i="38"/>
  <c r="AG11" i="38"/>
  <c r="AI11" i="38"/>
  <c r="M12" i="38"/>
  <c r="AG12" i="38"/>
  <c r="AI12" i="38"/>
  <c r="M13" i="38"/>
  <c r="AG13" i="38"/>
  <c r="AI13" i="38"/>
  <c r="M14" i="38"/>
  <c r="AG14" i="38"/>
  <c r="AI14" i="38"/>
  <c r="M15" i="38"/>
  <c r="AG15" i="38"/>
  <c r="AI15" i="38"/>
  <c r="M16" i="38"/>
  <c r="AG16" i="38"/>
  <c r="AI16" i="38"/>
  <c r="M17" i="38"/>
  <c r="AG17" i="38"/>
  <c r="AI17" i="38"/>
  <c r="M18" i="38"/>
  <c r="AG18" i="38"/>
  <c r="AI18" i="38"/>
  <c r="M19" i="38"/>
  <c r="AG19" i="38"/>
  <c r="AI19" i="38"/>
  <c r="M20" i="38"/>
  <c r="AG20" i="38"/>
  <c r="AI20" i="38"/>
  <c r="M21" i="38"/>
  <c r="AG21" i="38"/>
  <c r="AI21" i="38"/>
  <c r="M22" i="38"/>
  <c r="AG22" i="38"/>
  <c r="AI22" i="38"/>
  <c r="M23" i="38"/>
  <c r="AG23" i="38"/>
  <c r="AI23" i="38"/>
  <c r="M24" i="38"/>
  <c r="AG24" i="38"/>
  <c r="AI24" i="38"/>
  <c r="M25" i="38"/>
  <c r="AG25" i="38"/>
  <c r="AI25" i="38"/>
  <c r="M26" i="38"/>
  <c r="AG26" i="38"/>
  <c r="AI26" i="38"/>
  <c r="M27" i="38"/>
  <c r="AG27" i="38"/>
  <c r="AI27" i="38"/>
  <c r="M28" i="38"/>
  <c r="AG28" i="38"/>
  <c r="AI28" i="38"/>
  <c r="M29" i="38"/>
  <c r="AG29" i="38"/>
  <c r="AI29" i="38"/>
  <c r="M30" i="38"/>
  <c r="AG30" i="38"/>
  <c r="AI30" i="38"/>
  <c r="M31" i="38"/>
  <c r="AG31" i="38"/>
  <c r="AI31" i="38"/>
  <c r="M32" i="38"/>
  <c r="AG32" i="38"/>
  <c r="AI32" i="38"/>
  <c r="M33" i="38"/>
  <c r="AG33" i="38"/>
  <c r="AI33" i="38"/>
  <c r="M34" i="38"/>
  <c r="AG34" i="38"/>
  <c r="AI34" i="38"/>
  <c r="M35" i="38"/>
  <c r="AG35" i="38"/>
  <c r="AI35" i="38"/>
  <c r="M36" i="38"/>
  <c r="AG36" i="38"/>
  <c r="AI36" i="38"/>
  <c r="M37" i="38"/>
  <c r="AG37" i="38"/>
  <c r="AI37" i="38"/>
  <c r="M38" i="38"/>
  <c r="AG38" i="38"/>
  <c r="AI38" i="38"/>
  <c r="G50" i="38"/>
  <c r="F50" i="38"/>
  <c r="AX17" i="5"/>
  <c r="C17" i="39"/>
  <c r="M8" i="39"/>
  <c r="AG8" i="39"/>
  <c r="AI8" i="39"/>
  <c r="M9" i="39"/>
  <c r="AG9" i="39"/>
  <c r="AI9" i="39"/>
  <c r="M10" i="39"/>
  <c r="AG10" i="39"/>
  <c r="AI10" i="39"/>
  <c r="M11" i="39"/>
  <c r="AG11" i="39"/>
  <c r="AI11" i="39"/>
  <c r="M12" i="39"/>
  <c r="AG12" i="39"/>
  <c r="AI12" i="39"/>
  <c r="M13" i="39"/>
  <c r="AG13" i="39"/>
  <c r="AI13" i="39"/>
  <c r="M14" i="39"/>
  <c r="AG14" i="39"/>
  <c r="AI14" i="39"/>
  <c r="M15" i="39"/>
  <c r="AG15" i="39"/>
  <c r="AI15" i="39"/>
  <c r="M16" i="39"/>
  <c r="AG16" i="39"/>
  <c r="AI16" i="39"/>
  <c r="M17" i="39"/>
  <c r="AG17" i="39"/>
  <c r="AI17" i="39"/>
  <c r="M18" i="39"/>
  <c r="AG18" i="39"/>
  <c r="AI18" i="39"/>
  <c r="M19" i="39"/>
  <c r="AG19" i="39"/>
  <c r="AI19" i="39"/>
  <c r="M20" i="39"/>
  <c r="AG20" i="39"/>
  <c r="AI20" i="39"/>
  <c r="M21" i="39"/>
  <c r="AG21" i="39"/>
  <c r="AI21" i="39"/>
  <c r="M22" i="39"/>
  <c r="AG22" i="39"/>
  <c r="AI22" i="39"/>
  <c r="M23" i="39"/>
  <c r="AG23" i="39"/>
  <c r="AI23" i="39"/>
  <c r="M24" i="39"/>
  <c r="AG24" i="39"/>
  <c r="AI24" i="39"/>
  <c r="M25" i="39"/>
  <c r="AG25" i="39"/>
  <c r="AI25" i="39"/>
  <c r="M26" i="39"/>
  <c r="AG26" i="39"/>
  <c r="AI26" i="39"/>
  <c r="M27" i="39"/>
  <c r="AG27" i="39"/>
  <c r="AI27" i="39"/>
  <c r="M28" i="39"/>
  <c r="AG28" i="39"/>
  <c r="AI28" i="39"/>
  <c r="M29" i="39"/>
  <c r="AG29" i="39"/>
  <c r="AI29" i="39"/>
  <c r="M30" i="39"/>
  <c r="AG30" i="39"/>
  <c r="AI30" i="39"/>
  <c r="M31" i="39"/>
  <c r="AG31" i="39"/>
  <c r="AI31" i="39"/>
  <c r="M32" i="39"/>
  <c r="AG32" i="39"/>
  <c r="AI32" i="39"/>
  <c r="M33" i="39"/>
  <c r="AG33" i="39"/>
  <c r="AI33" i="39"/>
  <c r="M34" i="39"/>
  <c r="AG34" i="39"/>
  <c r="AI34" i="39"/>
  <c r="M35" i="39"/>
  <c r="AG35" i="39"/>
  <c r="AI35" i="39"/>
  <c r="M36" i="39"/>
  <c r="AG36" i="39"/>
  <c r="AI36" i="39"/>
  <c r="M37" i="39"/>
  <c r="AG37" i="39"/>
  <c r="AI37" i="39"/>
  <c r="M38" i="39"/>
  <c r="AG38" i="39"/>
  <c r="AI38" i="39"/>
  <c r="G50" i="39"/>
  <c r="F50" i="39"/>
  <c r="AX18" i="5"/>
  <c r="C18" i="40"/>
  <c r="M8" i="40"/>
  <c r="AG8" i="40"/>
  <c r="AI8" i="40"/>
  <c r="M9" i="40"/>
  <c r="AG9" i="40"/>
  <c r="AI9" i="40"/>
  <c r="M10" i="40"/>
  <c r="AG10" i="40"/>
  <c r="AI10" i="40"/>
  <c r="M11" i="40"/>
  <c r="AG11" i="40"/>
  <c r="AI11" i="40"/>
  <c r="M12" i="40"/>
  <c r="AG12" i="40"/>
  <c r="AI12" i="40"/>
  <c r="M13" i="40"/>
  <c r="AG13" i="40"/>
  <c r="AI13" i="40"/>
  <c r="M14" i="40"/>
  <c r="AG14" i="40"/>
  <c r="AI14" i="40"/>
  <c r="M15" i="40"/>
  <c r="AG15" i="40"/>
  <c r="AI15" i="40"/>
  <c r="M16" i="40"/>
  <c r="AG16" i="40"/>
  <c r="AI16" i="40"/>
  <c r="M17" i="40"/>
  <c r="AG17" i="40"/>
  <c r="AI17" i="40"/>
  <c r="M18" i="40"/>
  <c r="AG18" i="40"/>
  <c r="AI18" i="40"/>
  <c r="M19" i="40"/>
  <c r="AG19" i="40"/>
  <c r="AI19" i="40"/>
  <c r="M20" i="40"/>
  <c r="AG20" i="40"/>
  <c r="AI20" i="40"/>
  <c r="M21" i="40"/>
  <c r="AG21" i="40"/>
  <c r="AI21" i="40"/>
  <c r="M22" i="40"/>
  <c r="AG22" i="40"/>
  <c r="AI22" i="40"/>
  <c r="M23" i="40"/>
  <c r="AG23" i="40"/>
  <c r="AI23" i="40"/>
  <c r="M24" i="40"/>
  <c r="AG24" i="40"/>
  <c r="AI24" i="40"/>
  <c r="M25" i="40"/>
  <c r="AG25" i="40"/>
  <c r="AI25" i="40"/>
  <c r="M26" i="40"/>
  <c r="AG26" i="40"/>
  <c r="AI26" i="40"/>
  <c r="M27" i="40"/>
  <c r="AG27" i="40"/>
  <c r="AI27" i="40"/>
  <c r="M28" i="40"/>
  <c r="AG28" i="40"/>
  <c r="AI28" i="40"/>
  <c r="M29" i="40"/>
  <c r="AG29" i="40"/>
  <c r="AI29" i="40"/>
  <c r="M30" i="40"/>
  <c r="AG30" i="40"/>
  <c r="AI30" i="40"/>
  <c r="M31" i="40"/>
  <c r="AG31" i="40"/>
  <c r="AI31" i="40"/>
  <c r="M32" i="40"/>
  <c r="AG32" i="40"/>
  <c r="AI32" i="40"/>
  <c r="M33" i="40"/>
  <c r="AG33" i="40"/>
  <c r="AI33" i="40"/>
  <c r="M34" i="40"/>
  <c r="AG34" i="40"/>
  <c r="AI34" i="40"/>
  <c r="M35" i="40"/>
  <c r="AG35" i="40"/>
  <c r="AI35" i="40"/>
  <c r="M36" i="40"/>
  <c r="AG36" i="40"/>
  <c r="AI36" i="40"/>
  <c r="M37" i="40"/>
  <c r="AG37" i="40"/>
  <c r="AI37" i="40"/>
  <c r="M38" i="40"/>
  <c r="AG38" i="40"/>
  <c r="AI38" i="40"/>
  <c r="G50" i="40"/>
  <c r="F50" i="40"/>
  <c r="AX19" i="5"/>
  <c r="C19" i="41"/>
  <c r="M8" i="41"/>
  <c r="AG8" i="41"/>
  <c r="AI8" i="41"/>
  <c r="M9" i="41"/>
  <c r="AG9" i="41"/>
  <c r="AI9" i="41"/>
  <c r="M10" i="41"/>
  <c r="AG10" i="41"/>
  <c r="AI10" i="41"/>
  <c r="M11" i="41"/>
  <c r="AG11" i="41"/>
  <c r="AI11" i="41"/>
  <c r="M12" i="41"/>
  <c r="AG12" i="41"/>
  <c r="AI12" i="41"/>
  <c r="M13" i="41"/>
  <c r="AG13" i="41"/>
  <c r="AI13" i="41"/>
  <c r="M14" i="41"/>
  <c r="AG14" i="41"/>
  <c r="AI14" i="41"/>
  <c r="M15" i="41"/>
  <c r="AG15" i="41"/>
  <c r="AI15" i="41"/>
  <c r="M16" i="41"/>
  <c r="AG16" i="41"/>
  <c r="AI16" i="41"/>
  <c r="M17" i="41"/>
  <c r="AG17" i="41"/>
  <c r="AI17" i="41"/>
  <c r="M18" i="41"/>
  <c r="AG18" i="41"/>
  <c r="AI18" i="41"/>
  <c r="M19" i="41"/>
  <c r="AG19" i="41"/>
  <c r="AI19" i="41"/>
  <c r="M20" i="41"/>
  <c r="AG20" i="41"/>
  <c r="AI20" i="41"/>
  <c r="M21" i="41"/>
  <c r="AG21" i="41"/>
  <c r="AI21" i="41"/>
  <c r="M22" i="41"/>
  <c r="AG22" i="41"/>
  <c r="AI22" i="41"/>
  <c r="M23" i="41"/>
  <c r="AG23" i="41"/>
  <c r="AI23" i="41"/>
  <c r="M24" i="41"/>
  <c r="AG24" i="41"/>
  <c r="AI24" i="41"/>
  <c r="M25" i="41"/>
  <c r="AG25" i="41"/>
  <c r="AI25" i="41"/>
  <c r="M26" i="41"/>
  <c r="AG26" i="41"/>
  <c r="AI26" i="41"/>
  <c r="M27" i="41"/>
  <c r="AG27" i="41"/>
  <c r="AI27" i="41"/>
  <c r="M28" i="41"/>
  <c r="AG28" i="41"/>
  <c r="AI28" i="41"/>
  <c r="M29" i="41"/>
  <c r="AG29" i="41"/>
  <c r="AI29" i="41"/>
  <c r="M30" i="41"/>
  <c r="AG30" i="41"/>
  <c r="AI30" i="41"/>
  <c r="M31" i="41"/>
  <c r="AG31" i="41"/>
  <c r="AI31" i="41"/>
  <c r="M32" i="41"/>
  <c r="AG32" i="41"/>
  <c r="AI32" i="41"/>
  <c r="M33" i="41"/>
  <c r="AG33" i="41"/>
  <c r="AI33" i="41"/>
  <c r="M34" i="41"/>
  <c r="AG34" i="41"/>
  <c r="AI34" i="41"/>
  <c r="M35" i="41"/>
  <c r="AG35" i="41"/>
  <c r="AI35" i="41"/>
  <c r="M36" i="41"/>
  <c r="AG36" i="41"/>
  <c r="AI36" i="41"/>
  <c r="M37" i="41"/>
  <c r="AG37" i="41"/>
  <c r="AI37" i="41"/>
  <c r="M38" i="41"/>
  <c r="AG38" i="41"/>
  <c r="AI38" i="41"/>
  <c r="G50" i="41"/>
  <c r="F50" i="41"/>
  <c r="AX20" i="5"/>
  <c r="C20" i="42"/>
  <c r="M8" i="42"/>
  <c r="AG8" i="42"/>
  <c r="AI8" i="42"/>
  <c r="M9" i="42"/>
  <c r="AG9" i="42"/>
  <c r="AI9" i="42"/>
  <c r="M10" i="42"/>
  <c r="AG10" i="42"/>
  <c r="AI10" i="42"/>
  <c r="M11" i="42"/>
  <c r="AG11" i="42"/>
  <c r="AI11" i="42"/>
  <c r="M12" i="42"/>
  <c r="AG12" i="42"/>
  <c r="AI12" i="42"/>
  <c r="M13" i="42"/>
  <c r="AG13" i="42"/>
  <c r="AI13" i="42"/>
  <c r="M14" i="42"/>
  <c r="AG14" i="42"/>
  <c r="AI14" i="42"/>
  <c r="M15" i="42"/>
  <c r="AG15" i="42"/>
  <c r="AI15" i="42"/>
  <c r="M16" i="42"/>
  <c r="AG16" i="42"/>
  <c r="AI16" i="42"/>
  <c r="M17" i="42"/>
  <c r="AG17" i="42"/>
  <c r="AI17" i="42"/>
  <c r="M18" i="42"/>
  <c r="AG18" i="42"/>
  <c r="AI18" i="42"/>
  <c r="M19" i="42"/>
  <c r="AG19" i="42"/>
  <c r="AI19" i="42"/>
  <c r="M20" i="42"/>
  <c r="AG20" i="42"/>
  <c r="AI20" i="42"/>
  <c r="M21" i="42"/>
  <c r="AG21" i="42"/>
  <c r="AI21" i="42"/>
  <c r="M22" i="42"/>
  <c r="AG22" i="42"/>
  <c r="AI22" i="42"/>
  <c r="M23" i="42"/>
  <c r="AG23" i="42"/>
  <c r="AI23" i="42"/>
  <c r="M24" i="42"/>
  <c r="AG24" i="42"/>
  <c r="AI24" i="42"/>
  <c r="M25" i="42"/>
  <c r="AG25" i="42"/>
  <c r="AI25" i="42"/>
  <c r="M26" i="42"/>
  <c r="AG26" i="42"/>
  <c r="AI26" i="42"/>
  <c r="M27" i="42"/>
  <c r="AG27" i="42"/>
  <c r="AI27" i="42"/>
  <c r="M28" i="42"/>
  <c r="AG28" i="42"/>
  <c r="AI28" i="42"/>
  <c r="M29" i="42"/>
  <c r="AG29" i="42"/>
  <c r="AI29" i="42"/>
  <c r="M30" i="42"/>
  <c r="AG30" i="42"/>
  <c r="AI30" i="42"/>
  <c r="M31" i="42"/>
  <c r="AG31" i="42"/>
  <c r="AI31" i="42"/>
  <c r="M32" i="42"/>
  <c r="AG32" i="42"/>
  <c r="AI32" i="42"/>
  <c r="M33" i="42"/>
  <c r="AG33" i="42"/>
  <c r="AI33" i="42"/>
  <c r="M34" i="42"/>
  <c r="AG34" i="42"/>
  <c r="AI34" i="42"/>
  <c r="M35" i="42"/>
  <c r="AG35" i="42"/>
  <c r="AI35" i="42"/>
  <c r="M36" i="42"/>
  <c r="AG36" i="42"/>
  <c r="AI36" i="42"/>
  <c r="M37" i="42"/>
  <c r="AG37" i="42"/>
  <c r="AI37" i="42"/>
  <c r="M38" i="42"/>
  <c r="AG38" i="42"/>
  <c r="AI38" i="42"/>
  <c r="G50" i="42"/>
  <c r="F50" i="42"/>
  <c r="AX21" i="5"/>
  <c r="C21" i="43"/>
  <c r="M8" i="43"/>
  <c r="AG8" i="43"/>
  <c r="AI8" i="43"/>
  <c r="M9" i="43"/>
  <c r="AG9" i="43"/>
  <c r="AI9" i="43"/>
  <c r="M10" i="43"/>
  <c r="AG10" i="43"/>
  <c r="AI10" i="43"/>
  <c r="M11" i="43"/>
  <c r="AG11" i="43"/>
  <c r="AI11" i="43"/>
  <c r="M12" i="43"/>
  <c r="AG12" i="43"/>
  <c r="AI12" i="43"/>
  <c r="M13" i="43"/>
  <c r="AG13" i="43"/>
  <c r="AI13" i="43"/>
  <c r="M14" i="43"/>
  <c r="AG14" i="43"/>
  <c r="AI14" i="43"/>
  <c r="M15" i="43"/>
  <c r="AG15" i="43"/>
  <c r="AI15" i="43"/>
  <c r="M16" i="43"/>
  <c r="AG16" i="43"/>
  <c r="AI16" i="43"/>
  <c r="M17" i="43"/>
  <c r="AG17" i="43"/>
  <c r="AI17" i="43"/>
  <c r="M18" i="43"/>
  <c r="AG18" i="43"/>
  <c r="AI18" i="43"/>
  <c r="M19" i="43"/>
  <c r="AG19" i="43"/>
  <c r="AI19" i="43"/>
  <c r="M20" i="43"/>
  <c r="AG20" i="43"/>
  <c r="AI20" i="43"/>
  <c r="M21" i="43"/>
  <c r="AG21" i="43"/>
  <c r="AI21" i="43"/>
  <c r="M22" i="43"/>
  <c r="AG22" i="43"/>
  <c r="AI22" i="43"/>
  <c r="M23" i="43"/>
  <c r="AG23" i="43"/>
  <c r="AI23" i="43"/>
  <c r="M24" i="43"/>
  <c r="AG24" i="43"/>
  <c r="AI24" i="43"/>
  <c r="M25" i="43"/>
  <c r="AG25" i="43"/>
  <c r="AI25" i="43"/>
  <c r="M26" i="43"/>
  <c r="AG26" i="43"/>
  <c r="AI26" i="43"/>
  <c r="M27" i="43"/>
  <c r="AG27" i="43"/>
  <c r="AI27" i="43"/>
  <c r="M28" i="43"/>
  <c r="AG28" i="43"/>
  <c r="AI28" i="43"/>
  <c r="M29" i="43"/>
  <c r="AG29" i="43"/>
  <c r="AI29" i="43"/>
  <c r="M30" i="43"/>
  <c r="AG30" i="43"/>
  <c r="AI30" i="43"/>
  <c r="M31" i="43"/>
  <c r="AG31" i="43"/>
  <c r="AI31" i="43"/>
  <c r="M32" i="43"/>
  <c r="AG32" i="43"/>
  <c r="AI32" i="43"/>
  <c r="M33" i="43"/>
  <c r="AG33" i="43"/>
  <c r="AI33" i="43"/>
  <c r="M34" i="43"/>
  <c r="AG34" i="43"/>
  <c r="AI34" i="43"/>
  <c r="M35" i="43"/>
  <c r="AG35" i="43"/>
  <c r="AI35" i="43"/>
  <c r="M36" i="43"/>
  <c r="AG36" i="43"/>
  <c r="AI36" i="43"/>
  <c r="M37" i="43"/>
  <c r="AG37" i="43"/>
  <c r="AI37" i="43"/>
  <c r="M38" i="43"/>
  <c r="AG38" i="43"/>
  <c r="AI38" i="43"/>
  <c r="G50" i="43"/>
  <c r="F50" i="43"/>
  <c r="AX22" i="5"/>
  <c r="C22" i="44"/>
  <c r="M8" i="44"/>
  <c r="AG8" i="44"/>
  <c r="AI8" i="44"/>
  <c r="M9" i="44"/>
  <c r="AG9" i="44"/>
  <c r="AI9" i="44"/>
  <c r="M10" i="44"/>
  <c r="AG10" i="44"/>
  <c r="AI10" i="44"/>
  <c r="M11" i="44"/>
  <c r="AG11" i="44"/>
  <c r="AI11" i="44"/>
  <c r="M12" i="44"/>
  <c r="AG12" i="44"/>
  <c r="AI12" i="44"/>
  <c r="M13" i="44"/>
  <c r="AG13" i="44"/>
  <c r="AI13" i="44"/>
  <c r="M14" i="44"/>
  <c r="AG14" i="44"/>
  <c r="AI14" i="44"/>
  <c r="M15" i="44"/>
  <c r="AG15" i="44"/>
  <c r="AI15" i="44"/>
  <c r="M16" i="44"/>
  <c r="AG16" i="44"/>
  <c r="AI16" i="44"/>
  <c r="M17" i="44"/>
  <c r="AG17" i="44"/>
  <c r="AI17" i="44"/>
  <c r="M18" i="44"/>
  <c r="AG18" i="44"/>
  <c r="AI18" i="44"/>
  <c r="M19" i="44"/>
  <c r="AG19" i="44"/>
  <c r="AI19" i="44"/>
  <c r="M20" i="44"/>
  <c r="AG20" i="44"/>
  <c r="AI20" i="44"/>
  <c r="M21" i="44"/>
  <c r="AG21" i="44"/>
  <c r="AI21" i="44"/>
  <c r="M22" i="44"/>
  <c r="AG22" i="44"/>
  <c r="AI22" i="44"/>
  <c r="M23" i="44"/>
  <c r="AG23" i="44"/>
  <c r="AI23" i="44"/>
  <c r="M24" i="44"/>
  <c r="AG24" i="44"/>
  <c r="AI24" i="44"/>
  <c r="M25" i="44"/>
  <c r="AG25" i="44"/>
  <c r="AI25" i="44"/>
  <c r="M26" i="44"/>
  <c r="AG26" i="44"/>
  <c r="AI26" i="44"/>
  <c r="M27" i="44"/>
  <c r="AG27" i="44"/>
  <c r="AI27" i="44"/>
  <c r="M28" i="44"/>
  <c r="AG28" i="44"/>
  <c r="AI28" i="44"/>
  <c r="M29" i="44"/>
  <c r="AG29" i="44"/>
  <c r="AI29" i="44"/>
  <c r="M30" i="44"/>
  <c r="AG30" i="44"/>
  <c r="AI30" i="44"/>
  <c r="M31" i="44"/>
  <c r="AG31" i="44"/>
  <c r="AI31" i="44"/>
  <c r="M32" i="44"/>
  <c r="AG32" i="44"/>
  <c r="AI32" i="44"/>
  <c r="M33" i="44"/>
  <c r="AG33" i="44"/>
  <c r="AI33" i="44"/>
  <c r="M34" i="44"/>
  <c r="AG34" i="44"/>
  <c r="AI34" i="44"/>
  <c r="M35" i="44"/>
  <c r="AG35" i="44"/>
  <c r="AI35" i="44"/>
  <c r="M36" i="44"/>
  <c r="AG36" i="44"/>
  <c r="AI36" i="44"/>
  <c r="M37" i="44"/>
  <c r="AG37" i="44"/>
  <c r="AI37" i="44"/>
  <c r="M38" i="44"/>
  <c r="AG38" i="44"/>
  <c r="AI38" i="44"/>
  <c r="G50" i="44"/>
  <c r="F50" i="44"/>
  <c r="AX23" i="5"/>
  <c r="C23" i="45"/>
  <c r="M8" i="45"/>
  <c r="AG8" i="45"/>
  <c r="AI8" i="45"/>
  <c r="M9" i="45"/>
  <c r="AG9" i="45"/>
  <c r="AI9" i="45"/>
  <c r="M10" i="45"/>
  <c r="AG10" i="45"/>
  <c r="AI10" i="45"/>
  <c r="M11" i="45"/>
  <c r="AG11" i="45"/>
  <c r="AI11" i="45"/>
  <c r="M12" i="45"/>
  <c r="AG12" i="45"/>
  <c r="AI12" i="45"/>
  <c r="M13" i="45"/>
  <c r="AG13" i="45"/>
  <c r="AI13" i="45"/>
  <c r="M14" i="45"/>
  <c r="AG14" i="45"/>
  <c r="AI14" i="45"/>
  <c r="M15" i="45"/>
  <c r="AG15" i="45"/>
  <c r="AI15" i="45"/>
  <c r="M16" i="45"/>
  <c r="AG16" i="45"/>
  <c r="AI16" i="45"/>
  <c r="M17" i="45"/>
  <c r="AG17" i="45"/>
  <c r="AI17" i="45"/>
  <c r="M18" i="45"/>
  <c r="AG18" i="45"/>
  <c r="AI18" i="45"/>
  <c r="M19" i="45"/>
  <c r="AG19" i="45"/>
  <c r="AI19" i="45"/>
  <c r="M20" i="45"/>
  <c r="AG20" i="45"/>
  <c r="AI20" i="45"/>
  <c r="M21" i="45"/>
  <c r="AG21" i="45"/>
  <c r="AI21" i="45"/>
  <c r="M22" i="45"/>
  <c r="AG22" i="45"/>
  <c r="AI22" i="45"/>
  <c r="M23" i="45"/>
  <c r="AG23" i="45"/>
  <c r="AI23" i="45"/>
  <c r="M24" i="45"/>
  <c r="AG24" i="45"/>
  <c r="AI24" i="45"/>
  <c r="M25" i="45"/>
  <c r="AG25" i="45"/>
  <c r="AI25" i="45"/>
  <c r="M26" i="45"/>
  <c r="AG26" i="45"/>
  <c r="AI26" i="45"/>
  <c r="M27" i="45"/>
  <c r="AG27" i="45"/>
  <c r="AI27" i="45"/>
  <c r="M28" i="45"/>
  <c r="AG28" i="45"/>
  <c r="AI28" i="45"/>
  <c r="M29" i="45"/>
  <c r="AG29" i="45"/>
  <c r="AI29" i="45"/>
  <c r="M30" i="45"/>
  <c r="AG30" i="45"/>
  <c r="AI30" i="45"/>
  <c r="M31" i="45"/>
  <c r="AG31" i="45"/>
  <c r="AI31" i="45"/>
  <c r="M32" i="45"/>
  <c r="AG32" i="45"/>
  <c r="AI32" i="45"/>
  <c r="M33" i="45"/>
  <c r="AG33" i="45"/>
  <c r="AI33" i="45"/>
  <c r="M34" i="45"/>
  <c r="AG34" i="45"/>
  <c r="AI34" i="45"/>
  <c r="M35" i="45"/>
  <c r="AG35" i="45"/>
  <c r="AI35" i="45"/>
  <c r="M36" i="45"/>
  <c r="AG36" i="45"/>
  <c r="AI36" i="45"/>
  <c r="M37" i="45"/>
  <c r="AG37" i="45"/>
  <c r="AI37" i="45"/>
  <c r="M38" i="45"/>
  <c r="AG38" i="45"/>
  <c r="AI38" i="45"/>
  <c r="G50" i="45"/>
  <c r="F50" i="45"/>
  <c r="AX24" i="5"/>
  <c r="C24" i="46"/>
  <c r="M8" i="46"/>
  <c r="AG8" i="46"/>
  <c r="AI8" i="46"/>
  <c r="M9" i="46"/>
  <c r="AG9" i="46"/>
  <c r="AI9" i="46"/>
  <c r="M10" i="46"/>
  <c r="AG10" i="46"/>
  <c r="AI10" i="46"/>
  <c r="M11" i="46"/>
  <c r="AG11" i="46"/>
  <c r="AI11" i="46"/>
  <c r="M12" i="46"/>
  <c r="AG12" i="46"/>
  <c r="AI12" i="46"/>
  <c r="M13" i="46"/>
  <c r="AG13" i="46"/>
  <c r="AI13" i="46"/>
  <c r="M14" i="46"/>
  <c r="AG14" i="46"/>
  <c r="AI14" i="46"/>
  <c r="M15" i="46"/>
  <c r="AG15" i="46"/>
  <c r="AI15" i="46"/>
  <c r="M16" i="46"/>
  <c r="AG16" i="46"/>
  <c r="AI16" i="46"/>
  <c r="M17" i="46"/>
  <c r="AG17" i="46"/>
  <c r="AI17" i="46"/>
  <c r="M18" i="46"/>
  <c r="AG18" i="46"/>
  <c r="AI18" i="46"/>
  <c r="M19" i="46"/>
  <c r="AG19" i="46"/>
  <c r="AI19" i="46"/>
  <c r="M20" i="46"/>
  <c r="AG20" i="46"/>
  <c r="AI20" i="46"/>
  <c r="M21" i="46"/>
  <c r="AG21" i="46"/>
  <c r="AI21" i="46"/>
  <c r="M22" i="46"/>
  <c r="AG22" i="46"/>
  <c r="AI22" i="46"/>
  <c r="M23" i="46"/>
  <c r="AG23" i="46"/>
  <c r="AI23" i="46"/>
  <c r="M24" i="46"/>
  <c r="AG24" i="46"/>
  <c r="AI24" i="46"/>
  <c r="M25" i="46"/>
  <c r="AG25" i="46"/>
  <c r="AI25" i="46"/>
  <c r="M26" i="46"/>
  <c r="AG26" i="46"/>
  <c r="AI26" i="46"/>
  <c r="M27" i="46"/>
  <c r="AG27" i="46"/>
  <c r="AI27" i="46"/>
  <c r="M28" i="46"/>
  <c r="AG28" i="46"/>
  <c r="AI28" i="46"/>
  <c r="M29" i="46"/>
  <c r="AG29" i="46"/>
  <c r="AI29" i="46"/>
  <c r="M30" i="46"/>
  <c r="AG30" i="46"/>
  <c r="AI30" i="46"/>
  <c r="M31" i="46"/>
  <c r="AG31" i="46"/>
  <c r="AI31" i="46"/>
  <c r="M32" i="46"/>
  <c r="AG32" i="46"/>
  <c r="AI32" i="46"/>
  <c r="M33" i="46"/>
  <c r="AG33" i="46"/>
  <c r="AI33" i="46"/>
  <c r="M34" i="46"/>
  <c r="AG34" i="46"/>
  <c r="AI34" i="46"/>
  <c r="M35" i="46"/>
  <c r="AG35" i="46"/>
  <c r="AI35" i="46"/>
  <c r="M36" i="46"/>
  <c r="AG36" i="46"/>
  <c r="AI36" i="46"/>
  <c r="M37" i="46"/>
  <c r="AG37" i="46"/>
  <c r="AI37" i="46"/>
  <c r="M38" i="46"/>
  <c r="AG38" i="46"/>
  <c r="AI38" i="46"/>
  <c r="G50" i="46"/>
  <c r="F50" i="46"/>
  <c r="AX25" i="5"/>
  <c r="C25" i="47"/>
  <c r="M8" i="47"/>
  <c r="AG8" i="47"/>
  <c r="AI8" i="47"/>
  <c r="M9" i="47"/>
  <c r="AG9" i="47"/>
  <c r="AI9" i="47"/>
  <c r="M10" i="47"/>
  <c r="AG10" i="47"/>
  <c r="AI10" i="47"/>
  <c r="M11" i="47"/>
  <c r="AG11" i="47"/>
  <c r="AI11" i="47"/>
  <c r="M12" i="47"/>
  <c r="AG12" i="47"/>
  <c r="AI12" i="47"/>
  <c r="M13" i="47"/>
  <c r="AG13" i="47"/>
  <c r="AI13" i="47"/>
  <c r="M14" i="47"/>
  <c r="AG14" i="47"/>
  <c r="AI14" i="47"/>
  <c r="M15" i="47"/>
  <c r="AG15" i="47"/>
  <c r="AI15" i="47"/>
  <c r="M16" i="47"/>
  <c r="AG16" i="47"/>
  <c r="AI16" i="47"/>
  <c r="M17" i="47"/>
  <c r="AG17" i="47"/>
  <c r="AI17" i="47"/>
  <c r="M18" i="47"/>
  <c r="AG18" i="47"/>
  <c r="AI18" i="47"/>
  <c r="M19" i="47"/>
  <c r="AG19" i="47"/>
  <c r="AI19" i="47"/>
  <c r="M20" i="47"/>
  <c r="AG20" i="47"/>
  <c r="AI20" i="47"/>
  <c r="M21" i="47"/>
  <c r="AG21" i="47"/>
  <c r="AI21" i="47"/>
  <c r="M22" i="47"/>
  <c r="AG22" i="47"/>
  <c r="AI22" i="47"/>
  <c r="M23" i="47"/>
  <c r="AG23" i="47"/>
  <c r="AI23" i="47"/>
  <c r="M24" i="47"/>
  <c r="AG24" i="47"/>
  <c r="AI24" i="47"/>
  <c r="M25" i="47"/>
  <c r="AG25" i="47"/>
  <c r="AI25" i="47"/>
  <c r="M26" i="47"/>
  <c r="AG26" i="47"/>
  <c r="AI26" i="47"/>
  <c r="M27" i="47"/>
  <c r="AG27" i="47"/>
  <c r="AI27" i="47"/>
  <c r="M28" i="47"/>
  <c r="AG28" i="47"/>
  <c r="AI28" i="47"/>
  <c r="M29" i="47"/>
  <c r="AG29" i="47"/>
  <c r="AI29" i="47"/>
  <c r="M30" i="47"/>
  <c r="AG30" i="47"/>
  <c r="AI30" i="47"/>
  <c r="M31" i="47"/>
  <c r="AG31" i="47"/>
  <c r="AI31" i="47"/>
  <c r="M32" i="47"/>
  <c r="AG32" i="47"/>
  <c r="AI32" i="47"/>
  <c r="M33" i="47"/>
  <c r="AG33" i="47"/>
  <c r="AI33" i="47"/>
  <c r="M34" i="47"/>
  <c r="AG34" i="47"/>
  <c r="AI34" i="47"/>
  <c r="M35" i="47"/>
  <c r="AG35" i="47"/>
  <c r="AI35" i="47"/>
  <c r="M36" i="47"/>
  <c r="AG36" i="47"/>
  <c r="AI36" i="47"/>
  <c r="M37" i="47"/>
  <c r="AG37" i="47"/>
  <c r="AI37" i="47"/>
  <c r="M38" i="47"/>
  <c r="AG38" i="47"/>
  <c r="AI38" i="47"/>
  <c r="G50" i="47"/>
  <c r="F50" i="47"/>
  <c r="AX26" i="5"/>
  <c r="C26" i="48"/>
  <c r="M8" i="48"/>
  <c r="AG8" i="48"/>
  <c r="AI8" i="48"/>
  <c r="M9" i="48"/>
  <c r="AG9" i="48"/>
  <c r="AI9" i="48"/>
  <c r="M10" i="48"/>
  <c r="AG10" i="48"/>
  <c r="AI10" i="48"/>
  <c r="M11" i="48"/>
  <c r="AG11" i="48"/>
  <c r="AI11" i="48"/>
  <c r="M12" i="48"/>
  <c r="AG12" i="48"/>
  <c r="AI12" i="48"/>
  <c r="M13" i="48"/>
  <c r="AG13" i="48"/>
  <c r="AI13" i="48"/>
  <c r="M14" i="48"/>
  <c r="AG14" i="48"/>
  <c r="AI14" i="48"/>
  <c r="M15" i="48"/>
  <c r="AG15" i="48"/>
  <c r="AI15" i="48"/>
  <c r="M16" i="48"/>
  <c r="AG16" i="48"/>
  <c r="AI16" i="48"/>
  <c r="M17" i="48"/>
  <c r="AG17" i="48"/>
  <c r="AI17" i="48"/>
  <c r="M18" i="48"/>
  <c r="AG18" i="48"/>
  <c r="AI18" i="48"/>
  <c r="M19" i="48"/>
  <c r="AG19" i="48"/>
  <c r="AI19" i="48"/>
  <c r="M20" i="48"/>
  <c r="AG20" i="48"/>
  <c r="AI20" i="48"/>
  <c r="M21" i="48"/>
  <c r="AG21" i="48"/>
  <c r="AI21" i="48"/>
  <c r="M22" i="48"/>
  <c r="AG22" i="48"/>
  <c r="AI22" i="48"/>
  <c r="M23" i="48"/>
  <c r="AG23" i="48"/>
  <c r="AI23" i="48"/>
  <c r="M24" i="48"/>
  <c r="AG24" i="48"/>
  <c r="AI24" i="48"/>
  <c r="M25" i="48"/>
  <c r="AG25" i="48"/>
  <c r="AI25" i="48"/>
  <c r="M26" i="48"/>
  <c r="AG26" i="48"/>
  <c r="AI26" i="48"/>
  <c r="M27" i="48"/>
  <c r="AG27" i="48"/>
  <c r="AI27" i="48"/>
  <c r="M28" i="48"/>
  <c r="AG28" i="48"/>
  <c r="AI28" i="48"/>
  <c r="M29" i="48"/>
  <c r="AG29" i="48"/>
  <c r="AI29" i="48"/>
  <c r="M30" i="48"/>
  <c r="AG30" i="48"/>
  <c r="AI30" i="48"/>
  <c r="M31" i="48"/>
  <c r="AG31" i="48"/>
  <c r="AI31" i="48"/>
  <c r="M32" i="48"/>
  <c r="AG32" i="48"/>
  <c r="AI32" i="48"/>
  <c r="M33" i="48"/>
  <c r="AG33" i="48"/>
  <c r="AI33" i="48"/>
  <c r="M34" i="48"/>
  <c r="AG34" i="48"/>
  <c r="AI34" i="48"/>
  <c r="M35" i="48"/>
  <c r="AG35" i="48"/>
  <c r="AI35" i="48"/>
  <c r="M36" i="48"/>
  <c r="AG36" i="48"/>
  <c r="AI36" i="48"/>
  <c r="M37" i="48"/>
  <c r="AG37" i="48"/>
  <c r="AI37" i="48"/>
  <c r="M38" i="48"/>
  <c r="AG38" i="48"/>
  <c r="AI38" i="48"/>
  <c r="G50" i="48"/>
  <c r="F50" i="48"/>
  <c r="AX27" i="5"/>
  <c r="C27" i="49"/>
  <c r="M8" i="49"/>
  <c r="AG8" i="49"/>
  <c r="AI8" i="49"/>
  <c r="M9" i="49"/>
  <c r="AG9" i="49"/>
  <c r="AI9" i="49"/>
  <c r="M10" i="49"/>
  <c r="AG10" i="49"/>
  <c r="AI10" i="49"/>
  <c r="M11" i="49"/>
  <c r="AG11" i="49"/>
  <c r="AI11" i="49"/>
  <c r="M12" i="49"/>
  <c r="AG12" i="49"/>
  <c r="AI12" i="49"/>
  <c r="M13" i="49"/>
  <c r="AG13" i="49"/>
  <c r="AI13" i="49"/>
  <c r="M14" i="49"/>
  <c r="AG14" i="49"/>
  <c r="AI14" i="49"/>
  <c r="M15" i="49"/>
  <c r="AG15" i="49"/>
  <c r="AI15" i="49"/>
  <c r="M16" i="49"/>
  <c r="AG16" i="49"/>
  <c r="AI16" i="49"/>
  <c r="M17" i="49"/>
  <c r="AG17" i="49"/>
  <c r="AI17" i="49"/>
  <c r="M18" i="49"/>
  <c r="AG18" i="49"/>
  <c r="AI18" i="49"/>
  <c r="M19" i="49"/>
  <c r="AG19" i="49"/>
  <c r="AI19" i="49"/>
  <c r="M20" i="49"/>
  <c r="AG20" i="49"/>
  <c r="AI20" i="49"/>
  <c r="M21" i="49"/>
  <c r="AG21" i="49"/>
  <c r="AI21" i="49"/>
  <c r="M22" i="49"/>
  <c r="AG22" i="49"/>
  <c r="AI22" i="49"/>
  <c r="M23" i="49"/>
  <c r="AG23" i="49"/>
  <c r="AI23" i="49"/>
  <c r="M24" i="49"/>
  <c r="AG24" i="49"/>
  <c r="AI24" i="49"/>
  <c r="M25" i="49"/>
  <c r="AG25" i="49"/>
  <c r="AI25" i="49"/>
  <c r="M26" i="49"/>
  <c r="AG26" i="49"/>
  <c r="AI26" i="49"/>
  <c r="M27" i="49"/>
  <c r="AG27" i="49"/>
  <c r="AI27" i="49"/>
  <c r="M28" i="49"/>
  <c r="AG28" i="49"/>
  <c r="AI28" i="49"/>
  <c r="M29" i="49"/>
  <c r="AG29" i="49"/>
  <c r="AI29" i="49"/>
  <c r="M30" i="49"/>
  <c r="AG30" i="49"/>
  <c r="AI30" i="49"/>
  <c r="M31" i="49"/>
  <c r="AG31" i="49"/>
  <c r="AI31" i="49"/>
  <c r="M32" i="49"/>
  <c r="AG32" i="49"/>
  <c r="AI32" i="49"/>
  <c r="M33" i="49"/>
  <c r="AG33" i="49"/>
  <c r="AI33" i="49"/>
  <c r="M34" i="49"/>
  <c r="AG34" i="49"/>
  <c r="AI34" i="49"/>
  <c r="M35" i="49"/>
  <c r="AG35" i="49"/>
  <c r="AI35" i="49"/>
  <c r="M36" i="49"/>
  <c r="AG36" i="49"/>
  <c r="AI36" i="49"/>
  <c r="M37" i="49"/>
  <c r="AG37" i="49"/>
  <c r="AI37" i="49"/>
  <c r="M38" i="49"/>
  <c r="AG38" i="49"/>
  <c r="AI38" i="49"/>
  <c r="G50" i="49"/>
  <c r="F50" i="49"/>
  <c r="AX28" i="5"/>
  <c r="C28" i="50"/>
  <c r="M8" i="50"/>
  <c r="AG8" i="50"/>
  <c r="AI8" i="50"/>
  <c r="M9" i="50"/>
  <c r="AG9" i="50"/>
  <c r="AI9" i="50"/>
  <c r="M10" i="50"/>
  <c r="AG10" i="50"/>
  <c r="AI10" i="50"/>
  <c r="M11" i="50"/>
  <c r="AG11" i="50"/>
  <c r="AI11" i="50"/>
  <c r="M12" i="50"/>
  <c r="AG12" i="50"/>
  <c r="AI12" i="50"/>
  <c r="M13" i="50"/>
  <c r="AG13" i="50"/>
  <c r="AI13" i="50"/>
  <c r="M14" i="50"/>
  <c r="AG14" i="50"/>
  <c r="AI14" i="50"/>
  <c r="M15" i="50"/>
  <c r="AG15" i="50"/>
  <c r="AI15" i="50"/>
  <c r="M16" i="50"/>
  <c r="AG16" i="50"/>
  <c r="AI16" i="50"/>
  <c r="M17" i="50"/>
  <c r="AG17" i="50"/>
  <c r="AI17" i="50"/>
  <c r="M18" i="50"/>
  <c r="AG18" i="50"/>
  <c r="AI18" i="50"/>
  <c r="M19" i="50"/>
  <c r="AG19" i="50"/>
  <c r="AI19" i="50"/>
  <c r="M20" i="50"/>
  <c r="AG20" i="50"/>
  <c r="AI20" i="50"/>
  <c r="M21" i="50"/>
  <c r="AG21" i="50"/>
  <c r="AI21" i="50"/>
  <c r="M22" i="50"/>
  <c r="AG22" i="50"/>
  <c r="AI22" i="50"/>
  <c r="M23" i="50"/>
  <c r="AG23" i="50"/>
  <c r="AI23" i="50"/>
  <c r="M24" i="50"/>
  <c r="AG24" i="50"/>
  <c r="AI24" i="50"/>
  <c r="M25" i="50"/>
  <c r="AG25" i="50"/>
  <c r="AI25" i="50"/>
  <c r="M26" i="50"/>
  <c r="AG26" i="50"/>
  <c r="AI26" i="50"/>
  <c r="M27" i="50"/>
  <c r="AG27" i="50"/>
  <c r="AI27" i="50"/>
  <c r="M28" i="50"/>
  <c r="AG28" i="50"/>
  <c r="AI28" i="50"/>
  <c r="M29" i="50"/>
  <c r="AG29" i="50"/>
  <c r="AI29" i="50"/>
  <c r="M30" i="50"/>
  <c r="AG30" i="50"/>
  <c r="AI30" i="50"/>
  <c r="M31" i="50"/>
  <c r="AG31" i="50"/>
  <c r="AI31" i="50"/>
  <c r="M32" i="50"/>
  <c r="AG32" i="50"/>
  <c r="AI32" i="50"/>
  <c r="M33" i="50"/>
  <c r="AG33" i="50"/>
  <c r="AI33" i="50"/>
  <c r="M34" i="50"/>
  <c r="AG34" i="50"/>
  <c r="AI34" i="50"/>
  <c r="M35" i="50"/>
  <c r="AG35" i="50"/>
  <c r="AI35" i="50"/>
  <c r="M36" i="50"/>
  <c r="AG36" i="50"/>
  <c r="AI36" i="50"/>
  <c r="M37" i="50"/>
  <c r="AG37" i="50"/>
  <c r="AI37" i="50"/>
  <c r="M38" i="50"/>
  <c r="AG38" i="50"/>
  <c r="AI38" i="50"/>
  <c r="G50" i="50"/>
  <c r="F50" i="50"/>
  <c r="AX29" i="5"/>
  <c r="C29" i="51"/>
  <c r="M8" i="51"/>
  <c r="AG8" i="51"/>
  <c r="AI8" i="51"/>
  <c r="M9" i="51"/>
  <c r="AG9" i="51"/>
  <c r="AI9" i="51"/>
  <c r="M10" i="51"/>
  <c r="AG10" i="51"/>
  <c r="AI10" i="51"/>
  <c r="M11" i="51"/>
  <c r="AG11" i="51"/>
  <c r="AI11" i="51"/>
  <c r="M12" i="51"/>
  <c r="AG12" i="51"/>
  <c r="AI12" i="51"/>
  <c r="M13" i="51"/>
  <c r="AG13" i="51"/>
  <c r="AI13" i="51"/>
  <c r="M14" i="51"/>
  <c r="AG14" i="51"/>
  <c r="AI14" i="51"/>
  <c r="M15" i="51"/>
  <c r="AG15" i="51"/>
  <c r="AI15" i="51"/>
  <c r="M16" i="51"/>
  <c r="AG16" i="51"/>
  <c r="AI16" i="51"/>
  <c r="M17" i="51"/>
  <c r="AG17" i="51"/>
  <c r="AI17" i="51"/>
  <c r="M18" i="51"/>
  <c r="AG18" i="51"/>
  <c r="AI18" i="51"/>
  <c r="M19" i="51"/>
  <c r="AG19" i="51"/>
  <c r="AI19" i="51"/>
  <c r="M20" i="51"/>
  <c r="AG20" i="51"/>
  <c r="AI20" i="51"/>
  <c r="M21" i="51"/>
  <c r="AG21" i="51"/>
  <c r="AI21" i="51"/>
  <c r="M22" i="51"/>
  <c r="AG22" i="51"/>
  <c r="AI22" i="51"/>
  <c r="M23" i="51"/>
  <c r="AG23" i="51"/>
  <c r="AI23" i="51"/>
  <c r="M24" i="51"/>
  <c r="AG24" i="51"/>
  <c r="AI24" i="51"/>
  <c r="M25" i="51"/>
  <c r="AG25" i="51"/>
  <c r="AI25" i="51"/>
  <c r="M26" i="51"/>
  <c r="AG26" i="51"/>
  <c r="AI26" i="51"/>
  <c r="M27" i="51"/>
  <c r="AG27" i="51"/>
  <c r="AI27" i="51"/>
  <c r="M28" i="51"/>
  <c r="AG28" i="51"/>
  <c r="AI28" i="51"/>
  <c r="M29" i="51"/>
  <c r="AG29" i="51"/>
  <c r="AI29" i="51"/>
  <c r="M30" i="51"/>
  <c r="AG30" i="51"/>
  <c r="AI30" i="51"/>
  <c r="M31" i="51"/>
  <c r="AG31" i="51"/>
  <c r="AI31" i="51"/>
  <c r="M32" i="51"/>
  <c r="AG32" i="51"/>
  <c r="AI32" i="51"/>
  <c r="M33" i="51"/>
  <c r="AG33" i="51"/>
  <c r="AI33" i="51"/>
  <c r="M34" i="51"/>
  <c r="AG34" i="51"/>
  <c r="AI34" i="51"/>
  <c r="M35" i="51"/>
  <c r="AG35" i="51"/>
  <c r="AI35" i="51"/>
  <c r="M36" i="51"/>
  <c r="AG36" i="51"/>
  <c r="AI36" i="51"/>
  <c r="M37" i="51"/>
  <c r="AG37" i="51"/>
  <c r="AI37" i="51"/>
  <c r="M38" i="51"/>
  <c r="AG38" i="51"/>
  <c r="AI38" i="51"/>
  <c r="G50" i="51"/>
  <c r="F50" i="51"/>
  <c r="AX30" i="5"/>
  <c r="C30" i="52"/>
  <c r="M8" i="52"/>
  <c r="AG8" i="52"/>
  <c r="AI8" i="52"/>
  <c r="M9" i="52"/>
  <c r="AG9" i="52"/>
  <c r="AI9" i="52"/>
  <c r="M10" i="52"/>
  <c r="AG10" i="52"/>
  <c r="AI10" i="52"/>
  <c r="M11" i="52"/>
  <c r="AG11" i="52"/>
  <c r="AI11" i="52"/>
  <c r="M12" i="52"/>
  <c r="AG12" i="52"/>
  <c r="AI12" i="52"/>
  <c r="M13" i="52"/>
  <c r="AG13" i="52"/>
  <c r="AI13" i="52"/>
  <c r="M14" i="52"/>
  <c r="AG14" i="52"/>
  <c r="AI14" i="52"/>
  <c r="M15" i="52"/>
  <c r="AG15" i="52"/>
  <c r="AI15" i="52"/>
  <c r="M16" i="52"/>
  <c r="AG16" i="52"/>
  <c r="AI16" i="52"/>
  <c r="M17" i="52"/>
  <c r="AG17" i="52"/>
  <c r="AI17" i="52"/>
  <c r="M18" i="52"/>
  <c r="AG18" i="52"/>
  <c r="AI18" i="52"/>
  <c r="M19" i="52"/>
  <c r="AG19" i="52"/>
  <c r="AI19" i="52"/>
  <c r="M20" i="52"/>
  <c r="AG20" i="52"/>
  <c r="AI20" i="52"/>
  <c r="M21" i="52"/>
  <c r="AG21" i="52"/>
  <c r="AI21" i="52"/>
  <c r="M22" i="52"/>
  <c r="AG22" i="52"/>
  <c r="AI22" i="52"/>
  <c r="M23" i="52"/>
  <c r="AG23" i="52"/>
  <c r="AI23" i="52"/>
  <c r="M24" i="52"/>
  <c r="AG24" i="52"/>
  <c r="AI24" i="52"/>
  <c r="M25" i="52"/>
  <c r="AG25" i="52"/>
  <c r="AI25" i="52"/>
  <c r="M26" i="52"/>
  <c r="AG26" i="52"/>
  <c r="AI26" i="52"/>
  <c r="M27" i="52"/>
  <c r="AG27" i="52"/>
  <c r="AI27" i="52"/>
  <c r="M28" i="52"/>
  <c r="AG28" i="52"/>
  <c r="AI28" i="52"/>
  <c r="M29" i="52"/>
  <c r="AG29" i="52"/>
  <c r="AI29" i="52"/>
  <c r="M30" i="52"/>
  <c r="AG30" i="52"/>
  <c r="AI30" i="52"/>
  <c r="M31" i="52"/>
  <c r="AG31" i="52"/>
  <c r="AI31" i="52"/>
  <c r="M32" i="52"/>
  <c r="AG32" i="52"/>
  <c r="AI32" i="52"/>
  <c r="M33" i="52"/>
  <c r="AG33" i="52"/>
  <c r="AI33" i="52"/>
  <c r="M34" i="52"/>
  <c r="AG34" i="52"/>
  <c r="AI34" i="52"/>
  <c r="M35" i="52"/>
  <c r="AG35" i="52"/>
  <c r="AI35" i="52"/>
  <c r="M36" i="52"/>
  <c r="AG36" i="52"/>
  <c r="AI36" i="52"/>
  <c r="M37" i="52"/>
  <c r="AG37" i="52"/>
  <c r="AI37" i="52"/>
  <c r="M38" i="52"/>
  <c r="AG38" i="52"/>
  <c r="AI38" i="52"/>
  <c r="G50" i="52"/>
  <c r="F50" i="52"/>
  <c r="AX31" i="5"/>
  <c r="C31" i="53"/>
  <c r="M8" i="53"/>
  <c r="AG8" i="53"/>
  <c r="AI8" i="53"/>
  <c r="M9" i="53"/>
  <c r="AG9" i="53"/>
  <c r="AI9" i="53"/>
  <c r="M10" i="53"/>
  <c r="AG10" i="53"/>
  <c r="AI10" i="53"/>
  <c r="M11" i="53"/>
  <c r="AG11" i="53"/>
  <c r="AI11" i="53"/>
  <c r="M12" i="53"/>
  <c r="AG12" i="53"/>
  <c r="AI12" i="53"/>
  <c r="M13" i="53"/>
  <c r="AG13" i="53"/>
  <c r="AI13" i="53"/>
  <c r="M14" i="53"/>
  <c r="AG14" i="53"/>
  <c r="AI14" i="53"/>
  <c r="M15" i="53"/>
  <c r="AG15" i="53"/>
  <c r="AI15" i="53"/>
  <c r="M16" i="53"/>
  <c r="AG16" i="53"/>
  <c r="AI16" i="53"/>
  <c r="M17" i="53"/>
  <c r="AG17" i="53"/>
  <c r="AI17" i="53"/>
  <c r="M18" i="53"/>
  <c r="AG18" i="53"/>
  <c r="AI18" i="53"/>
  <c r="M19" i="53"/>
  <c r="AG19" i="53"/>
  <c r="AI19" i="53"/>
  <c r="M20" i="53"/>
  <c r="AG20" i="53"/>
  <c r="AI20" i="53"/>
  <c r="M21" i="53"/>
  <c r="AG21" i="53"/>
  <c r="AI21" i="53"/>
  <c r="M22" i="53"/>
  <c r="AG22" i="53"/>
  <c r="AI22" i="53"/>
  <c r="M23" i="53"/>
  <c r="AG23" i="53"/>
  <c r="AI23" i="53"/>
  <c r="M24" i="53"/>
  <c r="AG24" i="53"/>
  <c r="AI24" i="53"/>
  <c r="M25" i="53"/>
  <c r="AG25" i="53"/>
  <c r="AI25" i="53"/>
  <c r="M26" i="53"/>
  <c r="AG26" i="53"/>
  <c r="AI26" i="53"/>
  <c r="M27" i="53"/>
  <c r="AG27" i="53"/>
  <c r="AI27" i="53"/>
  <c r="M28" i="53"/>
  <c r="AG28" i="53"/>
  <c r="AI28" i="53"/>
  <c r="M29" i="53"/>
  <c r="AG29" i="53"/>
  <c r="AI29" i="53"/>
  <c r="M30" i="53"/>
  <c r="AG30" i="53"/>
  <c r="AI30" i="53"/>
  <c r="M31" i="53"/>
  <c r="AG31" i="53"/>
  <c r="AI31" i="53"/>
  <c r="M32" i="53"/>
  <c r="AG32" i="53"/>
  <c r="AI32" i="53"/>
  <c r="M33" i="53"/>
  <c r="AG33" i="53"/>
  <c r="AI33" i="53"/>
  <c r="M34" i="53"/>
  <c r="AG34" i="53"/>
  <c r="AI34" i="53"/>
  <c r="M35" i="53"/>
  <c r="AG35" i="53"/>
  <c r="AI35" i="53"/>
  <c r="M36" i="53"/>
  <c r="AG36" i="53"/>
  <c r="AI36" i="53"/>
  <c r="M37" i="53"/>
  <c r="AG37" i="53"/>
  <c r="AI37" i="53"/>
  <c r="M38" i="53"/>
  <c r="AG38" i="53"/>
  <c r="AI38" i="53"/>
  <c r="G50" i="53"/>
  <c r="F50" i="53"/>
  <c r="AX32" i="5"/>
  <c r="C32" i="54"/>
  <c r="M8" i="54"/>
  <c r="AG8" i="54"/>
  <c r="AI8" i="54"/>
  <c r="M9" i="54"/>
  <c r="AG9" i="54"/>
  <c r="AI9" i="54"/>
  <c r="M10" i="54"/>
  <c r="AG10" i="54"/>
  <c r="AI10" i="54"/>
  <c r="M11" i="54"/>
  <c r="AG11" i="54"/>
  <c r="AI11" i="54"/>
  <c r="M12" i="54"/>
  <c r="AG12" i="54"/>
  <c r="AI12" i="54"/>
  <c r="M13" i="54"/>
  <c r="AG13" i="54"/>
  <c r="AI13" i="54"/>
  <c r="M14" i="54"/>
  <c r="AG14" i="54"/>
  <c r="AI14" i="54"/>
  <c r="M15" i="54"/>
  <c r="AG15" i="54"/>
  <c r="AI15" i="54"/>
  <c r="M16" i="54"/>
  <c r="AG16" i="54"/>
  <c r="AI16" i="54"/>
  <c r="M17" i="54"/>
  <c r="AG17" i="54"/>
  <c r="AI17" i="54"/>
  <c r="M18" i="54"/>
  <c r="AG18" i="54"/>
  <c r="AI18" i="54"/>
  <c r="M19" i="54"/>
  <c r="AG19" i="54"/>
  <c r="AI19" i="54"/>
  <c r="M20" i="54"/>
  <c r="AG20" i="54"/>
  <c r="AI20" i="54"/>
  <c r="M21" i="54"/>
  <c r="AG21" i="54"/>
  <c r="AI21" i="54"/>
  <c r="M22" i="54"/>
  <c r="AG22" i="54"/>
  <c r="AI22" i="54"/>
  <c r="M23" i="54"/>
  <c r="AG23" i="54"/>
  <c r="AI23" i="54"/>
  <c r="M24" i="54"/>
  <c r="AG24" i="54"/>
  <c r="AI24" i="54"/>
  <c r="M25" i="54"/>
  <c r="AG25" i="54"/>
  <c r="AI25" i="54"/>
  <c r="M26" i="54"/>
  <c r="AG26" i="54"/>
  <c r="AI26" i="54"/>
  <c r="M27" i="54"/>
  <c r="AG27" i="54"/>
  <c r="AI27" i="54"/>
  <c r="M28" i="54"/>
  <c r="AG28" i="54"/>
  <c r="AI28" i="54"/>
  <c r="M29" i="54"/>
  <c r="AG29" i="54"/>
  <c r="AI29" i="54"/>
  <c r="M30" i="54"/>
  <c r="AG30" i="54"/>
  <c r="AI30" i="54"/>
  <c r="M31" i="54"/>
  <c r="AG31" i="54"/>
  <c r="AI31" i="54"/>
  <c r="M32" i="54"/>
  <c r="AG32" i="54"/>
  <c r="AI32" i="54"/>
  <c r="M33" i="54"/>
  <c r="AG33" i="54"/>
  <c r="AI33" i="54"/>
  <c r="M34" i="54"/>
  <c r="AG34" i="54"/>
  <c r="AI34" i="54"/>
  <c r="M35" i="54"/>
  <c r="AG35" i="54"/>
  <c r="AI35" i="54"/>
  <c r="M36" i="54"/>
  <c r="AG36" i="54"/>
  <c r="AI36" i="54"/>
  <c r="M37" i="54"/>
  <c r="AG37" i="54"/>
  <c r="AI37" i="54"/>
  <c r="M38" i="54"/>
  <c r="AG38" i="54"/>
  <c r="AI38" i="54"/>
  <c r="G50" i="54"/>
  <c r="F50" i="54"/>
  <c r="AX33" i="5"/>
  <c r="C33" i="55"/>
  <c r="M8" i="55"/>
  <c r="AG8" i="55"/>
  <c r="AI8" i="55"/>
  <c r="M9" i="55"/>
  <c r="AG9" i="55"/>
  <c r="AI9" i="55"/>
  <c r="M10" i="55"/>
  <c r="AG10" i="55"/>
  <c r="AI10" i="55"/>
  <c r="M11" i="55"/>
  <c r="AG11" i="55"/>
  <c r="AI11" i="55"/>
  <c r="M12" i="55"/>
  <c r="AG12" i="55"/>
  <c r="AI12" i="55"/>
  <c r="M13" i="55"/>
  <c r="AG13" i="55"/>
  <c r="AI13" i="55"/>
  <c r="M14" i="55"/>
  <c r="AG14" i="55"/>
  <c r="AI14" i="55"/>
  <c r="M15" i="55"/>
  <c r="AG15" i="55"/>
  <c r="AI15" i="55"/>
  <c r="M16" i="55"/>
  <c r="AG16" i="55"/>
  <c r="AI16" i="55"/>
  <c r="M17" i="55"/>
  <c r="AG17" i="55"/>
  <c r="AI17" i="55"/>
  <c r="M18" i="55"/>
  <c r="AG18" i="55"/>
  <c r="AI18" i="55"/>
  <c r="M19" i="55"/>
  <c r="AG19" i="55"/>
  <c r="AI19" i="55"/>
  <c r="M20" i="55"/>
  <c r="AG20" i="55"/>
  <c r="AI20" i="55"/>
  <c r="M21" i="55"/>
  <c r="AG21" i="55"/>
  <c r="AI21" i="55"/>
  <c r="M22" i="55"/>
  <c r="AG22" i="55"/>
  <c r="AI22" i="55"/>
  <c r="M23" i="55"/>
  <c r="AG23" i="55"/>
  <c r="AI23" i="55"/>
  <c r="M24" i="55"/>
  <c r="AG24" i="55"/>
  <c r="AI24" i="55"/>
  <c r="M25" i="55"/>
  <c r="AG25" i="55"/>
  <c r="AI25" i="55"/>
  <c r="M26" i="55"/>
  <c r="AG26" i="55"/>
  <c r="AI26" i="55"/>
  <c r="M27" i="55"/>
  <c r="AG27" i="55"/>
  <c r="AI27" i="55"/>
  <c r="M28" i="55"/>
  <c r="AG28" i="55"/>
  <c r="AI28" i="55"/>
  <c r="M29" i="55"/>
  <c r="AG29" i="55"/>
  <c r="AI29" i="55"/>
  <c r="M30" i="55"/>
  <c r="AG30" i="55"/>
  <c r="AI30" i="55"/>
  <c r="M31" i="55"/>
  <c r="AG31" i="55"/>
  <c r="AI31" i="55"/>
  <c r="M32" i="55"/>
  <c r="AG32" i="55"/>
  <c r="AI32" i="55"/>
  <c r="M33" i="55"/>
  <c r="AG33" i="55"/>
  <c r="AI33" i="55"/>
  <c r="M34" i="55"/>
  <c r="AG34" i="55"/>
  <c r="AI34" i="55"/>
  <c r="M35" i="55"/>
  <c r="AG35" i="55"/>
  <c r="AI35" i="55"/>
  <c r="M36" i="55"/>
  <c r="AG36" i="55"/>
  <c r="AI36" i="55"/>
  <c r="M37" i="55"/>
  <c r="AG37" i="55"/>
  <c r="AI37" i="55"/>
  <c r="M38" i="55"/>
  <c r="AG38" i="55"/>
  <c r="AI38" i="55"/>
  <c r="G50" i="55"/>
  <c r="F50" i="55"/>
  <c r="AX34" i="5"/>
  <c r="C34" i="56"/>
  <c r="M8" i="56"/>
  <c r="AG8" i="56"/>
  <c r="AI8" i="56"/>
  <c r="M9" i="56"/>
  <c r="AG9" i="56"/>
  <c r="AI9" i="56"/>
  <c r="M10" i="56"/>
  <c r="AG10" i="56"/>
  <c r="AI10" i="56"/>
  <c r="M11" i="56"/>
  <c r="AG11" i="56"/>
  <c r="AI11" i="56"/>
  <c r="M12" i="56"/>
  <c r="AG12" i="56"/>
  <c r="AI12" i="56"/>
  <c r="M13" i="56"/>
  <c r="AG13" i="56"/>
  <c r="AI13" i="56"/>
  <c r="M14" i="56"/>
  <c r="AG14" i="56"/>
  <c r="AI14" i="56"/>
  <c r="M15" i="56"/>
  <c r="AG15" i="56"/>
  <c r="AI15" i="56"/>
  <c r="M16" i="56"/>
  <c r="AG16" i="56"/>
  <c r="AI16" i="56"/>
  <c r="M17" i="56"/>
  <c r="AG17" i="56"/>
  <c r="AI17" i="56"/>
  <c r="M18" i="56"/>
  <c r="AG18" i="56"/>
  <c r="AI18" i="56"/>
  <c r="M19" i="56"/>
  <c r="AG19" i="56"/>
  <c r="AI19" i="56"/>
  <c r="M20" i="56"/>
  <c r="AG20" i="56"/>
  <c r="AI20" i="56"/>
  <c r="M21" i="56"/>
  <c r="AG21" i="56"/>
  <c r="AI21" i="56"/>
  <c r="M22" i="56"/>
  <c r="AG22" i="56"/>
  <c r="AI22" i="56"/>
  <c r="M23" i="56"/>
  <c r="AG23" i="56"/>
  <c r="AI23" i="56"/>
  <c r="M24" i="56"/>
  <c r="AG24" i="56"/>
  <c r="AI24" i="56"/>
  <c r="M25" i="56"/>
  <c r="AG25" i="56"/>
  <c r="AI25" i="56"/>
  <c r="M26" i="56"/>
  <c r="AG26" i="56"/>
  <c r="AI26" i="56"/>
  <c r="M27" i="56"/>
  <c r="AG27" i="56"/>
  <c r="AI27" i="56"/>
  <c r="M28" i="56"/>
  <c r="AG28" i="56"/>
  <c r="AI28" i="56"/>
  <c r="M29" i="56"/>
  <c r="AG29" i="56"/>
  <c r="AI29" i="56"/>
  <c r="M30" i="56"/>
  <c r="AG30" i="56"/>
  <c r="AI30" i="56"/>
  <c r="M31" i="56"/>
  <c r="AG31" i="56"/>
  <c r="AI31" i="56"/>
  <c r="M32" i="56"/>
  <c r="AG32" i="56"/>
  <c r="AI32" i="56"/>
  <c r="M33" i="56"/>
  <c r="AG33" i="56"/>
  <c r="AI33" i="56"/>
  <c r="M34" i="56"/>
  <c r="AG34" i="56"/>
  <c r="AI34" i="56"/>
  <c r="M35" i="56"/>
  <c r="AG35" i="56"/>
  <c r="AI35" i="56"/>
  <c r="M36" i="56"/>
  <c r="AG36" i="56"/>
  <c r="AI36" i="56"/>
  <c r="M37" i="56"/>
  <c r="AG37" i="56"/>
  <c r="AI37" i="56"/>
  <c r="M38" i="56"/>
  <c r="AG38" i="56"/>
  <c r="AI38" i="56"/>
  <c r="G50" i="56"/>
  <c r="F50" i="56"/>
  <c r="AX35" i="5"/>
  <c r="C35" i="57"/>
  <c r="M8" i="57"/>
  <c r="AG8" i="57"/>
  <c r="AI8" i="57"/>
  <c r="M9" i="57"/>
  <c r="AG9" i="57"/>
  <c r="AI9" i="57"/>
  <c r="M10" i="57"/>
  <c r="AG10" i="57"/>
  <c r="AI10" i="57"/>
  <c r="M11" i="57"/>
  <c r="AG11" i="57"/>
  <c r="AI11" i="57"/>
  <c r="M12" i="57"/>
  <c r="AG12" i="57"/>
  <c r="AI12" i="57"/>
  <c r="M13" i="57"/>
  <c r="AG13" i="57"/>
  <c r="AI13" i="57"/>
  <c r="M14" i="57"/>
  <c r="AG14" i="57"/>
  <c r="AI14" i="57"/>
  <c r="M15" i="57"/>
  <c r="AG15" i="57"/>
  <c r="AI15" i="57"/>
  <c r="M16" i="57"/>
  <c r="AG16" i="57"/>
  <c r="AI16" i="57"/>
  <c r="M17" i="57"/>
  <c r="AG17" i="57"/>
  <c r="AI17" i="57"/>
  <c r="M18" i="57"/>
  <c r="AG18" i="57"/>
  <c r="AI18" i="57"/>
  <c r="M19" i="57"/>
  <c r="AG19" i="57"/>
  <c r="AI19" i="57"/>
  <c r="M20" i="57"/>
  <c r="AG20" i="57"/>
  <c r="AI20" i="57"/>
  <c r="M21" i="57"/>
  <c r="AG21" i="57"/>
  <c r="AI21" i="57"/>
  <c r="M22" i="57"/>
  <c r="AG22" i="57"/>
  <c r="AI22" i="57"/>
  <c r="M23" i="57"/>
  <c r="AG23" i="57"/>
  <c r="AI23" i="57"/>
  <c r="M24" i="57"/>
  <c r="AG24" i="57"/>
  <c r="AI24" i="57"/>
  <c r="M25" i="57"/>
  <c r="AG25" i="57"/>
  <c r="AI25" i="57"/>
  <c r="M26" i="57"/>
  <c r="AG26" i="57"/>
  <c r="AI26" i="57"/>
  <c r="M27" i="57"/>
  <c r="AG27" i="57"/>
  <c r="AI27" i="57"/>
  <c r="M28" i="57"/>
  <c r="AG28" i="57"/>
  <c r="AI28" i="57"/>
  <c r="M29" i="57"/>
  <c r="AG29" i="57"/>
  <c r="AI29" i="57"/>
  <c r="M30" i="57"/>
  <c r="AG30" i="57"/>
  <c r="AI30" i="57"/>
  <c r="M31" i="57"/>
  <c r="AG31" i="57"/>
  <c r="AI31" i="57"/>
  <c r="M32" i="57"/>
  <c r="AG32" i="57"/>
  <c r="AI32" i="57"/>
  <c r="M33" i="57"/>
  <c r="AG33" i="57"/>
  <c r="AI33" i="57"/>
  <c r="M34" i="57"/>
  <c r="AG34" i="57"/>
  <c r="AI34" i="57"/>
  <c r="M35" i="57"/>
  <c r="AG35" i="57"/>
  <c r="AI35" i="57"/>
  <c r="M36" i="57"/>
  <c r="AG36" i="57"/>
  <c r="AI36" i="57"/>
  <c r="M37" i="57"/>
  <c r="AG37" i="57"/>
  <c r="AI37" i="57"/>
  <c r="M38" i="57"/>
  <c r="AG38" i="57"/>
  <c r="AI38" i="57"/>
  <c r="G50" i="57"/>
  <c r="F50" i="57"/>
  <c r="AX36" i="5"/>
  <c r="C36" i="58"/>
  <c r="M8" i="58"/>
  <c r="AG8" i="58"/>
  <c r="AI8" i="58"/>
  <c r="M9" i="58"/>
  <c r="AG9" i="58"/>
  <c r="AI9" i="58"/>
  <c r="M10" i="58"/>
  <c r="AG10" i="58"/>
  <c r="AI10" i="58"/>
  <c r="M11" i="58"/>
  <c r="AG11" i="58"/>
  <c r="AI11" i="58"/>
  <c r="M12" i="58"/>
  <c r="AG12" i="58"/>
  <c r="AI12" i="58"/>
  <c r="M13" i="58"/>
  <c r="AG13" i="58"/>
  <c r="AI13" i="58"/>
  <c r="M14" i="58"/>
  <c r="AG14" i="58"/>
  <c r="AI14" i="58"/>
  <c r="M15" i="58"/>
  <c r="AG15" i="58"/>
  <c r="AI15" i="58"/>
  <c r="M16" i="58"/>
  <c r="AG16" i="58"/>
  <c r="AI16" i="58"/>
  <c r="M17" i="58"/>
  <c r="AG17" i="58"/>
  <c r="AI17" i="58"/>
  <c r="M18" i="58"/>
  <c r="AG18" i="58"/>
  <c r="AI18" i="58"/>
  <c r="M19" i="58"/>
  <c r="AG19" i="58"/>
  <c r="AI19" i="58"/>
  <c r="M20" i="58"/>
  <c r="AG20" i="58"/>
  <c r="AI20" i="58"/>
  <c r="M21" i="58"/>
  <c r="AG21" i="58"/>
  <c r="AI21" i="58"/>
  <c r="M22" i="58"/>
  <c r="AG22" i="58"/>
  <c r="AI22" i="58"/>
  <c r="M23" i="58"/>
  <c r="AG23" i="58"/>
  <c r="AI23" i="58"/>
  <c r="M24" i="58"/>
  <c r="AG24" i="58"/>
  <c r="AI24" i="58"/>
  <c r="M25" i="58"/>
  <c r="AG25" i="58"/>
  <c r="AI25" i="58"/>
  <c r="M26" i="58"/>
  <c r="AG26" i="58"/>
  <c r="AI26" i="58"/>
  <c r="M27" i="58"/>
  <c r="AG27" i="58"/>
  <c r="AI27" i="58"/>
  <c r="M28" i="58"/>
  <c r="AG28" i="58"/>
  <c r="AI28" i="58"/>
  <c r="M29" i="58"/>
  <c r="AG29" i="58"/>
  <c r="AI29" i="58"/>
  <c r="M30" i="58"/>
  <c r="AG30" i="58"/>
  <c r="AI30" i="58"/>
  <c r="M31" i="58"/>
  <c r="AG31" i="58"/>
  <c r="AI31" i="58"/>
  <c r="M32" i="58"/>
  <c r="AG32" i="58"/>
  <c r="AI32" i="58"/>
  <c r="M33" i="58"/>
  <c r="AG33" i="58"/>
  <c r="AI33" i="58"/>
  <c r="M34" i="58"/>
  <c r="AG34" i="58"/>
  <c r="AI34" i="58"/>
  <c r="M35" i="58"/>
  <c r="AG35" i="58"/>
  <c r="AI35" i="58"/>
  <c r="M36" i="58"/>
  <c r="AG36" i="58"/>
  <c r="AI36" i="58"/>
  <c r="M37" i="58"/>
  <c r="AG37" i="58"/>
  <c r="AI37" i="58"/>
  <c r="M38" i="58"/>
  <c r="AG38" i="58"/>
  <c r="AI38" i="58"/>
  <c r="G50" i="58"/>
  <c r="F50" i="58"/>
  <c r="AX37" i="5"/>
  <c r="C37" i="59"/>
  <c r="M8" i="59"/>
  <c r="AG8" i="59"/>
  <c r="AI8" i="59"/>
  <c r="M9" i="59"/>
  <c r="AG9" i="59"/>
  <c r="AI9" i="59"/>
  <c r="M10" i="59"/>
  <c r="AG10" i="59"/>
  <c r="AI10" i="59"/>
  <c r="M11" i="59"/>
  <c r="AG11" i="59"/>
  <c r="AI11" i="59"/>
  <c r="M12" i="59"/>
  <c r="AG12" i="59"/>
  <c r="AI12" i="59"/>
  <c r="M13" i="59"/>
  <c r="AG13" i="59"/>
  <c r="AI13" i="59"/>
  <c r="M14" i="59"/>
  <c r="AG14" i="59"/>
  <c r="AI14" i="59"/>
  <c r="M15" i="59"/>
  <c r="AG15" i="59"/>
  <c r="AI15" i="59"/>
  <c r="M16" i="59"/>
  <c r="AG16" i="59"/>
  <c r="AI16" i="59"/>
  <c r="M17" i="59"/>
  <c r="AG17" i="59"/>
  <c r="AI17" i="59"/>
  <c r="M18" i="59"/>
  <c r="AG18" i="59"/>
  <c r="AI18" i="59"/>
  <c r="M19" i="59"/>
  <c r="AG19" i="59"/>
  <c r="AI19" i="59"/>
  <c r="M20" i="59"/>
  <c r="AG20" i="59"/>
  <c r="AI20" i="59"/>
  <c r="M21" i="59"/>
  <c r="AG21" i="59"/>
  <c r="AI21" i="59"/>
  <c r="M22" i="59"/>
  <c r="AG22" i="59"/>
  <c r="AI22" i="59"/>
  <c r="M23" i="59"/>
  <c r="AG23" i="59"/>
  <c r="AI23" i="59"/>
  <c r="M24" i="59"/>
  <c r="AG24" i="59"/>
  <c r="AI24" i="59"/>
  <c r="M25" i="59"/>
  <c r="AG25" i="59"/>
  <c r="AI25" i="59"/>
  <c r="M26" i="59"/>
  <c r="AG26" i="59"/>
  <c r="AI26" i="59"/>
  <c r="M27" i="59"/>
  <c r="AG27" i="59"/>
  <c r="AI27" i="59"/>
  <c r="M28" i="59"/>
  <c r="AG28" i="59"/>
  <c r="AI28" i="59"/>
  <c r="M29" i="59"/>
  <c r="AG29" i="59"/>
  <c r="AI29" i="59"/>
  <c r="M30" i="59"/>
  <c r="AG30" i="59"/>
  <c r="AI30" i="59"/>
  <c r="M31" i="59"/>
  <c r="AG31" i="59"/>
  <c r="AI31" i="59"/>
  <c r="M32" i="59"/>
  <c r="AG32" i="59"/>
  <c r="AI32" i="59"/>
  <c r="M33" i="59"/>
  <c r="AG33" i="59"/>
  <c r="AI33" i="59"/>
  <c r="M34" i="59"/>
  <c r="AG34" i="59"/>
  <c r="AI34" i="59"/>
  <c r="M35" i="59"/>
  <c r="AG35" i="59"/>
  <c r="AI35" i="59"/>
  <c r="M36" i="59"/>
  <c r="AG36" i="59"/>
  <c r="AI36" i="59"/>
  <c r="M37" i="59"/>
  <c r="AG37" i="59"/>
  <c r="AI37" i="59"/>
  <c r="M38" i="59"/>
  <c r="AG38" i="59"/>
  <c r="AI38" i="59"/>
  <c r="G50" i="59"/>
  <c r="F50" i="59"/>
  <c r="AX38" i="5"/>
  <c r="K18" i="5"/>
  <c r="G9" i="5"/>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U14" i="4"/>
  <c r="Y9" i="5"/>
  <c r="O8" i="31"/>
  <c r="O9" i="31"/>
  <c r="O10" i="31"/>
  <c r="O11" i="31"/>
  <c r="O12" i="31"/>
  <c r="O13" i="31"/>
  <c r="O14" i="31"/>
  <c r="O15" i="31"/>
  <c r="O16" i="31"/>
  <c r="O17" i="31"/>
  <c r="O18" i="31"/>
  <c r="O19" i="31"/>
  <c r="O20" i="31"/>
  <c r="O21" i="31"/>
  <c r="O22" i="31"/>
  <c r="O23" i="31"/>
  <c r="O24" i="31"/>
  <c r="O25" i="31"/>
  <c r="O26" i="31"/>
  <c r="O27" i="31"/>
  <c r="O28" i="31"/>
  <c r="O29" i="31"/>
  <c r="O30" i="31"/>
  <c r="O31" i="31"/>
  <c r="O32" i="31"/>
  <c r="O33" i="31"/>
  <c r="O34" i="31"/>
  <c r="O35" i="31"/>
  <c r="O36" i="31"/>
  <c r="O37" i="31"/>
  <c r="O38" i="31"/>
  <c r="U14" i="31"/>
  <c r="Y10" i="5"/>
  <c r="O8" i="32"/>
  <c r="O9" i="32"/>
  <c r="O10" i="32"/>
  <c r="O11" i="32"/>
  <c r="O12" i="32"/>
  <c r="O13" i="32"/>
  <c r="O14" i="32"/>
  <c r="O15" i="32"/>
  <c r="O16" i="32"/>
  <c r="O17" i="32"/>
  <c r="O18" i="32"/>
  <c r="O19" i="32"/>
  <c r="O20" i="32"/>
  <c r="O21" i="32"/>
  <c r="O22" i="32"/>
  <c r="O23" i="32"/>
  <c r="O24" i="32"/>
  <c r="O25" i="32"/>
  <c r="O26" i="32"/>
  <c r="O27" i="32"/>
  <c r="O28" i="32"/>
  <c r="O29" i="32"/>
  <c r="O30" i="32"/>
  <c r="O31" i="32"/>
  <c r="O32" i="32"/>
  <c r="O33" i="32"/>
  <c r="O34" i="32"/>
  <c r="O35" i="32"/>
  <c r="O36" i="32"/>
  <c r="O37" i="32"/>
  <c r="O38" i="32"/>
  <c r="U14" i="32"/>
  <c r="Y11" i="5"/>
  <c r="O8" i="33"/>
  <c r="O9" i="33"/>
  <c r="O10" i="33"/>
  <c r="O11" i="33"/>
  <c r="O12" i="33"/>
  <c r="O13" i="33"/>
  <c r="O14" i="33"/>
  <c r="O15" i="33"/>
  <c r="O16" i="33"/>
  <c r="O17" i="33"/>
  <c r="O18" i="33"/>
  <c r="O19" i="33"/>
  <c r="O20" i="33"/>
  <c r="O21" i="33"/>
  <c r="O22" i="33"/>
  <c r="O23" i="33"/>
  <c r="O24" i="33"/>
  <c r="O25" i="33"/>
  <c r="O26" i="33"/>
  <c r="O27" i="33"/>
  <c r="O28" i="33"/>
  <c r="O29" i="33"/>
  <c r="O30" i="33"/>
  <c r="O31" i="33"/>
  <c r="O32" i="33"/>
  <c r="O33" i="33"/>
  <c r="O34" i="33"/>
  <c r="O35" i="33"/>
  <c r="O36" i="33"/>
  <c r="O37" i="33"/>
  <c r="O38" i="33"/>
  <c r="U14" i="33"/>
  <c r="Y12" i="5"/>
  <c r="O8" i="34"/>
  <c r="O9" i="34"/>
  <c r="O10" i="34"/>
  <c r="O11" i="34"/>
  <c r="O12" i="34"/>
  <c r="O13" i="34"/>
  <c r="O14" i="34"/>
  <c r="O15" i="34"/>
  <c r="O16" i="34"/>
  <c r="O17" i="34"/>
  <c r="O18" i="34"/>
  <c r="O19" i="34"/>
  <c r="O20" i="34"/>
  <c r="O21" i="34"/>
  <c r="O22" i="34"/>
  <c r="O23" i="34"/>
  <c r="O24" i="34"/>
  <c r="O25" i="34"/>
  <c r="O26" i="34"/>
  <c r="O27" i="34"/>
  <c r="O28" i="34"/>
  <c r="O29" i="34"/>
  <c r="O30" i="34"/>
  <c r="O31" i="34"/>
  <c r="O32" i="34"/>
  <c r="O33" i="34"/>
  <c r="O34" i="34"/>
  <c r="O35" i="34"/>
  <c r="O36" i="34"/>
  <c r="O37" i="34"/>
  <c r="O38" i="34"/>
  <c r="U14" i="34"/>
  <c r="Y13" i="5"/>
  <c r="O8" i="35"/>
  <c r="O9" i="35"/>
  <c r="O10" i="35"/>
  <c r="O11" i="35"/>
  <c r="O12" i="35"/>
  <c r="O13" i="35"/>
  <c r="O14" i="35"/>
  <c r="O15" i="35"/>
  <c r="O16" i="35"/>
  <c r="O17" i="35"/>
  <c r="O18" i="35"/>
  <c r="O19" i="35"/>
  <c r="O20" i="35"/>
  <c r="O21" i="35"/>
  <c r="O22" i="35"/>
  <c r="O23" i="35"/>
  <c r="O24" i="35"/>
  <c r="O25" i="35"/>
  <c r="O26" i="35"/>
  <c r="O27" i="35"/>
  <c r="O28" i="35"/>
  <c r="O29" i="35"/>
  <c r="O30" i="35"/>
  <c r="O31" i="35"/>
  <c r="O32" i="35"/>
  <c r="O33" i="35"/>
  <c r="O34" i="35"/>
  <c r="O35" i="35"/>
  <c r="O36" i="35"/>
  <c r="O37" i="35"/>
  <c r="O38" i="35"/>
  <c r="U14" i="35"/>
  <c r="Y14" i="5"/>
  <c r="O8" i="36"/>
  <c r="O9" i="36"/>
  <c r="O10" i="36"/>
  <c r="O11" i="36"/>
  <c r="O12" i="36"/>
  <c r="O13" i="36"/>
  <c r="O14" i="36"/>
  <c r="O15" i="36"/>
  <c r="O16" i="36"/>
  <c r="O17" i="36"/>
  <c r="O18" i="36"/>
  <c r="O19" i="36"/>
  <c r="O20" i="36"/>
  <c r="O21" i="36"/>
  <c r="O22" i="36"/>
  <c r="O23" i="36"/>
  <c r="O24" i="36"/>
  <c r="O25" i="36"/>
  <c r="O26" i="36"/>
  <c r="O27" i="36"/>
  <c r="O28" i="36"/>
  <c r="O29" i="36"/>
  <c r="O30" i="36"/>
  <c r="O31" i="36"/>
  <c r="O32" i="36"/>
  <c r="O33" i="36"/>
  <c r="O34" i="36"/>
  <c r="O35" i="36"/>
  <c r="O36" i="36"/>
  <c r="O37" i="36"/>
  <c r="O38" i="36"/>
  <c r="U14" i="36"/>
  <c r="Y15" i="5"/>
  <c r="O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U14" i="37"/>
  <c r="Y16" i="5"/>
  <c r="O8" i="38"/>
  <c r="O9" i="38"/>
  <c r="O10" i="38"/>
  <c r="O11" i="38"/>
  <c r="O12" i="38"/>
  <c r="O13" i="38"/>
  <c r="O14" i="38"/>
  <c r="O15" i="38"/>
  <c r="O16" i="38"/>
  <c r="O17" i="38"/>
  <c r="O18" i="38"/>
  <c r="O19" i="38"/>
  <c r="O20" i="38"/>
  <c r="O21" i="38"/>
  <c r="O22" i="38"/>
  <c r="O23" i="38"/>
  <c r="O24" i="38"/>
  <c r="O25" i="38"/>
  <c r="O26" i="38"/>
  <c r="O27" i="38"/>
  <c r="O28" i="38"/>
  <c r="O29" i="38"/>
  <c r="O30" i="38"/>
  <c r="O31" i="38"/>
  <c r="O32" i="38"/>
  <c r="O33" i="38"/>
  <c r="O34" i="38"/>
  <c r="O35" i="38"/>
  <c r="O36" i="38"/>
  <c r="O37" i="38"/>
  <c r="O38" i="38"/>
  <c r="U14" i="38"/>
  <c r="Y17" i="5"/>
  <c r="O8" i="39"/>
  <c r="O9" i="39"/>
  <c r="O10" i="39"/>
  <c r="O11" i="39"/>
  <c r="O12" i="39"/>
  <c r="O13" i="39"/>
  <c r="O14" i="39"/>
  <c r="O15" i="39"/>
  <c r="O16" i="39"/>
  <c r="O17" i="39"/>
  <c r="O18" i="39"/>
  <c r="O19" i="39"/>
  <c r="O20" i="39"/>
  <c r="O21" i="39"/>
  <c r="O22" i="39"/>
  <c r="O23" i="39"/>
  <c r="O24" i="39"/>
  <c r="O25" i="39"/>
  <c r="O26" i="39"/>
  <c r="O27" i="39"/>
  <c r="O28" i="39"/>
  <c r="O29" i="39"/>
  <c r="O30" i="39"/>
  <c r="O31" i="39"/>
  <c r="O32" i="39"/>
  <c r="O33" i="39"/>
  <c r="O34" i="39"/>
  <c r="O35" i="39"/>
  <c r="O36" i="39"/>
  <c r="O37" i="39"/>
  <c r="O38" i="39"/>
  <c r="U14" i="39"/>
  <c r="Y18" i="5"/>
  <c r="O8" i="40"/>
  <c r="O9" i="40"/>
  <c r="O10" i="40"/>
  <c r="O11" i="40"/>
  <c r="O12" i="40"/>
  <c r="O13" i="40"/>
  <c r="O14" i="40"/>
  <c r="O15" i="40"/>
  <c r="O16" i="40"/>
  <c r="O17" i="40"/>
  <c r="O18" i="40"/>
  <c r="O19" i="40"/>
  <c r="O20" i="40"/>
  <c r="O21" i="40"/>
  <c r="O22" i="40"/>
  <c r="O23" i="40"/>
  <c r="O24" i="40"/>
  <c r="O25" i="40"/>
  <c r="O26" i="40"/>
  <c r="O27" i="40"/>
  <c r="O28" i="40"/>
  <c r="O29" i="40"/>
  <c r="O30" i="40"/>
  <c r="O31" i="40"/>
  <c r="O32" i="40"/>
  <c r="O33" i="40"/>
  <c r="O34" i="40"/>
  <c r="O35" i="40"/>
  <c r="O36" i="40"/>
  <c r="O37" i="40"/>
  <c r="O38" i="40"/>
  <c r="U14" i="40"/>
  <c r="Y19" i="5"/>
  <c r="O8" i="41"/>
  <c r="O9" i="41"/>
  <c r="O10" i="41"/>
  <c r="O11" i="41"/>
  <c r="O12" i="41"/>
  <c r="O13" i="41"/>
  <c r="O14" i="41"/>
  <c r="O15" i="41"/>
  <c r="O16" i="41"/>
  <c r="O17" i="41"/>
  <c r="O18" i="41"/>
  <c r="O19" i="41"/>
  <c r="O20" i="41"/>
  <c r="O21" i="41"/>
  <c r="O22" i="41"/>
  <c r="O23" i="41"/>
  <c r="O24" i="41"/>
  <c r="O25" i="41"/>
  <c r="O26" i="41"/>
  <c r="O27" i="41"/>
  <c r="O28" i="41"/>
  <c r="O29" i="41"/>
  <c r="O30" i="41"/>
  <c r="O31" i="41"/>
  <c r="O32" i="41"/>
  <c r="O33" i="41"/>
  <c r="O34" i="41"/>
  <c r="O35" i="41"/>
  <c r="O36" i="41"/>
  <c r="O37" i="41"/>
  <c r="O38" i="41"/>
  <c r="U14" i="41"/>
  <c r="Y20" i="5"/>
  <c r="O8" i="42"/>
  <c r="O9" i="42"/>
  <c r="O10" i="42"/>
  <c r="O11" i="42"/>
  <c r="O12" i="42"/>
  <c r="O13" i="42"/>
  <c r="O14" i="42"/>
  <c r="O15" i="42"/>
  <c r="O16" i="42"/>
  <c r="O17" i="42"/>
  <c r="O18" i="42"/>
  <c r="O19" i="42"/>
  <c r="O20" i="42"/>
  <c r="O21" i="42"/>
  <c r="O22" i="42"/>
  <c r="O23" i="42"/>
  <c r="O24" i="42"/>
  <c r="O25" i="42"/>
  <c r="O26" i="42"/>
  <c r="O27" i="42"/>
  <c r="O28" i="42"/>
  <c r="O29" i="42"/>
  <c r="O30" i="42"/>
  <c r="O31" i="42"/>
  <c r="O32" i="42"/>
  <c r="O33" i="42"/>
  <c r="O34" i="42"/>
  <c r="O35" i="42"/>
  <c r="O36" i="42"/>
  <c r="O37" i="42"/>
  <c r="O38" i="42"/>
  <c r="U14" i="42"/>
  <c r="Y21" i="5"/>
  <c r="O8" i="43"/>
  <c r="O9" i="43"/>
  <c r="O10" i="43"/>
  <c r="O11" i="43"/>
  <c r="O12" i="43"/>
  <c r="O13" i="43"/>
  <c r="O14" i="43"/>
  <c r="O15" i="43"/>
  <c r="O16" i="43"/>
  <c r="O17" i="43"/>
  <c r="O18" i="43"/>
  <c r="O19" i="43"/>
  <c r="O20" i="43"/>
  <c r="O21" i="43"/>
  <c r="O22" i="43"/>
  <c r="O23" i="43"/>
  <c r="O24" i="43"/>
  <c r="O25" i="43"/>
  <c r="O26" i="43"/>
  <c r="O27" i="43"/>
  <c r="O28" i="43"/>
  <c r="O29" i="43"/>
  <c r="O30" i="43"/>
  <c r="O31" i="43"/>
  <c r="O32" i="43"/>
  <c r="O33" i="43"/>
  <c r="O34" i="43"/>
  <c r="O35" i="43"/>
  <c r="O36" i="43"/>
  <c r="O37" i="43"/>
  <c r="O38" i="43"/>
  <c r="U14" i="43"/>
  <c r="Y22" i="5"/>
  <c r="O8" i="44"/>
  <c r="O9" i="44"/>
  <c r="O10" i="44"/>
  <c r="O11" i="44"/>
  <c r="O12" i="44"/>
  <c r="O13" i="44"/>
  <c r="O14" i="44"/>
  <c r="O15" i="44"/>
  <c r="O16" i="44"/>
  <c r="O17" i="44"/>
  <c r="O18" i="44"/>
  <c r="O19" i="44"/>
  <c r="O20" i="44"/>
  <c r="O21" i="44"/>
  <c r="O22" i="44"/>
  <c r="O23" i="44"/>
  <c r="O24" i="44"/>
  <c r="O25" i="44"/>
  <c r="O26" i="44"/>
  <c r="O27" i="44"/>
  <c r="O28" i="44"/>
  <c r="O29" i="44"/>
  <c r="O30" i="44"/>
  <c r="O31" i="44"/>
  <c r="O32" i="44"/>
  <c r="O33" i="44"/>
  <c r="O34" i="44"/>
  <c r="O35" i="44"/>
  <c r="O36" i="44"/>
  <c r="O37" i="44"/>
  <c r="O38" i="44"/>
  <c r="U14" i="44"/>
  <c r="Y23" i="5"/>
  <c r="O8" i="45"/>
  <c r="O9" i="45"/>
  <c r="O10" i="45"/>
  <c r="O11" i="45"/>
  <c r="O12" i="45"/>
  <c r="O13" i="45"/>
  <c r="O14" i="45"/>
  <c r="O15" i="45"/>
  <c r="O16" i="45"/>
  <c r="O17" i="45"/>
  <c r="O18" i="45"/>
  <c r="O19" i="45"/>
  <c r="O20" i="45"/>
  <c r="O21" i="45"/>
  <c r="O22" i="45"/>
  <c r="O23" i="45"/>
  <c r="O24" i="45"/>
  <c r="O25" i="45"/>
  <c r="O26" i="45"/>
  <c r="O27" i="45"/>
  <c r="O28" i="45"/>
  <c r="O29" i="45"/>
  <c r="O30" i="45"/>
  <c r="O31" i="45"/>
  <c r="O32" i="45"/>
  <c r="O33" i="45"/>
  <c r="O34" i="45"/>
  <c r="O35" i="45"/>
  <c r="O36" i="45"/>
  <c r="O37" i="45"/>
  <c r="O38" i="45"/>
  <c r="U14" i="45"/>
  <c r="Y24" i="5"/>
  <c r="O8" i="46"/>
  <c r="O9" i="46"/>
  <c r="O10" i="46"/>
  <c r="O11" i="46"/>
  <c r="O12" i="46"/>
  <c r="O13" i="46"/>
  <c r="O14" i="46"/>
  <c r="O15" i="46"/>
  <c r="O16" i="46"/>
  <c r="O17" i="46"/>
  <c r="O18" i="46"/>
  <c r="O19" i="46"/>
  <c r="O20" i="46"/>
  <c r="O21" i="46"/>
  <c r="O22" i="46"/>
  <c r="O23" i="46"/>
  <c r="O24" i="46"/>
  <c r="O25" i="46"/>
  <c r="O26" i="46"/>
  <c r="O27" i="46"/>
  <c r="O28" i="46"/>
  <c r="O29" i="46"/>
  <c r="O30" i="46"/>
  <c r="O31" i="46"/>
  <c r="O32" i="46"/>
  <c r="O33" i="46"/>
  <c r="O34" i="46"/>
  <c r="O35" i="46"/>
  <c r="O36" i="46"/>
  <c r="O37" i="46"/>
  <c r="O38" i="46"/>
  <c r="U14" i="46"/>
  <c r="Y25" i="5"/>
  <c r="O8" i="47"/>
  <c r="O9" i="47"/>
  <c r="O10" i="47"/>
  <c r="O11" i="47"/>
  <c r="O12" i="47"/>
  <c r="O13" i="47"/>
  <c r="O14" i="47"/>
  <c r="O15" i="47"/>
  <c r="O16" i="47"/>
  <c r="O17" i="47"/>
  <c r="O18" i="47"/>
  <c r="O19" i="47"/>
  <c r="O20" i="47"/>
  <c r="O21" i="47"/>
  <c r="O22" i="47"/>
  <c r="O23" i="47"/>
  <c r="O24" i="47"/>
  <c r="O25" i="47"/>
  <c r="O26" i="47"/>
  <c r="O27" i="47"/>
  <c r="O28" i="47"/>
  <c r="O29" i="47"/>
  <c r="O30" i="47"/>
  <c r="O31" i="47"/>
  <c r="O32" i="47"/>
  <c r="O33" i="47"/>
  <c r="O34" i="47"/>
  <c r="O35" i="47"/>
  <c r="O36" i="47"/>
  <c r="O37" i="47"/>
  <c r="O38" i="47"/>
  <c r="U14" i="47"/>
  <c r="Y26" i="5"/>
  <c r="O8" i="48"/>
  <c r="O9" i="48"/>
  <c r="O10" i="48"/>
  <c r="O11" i="48"/>
  <c r="O12" i="48"/>
  <c r="O13" i="48"/>
  <c r="O14" i="48"/>
  <c r="O15" i="48"/>
  <c r="O16" i="48"/>
  <c r="O17" i="48"/>
  <c r="O18" i="48"/>
  <c r="O19" i="48"/>
  <c r="O20" i="48"/>
  <c r="O21" i="48"/>
  <c r="O22" i="48"/>
  <c r="O23" i="48"/>
  <c r="O24" i="48"/>
  <c r="O25" i="48"/>
  <c r="O26" i="48"/>
  <c r="O27" i="48"/>
  <c r="O28" i="48"/>
  <c r="O29" i="48"/>
  <c r="O30" i="48"/>
  <c r="O31" i="48"/>
  <c r="O32" i="48"/>
  <c r="O33" i="48"/>
  <c r="O34" i="48"/>
  <c r="O35" i="48"/>
  <c r="O36" i="48"/>
  <c r="O37" i="48"/>
  <c r="O38" i="48"/>
  <c r="U14" i="48"/>
  <c r="Y27" i="5"/>
  <c r="O8" i="49"/>
  <c r="O9" i="49"/>
  <c r="O10" i="49"/>
  <c r="O11" i="49"/>
  <c r="O12" i="49"/>
  <c r="O13" i="49"/>
  <c r="O14" i="49"/>
  <c r="O15" i="49"/>
  <c r="O16" i="49"/>
  <c r="O17" i="49"/>
  <c r="O18" i="49"/>
  <c r="O19" i="49"/>
  <c r="O20" i="49"/>
  <c r="O21" i="49"/>
  <c r="O22" i="49"/>
  <c r="O23" i="49"/>
  <c r="O24" i="49"/>
  <c r="O25" i="49"/>
  <c r="O26" i="49"/>
  <c r="O27" i="49"/>
  <c r="O28" i="49"/>
  <c r="O29" i="49"/>
  <c r="O30" i="49"/>
  <c r="O31" i="49"/>
  <c r="O32" i="49"/>
  <c r="O33" i="49"/>
  <c r="O34" i="49"/>
  <c r="O35" i="49"/>
  <c r="O36" i="49"/>
  <c r="O37" i="49"/>
  <c r="O38" i="49"/>
  <c r="U14" i="49"/>
  <c r="Y28" i="5"/>
  <c r="O8" i="50"/>
  <c r="O9" i="50"/>
  <c r="O10" i="50"/>
  <c r="O11" i="50"/>
  <c r="O12" i="50"/>
  <c r="O13" i="50"/>
  <c r="O14" i="50"/>
  <c r="O15" i="50"/>
  <c r="O16" i="50"/>
  <c r="O17" i="50"/>
  <c r="O18" i="50"/>
  <c r="O19" i="50"/>
  <c r="O20" i="50"/>
  <c r="O21" i="50"/>
  <c r="O22" i="50"/>
  <c r="O23" i="50"/>
  <c r="O24" i="50"/>
  <c r="O25" i="50"/>
  <c r="O26" i="50"/>
  <c r="O27" i="50"/>
  <c r="O28" i="50"/>
  <c r="O29" i="50"/>
  <c r="O30" i="50"/>
  <c r="O31" i="50"/>
  <c r="O32" i="50"/>
  <c r="O33" i="50"/>
  <c r="O34" i="50"/>
  <c r="O35" i="50"/>
  <c r="O36" i="50"/>
  <c r="O37" i="50"/>
  <c r="O38" i="50"/>
  <c r="U14" i="50"/>
  <c r="Y29" i="5"/>
  <c r="O8" i="51"/>
  <c r="O9" i="51"/>
  <c r="O10" i="51"/>
  <c r="O11" i="51"/>
  <c r="O12" i="51"/>
  <c r="O13" i="51"/>
  <c r="O14" i="51"/>
  <c r="O15" i="51"/>
  <c r="O16" i="51"/>
  <c r="O17" i="51"/>
  <c r="O18" i="51"/>
  <c r="O19" i="51"/>
  <c r="O20" i="51"/>
  <c r="O21" i="51"/>
  <c r="O22" i="51"/>
  <c r="O23" i="51"/>
  <c r="O24" i="51"/>
  <c r="O25" i="51"/>
  <c r="O26" i="51"/>
  <c r="O27" i="51"/>
  <c r="O28" i="51"/>
  <c r="O29" i="51"/>
  <c r="O30" i="51"/>
  <c r="O31" i="51"/>
  <c r="O32" i="51"/>
  <c r="O33" i="51"/>
  <c r="O34" i="51"/>
  <c r="O35" i="51"/>
  <c r="O36" i="51"/>
  <c r="O37" i="51"/>
  <c r="O38" i="51"/>
  <c r="U14" i="51"/>
  <c r="Y30" i="5"/>
  <c r="O8" i="52"/>
  <c r="O9" i="52"/>
  <c r="O10" i="52"/>
  <c r="O11" i="52"/>
  <c r="O12" i="52"/>
  <c r="O13" i="52"/>
  <c r="O14" i="52"/>
  <c r="O15" i="52"/>
  <c r="O16" i="52"/>
  <c r="O17" i="52"/>
  <c r="O18" i="52"/>
  <c r="O19" i="52"/>
  <c r="O20" i="52"/>
  <c r="O21" i="52"/>
  <c r="O22" i="52"/>
  <c r="O23" i="52"/>
  <c r="O24" i="52"/>
  <c r="O25" i="52"/>
  <c r="O26" i="52"/>
  <c r="O27" i="52"/>
  <c r="O28" i="52"/>
  <c r="O29" i="52"/>
  <c r="O30" i="52"/>
  <c r="O31" i="52"/>
  <c r="O32" i="52"/>
  <c r="O33" i="52"/>
  <c r="O34" i="52"/>
  <c r="O35" i="52"/>
  <c r="O36" i="52"/>
  <c r="O37" i="52"/>
  <c r="O38" i="52"/>
  <c r="U14" i="52"/>
  <c r="Y31" i="5"/>
  <c r="O8" i="53"/>
  <c r="O9" i="53"/>
  <c r="O10" i="53"/>
  <c r="O11" i="53"/>
  <c r="O12" i="53"/>
  <c r="O13" i="53"/>
  <c r="O14" i="53"/>
  <c r="O15" i="53"/>
  <c r="O16" i="53"/>
  <c r="O17" i="53"/>
  <c r="O18" i="53"/>
  <c r="O19" i="53"/>
  <c r="O20" i="53"/>
  <c r="O21" i="53"/>
  <c r="O22" i="53"/>
  <c r="O23" i="53"/>
  <c r="O24" i="53"/>
  <c r="O25" i="53"/>
  <c r="O26" i="53"/>
  <c r="O27" i="53"/>
  <c r="O28" i="53"/>
  <c r="O29" i="53"/>
  <c r="O30" i="53"/>
  <c r="O31" i="53"/>
  <c r="O32" i="53"/>
  <c r="O33" i="53"/>
  <c r="O34" i="53"/>
  <c r="O35" i="53"/>
  <c r="O36" i="53"/>
  <c r="O37" i="53"/>
  <c r="O38" i="53"/>
  <c r="U14" i="53"/>
  <c r="Y32" i="5"/>
  <c r="O8" i="54"/>
  <c r="O9" i="54"/>
  <c r="O10" i="54"/>
  <c r="O11" i="54"/>
  <c r="O12" i="54"/>
  <c r="O13" i="54"/>
  <c r="O14" i="54"/>
  <c r="O15" i="54"/>
  <c r="O16" i="54"/>
  <c r="O17" i="54"/>
  <c r="O18" i="54"/>
  <c r="O19" i="54"/>
  <c r="O20" i="54"/>
  <c r="O21" i="54"/>
  <c r="O22" i="54"/>
  <c r="O23" i="54"/>
  <c r="O24" i="54"/>
  <c r="O25" i="54"/>
  <c r="O26" i="54"/>
  <c r="O27" i="54"/>
  <c r="O28" i="54"/>
  <c r="O29" i="54"/>
  <c r="O30" i="54"/>
  <c r="O31" i="54"/>
  <c r="O32" i="54"/>
  <c r="O33" i="54"/>
  <c r="O34" i="54"/>
  <c r="O35" i="54"/>
  <c r="O36" i="54"/>
  <c r="O37" i="54"/>
  <c r="O38" i="54"/>
  <c r="U14" i="54"/>
  <c r="Y33" i="5"/>
  <c r="O8" i="55"/>
  <c r="O9" i="55"/>
  <c r="O10" i="55"/>
  <c r="O11" i="55"/>
  <c r="O12" i="55"/>
  <c r="O13" i="55"/>
  <c r="O14" i="55"/>
  <c r="O15" i="55"/>
  <c r="O16" i="55"/>
  <c r="O17" i="55"/>
  <c r="O18" i="55"/>
  <c r="O19" i="55"/>
  <c r="O20" i="55"/>
  <c r="O21" i="55"/>
  <c r="O22" i="55"/>
  <c r="O23" i="55"/>
  <c r="O24" i="55"/>
  <c r="O25" i="55"/>
  <c r="O26" i="55"/>
  <c r="O27" i="55"/>
  <c r="O28" i="55"/>
  <c r="O29" i="55"/>
  <c r="O30" i="55"/>
  <c r="O31" i="55"/>
  <c r="O32" i="55"/>
  <c r="O33" i="55"/>
  <c r="O34" i="55"/>
  <c r="O35" i="55"/>
  <c r="O36" i="55"/>
  <c r="O37" i="55"/>
  <c r="O38" i="55"/>
  <c r="U14" i="55"/>
  <c r="Y34" i="5"/>
  <c r="O8" i="56"/>
  <c r="O9" i="56"/>
  <c r="O10" i="56"/>
  <c r="O11" i="56"/>
  <c r="O12" i="56"/>
  <c r="O13" i="56"/>
  <c r="O14" i="56"/>
  <c r="O15" i="56"/>
  <c r="O16" i="56"/>
  <c r="O17" i="56"/>
  <c r="O18" i="56"/>
  <c r="O19" i="56"/>
  <c r="O20" i="56"/>
  <c r="O21" i="56"/>
  <c r="O22" i="56"/>
  <c r="O23" i="56"/>
  <c r="O24" i="56"/>
  <c r="O25" i="56"/>
  <c r="O26" i="56"/>
  <c r="O27" i="56"/>
  <c r="O28" i="56"/>
  <c r="O29" i="56"/>
  <c r="O30" i="56"/>
  <c r="O31" i="56"/>
  <c r="O32" i="56"/>
  <c r="O33" i="56"/>
  <c r="O34" i="56"/>
  <c r="O35" i="56"/>
  <c r="O36" i="56"/>
  <c r="O37" i="56"/>
  <c r="O38" i="56"/>
  <c r="U14" i="56"/>
  <c r="Y35" i="5"/>
  <c r="O8" i="57"/>
  <c r="O9" i="57"/>
  <c r="O10" i="57"/>
  <c r="O11" i="57"/>
  <c r="O12" i="57"/>
  <c r="O13" i="57"/>
  <c r="O14" i="57"/>
  <c r="O15" i="57"/>
  <c r="O16" i="57"/>
  <c r="O17" i="57"/>
  <c r="O18" i="57"/>
  <c r="O19" i="57"/>
  <c r="O20" i="57"/>
  <c r="O21" i="57"/>
  <c r="O22" i="57"/>
  <c r="O23" i="57"/>
  <c r="O24" i="57"/>
  <c r="O25" i="57"/>
  <c r="O26" i="57"/>
  <c r="O27" i="57"/>
  <c r="O28" i="57"/>
  <c r="O29" i="57"/>
  <c r="O30" i="57"/>
  <c r="O31" i="57"/>
  <c r="O32" i="57"/>
  <c r="O33" i="57"/>
  <c r="O34" i="57"/>
  <c r="O35" i="57"/>
  <c r="O36" i="57"/>
  <c r="O37" i="57"/>
  <c r="O38" i="57"/>
  <c r="U14" i="57"/>
  <c r="Y36" i="5"/>
  <c r="O8" i="58"/>
  <c r="O9" i="58"/>
  <c r="O10" i="58"/>
  <c r="O11" i="58"/>
  <c r="O12" i="58"/>
  <c r="O13" i="58"/>
  <c r="O14" i="58"/>
  <c r="O15" i="58"/>
  <c r="O16" i="58"/>
  <c r="O17" i="58"/>
  <c r="O18" i="58"/>
  <c r="O19" i="58"/>
  <c r="O20" i="58"/>
  <c r="O21" i="58"/>
  <c r="O22" i="58"/>
  <c r="O23" i="58"/>
  <c r="O24" i="58"/>
  <c r="O25" i="58"/>
  <c r="O26" i="58"/>
  <c r="O27" i="58"/>
  <c r="O28" i="58"/>
  <c r="O29" i="58"/>
  <c r="O30" i="58"/>
  <c r="O31" i="58"/>
  <c r="O32" i="58"/>
  <c r="O33" i="58"/>
  <c r="O34" i="58"/>
  <c r="O35" i="58"/>
  <c r="O36" i="58"/>
  <c r="O37" i="58"/>
  <c r="O38" i="58"/>
  <c r="U14" i="58"/>
  <c r="Y37" i="5"/>
  <c r="O8" i="59"/>
  <c r="O9" i="59"/>
  <c r="O10" i="59"/>
  <c r="O11" i="59"/>
  <c r="O12" i="59"/>
  <c r="O13" i="59"/>
  <c r="O14" i="59"/>
  <c r="O15" i="59"/>
  <c r="O16" i="59"/>
  <c r="O17" i="59"/>
  <c r="O18" i="59"/>
  <c r="O19" i="59"/>
  <c r="O20" i="59"/>
  <c r="O21" i="59"/>
  <c r="O22" i="59"/>
  <c r="O23" i="59"/>
  <c r="O24" i="59"/>
  <c r="O25" i="59"/>
  <c r="O26" i="59"/>
  <c r="O27" i="59"/>
  <c r="O28" i="59"/>
  <c r="O29" i="59"/>
  <c r="O30" i="59"/>
  <c r="O31" i="59"/>
  <c r="O32" i="59"/>
  <c r="O33" i="59"/>
  <c r="O34" i="59"/>
  <c r="O35" i="59"/>
  <c r="O36" i="59"/>
  <c r="O37" i="59"/>
  <c r="O38" i="59"/>
  <c r="U14" i="59"/>
  <c r="Y38" i="5"/>
  <c r="H9" i="5"/>
  <c r="K5" i="4"/>
  <c r="AA9" i="5"/>
  <c r="K5" i="31"/>
  <c r="AA10" i="5"/>
  <c r="K5" i="32"/>
  <c r="AA11" i="5"/>
  <c r="K5" i="33"/>
  <c r="AA12" i="5"/>
  <c r="K5" i="34"/>
  <c r="AA13" i="5"/>
  <c r="K5" i="35"/>
  <c r="AA14" i="5"/>
  <c r="K5" i="36"/>
  <c r="AA15" i="5"/>
  <c r="K5" i="37"/>
  <c r="AA16" i="5"/>
  <c r="K5" i="38"/>
  <c r="AA17" i="5"/>
  <c r="K5" i="39"/>
  <c r="AA18" i="5"/>
  <c r="K5" i="40"/>
  <c r="AA19" i="5"/>
  <c r="K5" i="41"/>
  <c r="AA20" i="5"/>
  <c r="K5" i="42"/>
  <c r="AA21" i="5"/>
  <c r="K5" i="43"/>
  <c r="AA22" i="5"/>
  <c r="K5" i="44"/>
  <c r="AA23" i="5"/>
  <c r="K5" i="45"/>
  <c r="AA24" i="5"/>
  <c r="K5" i="46"/>
  <c r="AA25" i="5"/>
  <c r="K5" i="47"/>
  <c r="AA26" i="5"/>
  <c r="K5" i="48"/>
  <c r="AA27" i="5"/>
  <c r="K5" i="49"/>
  <c r="AA28" i="5"/>
  <c r="K5" i="50"/>
  <c r="AA29" i="5"/>
  <c r="K5" i="51"/>
  <c r="AA30" i="5"/>
  <c r="K5" i="52"/>
  <c r="AA31" i="5"/>
  <c r="K5" i="53"/>
  <c r="AA32" i="5"/>
  <c r="K5" i="54"/>
  <c r="AA33" i="5"/>
  <c r="K5" i="55"/>
  <c r="AA34" i="5"/>
  <c r="K5" i="56"/>
  <c r="AA35" i="5"/>
  <c r="K5" i="57"/>
  <c r="AA36" i="5"/>
  <c r="K5" i="58"/>
  <c r="AA37" i="5"/>
  <c r="K5" i="59"/>
  <c r="AA38" i="5"/>
  <c r="I9" i="5"/>
  <c r="I6" i="5"/>
  <c r="J9" i="5"/>
  <c r="F58" i="4"/>
  <c r="U12" i="4"/>
  <c r="F52" i="4"/>
  <c r="BD6" i="6"/>
  <c r="BC7" i="6"/>
  <c r="F58" i="31"/>
  <c r="U12" i="31"/>
  <c r="F52" i="31"/>
  <c r="BD7" i="6"/>
  <c r="BC8" i="6"/>
  <c r="F58" i="32"/>
  <c r="U12" i="32"/>
  <c r="F52" i="32"/>
  <c r="BD8" i="6"/>
  <c r="BC9" i="6"/>
  <c r="F58" i="33"/>
  <c r="U12" i="33"/>
  <c r="F52" i="33"/>
  <c r="BD9" i="6"/>
  <c r="BC10" i="6"/>
  <c r="F58" i="34"/>
  <c r="U12" i="34"/>
  <c r="F52" i="34"/>
  <c r="BD10" i="6"/>
  <c r="BC11" i="6"/>
  <c r="F58" i="35"/>
  <c r="U12" i="35"/>
  <c r="F52" i="35"/>
  <c r="BD11" i="6"/>
  <c r="BC12" i="6"/>
  <c r="F58" i="36"/>
  <c r="U12" i="36"/>
  <c r="F52" i="36"/>
  <c r="BD12" i="6"/>
  <c r="BC13" i="6"/>
  <c r="F58" i="37"/>
  <c r="U12" i="37"/>
  <c r="F52" i="37"/>
  <c r="BD13" i="6"/>
  <c r="BC14" i="6"/>
  <c r="F58" i="38"/>
  <c r="U12" i="38"/>
  <c r="F52" i="38"/>
  <c r="BD14" i="6"/>
  <c r="BC15" i="6"/>
  <c r="F58" i="39"/>
  <c r="U12" i="39"/>
  <c r="F52" i="39"/>
  <c r="BD15" i="6"/>
  <c r="BC16" i="6"/>
  <c r="F58" i="40"/>
  <c r="U12" i="40"/>
  <c r="F52" i="40"/>
  <c r="BD16" i="6"/>
  <c r="BC17" i="6"/>
  <c r="F58" i="41"/>
  <c r="U12" i="41"/>
  <c r="F52" i="41"/>
  <c r="BD17" i="6"/>
  <c r="BC18" i="6"/>
  <c r="F58" i="42"/>
  <c r="U12" i="42"/>
  <c r="F52" i="42"/>
  <c r="BD18" i="6"/>
  <c r="BC19" i="6"/>
  <c r="F58" i="43"/>
  <c r="U12" i="43"/>
  <c r="F52" i="43"/>
  <c r="BD19" i="6"/>
  <c r="BC20" i="6"/>
  <c r="F58" i="44"/>
  <c r="U12" i="44"/>
  <c r="F52" i="44"/>
  <c r="BD20" i="6"/>
  <c r="BC21" i="6"/>
  <c r="F58" i="45"/>
  <c r="U12" i="45"/>
  <c r="F52" i="45"/>
  <c r="BD21" i="6"/>
  <c r="BC22" i="6"/>
  <c r="F58" i="46"/>
  <c r="U12" i="46"/>
  <c r="F52" i="46"/>
  <c r="BD22" i="6"/>
  <c r="BC23" i="6"/>
  <c r="F58" i="47"/>
  <c r="U12" i="47"/>
  <c r="F52" i="47"/>
  <c r="BD23" i="6"/>
  <c r="BC24" i="6"/>
  <c r="F58" i="48"/>
  <c r="U12" i="48"/>
  <c r="F52" i="48"/>
  <c r="BD24" i="6"/>
  <c r="BC25" i="6"/>
  <c r="F58" i="49"/>
  <c r="U12" i="49"/>
  <c r="F52" i="49"/>
  <c r="BD25" i="6"/>
  <c r="BC26" i="6"/>
  <c r="F58" i="50"/>
  <c r="U12" i="50"/>
  <c r="F52" i="50"/>
  <c r="BD26" i="6"/>
  <c r="BC27" i="6"/>
  <c r="F58" i="51"/>
  <c r="U12" i="51"/>
  <c r="F52" i="51"/>
  <c r="BD27" i="6"/>
  <c r="BC28" i="6"/>
  <c r="F58" i="52"/>
  <c r="U12" i="52"/>
  <c r="F52" i="52"/>
  <c r="BD28" i="6"/>
  <c r="BC29" i="6"/>
  <c r="F58" i="53"/>
  <c r="U12" i="53"/>
  <c r="F52" i="53"/>
  <c r="BD29" i="6"/>
  <c r="BC30" i="6"/>
  <c r="F58" i="54"/>
  <c r="U12" i="54"/>
  <c r="F52" i="54"/>
  <c r="BD30" i="6"/>
  <c r="BC31" i="6"/>
  <c r="F58" i="55"/>
  <c r="U12" i="55"/>
  <c r="F52" i="55"/>
  <c r="BD31" i="6"/>
  <c r="BC32" i="6"/>
  <c r="F58" i="56"/>
  <c r="U12" i="56"/>
  <c r="F52" i="56"/>
  <c r="BD32" i="6"/>
  <c r="BC33" i="6"/>
  <c r="F58" i="57"/>
  <c r="U12" i="57"/>
  <c r="F52" i="57"/>
  <c r="BD33" i="6"/>
  <c r="BC34" i="6"/>
  <c r="F58" i="58"/>
  <c r="U12" i="58"/>
  <c r="F52" i="58"/>
  <c r="BD34" i="6"/>
  <c r="BC35" i="6"/>
  <c r="F58" i="59"/>
  <c r="U12" i="59"/>
  <c r="F52" i="59"/>
  <c r="BD35" i="6"/>
  <c r="BD5" i="6"/>
  <c r="BW11" i="5"/>
  <c r="BW12" i="5"/>
  <c r="BW13" i="5"/>
  <c r="BW14" i="5"/>
  <c r="BW15" i="5"/>
  <c r="BW16" i="5"/>
  <c r="BW17" i="5"/>
  <c r="BW18" i="5"/>
  <c r="BW19" i="5"/>
  <c r="BW20" i="5"/>
  <c r="BW21" i="5"/>
  <c r="BW22" i="5"/>
  <c r="BW23" i="5"/>
  <c r="BW24" i="5"/>
  <c r="BW25" i="5"/>
  <c r="BW26" i="5"/>
  <c r="BW27" i="5"/>
  <c r="BW28" i="5"/>
  <c r="BW29" i="5"/>
  <c r="BW30" i="5"/>
  <c r="BW31" i="5"/>
  <c r="BW32" i="5"/>
  <c r="BW33" i="5"/>
  <c r="BW34" i="5"/>
  <c r="BW35" i="5"/>
  <c r="BW36" i="5"/>
  <c r="BW37" i="5"/>
  <c r="BW38" i="5"/>
  <c r="BW10" i="5"/>
  <c r="E7" i="31"/>
  <c r="AB7" i="31"/>
  <c r="AB8" i="31"/>
  <c r="E39" i="31"/>
  <c r="F39" i="31"/>
  <c r="G39" i="31"/>
  <c r="H39" i="31"/>
  <c r="AE9" i="30"/>
  <c r="AF9" i="30"/>
  <c r="I40" i="31"/>
  <c r="H40" i="31"/>
  <c r="K40" i="31"/>
  <c r="G48" i="31"/>
  <c r="H48" i="31"/>
  <c r="H50" i="31"/>
  <c r="J50" i="31"/>
  <c r="H51" i="31"/>
  <c r="G41" i="31"/>
  <c r="H41" i="31"/>
  <c r="J41" i="31"/>
  <c r="G42" i="31"/>
  <c r="H42" i="31"/>
  <c r="J42" i="31"/>
  <c r="G43" i="31"/>
  <c r="H43" i="31"/>
  <c r="J43" i="31"/>
  <c r="G44" i="31"/>
  <c r="H44" i="31"/>
  <c r="J44" i="31"/>
  <c r="G45" i="31"/>
  <c r="H45" i="31"/>
  <c r="J45" i="31"/>
  <c r="G46" i="31"/>
  <c r="H46" i="31"/>
  <c r="J46" i="31"/>
  <c r="G47" i="31"/>
  <c r="H47" i="31"/>
  <c r="J47" i="31"/>
  <c r="F53" i="31"/>
  <c r="H49" i="31"/>
  <c r="BV10" i="5"/>
  <c r="E7" i="32"/>
  <c r="AB7" i="32"/>
  <c r="AB8" i="32"/>
  <c r="E39" i="32"/>
  <c r="F39" i="32"/>
  <c r="G39" i="32"/>
  <c r="H39" i="32"/>
  <c r="AE10" i="30"/>
  <c r="AF10" i="30"/>
  <c r="I40" i="32"/>
  <c r="H40" i="32"/>
  <c r="K40" i="32"/>
  <c r="G48" i="32"/>
  <c r="H48" i="32"/>
  <c r="H50" i="32"/>
  <c r="J50" i="32"/>
  <c r="H51" i="32"/>
  <c r="G41" i="32"/>
  <c r="H41" i="32"/>
  <c r="J41" i="32"/>
  <c r="G42" i="32"/>
  <c r="H42" i="32"/>
  <c r="J42" i="32"/>
  <c r="G43" i="32"/>
  <c r="H43" i="32"/>
  <c r="J43" i="32"/>
  <c r="G44" i="32"/>
  <c r="H44" i="32"/>
  <c r="J44" i="32"/>
  <c r="G45" i="32"/>
  <c r="H45" i="32"/>
  <c r="J45" i="32"/>
  <c r="G46" i="32"/>
  <c r="H46" i="32"/>
  <c r="J46" i="32"/>
  <c r="G47" i="32"/>
  <c r="H47" i="32"/>
  <c r="J47" i="32"/>
  <c r="F53" i="32"/>
  <c r="H49" i="32"/>
  <c r="BV11" i="5"/>
  <c r="AE11" i="30"/>
  <c r="AF11" i="30"/>
  <c r="I40" i="33"/>
  <c r="H40" i="33"/>
  <c r="K40" i="33"/>
  <c r="G48" i="33"/>
  <c r="H48" i="33"/>
  <c r="H50" i="33"/>
  <c r="J50" i="33"/>
  <c r="H51" i="33"/>
  <c r="G41" i="33"/>
  <c r="H41" i="33"/>
  <c r="J41" i="33"/>
  <c r="G42" i="33"/>
  <c r="H42" i="33"/>
  <c r="J42" i="33"/>
  <c r="G43" i="33"/>
  <c r="H43" i="33"/>
  <c r="J43" i="33"/>
  <c r="G44" i="33"/>
  <c r="H44" i="33"/>
  <c r="J44" i="33"/>
  <c r="G45" i="33"/>
  <c r="H45" i="33"/>
  <c r="J45" i="33"/>
  <c r="G46" i="33"/>
  <c r="H46" i="33"/>
  <c r="J46" i="33"/>
  <c r="G47" i="33"/>
  <c r="H47" i="33"/>
  <c r="J47" i="33"/>
  <c r="F53" i="33"/>
  <c r="E7" i="33"/>
  <c r="AB7" i="33"/>
  <c r="AB8" i="33"/>
  <c r="E39" i="33"/>
  <c r="F39" i="33"/>
  <c r="G39" i="33"/>
  <c r="H49" i="33"/>
  <c r="BV12" i="5"/>
  <c r="E7" i="34"/>
  <c r="AB7" i="34"/>
  <c r="AB8" i="34"/>
  <c r="E39" i="34"/>
  <c r="F39" i="34"/>
  <c r="G39" i="34"/>
  <c r="H39" i="34"/>
  <c r="AE12" i="30"/>
  <c r="AF12" i="30"/>
  <c r="I40" i="34"/>
  <c r="H40" i="34"/>
  <c r="K40" i="34"/>
  <c r="G48" i="34"/>
  <c r="H48" i="34"/>
  <c r="H50" i="34"/>
  <c r="J50" i="34"/>
  <c r="H51" i="34"/>
  <c r="G41" i="34"/>
  <c r="H41" i="34"/>
  <c r="J41" i="34"/>
  <c r="G42" i="34"/>
  <c r="H42" i="34"/>
  <c r="J42" i="34"/>
  <c r="G43" i="34"/>
  <c r="H43" i="34"/>
  <c r="J43" i="34"/>
  <c r="G44" i="34"/>
  <c r="H44" i="34"/>
  <c r="J44" i="34"/>
  <c r="G45" i="34"/>
  <c r="H45" i="34"/>
  <c r="J45" i="34"/>
  <c r="G46" i="34"/>
  <c r="H46" i="34"/>
  <c r="J46" i="34"/>
  <c r="G47" i="34"/>
  <c r="H47" i="34"/>
  <c r="J47" i="34"/>
  <c r="F53" i="34"/>
  <c r="H49" i="34"/>
  <c r="BV13" i="5"/>
  <c r="AE13" i="30"/>
  <c r="AF13" i="30"/>
  <c r="I40" i="35"/>
  <c r="H40" i="35"/>
  <c r="K40" i="35"/>
  <c r="G48" i="35"/>
  <c r="H48" i="35"/>
  <c r="H50" i="35"/>
  <c r="J50" i="35"/>
  <c r="H51" i="35"/>
  <c r="G41" i="35"/>
  <c r="H41" i="35"/>
  <c r="J41" i="35"/>
  <c r="G42" i="35"/>
  <c r="H42" i="35"/>
  <c r="J42" i="35"/>
  <c r="G43" i="35"/>
  <c r="H43" i="35"/>
  <c r="J43" i="35"/>
  <c r="G44" i="35"/>
  <c r="H44" i="35"/>
  <c r="J44" i="35"/>
  <c r="G45" i="35"/>
  <c r="H45" i="35"/>
  <c r="J45" i="35"/>
  <c r="G46" i="35"/>
  <c r="H46" i="35"/>
  <c r="J46" i="35"/>
  <c r="G47" i="35"/>
  <c r="H47" i="35"/>
  <c r="J47" i="35"/>
  <c r="F53" i="35"/>
  <c r="E7" i="35"/>
  <c r="AB7" i="35"/>
  <c r="AB8" i="35"/>
  <c r="E39" i="35"/>
  <c r="F39" i="35"/>
  <c r="G39" i="35"/>
  <c r="H49" i="35"/>
  <c r="BV14" i="5"/>
  <c r="I40" i="36"/>
  <c r="H40" i="36"/>
  <c r="K40" i="36"/>
  <c r="G48" i="36"/>
  <c r="H48" i="36"/>
  <c r="H50" i="36"/>
  <c r="J50" i="36"/>
  <c r="H51" i="36"/>
  <c r="G41" i="36"/>
  <c r="H41" i="36"/>
  <c r="J41" i="36"/>
  <c r="G42" i="36"/>
  <c r="H42" i="36"/>
  <c r="J42" i="36"/>
  <c r="G43" i="36"/>
  <c r="H43" i="36"/>
  <c r="J43" i="36"/>
  <c r="G44" i="36"/>
  <c r="H44" i="36"/>
  <c r="J44" i="36"/>
  <c r="G45" i="36"/>
  <c r="H45" i="36"/>
  <c r="J45" i="36"/>
  <c r="G46" i="36"/>
  <c r="H46" i="36"/>
  <c r="J46" i="36"/>
  <c r="G47" i="36"/>
  <c r="H47" i="36"/>
  <c r="J47" i="36"/>
  <c r="F53" i="36"/>
  <c r="E7" i="36"/>
  <c r="AB7" i="36"/>
  <c r="AB8" i="36"/>
  <c r="E39" i="36"/>
  <c r="F39" i="36"/>
  <c r="G39" i="36"/>
  <c r="H49" i="36"/>
  <c r="BV15" i="5"/>
  <c r="I40" i="37"/>
  <c r="H40" i="37"/>
  <c r="K40" i="37"/>
  <c r="G48" i="37"/>
  <c r="H48" i="37"/>
  <c r="H50" i="37"/>
  <c r="J50" i="37"/>
  <c r="H51" i="37"/>
  <c r="G41" i="37"/>
  <c r="H41" i="37"/>
  <c r="J41" i="37"/>
  <c r="G42" i="37"/>
  <c r="H42" i="37"/>
  <c r="J42" i="37"/>
  <c r="G43" i="37"/>
  <c r="H43" i="37"/>
  <c r="J43" i="37"/>
  <c r="G44" i="37"/>
  <c r="H44" i="37"/>
  <c r="J44" i="37"/>
  <c r="G45" i="37"/>
  <c r="H45" i="37"/>
  <c r="J45" i="37"/>
  <c r="G46" i="37"/>
  <c r="H46" i="37"/>
  <c r="J46" i="37"/>
  <c r="G47" i="37"/>
  <c r="H47" i="37"/>
  <c r="J47" i="37"/>
  <c r="F53" i="37"/>
  <c r="E7" i="37"/>
  <c r="AB7" i="37"/>
  <c r="AB8" i="37"/>
  <c r="E39" i="37"/>
  <c r="F39" i="37"/>
  <c r="G39" i="37"/>
  <c r="H49" i="37"/>
  <c r="BV16" i="5"/>
  <c r="I40" i="38"/>
  <c r="H40" i="38"/>
  <c r="K40" i="38"/>
  <c r="G48" i="38"/>
  <c r="H48" i="38"/>
  <c r="H50" i="38"/>
  <c r="J50" i="38"/>
  <c r="H51" i="38"/>
  <c r="G41" i="38"/>
  <c r="H41" i="38"/>
  <c r="J41" i="38"/>
  <c r="G42" i="38"/>
  <c r="H42" i="38"/>
  <c r="J42" i="38"/>
  <c r="G43" i="38"/>
  <c r="H43" i="38"/>
  <c r="J43" i="38"/>
  <c r="G44" i="38"/>
  <c r="H44" i="38"/>
  <c r="J44" i="38"/>
  <c r="G45" i="38"/>
  <c r="H45" i="38"/>
  <c r="J45" i="38"/>
  <c r="G46" i="38"/>
  <c r="H46" i="38"/>
  <c r="J46" i="38"/>
  <c r="G47" i="38"/>
  <c r="H47" i="38"/>
  <c r="J47" i="38"/>
  <c r="F53" i="38"/>
  <c r="E7" i="38"/>
  <c r="AB7" i="38"/>
  <c r="AB8" i="38"/>
  <c r="E39" i="38"/>
  <c r="F39" i="38"/>
  <c r="G39" i="38"/>
  <c r="H49" i="38"/>
  <c r="BV17" i="5"/>
  <c r="I40" i="39"/>
  <c r="H40" i="39"/>
  <c r="K40" i="39"/>
  <c r="G48" i="39"/>
  <c r="H48" i="39"/>
  <c r="H50" i="39"/>
  <c r="J50" i="39"/>
  <c r="H51" i="39"/>
  <c r="G41" i="39"/>
  <c r="H41" i="39"/>
  <c r="J41" i="39"/>
  <c r="G42" i="39"/>
  <c r="H42" i="39"/>
  <c r="J42" i="39"/>
  <c r="G43" i="39"/>
  <c r="H43" i="39"/>
  <c r="J43" i="39"/>
  <c r="G44" i="39"/>
  <c r="H44" i="39"/>
  <c r="J44" i="39"/>
  <c r="G45" i="39"/>
  <c r="H45" i="39"/>
  <c r="J45" i="39"/>
  <c r="G46" i="39"/>
  <c r="H46" i="39"/>
  <c r="J46" i="39"/>
  <c r="G47" i="39"/>
  <c r="H47" i="39"/>
  <c r="J47" i="39"/>
  <c r="F53" i="39"/>
  <c r="E7" i="39"/>
  <c r="AB7" i="39"/>
  <c r="AB8" i="39"/>
  <c r="E39" i="39"/>
  <c r="F39" i="39"/>
  <c r="G39" i="39"/>
  <c r="H49" i="39"/>
  <c r="BV18" i="5"/>
  <c r="I40" i="40"/>
  <c r="H40" i="40"/>
  <c r="K40" i="40"/>
  <c r="G48" i="40"/>
  <c r="H48" i="40"/>
  <c r="H50" i="40"/>
  <c r="J50" i="40"/>
  <c r="H51" i="40"/>
  <c r="G41" i="40"/>
  <c r="H41" i="40"/>
  <c r="J41" i="40"/>
  <c r="G42" i="40"/>
  <c r="H42" i="40"/>
  <c r="J42" i="40"/>
  <c r="G43" i="40"/>
  <c r="H43" i="40"/>
  <c r="J43" i="40"/>
  <c r="G44" i="40"/>
  <c r="H44" i="40"/>
  <c r="J44" i="40"/>
  <c r="G45" i="40"/>
  <c r="H45" i="40"/>
  <c r="J45" i="40"/>
  <c r="G46" i="40"/>
  <c r="H46" i="40"/>
  <c r="J46" i="40"/>
  <c r="G47" i="40"/>
  <c r="H47" i="40"/>
  <c r="J47" i="40"/>
  <c r="F53" i="40"/>
  <c r="E7" i="40"/>
  <c r="AB7" i="40"/>
  <c r="AB8" i="40"/>
  <c r="E39" i="40"/>
  <c r="F39" i="40"/>
  <c r="G39" i="40"/>
  <c r="H49" i="40"/>
  <c r="BV19" i="5"/>
  <c r="I40" i="41"/>
  <c r="H40" i="41"/>
  <c r="K40" i="41"/>
  <c r="G48" i="41"/>
  <c r="H48" i="41"/>
  <c r="H50" i="41"/>
  <c r="J50" i="41"/>
  <c r="H51" i="41"/>
  <c r="G41" i="41"/>
  <c r="H41" i="41"/>
  <c r="J41" i="41"/>
  <c r="G42" i="41"/>
  <c r="H42" i="41"/>
  <c r="J42" i="41"/>
  <c r="G43" i="41"/>
  <c r="H43" i="41"/>
  <c r="J43" i="41"/>
  <c r="G44" i="41"/>
  <c r="H44" i="41"/>
  <c r="J44" i="41"/>
  <c r="G45" i="41"/>
  <c r="H45" i="41"/>
  <c r="J45" i="41"/>
  <c r="G46" i="41"/>
  <c r="H46" i="41"/>
  <c r="J46" i="41"/>
  <c r="G47" i="41"/>
  <c r="H47" i="41"/>
  <c r="J47" i="41"/>
  <c r="F53" i="41"/>
  <c r="E7" i="41"/>
  <c r="AB7" i="41"/>
  <c r="AB8" i="41"/>
  <c r="E39" i="41"/>
  <c r="F39" i="41"/>
  <c r="G39" i="41"/>
  <c r="H49" i="41"/>
  <c r="BV20" i="5"/>
  <c r="I40" i="42"/>
  <c r="H40" i="42"/>
  <c r="K40" i="42"/>
  <c r="G48" i="42"/>
  <c r="H48" i="42"/>
  <c r="H50" i="42"/>
  <c r="J50" i="42"/>
  <c r="H51" i="42"/>
  <c r="G41" i="42"/>
  <c r="H41" i="42"/>
  <c r="J41" i="42"/>
  <c r="G42" i="42"/>
  <c r="H42" i="42"/>
  <c r="J42" i="42"/>
  <c r="G43" i="42"/>
  <c r="H43" i="42"/>
  <c r="J43" i="42"/>
  <c r="G44" i="42"/>
  <c r="H44" i="42"/>
  <c r="J44" i="42"/>
  <c r="G45" i="42"/>
  <c r="H45" i="42"/>
  <c r="J45" i="42"/>
  <c r="G46" i="42"/>
  <c r="H46" i="42"/>
  <c r="J46" i="42"/>
  <c r="G47" i="42"/>
  <c r="H47" i="42"/>
  <c r="J47" i="42"/>
  <c r="F53" i="42"/>
  <c r="E7" i="42"/>
  <c r="AB7" i="42"/>
  <c r="AB8" i="42"/>
  <c r="E39" i="42"/>
  <c r="F39" i="42"/>
  <c r="G39" i="42"/>
  <c r="H49" i="42"/>
  <c r="BV21" i="5"/>
  <c r="I40" i="43"/>
  <c r="H40" i="43"/>
  <c r="K40" i="43"/>
  <c r="G48" i="43"/>
  <c r="H48" i="43"/>
  <c r="H50" i="43"/>
  <c r="J50" i="43"/>
  <c r="H51" i="43"/>
  <c r="G41" i="43"/>
  <c r="H41" i="43"/>
  <c r="J41" i="43"/>
  <c r="G42" i="43"/>
  <c r="H42" i="43"/>
  <c r="J42" i="43"/>
  <c r="G43" i="43"/>
  <c r="H43" i="43"/>
  <c r="J43" i="43"/>
  <c r="G44" i="43"/>
  <c r="H44" i="43"/>
  <c r="J44" i="43"/>
  <c r="G45" i="43"/>
  <c r="H45" i="43"/>
  <c r="J45" i="43"/>
  <c r="G46" i="43"/>
  <c r="H46" i="43"/>
  <c r="J46" i="43"/>
  <c r="G47" i="43"/>
  <c r="H47" i="43"/>
  <c r="J47" i="43"/>
  <c r="F53" i="43"/>
  <c r="E7" i="43"/>
  <c r="AB7" i="43"/>
  <c r="AB8" i="43"/>
  <c r="E39" i="43"/>
  <c r="F39" i="43"/>
  <c r="G39" i="43"/>
  <c r="H49" i="43"/>
  <c r="BV22" i="5"/>
  <c r="I40" i="44"/>
  <c r="H40" i="44"/>
  <c r="K40" i="44"/>
  <c r="G48" i="44"/>
  <c r="H48" i="44"/>
  <c r="H50" i="44"/>
  <c r="J50" i="44"/>
  <c r="H51" i="44"/>
  <c r="G41" i="44"/>
  <c r="H41" i="44"/>
  <c r="J41" i="44"/>
  <c r="G42" i="44"/>
  <c r="H42" i="44"/>
  <c r="J42" i="44"/>
  <c r="G43" i="44"/>
  <c r="H43" i="44"/>
  <c r="J43" i="44"/>
  <c r="G44" i="44"/>
  <c r="H44" i="44"/>
  <c r="J44" i="44"/>
  <c r="G45" i="44"/>
  <c r="H45" i="44"/>
  <c r="J45" i="44"/>
  <c r="G46" i="44"/>
  <c r="H46" i="44"/>
  <c r="J46" i="44"/>
  <c r="G47" i="44"/>
  <c r="H47" i="44"/>
  <c r="J47" i="44"/>
  <c r="F53" i="44"/>
  <c r="E7" i="44"/>
  <c r="AB7" i="44"/>
  <c r="AB8" i="44"/>
  <c r="E39" i="44"/>
  <c r="F39" i="44"/>
  <c r="G39" i="44"/>
  <c r="H49" i="44"/>
  <c r="BV23" i="5"/>
  <c r="I40" i="45"/>
  <c r="H40" i="45"/>
  <c r="K40" i="45"/>
  <c r="G48" i="45"/>
  <c r="H48" i="45"/>
  <c r="H50" i="45"/>
  <c r="J50" i="45"/>
  <c r="H51" i="45"/>
  <c r="G41" i="45"/>
  <c r="H41" i="45"/>
  <c r="J41" i="45"/>
  <c r="G42" i="45"/>
  <c r="H42" i="45"/>
  <c r="J42" i="45"/>
  <c r="G43" i="45"/>
  <c r="H43" i="45"/>
  <c r="J43" i="45"/>
  <c r="G44" i="45"/>
  <c r="H44" i="45"/>
  <c r="J44" i="45"/>
  <c r="G45" i="45"/>
  <c r="H45" i="45"/>
  <c r="J45" i="45"/>
  <c r="G46" i="45"/>
  <c r="H46" i="45"/>
  <c r="J46" i="45"/>
  <c r="G47" i="45"/>
  <c r="H47" i="45"/>
  <c r="J47" i="45"/>
  <c r="F53" i="45"/>
  <c r="E7" i="45"/>
  <c r="AB7" i="45"/>
  <c r="AB8" i="45"/>
  <c r="E39" i="45"/>
  <c r="F39" i="45"/>
  <c r="G39" i="45"/>
  <c r="H49" i="45"/>
  <c r="BV24" i="5"/>
  <c r="I40" i="46"/>
  <c r="H40" i="46"/>
  <c r="K40" i="46"/>
  <c r="G48" i="46"/>
  <c r="H48" i="46"/>
  <c r="H50" i="46"/>
  <c r="J50" i="46"/>
  <c r="H51" i="46"/>
  <c r="G41" i="46"/>
  <c r="H41" i="46"/>
  <c r="J41" i="46"/>
  <c r="G42" i="46"/>
  <c r="H42" i="46"/>
  <c r="J42" i="46"/>
  <c r="G43" i="46"/>
  <c r="H43" i="46"/>
  <c r="J43" i="46"/>
  <c r="G44" i="46"/>
  <c r="H44" i="46"/>
  <c r="J44" i="46"/>
  <c r="G45" i="46"/>
  <c r="H45" i="46"/>
  <c r="J45" i="46"/>
  <c r="G46" i="46"/>
  <c r="H46" i="46"/>
  <c r="J46" i="46"/>
  <c r="G47" i="46"/>
  <c r="H47" i="46"/>
  <c r="J47" i="46"/>
  <c r="F53" i="46"/>
  <c r="E7" i="46"/>
  <c r="AB7" i="46"/>
  <c r="AB8" i="46"/>
  <c r="E39" i="46"/>
  <c r="F39" i="46"/>
  <c r="G39" i="46"/>
  <c r="H49" i="46"/>
  <c r="BV25" i="5"/>
  <c r="I40" i="47"/>
  <c r="H40" i="47"/>
  <c r="K40" i="47"/>
  <c r="G48" i="47"/>
  <c r="H48" i="47"/>
  <c r="H50" i="47"/>
  <c r="J50" i="47"/>
  <c r="H51" i="47"/>
  <c r="G41" i="47"/>
  <c r="H41" i="47"/>
  <c r="J41" i="47"/>
  <c r="G42" i="47"/>
  <c r="H42" i="47"/>
  <c r="J42" i="47"/>
  <c r="G43" i="47"/>
  <c r="H43" i="47"/>
  <c r="J43" i="47"/>
  <c r="G44" i="47"/>
  <c r="H44" i="47"/>
  <c r="J44" i="47"/>
  <c r="G45" i="47"/>
  <c r="H45" i="47"/>
  <c r="J45" i="47"/>
  <c r="G46" i="47"/>
  <c r="H46" i="47"/>
  <c r="J46" i="47"/>
  <c r="G47" i="47"/>
  <c r="H47" i="47"/>
  <c r="J47" i="47"/>
  <c r="F53" i="47"/>
  <c r="E7" i="47"/>
  <c r="AB7" i="47"/>
  <c r="AB8" i="47"/>
  <c r="E39" i="47"/>
  <c r="F39" i="47"/>
  <c r="G39" i="47"/>
  <c r="H49" i="47"/>
  <c r="BV26" i="5"/>
  <c r="I40" i="48"/>
  <c r="H40" i="48"/>
  <c r="K40" i="48"/>
  <c r="G48" i="48"/>
  <c r="H48" i="48"/>
  <c r="H50" i="48"/>
  <c r="J50" i="48"/>
  <c r="H51" i="48"/>
  <c r="G41" i="48"/>
  <c r="H41" i="48"/>
  <c r="J41" i="48"/>
  <c r="G42" i="48"/>
  <c r="H42" i="48"/>
  <c r="J42" i="48"/>
  <c r="G43" i="48"/>
  <c r="H43" i="48"/>
  <c r="J43" i="48"/>
  <c r="G44" i="48"/>
  <c r="H44" i="48"/>
  <c r="J44" i="48"/>
  <c r="G45" i="48"/>
  <c r="H45" i="48"/>
  <c r="J45" i="48"/>
  <c r="G46" i="48"/>
  <c r="H46" i="48"/>
  <c r="J46" i="48"/>
  <c r="G47" i="48"/>
  <c r="H47" i="48"/>
  <c r="J47" i="48"/>
  <c r="F53" i="48"/>
  <c r="E7" i="48"/>
  <c r="AB7" i="48"/>
  <c r="AB8" i="48"/>
  <c r="E39" i="48"/>
  <c r="F39" i="48"/>
  <c r="G39" i="48"/>
  <c r="H49" i="48"/>
  <c r="BV27" i="5"/>
  <c r="I40" i="49"/>
  <c r="H40" i="49"/>
  <c r="K40" i="49"/>
  <c r="G48" i="49"/>
  <c r="H48" i="49"/>
  <c r="H50" i="49"/>
  <c r="J50" i="49"/>
  <c r="H51" i="49"/>
  <c r="G41" i="49"/>
  <c r="H41" i="49"/>
  <c r="J41" i="49"/>
  <c r="G42" i="49"/>
  <c r="H42" i="49"/>
  <c r="J42" i="49"/>
  <c r="G43" i="49"/>
  <c r="H43" i="49"/>
  <c r="J43" i="49"/>
  <c r="G44" i="49"/>
  <c r="H44" i="49"/>
  <c r="J44" i="49"/>
  <c r="G45" i="49"/>
  <c r="H45" i="49"/>
  <c r="J45" i="49"/>
  <c r="G46" i="49"/>
  <c r="H46" i="49"/>
  <c r="J46" i="49"/>
  <c r="G47" i="49"/>
  <c r="H47" i="49"/>
  <c r="J47" i="49"/>
  <c r="F53" i="49"/>
  <c r="E7" i="49"/>
  <c r="AB7" i="49"/>
  <c r="AB8" i="49"/>
  <c r="E39" i="49"/>
  <c r="F39" i="49"/>
  <c r="G39" i="49"/>
  <c r="H49" i="49"/>
  <c r="BV28" i="5"/>
  <c r="I40" i="50"/>
  <c r="H40" i="50"/>
  <c r="K40" i="50"/>
  <c r="G48" i="50"/>
  <c r="H48" i="50"/>
  <c r="H50" i="50"/>
  <c r="J50" i="50"/>
  <c r="H51" i="50"/>
  <c r="G41" i="50"/>
  <c r="H41" i="50"/>
  <c r="J41" i="50"/>
  <c r="G42" i="50"/>
  <c r="H42" i="50"/>
  <c r="J42" i="50"/>
  <c r="G43" i="50"/>
  <c r="H43" i="50"/>
  <c r="J43" i="50"/>
  <c r="G44" i="50"/>
  <c r="H44" i="50"/>
  <c r="J44" i="50"/>
  <c r="G45" i="50"/>
  <c r="H45" i="50"/>
  <c r="J45" i="50"/>
  <c r="G46" i="50"/>
  <c r="H46" i="50"/>
  <c r="J46" i="50"/>
  <c r="G47" i="50"/>
  <c r="H47" i="50"/>
  <c r="J47" i="50"/>
  <c r="F53" i="50"/>
  <c r="E7" i="50"/>
  <c r="AB7" i="50"/>
  <c r="AB8" i="50"/>
  <c r="E39" i="50"/>
  <c r="F39" i="50"/>
  <c r="G39" i="50"/>
  <c r="H49" i="50"/>
  <c r="BV29" i="5"/>
  <c r="I40" i="51"/>
  <c r="H40" i="51"/>
  <c r="K40" i="51"/>
  <c r="G48" i="51"/>
  <c r="H48" i="51"/>
  <c r="H50" i="51"/>
  <c r="J50" i="51"/>
  <c r="H51" i="51"/>
  <c r="G41" i="51"/>
  <c r="H41" i="51"/>
  <c r="J41" i="51"/>
  <c r="G42" i="51"/>
  <c r="H42" i="51"/>
  <c r="J42" i="51"/>
  <c r="G43" i="51"/>
  <c r="H43" i="51"/>
  <c r="J43" i="51"/>
  <c r="G44" i="51"/>
  <c r="H44" i="51"/>
  <c r="J44" i="51"/>
  <c r="G45" i="51"/>
  <c r="H45" i="51"/>
  <c r="J45" i="51"/>
  <c r="G46" i="51"/>
  <c r="H46" i="51"/>
  <c r="J46" i="51"/>
  <c r="G47" i="51"/>
  <c r="H47" i="51"/>
  <c r="J47" i="51"/>
  <c r="F53" i="51"/>
  <c r="E7" i="51"/>
  <c r="AB7" i="51"/>
  <c r="AB8" i="51"/>
  <c r="E39" i="51"/>
  <c r="F39" i="51"/>
  <c r="G39" i="51"/>
  <c r="H49" i="51"/>
  <c r="BV30" i="5"/>
  <c r="I40" i="52"/>
  <c r="H40" i="52"/>
  <c r="K40" i="52"/>
  <c r="G48" i="52"/>
  <c r="H48" i="52"/>
  <c r="H50" i="52"/>
  <c r="J50" i="52"/>
  <c r="H51" i="52"/>
  <c r="G41" i="52"/>
  <c r="H41" i="52"/>
  <c r="J41" i="52"/>
  <c r="G42" i="52"/>
  <c r="H42" i="52"/>
  <c r="J42" i="52"/>
  <c r="G43" i="52"/>
  <c r="H43" i="52"/>
  <c r="J43" i="52"/>
  <c r="G44" i="52"/>
  <c r="H44" i="52"/>
  <c r="J44" i="52"/>
  <c r="G45" i="52"/>
  <c r="H45" i="52"/>
  <c r="J45" i="52"/>
  <c r="G46" i="52"/>
  <c r="H46" i="52"/>
  <c r="J46" i="52"/>
  <c r="G47" i="52"/>
  <c r="H47" i="52"/>
  <c r="J47" i="52"/>
  <c r="F53" i="52"/>
  <c r="E7" i="52"/>
  <c r="AB7" i="52"/>
  <c r="AB8" i="52"/>
  <c r="E39" i="52"/>
  <c r="F39" i="52"/>
  <c r="G39" i="52"/>
  <c r="H49" i="52"/>
  <c r="BV31" i="5"/>
  <c r="I40" i="53"/>
  <c r="H40" i="53"/>
  <c r="K40" i="53"/>
  <c r="G48" i="53"/>
  <c r="H48" i="53"/>
  <c r="H50" i="53"/>
  <c r="J50" i="53"/>
  <c r="H51" i="53"/>
  <c r="G41" i="53"/>
  <c r="H41" i="53"/>
  <c r="J41" i="53"/>
  <c r="G42" i="53"/>
  <c r="H42" i="53"/>
  <c r="J42" i="53"/>
  <c r="G43" i="53"/>
  <c r="H43" i="53"/>
  <c r="J43" i="53"/>
  <c r="G44" i="53"/>
  <c r="H44" i="53"/>
  <c r="J44" i="53"/>
  <c r="G45" i="53"/>
  <c r="H45" i="53"/>
  <c r="J45" i="53"/>
  <c r="G46" i="53"/>
  <c r="H46" i="53"/>
  <c r="J46" i="53"/>
  <c r="G47" i="53"/>
  <c r="H47" i="53"/>
  <c r="J47" i="53"/>
  <c r="F53" i="53"/>
  <c r="E7" i="53"/>
  <c r="AB7" i="53"/>
  <c r="AB8" i="53"/>
  <c r="E39" i="53"/>
  <c r="F39" i="53"/>
  <c r="G39" i="53"/>
  <c r="H49" i="53"/>
  <c r="BV32" i="5"/>
  <c r="I40" i="54"/>
  <c r="H40" i="54"/>
  <c r="K40" i="54"/>
  <c r="G48" i="54"/>
  <c r="H48" i="54"/>
  <c r="H50" i="54"/>
  <c r="J50" i="54"/>
  <c r="H51" i="54"/>
  <c r="G41" i="54"/>
  <c r="H41" i="54"/>
  <c r="J41" i="54"/>
  <c r="G42" i="54"/>
  <c r="H42" i="54"/>
  <c r="J42" i="54"/>
  <c r="G43" i="54"/>
  <c r="H43" i="54"/>
  <c r="J43" i="54"/>
  <c r="G44" i="54"/>
  <c r="H44" i="54"/>
  <c r="J44" i="54"/>
  <c r="G45" i="54"/>
  <c r="H45" i="54"/>
  <c r="J45" i="54"/>
  <c r="G46" i="54"/>
  <c r="H46" i="54"/>
  <c r="J46" i="54"/>
  <c r="G47" i="54"/>
  <c r="H47" i="54"/>
  <c r="J47" i="54"/>
  <c r="F53" i="54"/>
  <c r="E7" i="54"/>
  <c r="AB7" i="54"/>
  <c r="AB8" i="54"/>
  <c r="E39" i="54"/>
  <c r="F39" i="54"/>
  <c r="G39" i="54"/>
  <c r="H49" i="54"/>
  <c r="BV33" i="5"/>
  <c r="I40" i="55"/>
  <c r="H40" i="55"/>
  <c r="K40" i="55"/>
  <c r="G48" i="55"/>
  <c r="H48" i="55"/>
  <c r="H50" i="55"/>
  <c r="J50" i="55"/>
  <c r="H51" i="55"/>
  <c r="G41" i="55"/>
  <c r="H41" i="55"/>
  <c r="J41" i="55"/>
  <c r="G42" i="55"/>
  <c r="H42" i="55"/>
  <c r="J42" i="55"/>
  <c r="G43" i="55"/>
  <c r="H43" i="55"/>
  <c r="J43" i="55"/>
  <c r="G44" i="55"/>
  <c r="H44" i="55"/>
  <c r="J44" i="55"/>
  <c r="G45" i="55"/>
  <c r="H45" i="55"/>
  <c r="J45" i="55"/>
  <c r="G46" i="55"/>
  <c r="H46" i="55"/>
  <c r="J46" i="55"/>
  <c r="G47" i="55"/>
  <c r="H47" i="55"/>
  <c r="J47" i="55"/>
  <c r="F53" i="55"/>
  <c r="E7" i="55"/>
  <c r="AB7" i="55"/>
  <c r="AB8" i="55"/>
  <c r="E39" i="55"/>
  <c r="F39" i="55"/>
  <c r="G39" i="55"/>
  <c r="H49" i="55"/>
  <c r="BV34" i="5"/>
  <c r="I40" i="56"/>
  <c r="H40" i="56"/>
  <c r="K40" i="56"/>
  <c r="G48" i="56"/>
  <c r="H48" i="56"/>
  <c r="H50" i="56"/>
  <c r="J50" i="56"/>
  <c r="H51" i="56"/>
  <c r="G41" i="56"/>
  <c r="H41" i="56"/>
  <c r="J41" i="56"/>
  <c r="G42" i="56"/>
  <c r="H42" i="56"/>
  <c r="J42" i="56"/>
  <c r="G43" i="56"/>
  <c r="H43" i="56"/>
  <c r="J43" i="56"/>
  <c r="G44" i="56"/>
  <c r="H44" i="56"/>
  <c r="J44" i="56"/>
  <c r="G45" i="56"/>
  <c r="H45" i="56"/>
  <c r="J45" i="56"/>
  <c r="G46" i="56"/>
  <c r="H46" i="56"/>
  <c r="J46" i="56"/>
  <c r="G47" i="56"/>
  <c r="H47" i="56"/>
  <c r="J47" i="56"/>
  <c r="F53" i="56"/>
  <c r="E7" i="56"/>
  <c r="AB7" i="56"/>
  <c r="AB8" i="56"/>
  <c r="E39" i="56"/>
  <c r="F39" i="56"/>
  <c r="G39" i="56"/>
  <c r="H49" i="56"/>
  <c r="BV35" i="5"/>
  <c r="I40" i="57"/>
  <c r="H40" i="57"/>
  <c r="K40" i="57"/>
  <c r="G48" i="57"/>
  <c r="H48" i="57"/>
  <c r="H50" i="57"/>
  <c r="J50" i="57"/>
  <c r="H51" i="57"/>
  <c r="G41" i="57"/>
  <c r="H41" i="57"/>
  <c r="J41" i="57"/>
  <c r="G42" i="57"/>
  <c r="H42" i="57"/>
  <c r="J42" i="57"/>
  <c r="G43" i="57"/>
  <c r="H43" i="57"/>
  <c r="J43" i="57"/>
  <c r="G44" i="57"/>
  <c r="H44" i="57"/>
  <c r="J44" i="57"/>
  <c r="G45" i="57"/>
  <c r="H45" i="57"/>
  <c r="J45" i="57"/>
  <c r="G46" i="57"/>
  <c r="H46" i="57"/>
  <c r="J46" i="57"/>
  <c r="G47" i="57"/>
  <c r="H47" i="57"/>
  <c r="J47" i="57"/>
  <c r="F53" i="57"/>
  <c r="E7" i="57"/>
  <c r="AB7" i="57"/>
  <c r="AB8" i="57"/>
  <c r="E39" i="57"/>
  <c r="F39" i="57"/>
  <c r="G39" i="57"/>
  <c r="H49" i="57"/>
  <c r="BV36" i="5"/>
  <c r="I40" i="58"/>
  <c r="H40" i="58"/>
  <c r="K40" i="58"/>
  <c r="G48" i="58"/>
  <c r="H48" i="58"/>
  <c r="H50" i="58"/>
  <c r="J50" i="58"/>
  <c r="H51" i="58"/>
  <c r="G41" i="58"/>
  <c r="H41" i="58"/>
  <c r="J41" i="58"/>
  <c r="G42" i="58"/>
  <c r="H42" i="58"/>
  <c r="J42" i="58"/>
  <c r="G43" i="58"/>
  <c r="H43" i="58"/>
  <c r="J43" i="58"/>
  <c r="G44" i="58"/>
  <c r="H44" i="58"/>
  <c r="J44" i="58"/>
  <c r="G45" i="58"/>
  <c r="H45" i="58"/>
  <c r="J45" i="58"/>
  <c r="G46" i="58"/>
  <c r="H46" i="58"/>
  <c r="J46" i="58"/>
  <c r="G47" i="58"/>
  <c r="H47" i="58"/>
  <c r="J47" i="58"/>
  <c r="F53" i="58"/>
  <c r="E7" i="58"/>
  <c r="AB7" i="58"/>
  <c r="AB8" i="58"/>
  <c r="E39" i="58"/>
  <c r="F39" i="58"/>
  <c r="G39" i="58"/>
  <c r="H49" i="58"/>
  <c r="BV37" i="5"/>
  <c r="I40" i="59"/>
  <c r="H40" i="59"/>
  <c r="K40" i="59"/>
  <c r="G48" i="59"/>
  <c r="H48" i="59"/>
  <c r="H50" i="59"/>
  <c r="J50" i="59"/>
  <c r="H51" i="59"/>
  <c r="G41" i="59"/>
  <c r="H41" i="59"/>
  <c r="J41" i="59"/>
  <c r="G42" i="59"/>
  <c r="H42" i="59"/>
  <c r="J42" i="59"/>
  <c r="G43" i="59"/>
  <c r="H43" i="59"/>
  <c r="J43" i="59"/>
  <c r="G44" i="59"/>
  <c r="H44" i="59"/>
  <c r="J44" i="59"/>
  <c r="G45" i="59"/>
  <c r="H45" i="59"/>
  <c r="J45" i="59"/>
  <c r="G46" i="59"/>
  <c r="H46" i="59"/>
  <c r="J46" i="59"/>
  <c r="G47" i="59"/>
  <c r="H47" i="59"/>
  <c r="J47" i="59"/>
  <c r="F53" i="59"/>
  <c r="E7" i="59"/>
  <c r="AB7" i="59"/>
  <c r="AB8" i="59"/>
  <c r="E39" i="59"/>
  <c r="F39" i="59"/>
  <c r="G39" i="59"/>
  <c r="H49" i="59"/>
  <c r="BV38" i="5"/>
  <c r="AB7" i="4"/>
  <c r="AB8" i="4"/>
  <c r="E39" i="4"/>
  <c r="F39" i="4"/>
  <c r="G39" i="4"/>
  <c r="H39" i="4"/>
  <c r="I40" i="4"/>
  <c r="H40" i="4"/>
  <c r="K40" i="4"/>
  <c r="G48" i="4"/>
  <c r="H48" i="4"/>
  <c r="H50" i="4"/>
  <c r="J50" i="4"/>
  <c r="H51" i="4"/>
  <c r="G41" i="4"/>
  <c r="H41" i="4"/>
  <c r="J41" i="4"/>
  <c r="G42" i="4"/>
  <c r="H42" i="4"/>
  <c r="J42" i="4"/>
  <c r="G43" i="4"/>
  <c r="H43" i="4"/>
  <c r="J43" i="4"/>
  <c r="G44" i="4"/>
  <c r="H44" i="4"/>
  <c r="J44" i="4"/>
  <c r="G45" i="4"/>
  <c r="H45" i="4"/>
  <c r="J45" i="4"/>
  <c r="G46" i="4"/>
  <c r="H46" i="4"/>
  <c r="J46" i="4"/>
  <c r="G47" i="4"/>
  <c r="H47" i="4"/>
  <c r="J47" i="4"/>
  <c r="F53" i="4"/>
  <c r="H49" i="4"/>
  <c r="BV9" i="5"/>
  <c r="AE14" i="30"/>
  <c r="AF14" i="30"/>
  <c r="AE15" i="30"/>
  <c r="AF15" i="30"/>
  <c r="AE16" i="30"/>
  <c r="AF16" i="30"/>
  <c r="AE17" i="30"/>
  <c r="AF17" i="30"/>
  <c r="AE18" i="30"/>
  <c r="AF18" i="30"/>
  <c r="AE19" i="30"/>
  <c r="AF19" i="30"/>
  <c r="AE20" i="30"/>
  <c r="AF20" i="30"/>
  <c r="AE21" i="30"/>
  <c r="AF21" i="30"/>
  <c r="AE22" i="30"/>
  <c r="AF22" i="30"/>
  <c r="AE23" i="30"/>
  <c r="AF23" i="30"/>
  <c r="AE24" i="30"/>
  <c r="AF24" i="30"/>
  <c r="AE25" i="30"/>
  <c r="AF25" i="30"/>
  <c r="AE26" i="30"/>
  <c r="AF26" i="30"/>
  <c r="AE27" i="30"/>
  <c r="AF27" i="30"/>
  <c r="AE28" i="30"/>
  <c r="AF28" i="30"/>
  <c r="AE29" i="30"/>
  <c r="AF29" i="30"/>
  <c r="AE30" i="30"/>
  <c r="AF30" i="30"/>
  <c r="AE31" i="30"/>
  <c r="AF31" i="30"/>
  <c r="AE32" i="30"/>
  <c r="AF32" i="30"/>
  <c r="AE33" i="30"/>
  <c r="AF33" i="30"/>
  <c r="AE34" i="30"/>
  <c r="AF34" i="30"/>
  <c r="AE35" i="30"/>
  <c r="AF35" i="30"/>
  <c r="AE36" i="30"/>
  <c r="AF36" i="30"/>
  <c r="AE37" i="30"/>
  <c r="AF37" i="30"/>
  <c r="E9" i="5"/>
  <c r="C9" i="30"/>
  <c r="C10" i="30"/>
  <c r="C11" i="30"/>
  <c r="C12" i="30"/>
  <c r="C13" i="30"/>
  <c r="C14" i="30"/>
  <c r="C15" i="30"/>
  <c r="F7" i="29"/>
  <c r="G7" i="29"/>
  <c r="H7" i="29"/>
  <c r="I7" i="29"/>
  <c r="F8" i="29"/>
  <c r="G8" i="29"/>
  <c r="H8" i="29"/>
  <c r="I8" i="29"/>
  <c r="F9" i="29"/>
  <c r="G9" i="29"/>
  <c r="H9" i="29"/>
  <c r="I9" i="29"/>
  <c r="F10" i="29"/>
  <c r="G10" i="29"/>
  <c r="H10" i="29"/>
  <c r="I10" i="29"/>
  <c r="F11" i="29"/>
  <c r="G11" i="29"/>
  <c r="H11" i="29"/>
  <c r="I11" i="29"/>
  <c r="F12" i="29"/>
  <c r="L13" i="29"/>
  <c r="H12" i="29"/>
  <c r="I12" i="29"/>
  <c r="F13" i="29"/>
  <c r="L14" i="29"/>
  <c r="H13" i="29"/>
  <c r="I13" i="29"/>
  <c r="F14" i="29"/>
  <c r="H14" i="29"/>
  <c r="I14" i="29"/>
  <c r="F15" i="29"/>
  <c r="H15" i="29"/>
  <c r="I15" i="29"/>
  <c r="F16" i="29"/>
  <c r="H16" i="29"/>
  <c r="I16" i="29"/>
  <c r="F17" i="29"/>
  <c r="H17" i="29"/>
  <c r="I17" i="29"/>
  <c r="F18" i="29"/>
  <c r="H18" i="29"/>
  <c r="I18" i="29"/>
  <c r="F19" i="29"/>
  <c r="H19" i="29"/>
  <c r="I19" i="29"/>
  <c r="F20" i="29"/>
  <c r="H20" i="29"/>
  <c r="I20" i="29"/>
  <c r="F21" i="29"/>
  <c r="H21" i="29"/>
  <c r="I21" i="29"/>
  <c r="F22" i="29"/>
  <c r="H22" i="29"/>
  <c r="I22" i="29"/>
  <c r="F23" i="29"/>
  <c r="H23" i="29"/>
  <c r="I23" i="29"/>
  <c r="F24" i="29"/>
  <c r="H24" i="29"/>
  <c r="I24" i="29"/>
  <c r="F25" i="29"/>
  <c r="H25" i="29"/>
  <c r="I25" i="29"/>
  <c r="F26" i="29"/>
  <c r="H26" i="29"/>
  <c r="I26" i="29"/>
  <c r="F27" i="29"/>
  <c r="H27" i="29"/>
  <c r="I27" i="29"/>
  <c r="F28" i="29"/>
  <c r="H28" i="29"/>
  <c r="I28" i="29"/>
  <c r="F29" i="29"/>
  <c r="H29" i="29"/>
  <c r="I29" i="29"/>
  <c r="F30" i="29"/>
  <c r="H30" i="29"/>
  <c r="I30" i="29"/>
  <c r="F31" i="29"/>
  <c r="H31" i="29"/>
  <c r="I31" i="29"/>
  <c r="F32" i="29"/>
  <c r="H32" i="29"/>
  <c r="I32" i="29"/>
  <c r="F33" i="29"/>
  <c r="H33" i="29"/>
  <c r="I33" i="29"/>
  <c r="F34" i="29"/>
  <c r="H34" i="29"/>
  <c r="I34" i="29"/>
  <c r="F35" i="29"/>
  <c r="H35" i="29"/>
  <c r="I35" i="29"/>
  <c r="F36" i="29"/>
  <c r="H36" i="29"/>
  <c r="I36" i="29"/>
  <c r="K9" i="5"/>
  <c r="D9" i="5"/>
  <c r="K30" i="5"/>
  <c r="G49" i="4"/>
  <c r="F54" i="4"/>
  <c r="BU9" i="5"/>
  <c r="BD9" i="5"/>
  <c r="G49" i="31"/>
  <c r="F54" i="31"/>
  <c r="BD10" i="5"/>
  <c r="G49" i="32"/>
  <c r="F54" i="32"/>
  <c r="BD11" i="5"/>
  <c r="G49" i="33"/>
  <c r="F54" i="33"/>
  <c r="BD12" i="5"/>
  <c r="G49" i="34"/>
  <c r="F54" i="34"/>
  <c r="BD13" i="5"/>
  <c r="G49" i="35"/>
  <c r="F54" i="35"/>
  <c r="BD14" i="5"/>
  <c r="G49" i="36"/>
  <c r="F54" i="36"/>
  <c r="BD15" i="5"/>
  <c r="G49" i="37"/>
  <c r="F54" i="37"/>
  <c r="BD16" i="5"/>
  <c r="G49" i="38"/>
  <c r="F54" i="38"/>
  <c r="BD17" i="5"/>
  <c r="G49" i="39"/>
  <c r="F54" i="39"/>
  <c r="BD18" i="5"/>
  <c r="G49" i="40"/>
  <c r="F54" i="40"/>
  <c r="BD19" i="5"/>
  <c r="G49" i="41"/>
  <c r="F54" i="41"/>
  <c r="BD20" i="5"/>
  <c r="G49" i="42"/>
  <c r="F54" i="42"/>
  <c r="BD21" i="5"/>
  <c r="G49" i="43"/>
  <c r="F54" i="43"/>
  <c r="BD22" i="5"/>
  <c r="G49" i="44"/>
  <c r="F54" i="44"/>
  <c r="BD23" i="5"/>
  <c r="G49" i="45"/>
  <c r="F54" i="45"/>
  <c r="BD24" i="5"/>
  <c r="G49" i="46"/>
  <c r="F54" i="46"/>
  <c r="BD25" i="5"/>
  <c r="G49" i="47"/>
  <c r="F54" i="47"/>
  <c r="BD26" i="5"/>
  <c r="G49" i="48"/>
  <c r="F54" i="48"/>
  <c r="BD27" i="5"/>
  <c r="G49" i="49"/>
  <c r="F54" i="49"/>
  <c r="BD28" i="5"/>
  <c r="G49" i="50"/>
  <c r="F54" i="50"/>
  <c r="BD29" i="5"/>
  <c r="G49" i="51"/>
  <c r="F54" i="51"/>
  <c r="BD30" i="5"/>
  <c r="G49" i="52"/>
  <c r="F54" i="52"/>
  <c r="BD31" i="5"/>
  <c r="G49" i="53"/>
  <c r="F54" i="53"/>
  <c r="BD32" i="5"/>
  <c r="G49" i="54"/>
  <c r="F54" i="54"/>
  <c r="BD33" i="5"/>
  <c r="G49" i="55"/>
  <c r="F54" i="55"/>
  <c r="BD34" i="5"/>
  <c r="G49" i="56"/>
  <c r="F54" i="56"/>
  <c r="BD35" i="5"/>
  <c r="G49" i="57"/>
  <c r="F54" i="57"/>
  <c r="BD36" i="5"/>
  <c r="G49" i="58"/>
  <c r="F54" i="58"/>
  <c r="BD37" i="5"/>
  <c r="G49" i="59"/>
  <c r="F54" i="59"/>
  <c r="BD38" i="5"/>
  <c r="L9" i="5"/>
  <c r="F55" i="4"/>
  <c r="BT9" i="5"/>
  <c r="BU10" i="5"/>
  <c r="BM10" i="5"/>
  <c r="BU11" i="5"/>
  <c r="BM11" i="5"/>
  <c r="BU12" i="5"/>
  <c r="BM12" i="5"/>
  <c r="BU13" i="5"/>
  <c r="BM13" i="5"/>
  <c r="BU14" i="5"/>
  <c r="BM14" i="5"/>
  <c r="BU15" i="5"/>
  <c r="BM15" i="5"/>
  <c r="BU16" i="5"/>
  <c r="BM16" i="5"/>
  <c r="BU17" i="5"/>
  <c r="BM17" i="5"/>
  <c r="BU18" i="5"/>
  <c r="BM18" i="5"/>
  <c r="BU19" i="5"/>
  <c r="BM19" i="5"/>
  <c r="BU20" i="5"/>
  <c r="BM20" i="5"/>
  <c r="BU21" i="5"/>
  <c r="BM21" i="5"/>
  <c r="BU22" i="5"/>
  <c r="BM22" i="5"/>
  <c r="BU23" i="5"/>
  <c r="BM23" i="5"/>
  <c r="BU24" i="5"/>
  <c r="BM24" i="5"/>
  <c r="BU25" i="5"/>
  <c r="BM25" i="5"/>
  <c r="BU26" i="5"/>
  <c r="BM26" i="5"/>
  <c r="BU27" i="5"/>
  <c r="BM27" i="5"/>
  <c r="BU28" i="5"/>
  <c r="BM28" i="5"/>
  <c r="BU29" i="5"/>
  <c r="BM29" i="5"/>
  <c r="BU30" i="5"/>
  <c r="BM30" i="5"/>
  <c r="BU31" i="5"/>
  <c r="BM31" i="5"/>
  <c r="BU32" i="5"/>
  <c r="BM32" i="5"/>
  <c r="BU33" i="5"/>
  <c r="BM33" i="5"/>
  <c r="BU34" i="5"/>
  <c r="BM34" i="5"/>
  <c r="BU35" i="5"/>
  <c r="BM35" i="5"/>
  <c r="BU36" i="5"/>
  <c r="BM36" i="5"/>
  <c r="BU37" i="5"/>
  <c r="BM37" i="5"/>
  <c r="BU38" i="5"/>
  <c r="BM38" i="5"/>
  <c r="BM9" i="5"/>
  <c r="R9" i="5"/>
  <c r="BP9" i="5"/>
  <c r="BS9" i="5"/>
  <c r="R10" i="5"/>
  <c r="BP10" i="5"/>
  <c r="BS10" i="5"/>
  <c r="R11" i="5"/>
  <c r="BP11" i="5"/>
  <c r="BS11" i="5"/>
  <c r="R12" i="5"/>
  <c r="BP12" i="5"/>
  <c r="BS12" i="5"/>
  <c r="R13" i="5"/>
  <c r="BP13" i="5"/>
  <c r="BS13" i="5"/>
  <c r="R14" i="5"/>
  <c r="BP14" i="5"/>
  <c r="BS14" i="5"/>
  <c r="R15" i="5"/>
  <c r="BP15" i="5"/>
  <c r="BS15" i="5"/>
  <c r="R16" i="5"/>
  <c r="BP16" i="5"/>
  <c r="BS16" i="5"/>
  <c r="R17" i="5"/>
  <c r="BP17" i="5"/>
  <c r="BS17" i="5"/>
  <c r="R18" i="5"/>
  <c r="BP18" i="5"/>
  <c r="BS18" i="5"/>
  <c r="R19" i="5"/>
  <c r="BP19" i="5"/>
  <c r="BS19" i="5"/>
  <c r="R20" i="5"/>
  <c r="BP20" i="5"/>
  <c r="BS20" i="5"/>
  <c r="R21" i="5"/>
  <c r="BP21" i="5"/>
  <c r="BS21" i="5"/>
  <c r="R22" i="5"/>
  <c r="BP22" i="5"/>
  <c r="BS22" i="5"/>
  <c r="R23" i="5"/>
  <c r="BP23" i="5"/>
  <c r="BS23" i="5"/>
  <c r="R24" i="5"/>
  <c r="BP24" i="5"/>
  <c r="BS24" i="5"/>
  <c r="R25" i="5"/>
  <c r="BP25" i="5"/>
  <c r="BS25" i="5"/>
  <c r="R26" i="5"/>
  <c r="BP26" i="5"/>
  <c r="BS26" i="5"/>
  <c r="R27" i="5"/>
  <c r="BP27" i="5"/>
  <c r="BS27" i="5"/>
  <c r="R28" i="5"/>
  <c r="BP28" i="5"/>
  <c r="BS28" i="5"/>
  <c r="R29" i="5"/>
  <c r="BP29" i="5"/>
  <c r="BS29" i="5"/>
  <c r="R30" i="5"/>
  <c r="BP30" i="5"/>
  <c r="BS30" i="5"/>
  <c r="R31" i="5"/>
  <c r="BP31" i="5"/>
  <c r="BS31" i="5"/>
  <c r="R32" i="5"/>
  <c r="BP32" i="5"/>
  <c r="BS32" i="5"/>
  <c r="R33" i="5"/>
  <c r="BP33" i="5"/>
  <c r="BS33" i="5"/>
  <c r="R34" i="5"/>
  <c r="BP34" i="5"/>
  <c r="BS34" i="5"/>
  <c r="R35" i="5"/>
  <c r="BP35" i="5"/>
  <c r="BS35" i="5"/>
  <c r="R36" i="5"/>
  <c r="BP36" i="5"/>
  <c r="BS36" i="5"/>
  <c r="R37" i="5"/>
  <c r="BP37" i="5"/>
  <c r="BS37" i="5"/>
  <c r="R38" i="5"/>
  <c r="BP38" i="5"/>
  <c r="BS38" i="5"/>
  <c r="F55" i="31"/>
  <c r="BT10" i="5"/>
  <c r="F55" i="32"/>
  <c r="BQ11" i="5"/>
  <c r="BT11" i="5"/>
  <c r="F55" i="33"/>
  <c r="BQ12" i="5"/>
  <c r="BT12" i="5"/>
  <c r="F55" i="34"/>
  <c r="BQ13" i="5"/>
  <c r="BT13" i="5"/>
  <c r="F55" i="35"/>
  <c r="BQ14" i="5"/>
  <c r="BT14" i="5"/>
  <c r="F55" i="36"/>
  <c r="BQ15" i="5"/>
  <c r="BT15" i="5"/>
  <c r="F55" i="37"/>
  <c r="BQ16" i="5"/>
  <c r="BT16" i="5"/>
  <c r="F55" i="38"/>
  <c r="BQ17" i="5"/>
  <c r="BT17" i="5"/>
  <c r="F55" i="39"/>
  <c r="BQ18" i="5"/>
  <c r="BT18" i="5"/>
  <c r="F55" i="40"/>
  <c r="BQ19" i="5"/>
  <c r="BT19" i="5"/>
  <c r="F55" i="41"/>
  <c r="BQ20" i="5"/>
  <c r="BT20" i="5"/>
  <c r="F55" i="42"/>
  <c r="BQ21" i="5"/>
  <c r="BT21" i="5"/>
  <c r="F55" i="43"/>
  <c r="BQ22" i="5"/>
  <c r="BT22" i="5"/>
  <c r="F55" i="44"/>
  <c r="BQ23" i="5"/>
  <c r="BT23" i="5"/>
  <c r="F55" i="45"/>
  <c r="BQ24" i="5"/>
  <c r="BT24" i="5"/>
  <c r="F55" i="46"/>
  <c r="BQ25" i="5"/>
  <c r="BT25" i="5"/>
  <c r="F55" i="47"/>
  <c r="BQ26" i="5"/>
  <c r="BT26" i="5"/>
  <c r="F55" i="48"/>
  <c r="BQ27" i="5"/>
  <c r="BT27" i="5"/>
  <c r="F55" i="49"/>
  <c r="BQ28" i="5"/>
  <c r="BT28" i="5"/>
  <c r="F55" i="50"/>
  <c r="BQ29" i="5"/>
  <c r="BT29" i="5"/>
  <c r="F55" i="51"/>
  <c r="BQ30" i="5"/>
  <c r="BT30" i="5"/>
  <c r="F55" i="52"/>
  <c r="BQ31" i="5"/>
  <c r="BT31" i="5"/>
  <c r="F55" i="53"/>
  <c r="BQ32" i="5"/>
  <c r="BT32" i="5"/>
  <c r="F55" i="54"/>
  <c r="BQ33" i="5"/>
  <c r="BT33" i="5"/>
  <c r="F55" i="55"/>
  <c r="BQ34" i="5"/>
  <c r="BT34" i="5"/>
  <c r="F55" i="56"/>
  <c r="BQ35" i="5"/>
  <c r="BT35" i="5"/>
  <c r="F55" i="57"/>
  <c r="BQ36" i="5"/>
  <c r="BT36" i="5"/>
  <c r="F55" i="58"/>
  <c r="BQ37" i="5"/>
  <c r="BT37" i="5"/>
  <c r="F55" i="59"/>
  <c r="BQ38" i="5"/>
  <c r="BT38" i="5"/>
  <c r="BR11" i="5"/>
  <c r="BR12" i="5"/>
  <c r="BR13" i="5"/>
  <c r="BR14" i="5"/>
  <c r="BR15" i="5"/>
  <c r="BR16" i="5"/>
  <c r="BR17" i="5"/>
  <c r="BR18" i="5"/>
  <c r="BR19" i="5"/>
  <c r="BR20" i="5"/>
  <c r="BR21" i="5"/>
  <c r="BR22" i="5"/>
  <c r="BR23" i="5"/>
  <c r="BR24" i="5"/>
  <c r="BR25" i="5"/>
  <c r="BR26" i="5"/>
  <c r="BR27" i="5"/>
  <c r="BR28" i="5"/>
  <c r="BR29" i="5"/>
  <c r="BR30" i="5"/>
  <c r="BR31" i="5"/>
  <c r="BR32" i="5"/>
  <c r="BR33" i="5"/>
  <c r="BR34" i="5"/>
  <c r="BR35" i="5"/>
  <c r="BR36" i="5"/>
  <c r="BR37" i="5"/>
  <c r="BR38" i="5"/>
  <c r="BR10" i="5"/>
  <c r="BQ10" i="5"/>
  <c r="BL10" i="5"/>
  <c r="BL11" i="5"/>
  <c r="BL12" i="5"/>
  <c r="BL13" i="5"/>
  <c r="BL14" i="5"/>
  <c r="BL15" i="5"/>
  <c r="BL16" i="5"/>
  <c r="BL17" i="5"/>
  <c r="BL18" i="5"/>
  <c r="BL19" i="5"/>
  <c r="BL20" i="5"/>
  <c r="BL21" i="5"/>
  <c r="BL22" i="5"/>
  <c r="BL23" i="5"/>
  <c r="BL24" i="5"/>
  <c r="BL25" i="5"/>
  <c r="BL26" i="5"/>
  <c r="BL27" i="5"/>
  <c r="BL28" i="5"/>
  <c r="BL29" i="5"/>
  <c r="BL30" i="5"/>
  <c r="BL31" i="5"/>
  <c r="BL32" i="5"/>
  <c r="BL33" i="5"/>
  <c r="BL34" i="5"/>
  <c r="BL35" i="5"/>
  <c r="BL36" i="5"/>
  <c r="BL37" i="5"/>
  <c r="BL38" i="5"/>
  <c r="BL9" i="5"/>
  <c r="BK11" i="5"/>
  <c r="BK12" i="5"/>
  <c r="BK13" i="5"/>
  <c r="BK14" i="5"/>
  <c r="BK15" i="5"/>
  <c r="BK16" i="5"/>
  <c r="BK17" i="5"/>
  <c r="BK18" i="5"/>
  <c r="BK19" i="5"/>
  <c r="BK20" i="5"/>
  <c r="BK21" i="5"/>
  <c r="BK22" i="5"/>
  <c r="BK23" i="5"/>
  <c r="BK24" i="5"/>
  <c r="BK25" i="5"/>
  <c r="BK26" i="5"/>
  <c r="BK27" i="5"/>
  <c r="BK28" i="5"/>
  <c r="BK29" i="5"/>
  <c r="BK30" i="5"/>
  <c r="BK31" i="5"/>
  <c r="BK32" i="5"/>
  <c r="BK33" i="5"/>
  <c r="BK34" i="5"/>
  <c r="BK35" i="5"/>
  <c r="BK36" i="5"/>
  <c r="BK37" i="5"/>
  <c r="BK38" i="5"/>
  <c r="BK10" i="5"/>
  <c r="F57" i="31"/>
  <c r="F56" i="31"/>
  <c r="J51" i="31"/>
  <c r="AL8" i="31"/>
  <c r="AN8" i="31"/>
  <c r="AM8" i="31"/>
  <c r="AP8" i="31"/>
  <c r="AO8" i="31"/>
  <c r="AL9" i="31"/>
  <c r="AN9" i="31"/>
  <c r="AM9" i="31"/>
  <c r="AP9" i="31"/>
  <c r="AO9" i="31"/>
  <c r="AL10" i="31"/>
  <c r="AN10" i="31"/>
  <c r="AM10" i="31"/>
  <c r="AP10" i="31"/>
  <c r="AO10" i="31"/>
  <c r="AL11" i="31"/>
  <c r="AN11" i="31"/>
  <c r="AM11" i="31"/>
  <c r="AP11" i="31"/>
  <c r="AO11" i="31"/>
  <c r="AL12" i="31"/>
  <c r="AN12" i="31"/>
  <c r="AM12" i="31"/>
  <c r="AP12" i="31"/>
  <c r="AO12" i="31"/>
  <c r="AL13" i="31"/>
  <c r="AN13" i="31"/>
  <c r="AL14" i="31"/>
  <c r="AN14" i="31"/>
  <c r="AM14" i="31"/>
  <c r="AP14" i="31"/>
  <c r="AO14" i="31"/>
  <c r="AL15" i="31"/>
  <c r="AN15" i="31"/>
  <c r="AM15" i="31"/>
  <c r="AP15" i="31"/>
  <c r="AO15" i="31"/>
  <c r="AL16" i="31"/>
  <c r="AN16" i="31"/>
  <c r="AM16" i="31"/>
  <c r="AP16" i="31"/>
  <c r="AO16" i="31"/>
  <c r="AL17" i="31"/>
  <c r="AN17" i="31"/>
  <c r="AM17" i="31"/>
  <c r="AP17" i="31"/>
  <c r="AO17" i="31"/>
  <c r="AL18" i="31"/>
  <c r="AN18" i="31"/>
  <c r="AM18" i="31"/>
  <c r="AP18" i="31"/>
  <c r="AO18" i="31"/>
  <c r="AL19" i="31"/>
  <c r="AN19" i="31"/>
  <c r="AP19" i="31"/>
  <c r="AO19" i="31"/>
  <c r="AL20" i="31"/>
  <c r="AN20" i="31"/>
  <c r="AL21" i="31"/>
  <c r="AN21" i="31"/>
  <c r="AM21" i="31"/>
  <c r="AP21" i="31"/>
  <c r="AO21" i="31"/>
  <c r="AL22" i="31"/>
  <c r="AN22" i="31"/>
  <c r="AM22" i="31"/>
  <c r="AP22" i="31"/>
  <c r="AO22" i="31"/>
  <c r="AL23" i="31"/>
  <c r="AN23" i="31"/>
  <c r="AM23" i="31"/>
  <c r="AP23" i="31"/>
  <c r="AO23" i="31"/>
  <c r="AL24" i="31"/>
  <c r="AN24" i="31"/>
  <c r="AM24" i="31"/>
  <c r="AP24" i="31"/>
  <c r="AO24" i="31"/>
  <c r="AL25" i="31"/>
  <c r="AN25" i="31"/>
  <c r="AM25" i="31"/>
  <c r="AP25" i="31"/>
  <c r="AO25" i="31"/>
  <c r="AL26" i="31"/>
  <c r="AN26" i="31"/>
  <c r="AP26" i="31"/>
  <c r="AO26" i="31"/>
  <c r="AL27" i="31"/>
  <c r="AN27" i="31"/>
  <c r="AL28" i="31"/>
  <c r="AN28" i="31"/>
  <c r="AM28" i="31"/>
  <c r="AP28" i="31"/>
  <c r="AO28" i="31"/>
  <c r="AL29" i="31"/>
  <c r="AN29" i="31"/>
  <c r="AM29" i="31"/>
  <c r="AP29" i="31"/>
  <c r="AO29" i="31"/>
  <c r="AL30" i="31"/>
  <c r="AN30" i="31"/>
  <c r="AM30" i="31"/>
  <c r="AP30" i="31"/>
  <c r="AO30" i="31"/>
  <c r="AL31" i="31"/>
  <c r="AN31" i="31"/>
  <c r="AM31" i="31"/>
  <c r="AP31" i="31"/>
  <c r="AO31" i="31"/>
  <c r="AL32" i="31"/>
  <c r="AN32" i="31"/>
  <c r="AM32" i="31"/>
  <c r="AP32" i="31"/>
  <c r="AO32" i="31"/>
  <c r="AL33" i="31"/>
  <c r="AN33" i="31"/>
  <c r="AL34" i="31"/>
  <c r="AN34" i="31"/>
  <c r="AL35" i="31"/>
  <c r="AN35" i="31"/>
  <c r="AM35" i="31"/>
  <c r="AP35" i="31"/>
  <c r="AO35" i="31"/>
  <c r="AL36" i="31"/>
  <c r="AN36" i="31"/>
  <c r="AM36" i="31"/>
  <c r="AP36" i="31"/>
  <c r="AO36" i="31"/>
  <c r="AL37" i="31"/>
  <c r="AN37" i="31"/>
  <c r="AM37" i="31"/>
  <c r="AP37" i="31"/>
  <c r="AO37" i="31"/>
  <c r="AL38" i="31"/>
  <c r="AN38" i="31"/>
  <c r="AM38" i="31"/>
  <c r="AP38" i="31"/>
  <c r="AO38" i="31"/>
  <c r="AP13" i="31"/>
  <c r="AO13" i="31"/>
  <c r="AP20" i="31"/>
  <c r="AO20" i="31"/>
  <c r="AP27" i="31"/>
  <c r="AO27" i="31"/>
  <c r="AP33" i="31"/>
  <c r="AO33" i="31"/>
  <c r="AP34" i="31"/>
  <c r="AO34" i="31"/>
  <c r="I50" i="31"/>
  <c r="J49" i="31"/>
  <c r="J48" i="31"/>
  <c r="I47" i="31"/>
  <c r="I46" i="31"/>
  <c r="I45" i="31"/>
  <c r="I44" i="31"/>
  <c r="I43" i="31"/>
  <c r="I42" i="31"/>
  <c r="I41" i="31"/>
  <c r="F57" i="32"/>
  <c r="F56" i="32"/>
  <c r="J51" i="32"/>
  <c r="AL8" i="32"/>
  <c r="AN8" i="32"/>
  <c r="AM8" i="32"/>
  <c r="AP8" i="32"/>
  <c r="AO8" i="32"/>
  <c r="AL9" i="32"/>
  <c r="AN9" i="32"/>
  <c r="AM9" i="32"/>
  <c r="AP9" i="32"/>
  <c r="AO9" i="32"/>
  <c r="AL10" i="32"/>
  <c r="AN10" i="32"/>
  <c r="AM10" i="32"/>
  <c r="AP10" i="32"/>
  <c r="AO10" i="32"/>
  <c r="AL11" i="32"/>
  <c r="AN11" i="32"/>
  <c r="AM11" i="32"/>
  <c r="AP11" i="32"/>
  <c r="AO11" i="32"/>
  <c r="AL12" i="32"/>
  <c r="AN12" i="32"/>
  <c r="AL13" i="32"/>
  <c r="AN13" i="32"/>
  <c r="AL14" i="32"/>
  <c r="AN14" i="32"/>
  <c r="AM14" i="32"/>
  <c r="AP14" i="32"/>
  <c r="AO14" i="32"/>
  <c r="AL15" i="32"/>
  <c r="AN15" i="32"/>
  <c r="AM15" i="32"/>
  <c r="AP15" i="32"/>
  <c r="AO15" i="32"/>
  <c r="AL16" i="32"/>
  <c r="AN16" i="32"/>
  <c r="AM16" i="32"/>
  <c r="AP16" i="32"/>
  <c r="AO16" i="32"/>
  <c r="AL17" i="32"/>
  <c r="AN17" i="32"/>
  <c r="AM17" i="32"/>
  <c r="AP17" i="32"/>
  <c r="AO17" i="32"/>
  <c r="AL18" i="32"/>
  <c r="AN18" i="32"/>
  <c r="AM18" i="32"/>
  <c r="AP18" i="32"/>
  <c r="AO18" i="32"/>
  <c r="AL19" i="32"/>
  <c r="AN19" i="32"/>
  <c r="AL20" i="32"/>
  <c r="AN20" i="32"/>
  <c r="AL21" i="32"/>
  <c r="AN21" i="32"/>
  <c r="AM21" i="32"/>
  <c r="AP21" i="32"/>
  <c r="AO21" i="32"/>
  <c r="AL22" i="32"/>
  <c r="AN22" i="32"/>
  <c r="AM22" i="32"/>
  <c r="AP22" i="32"/>
  <c r="AO22" i="32"/>
  <c r="AL23" i="32"/>
  <c r="AN23" i="32"/>
  <c r="AM23" i="32"/>
  <c r="AP23" i="32"/>
  <c r="AO23" i="32"/>
  <c r="AL24" i="32"/>
  <c r="AN24" i="32"/>
  <c r="AM24" i="32"/>
  <c r="AP24" i="32"/>
  <c r="AO24" i="32"/>
  <c r="AL25" i="32"/>
  <c r="AN25" i="32"/>
  <c r="AM25" i="32"/>
  <c r="AP25" i="32"/>
  <c r="AO25" i="32"/>
  <c r="AL26" i="32"/>
  <c r="AN26" i="32"/>
  <c r="AL27" i="32"/>
  <c r="AN27" i="32"/>
  <c r="AL28" i="32"/>
  <c r="AN28" i="32"/>
  <c r="AM28" i="32"/>
  <c r="AP28" i="32"/>
  <c r="AO28" i="32"/>
  <c r="AL29" i="32"/>
  <c r="AN29" i="32"/>
  <c r="AM29" i="32"/>
  <c r="AP29" i="32"/>
  <c r="AO29" i="32"/>
  <c r="AL30" i="32"/>
  <c r="AN30" i="32"/>
  <c r="AM30" i="32"/>
  <c r="AP30" i="32"/>
  <c r="AO30" i="32"/>
  <c r="AL31" i="32"/>
  <c r="AN31" i="32"/>
  <c r="AM31" i="32"/>
  <c r="AP31" i="32"/>
  <c r="AO31" i="32"/>
  <c r="AL32" i="32"/>
  <c r="AN32" i="32"/>
  <c r="AL33" i="32"/>
  <c r="AN33" i="32"/>
  <c r="AL34" i="32"/>
  <c r="AN34" i="32"/>
  <c r="AL35" i="32"/>
  <c r="AN35" i="32"/>
  <c r="AM35" i="32"/>
  <c r="AP35" i="32"/>
  <c r="AO35" i="32"/>
  <c r="AL36" i="32"/>
  <c r="AN36" i="32"/>
  <c r="AM36" i="32"/>
  <c r="AP36" i="32"/>
  <c r="AO36" i="32"/>
  <c r="AL37" i="32"/>
  <c r="AN37" i="32"/>
  <c r="AM37" i="32"/>
  <c r="AP37" i="32"/>
  <c r="AO37" i="32"/>
  <c r="AL38" i="32"/>
  <c r="AN38" i="32"/>
  <c r="AM38" i="32"/>
  <c r="AP38" i="32"/>
  <c r="AO38" i="32"/>
  <c r="AP12" i="32"/>
  <c r="AO12" i="32"/>
  <c r="AP13" i="32"/>
  <c r="AO13" i="32"/>
  <c r="AP19" i="32"/>
  <c r="AO19" i="32"/>
  <c r="AP20" i="32"/>
  <c r="AO20" i="32"/>
  <c r="AP26" i="32"/>
  <c r="AO26" i="32"/>
  <c r="AP27" i="32"/>
  <c r="AO27" i="32"/>
  <c r="AP32" i="32"/>
  <c r="AO32" i="32"/>
  <c r="AP33" i="32"/>
  <c r="AO33" i="32"/>
  <c r="AP34" i="32"/>
  <c r="AO34" i="32"/>
  <c r="I50" i="32"/>
  <c r="J49" i="32"/>
  <c r="J48" i="32"/>
  <c r="I47" i="32"/>
  <c r="I46" i="32"/>
  <c r="I45" i="32"/>
  <c r="I44" i="32"/>
  <c r="I43" i="32"/>
  <c r="I42" i="32"/>
  <c r="I41" i="32"/>
  <c r="F57" i="33"/>
  <c r="F56" i="33"/>
  <c r="J51" i="33"/>
  <c r="AL8" i="33"/>
  <c r="AN8" i="33"/>
  <c r="AL9" i="33"/>
  <c r="AN9" i="33"/>
  <c r="AL10" i="33"/>
  <c r="AN10" i="33"/>
  <c r="AL11" i="33"/>
  <c r="AN11" i="33"/>
  <c r="AL12" i="33"/>
  <c r="AN12" i="33"/>
  <c r="AL13" i="33"/>
  <c r="AN13" i="33"/>
  <c r="AL14" i="33"/>
  <c r="AN14" i="33"/>
  <c r="AL15" i="33"/>
  <c r="AN15" i="33"/>
  <c r="AL16" i="33"/>
  <c r="AN16" i="33"/>
  <c r="AL17" i="33"/>
  <c r="AN17" i="33"/>
  <c r="AL18" i="33"/>
  <c r="AN18" i="33"/>
  <c r="AL19" i="33"/>
  <c r="AN19" i="33"/>
  <c r="AL20" i="33"/>
  <c r="AN20" i="33"/>
  <c r="AL21" i="33"/>
  <c r="AN21" i="33"/>
  <c r="AL22" i="33"/>
  <c r="AN22" i="33"/>
  <c r="AL23" i="33"/>
  <c r="AN23" i="33"/>
  <c r="AL24" i="33"/>
  <c r="AN24" i="33"/>
  <c r="AL25" i="33"/>
  <c r="AN25" i="33"/>
  <c r="AM25" i="33"/>
  <c r="AP25" i="33"/>
  <c r="AO25" i="33"/>
  <c r="AL26" i="33"/>
  <c r="AN26" i="33"/>
  <c r="AL27" i="33"/>
  <c r="AN27" i="33"/>
  <c r="AL28" i="33"/>
  <c r="AN28" i="33"/>
  <c r="AL29" i="33"/>
  <c r="AN29" i="33"/>
  <c r="AL30" i="33"/>
  <c r="AN30" i="33"/>
  <c r="AL31" i="33"/>
  <c r="AN31" i="33"/>
  <c r="AL32" i="33"/>
  <c r="AN32" i="33"/>
  <c r="AL33" i="33"/>
  <c r="AN33" i="33"/>
  <c r="AL34" i="33"/>
  <c r="AN34" i="33"/>
  <c r="AL35" i="33"/>
  <c r="AN35" i="33"/>
  <c r="AL36" i="33"/>
  <c r="AN36" i="33"/>
  <c r="AL37" i="33"/>
  <c r="AN37" i="33"/>
  <c r="AL38" i="33"/>
  <c r="AN38" i="33"/>
  <c r="AP8" i="33"/>
  <c r="AO8" i="33"/>
  <c r="AP9" i="33"/>
  <c r="AO9" i="33"/>
  <c r="AP10" i="33"/>
  <c r="AO10" i="33"/>
  <c r="AP11" i="33"/>
  <c r="AO11" i="33"/>
  <c r="AP12" i="33"/>
  <c r="AO12" i="33"/>
  <c r="AP13" i="33"/>
  <c r="AO13" i="33"/>
  <c r="AP14" i="33"/>
  <c r="AO14" i="33"/>
  <c r="AP15" i="33"/>
  <c r="AO15" i="33"/>
  <c r="AP16" i="33"/>
  <c r="AO16" i="33"/>
  <c r="AP17" i="33"/>
  <c r="AO17" i="33"/>
  <c r="AP18" i="33"/>
  <c r="AO18" i="33"/>
  <c r="AP19" i="33"/>
  <c r="AO19" i="33"/>
  <c r="AP20" i="33"/>
  <c r="AO20" i="33"/>
  <c r="AP21" i="33"/>
  <c r="AO21" i="33"/>
  <c r="AP22" i="33"/>
  <c r="AO22" i="33"/>
  <c r="AP23" i="33"/>
  <c r="AO23" i="33"/>
  <c r="AP24" i="33"/>
  <c r="AO24" i="33"/>
  <c r="AP26" i="33"/>
  <c r="AO26" i="33"/>
  <c r="AP27" i="33"/>
  <c r="AO27" i="33"/>
  <c r="AP28" i="33"/>
  <c r="AO28" i="33"/>
  <c r="AP29" i="33"/>
  <c r="AO29" i="33"/>
  <c r="AP30" i="33"/>
  <c r="AO30" i="33"/>
  <c r="AP31" i="33"/>
  <c r="AO31" i="33"/>
  <c r="AP32" i="33"/>
  <c r="AO32" i="33"/>
  <c r="AP33" i="33"/>
  <c r="AO33" i="33"/>
  <c r="AP34" i="33"/>
  <c r="AO34" i="33"/>
  <c r="AP35" i="33"/>
  <c r="AO35" i="33"/>
  <c r="AP36" i="33"/>
  <c r="AO36" i="33"/>
  <c r="AP37" i="33"/>
  <c r="AO37" i="33"/>
  <c r="AP38" i="33"/>
  <c r="AO38" i="33"/>
  <c r="I50" i="33"/>
  <c r="J49" i="33"/>
  <c r="J48" i="33"/>
  <c r="I47" i="33"/>
  <c r="I46" i="33"/>
  <c r="I45" i="33"/>
  <c r="I44" i="33"/>
  <c r="I43" i="33"/>
  <c r="I42" i="33"/>
  <c r="I41" i="33"/>
  <c r="H39" i="33"/>
  <c r="F57" i="34"/>
  <c r="F56" i="34"/>
  <c r="J51" i="34"/>
  <c r="AL8" i="34"/>
  <c r="AN8" i="34"/>
  <c r="AM8" i="34"/>
  <c r="AP8" i="34"/>
  <c r="AO8" i="34"/>
  <c r="AL9" i="34"/>
  <c r="AN9" i="34"/>
  <c r="AM9" i="34"/>
  <c r="AP9" i="34"/>
  <c r="AO9" i="34"/>
  <c r="AL10" i="34"/>
  <c r="AN10" i="34"/>
  <c r="AM10" i="34"/>
  <c r="AP10" i="34"/>
  <c r="AO10" i="34"/>
  <c r="AL11" i="34"/>
  <c r="AN11" i="34"/>
  <c r="AM11" i="34"/>
  <c r="AP11" i="34"/>
  <c r="AO11" i="34"/>
  <c r="AL12" i="34"/>
  <c r="AN12" i="34"/>
  <c r="AL13" i="34"/>
  <c r="AN13" i="34"/>
  <c r="AL14" i="34"/>
  <c r="AN14" i="34"/>
  <c r="AM14" i="34"/>
  <c r="AP14" i="34"/>
  <c r="AO14" i="34"/>
  <c r="AL15" i="34"/>
  <c r="AN15" i="34"/>
  <c r="AM15" i="34"/>
  <c r="AP15" i="34"/>
  <c r="AO15" i="34"/>
  <c r="AL16" i="34"/>
  <c r="AN16" i="34"/>
  <c r="AM16" i="34"/>
  <c r="AP16" i="34"/>
  <c r="AO16" i="34"/>
  <c r="AL17" i="34"/>
  <c r="AN17" i="34"/>
  <c r="AM17" i="34"/>
  <c r="AP17" i="34"/>
  <c r="AO17" i="34"/>
  <c r="AL18" i="34"/>
  <c r="AN18" i="34"/>
  <c r="AM18" i="34"/>
  <c r="AP18" i="34"/>
  <c r="AO18" i="34"/>
  <c r="AL19" i="34"/>
  <c r="AN19" i="34"/>
  <c r="AL20" i="34"/>
  <c r="AN20" i="34"/>
  <c r="AL21" i="34"/>
  <c r="AN21" i="34"/>
  <c r="AM21" i="34"/>
  <c r="AP21" i="34"/>
  <c r="AO21" i="34"/>
  <c r="AL22" i="34"/>
  <c r="AN22" i="34"/>
  <c r="AM22" i="34"/>
  <c r="AP22" i="34"/>
  <c r="AO22" i="34"/>
  <c r="AL23" i="34"/>
  <c r="AN23" i="34"/>
  <c r="AM23" i="34"/>
  <c r="AP23" i="34"/>
  <c r="AO23" i="34"/>
  <c r="AL24" i="34"/>
  <c r="AN24" i="34"/>
  <c r="AM24" i="34"/>
  <c r="AP24" i="34"/>
  <c r="AO24" i="34"/>
  <c r="AL25" i="34"/>
  <c r="AN25" i="34"/>
  <c r="AM25" i="34"/>
  <c r="AP25" i="34"/>
  <c r="AO25" i="34"/>
  <c r="AL26" i="34"/>
  <c r="AN26" i="34"/>
  <c r="AL27" i="34"/>
  <c r="AN27" i="34"/>
  <c r="AL28" i="34"/>
  <c r="AN28" i="34"/>
  <c r="AL29" i="34"/>
  <c r="AN29" i="34"/>
  <c r="AM29" i="34"/>
  <c r="AP29" i="34"/>
  <c r="AO29" i="34"/>
  <c r="AL30" i="34"/>
  <c r="AN30" i="34"/>
  <c r="AM30" i="34"/>
  <c r="AP30" i="34"/>
  <c r="AO30" i="34"/>
  <c r="AL31" i="34"/>
  <c r="AN31" i="34"/>
  <c r="AM31" i="34"/>
  <c r="AP31" i="34"/>
  <c r="AO31" i="34"/>
  <c r="AL32" i="34"/>
  <c r="AN32" i="34"/>
  <c r="AL33" i="34"/>
  <c r="AN33" i="34"/>
  <c r="AL34" i="34"/>
  <c r="AN34" i="34"/>
  <c r="AL35" i="34"/>
  <c r="AN35" i="34"/>
  <c r="AM35" i="34"/>
  <c r="AP35" i="34"/>
  <c r="AO35" i="34"/>
  <c r="AL36" i="34"/>
  <c r="AN36" i="34"/>
  <c r="AM36" i="34"/>
  <c r="AP36" i="34"/>
  <c r="AO36" i="34"/>
  <c r="AL37" i="34"/>
  <c r="AN37" i="34"/>
  <c r="AM37" i="34"/>
  <c r="AP37" i="34"/>
  <c r="AO37" i="34"/>
  <c r="AL38" i="34"/>
  <c r="AN38" i="34"/>
  <c r="AM38" i="34"/>
  <c r="AP38" i="34"/>
  <c r="AO38" i="34"/>
  <c r="AP12" i="34"/>
  <c r="AO12" i="34"/>
  <c r="AP13" i="34"/>
  <c r="AO13" i="34"/>
  <c r="AP19" i="34"/>
  <c r="AO19" i="34"/>
  <c r="AP20" i="34"/>
  <c r="AO20" i="34"/>
  <c r="AP26" i="34"/>
  <c r="AO26" i="34"/>
  <c r="AP27" i="34"/>
  <c r="AO27" i="34"/>
  <c r="AP28" i="34"/>
  <c r="AO28" i="34"/>
  <c r="AP32" i="34"/>
  <c r="AO32" i="34"/>
  <c r="AP33" i="34"/>
  <c r="AO33" i="34"/>
  <c r="AP34" i="34"/>
  <c r="AO34" i="34"/>
  <c r="I50" i="34"/>
  <c r="J49" i="34"/>
  <c r="J48" i="34"/>
  <c r="I47" i="34"/>
  <c r="I46" i="34"/>
  <c r="I45" i="34"/>
  <c r="I44" i="34"/>
  <c r="I43" i="34"/>
  <c r="I42" i="34"/>
  <c r="I41" i="34"/>
  <c r="F57" i="35"/>
  <c r="F56" i="35"/>
  <c r="J51" i="35"/>
  <c r="AL8" i="35"/>
  <c r="AN8" i="35"/>
  <c r="AL9" i="35"/>
  <c r="AN9" i="35"/>
  <c r="AL10" i="35"/>
  <c r="AN10" i="35"/>
  <c r="AL11" i="35"/>
  <c r="AN11" i="35"/>
  <c r="AL12" i="35"/>
  <c r="AN12" i="35"/>
  <c r="AL13" i="35"/>
  <c r="AN13" i="35"/>
  <c r="AL14" i="35"/>
  <c r="AN14" i="35"/>
  <c r="AL15" i="35"/>
  <c r="AN15" i="35"/>
  <c r="AL16" i="35"/>
  <c r="AN16" i="35"/>
  <c r="AL17" i="35"/>
  <c r="AN17" i="35"/>
  <c r="AL18" i="35"/>
  <c r="AN18" i="35"/>
  <c r="AL19" i="35"/>
  <c r="AN19" i="35"/>
  <c r="AL20" i="35"/>
  <c r="AN20" i="35"/>
  <c r="AL21" i="35"/>
  <c r="AN21" i="35"/>
  <c r="AL22" i="35"/>
  <c r="AN22" i="35"/>
  <c r="AL23" i="35"/>
  <c r="AN23" i="35"/>
  <c r="AL24" i="35"/>
  <c r="AN24" i="35"/>
  <c r="AL25" i="35"/>
  <c r="AN25" i="35"/>
  <c r="AL26" i="35"/>
  <c r="AN26" i="35"/>
  <c r="AL27" i="35"/>
  <c r="AN27" i="35"/>
  <c r="AL28" i="35"/>
  <c r="AN28" i="35"/>
  <c r="AL29" i="35"/>
  <c r="AN29" i="35"/>
  <c r="AL30" i="35"/>
  <c r="AN30" i="35"/>
  <c r="AL31" i="35"/>
  <c r="AN31" i="35"/>
  <c r="AL32" i="35"/>
  <c r="AN32" i="35"/>
  <c r="AL33" i="35"/>
  <c r="AN33" i="35"/>
  <c r="AL34" i="35"/>
  <c r="AN34" i="35"/>
  <c r="AL35" i="35"/>
  <c r="AN35" i="35"/>
  <c r="AL36" i="35"/>
  <c r="AN36" i="35"/>
  <c r="AL37" i="35"/>
  <c r="AN37" i="35"/>
  <c r="AL38" i="35"/>
  <c r="AN38" i="35"/>
  <c r="AP8" i="35"/>
  <c r="AO8" i="35"/>
  <c r="AP9" i="35"/>
  <c r="AO9" i="35"/>
  <c r="AP10" i="35"/>
  <c r="AO10" i="35"/>
  <c r="AP11" i="35"/>
  <c r="AO11" i="35"/>
  <c r="AP12" i="35"/>
  <c r="AO12" i="35"/>
  <c r="AP13" i="35"/>
  <c r="AO13" i="35"/>
  <c r="AP14" i="35"/>
  <c r="AO14" i="35"/>
  <c r="AP15" i="35"/>
  <c r="AO15" i="35"/>
  <c r="AP16" i="35"/>
  <c r="AO16" i="35"/>
  <c r="AP17" i="35"/>
  <c r="AO17" i="35"/>
  <c r="AP18" i="35"/>
  <c r="AO18" i="35"/>
  <c r="AP19" i="35"/>
  <c r="AO19" i="35"/>
  <c r="AP20" i="35"/>
  <c r="AO20" i="35"/>
  <c r="AP21" i="35"/>
  <c r="AO21" i="35"/>
  <c r="AP22" i="35"/>
  <c r="AO22" i="35"/>
  <c r="AP23" i="35"/>
  <c r="AO23" i="35"/>
  <c r="AP24" i="35"/>
  <c r="AO24" i="35"/>
  <c r="AP25" i="35"/>
  <c r="AO25" i="35"/>
  <c r="AP26" i="35"/>
  <c r="AO26" i="35"/>
  <c r="AP27" i="35"/>
  <c r="AO27" i="35"/>
  <c r="AP28" i="35"/>
  <c r="AO28" i="35"/>
  <c r="AP29" i="35"/>
  <c r="AO29" i="35"/>
  <c r="AP30" i="35"/>
  <c r="AO30" i="35"/>
  <c r="AP31" i="35"/>
  <c r="AO31" i="35"/>
  <c r="AP32" i="35"/>
  <c r="AO32" i="35"/>
  <c r="AP33" i="35"/>
  <c r="AO33" i="35"/>
  <c r="AP34" i="35"/>
  <c r="AO34" i="35"/>
  <c r="AP35" i="35"/>
  <c r="AO35" i="35"/>
  <c r="AP36" i="35"/>
  <c r="AO36" i="35"/>
  <c r="AP37" i="35"/>
  <c r="AO37" i="35"/>
  <c r="AP38" i="35"/>
  <c r="AO38" i="35"/>
  <c r="I50" i="35"/>
  <c r="J49" i="35"/>
  <c r="J48" i="35"/>
  <c r="I47" i="35"/>
  <c r="I46" i="35"/>
  <c r="I45" i="35"/>
  <c r="I44" i="35"/>
  <c r="I43" i="35"/>
  <c r="I42" i="35"/>
  <c r="I41" i="35"/>
  <c r="H39" i="35"/>
  <c r="F57" i="36"/>
  <c r="F56" i="36"/>
  <c r="J51" i="36"/>
  <c r="AL8" i="36"/>
  <c r="AN8" i="36"/>
  <c r="AL9" i="36"/>
  <c r="AN9" i="36"/>
  <c r="AL10" i="36"/>
  <c r="AN10" i="36"/>
  <c r="AL11" i="36"/>
  <c r="AN11" i="36"/>
  <c r="AL12" i="36"/>
  <c r="AN12" i="36"/>
  <c r="AL13" i="36"/>
  <c r="AN13" i="36"/>
  <c r="AL14" i="36"/>
  <c r="AN14" i="36"/>
  <c r="AL15" i="36"/>
  <c r="AN15" i="36"/>
  <c r="AL16" i="36"/>
  <c r="AN16" i="36"/>
  <c r="AL17" i="36"/>
  <c r="AN17" i="36"/>
  <c r="AL18" i="36"/>
  <c r="AN18" i="36"/>
  <c r="AL19" i="36"/>
  <c r="AN19" i="36"/>
  <c r="AL20" i="36"/>
  <c r="AN20" i="36"/>
  <c r="AL21" i="36"/>
  <c r="AN21" i="36"/>
  <c r="AL22" i="36"/>
  <c r="AN22" i="36"/>
  <c r="AL23" i="36"/>
  <c r="AN23" i="36"/>
  <c r="AL24" i="36"/>
  <c r="AN24" i="36"/>
  <c r="AL25" i="36"/>
  <c r="AN25" i="36"/>
  <c r="AL26" i="36"/>
  <c r="AN26" i="36"/>
  <c r="AL27" i="36"/>
  <c r="AN27" i="36"/>
  <c r="AL28" i="36"/>
  <c r="AN28" i="36"/>
  <c r="AL29" i="36"/>
  <c r="AN29" i="36"/>
  <c r="AL30" i="36"/>
  <c r="AN30" i="36"/>
  <c r="AL31" i="36"/>
  <c r="AN31" i="36"/>
  <c r="AL32" i="36"/>
  <c r="AN32" i="36"/>
  <c r="AL33" i="36"/>
  <c r="AN33" i="36"/>
  <c r="AL34" i="36"/>
  <c r="AN34" i="36"/>
  <c r="AL35" i="36"/>
  <c r="AN35" i="36"/>
  <c r="AL36" i="36"/>
  <c r="AN36" i="36"/>
  <c r="AL37" i="36"/>
  <c r="AN37" i="36"/>
  <c r="AL38" i="36"/>
  <c r="AN38" i="36"/>
  <c r="AP8" i="36"/>
  <c r="AO8" i="36"/>
  <c r="AP9" i="36"/>
  <c r="AO9" i="36"/>
  <c r="AP10" i="36"/>
  <c r="AO10" i="36"/>
  <c r="AP11" i="36"/>
  <c r="AO11" i="36"/>
  <c r="AP12" i="36"/>
  <c r="AO12" i="36"/>
  <c r="AP13" i="36"/>
  <c r="AO13" i="36"/>
  <c r="AP14" i="36"/>
  <c r="AO14" i="36"/>
  <c r="AP15" i="36"/>
  <c r="AO15" i="36"/>
  <c r="AP16" i="36"/>
  <c r="AO16" i="36"/>
  <c r="AP17" i="36"/>
  <c r="AO17" i="36"/>
  <c r="AP18" i="36"/>
  <c r="AO18" i="36"/>
  <c r="AP19" i="36"/>
  <c r="AO19" i="36"/>
  <c r="AP20" i="36"/>
  <c r="AO20" i="36"/>
  <c r="AP21" i="36"/>
  <c r="AO21" i="36"/>
  <c r="AP22" i="36"/>
  <c r="AO22" i="36"/>
  <c r="AP23" i="36"/>
  <c r="AO23" i="36"/>
  <c r="AP24" i="36"/>
  <c r="AO24" i="36"/>
  <c r="AP25" i="36"/>
  <c r="AO25" i="36"/>
  <c r="AP26" i="36"/>
  <c r="AO26" i="36"/>
  <c r="AP27" i="36"/>
  <c r="AO27" i="36"/>
  <c r="AP28" i="36"/>
  <c r="AO28" i="36"/>
  <c r="AP29" i="36"/>
  <c r="AO29" i="36"/>
  <c r="AP30" i="36"/>
  <c r="AO30" i="36"/>
  <c r="AP31" i="36"/>
  <c r="AO31" i="36"/>
  <c r="AP32" i="36"/>
  <c r="AO32" i="36"/>
  <c r="AP33" i="36"/>
  <c r="AO33" i="36"/>
  <c r="AP34" i="36"/>
  <c r="AO34" i="36"/>
  <c r="AP35" i="36"/>
  <c r="AO35" i="36"/>
  <c r="AP36" i="36"/>
  <c r="AO36" i="36"/>
  <c r="AP37" i="36"/>
  <c r="AO37" i="36"/>
  <c r="AP38" i="36"/>
  <c r="AO38" i="36"/>
  <c r="I50" i="36"/>
  <c r="J49" i="36"/>
  <c r="J48" i="36"/>
  <c r="I47" i="36"/>
  <c r="I46" i="36"/>
  <c r="I45" i="36"/>
  <c r="I44" i="36"/>
  <c r="I43" i="36"/>
  <c r="I42" i="36"/>
  <c r="I41" i="36"/>
  <c r="H39" i="36"/>
  <c r="F57" i="37"/>
  <c r="F56" i="37"/>
  <c r="J51" i="37"/>
  <c r="AL8" i="37"/>
  <c r="AN8" i="37"/>
  <c r="AL9" i="37"/>
  <c r="AN9" i="37"/>
  <c r="AL10" i="37"/>
  <c r="AN10" i="37"/>
  <c r="AL11" i="37"/>
  <c r="AN11" i="37"/>
  <c r="AL12" i="37"/>
  <c r="AN12" i="37"/>
  <c r="AL13" i="37"/>
  <c r="AN13" i="37"/>
  <c r="AL14" i="37"/>
  <c r="AN14" i="37"/>
  <c r="AL15" i="37"/>
  <c r="AN15" i="37"/>
  <c r="AL16" i="37"/>
  <c r="AN16" i="37"/>
  <c r="AL17" i="37"/>
  <c r="AN17" i="37"/>
  <c r="AL18" i="37"/>
  <c r="AN18" i="37"/>
  <c r="AL19" i="37"/>
  <c r="AN19" i="37"/>
  <c r="AL20" i="37"/>
  <c r="AN20" i="37"/>
  <c r="AL21" i="37"/>
  <c r="AN21" i="37"/>
  <c r="AL22" i="37"/>
  <c r="AN22" i="37"/>
  <c r="AL23" i="37"/>
  <c r="AN23" i="37"/>
  <c r="AL24" i="37"/>
  <c r="AN24" i="37"/>
  <c r="AL25" i="37"/>
  <c r="AN25" i="37"/>
  <c r="AL26" i="37"/>
  <c r="AN26" i="37"/>
  <c r="AL27" i="37"/>
  <c r="AN27" i="37"/>
  <c r="AL28" i="37"/>
  <c r="AN28" i="37"/>
  <c r="AL29" i="37"/>
  <c r="AN29" i="37"/>
  <c r="AL30" i="37"/>
  <c r="AN30" i="37"/>
  <c r="AL31" i="37"/>
  <c r="AN31" i="37"/>
  <c r="AL32" i="37"/>
  <c r="AN32" i="37"/>
  <c r="AL33" i="37"/>
  <c r="AN33" i="37"/>
  <c r="AL34" i="37"/>
  <c r="AN34" i="37"/>
  <c r="AL35" i="37"/>
  <c r="AN35" i="37"/>
  <c r="AL36" i="37"/>
  <c r="AN36" i="37"/>
  <c r="AL37" i="37"/>
  <c r="AN37" i="37"/>
  <c r="AL38" i="37"/>
  <c r="AN38" i="37"/>
  <c r="AP8" i="37"/>
  <c r="AO8" i="37"/>
  <c r="AP9" i="37"/>
  <c r="AO9" i="37"/>
  <c r="AP10" i="37"/>
  <c r="AO10" i="37"/>
  <c r="AP11" i="37"/>
  <c r="AO11" i="37"/>
  <c r="AP12" i="37"/>
  <c r="AO12" i="37"/>
  <c r="AP13" i="37"/>
  <c r="AO13" i="37"/>
  <c r="AP14" i="37"/>
  <c r="AO14" i="37"/>
  <c r="AP15" i="37"/>
  <c r="AO15" i="37"/>
  <c r="AP16" i="37"/>
  <c r="AO16" i="37"/>
  <c r="AP17" i="37"/>
  <c r="AO17" i="37"/>
  <c r="AP18" i="37"/>
  <c r="AO18" i="37"/>
  <c r="AP19" i="37"/>
  <c r="AO19" i="37"/>
  <c r="AP20" i="37"/>
  <c r="AO20" i="37"/>
  <c r="AP21" i="37"/>
  <c r="AO21" i="37"/>
  <c r="AP22" i="37"/>
  <c r="AO22" i="37"/>
  <c r="AP23" i="37"/>
  <c r="AO23" i="37"/>
  <c r="AP24" i="37"/>
  <c r="AO24" i="37"/>
  <c r="AP25" i="37"/>
  <c r="AO25" i="37"/>
  <c r="AP26" i="37"/>
  <c r="AO26" i="37"/>
  <c r="AP27" i="37"/>
  <c r="AO27" i="37"/>
  <c r="AP28" i="37"/>
  <c r="AO28" i="37"/>
  <c r="AP29" i="37"/>
  <c r="AO29" i="37"/>
  <c r="AP30" i="37"/>
  <c r="AO30" i="37"/>
  <c r="AP31" i="37"/>
  <c r="AO31" i="37"/>
  <c r="AP32" i="37"/>
  <c r="AO32" i="37"/>
  <c r="AP33" i="37"/>
  <c r="AO33" i="37"/>
  <c r="AP34" i="37"/>
  <c r="AO34" i="37"/>
  <c r="AP35" i="37"/>
  <c r="AO35" i="37"/>
  <c r="AP36" i="37"/>
  <c r="AO36" i="37"/>
  <c r="AP37" i="37"/>
  <c r="AO37" i="37"/>
  <c r="AP38" i="37"/>
  <c r="AO38" i="37"/>
  <c r="I50" i="37"/>
  <c r="J49" i="37"/>
  <c r="J48" i="37"/>
  <c r="I47" i="37"/>
  <c r="I46" i="37"/>
  <c r="I45" i="37"/>
  <c r="I44" i="37"/>
  <c r="I43" i="37"/>
  <c r="I42" i="37"/>
  <c r="I41" i="37"/>
  <c r="H39" i="37"/>
  <c r="F57" i="38"/>
  <c r="F56" i="38"/>
  <c r="J51" i="38"/>
  <c r="AL8" i="38"/>
  <c r="AN8" i="38"/>
  <c r="AL9" i="38"/>
  <c r="AN9" i="38"/>
  <c r="AL10" i="38"/>
  <c r="AN10" i="38"/>
  <c r="AL11" i="38"/>
  <c r="AN11" i="38"/>
  <c r="AL12" i="38"/>
  <c r="AN12" i="38"/>
  <c r="AL13" i="38"/>
  <c r="AN13" i="38"/>
  <c r="AL14" i="38"/>
  <c r="AN14" i="38"/>
  <c r="AL15" i="38"/>
  <c r="AN15" i="38"/>
  <c r="AL16" i="38"/>
  <c r="AN16" i="38"/>
  <c r="AL17" i="38"/>
  <c r="AN17" i="38"/>
  <c r="AL18" i="38"/>
  <c r="AN18" i="38"/>
  <c r="AL19" i="38"/>
  <c r="AN19" i="38"/>
  <c r="AL20" i="38"/>
  <c r="AN20" i="38"/>
  <c r="AL21" i="38"/>
  <c r="AN21" i="38"/>
  <c r="AL22" i="38"/>
  <c r="AN22" i="38"/>
  <c r="AL23" i="38"/>
  <c r="AN23" i="38"/>
  <c r="AL24" i="38"/>
  <c r="AN24" i="38"/>
  <c r="AL25" i="38"/>
  <c r="AN25" i="38"/>
  <c r="AL26" i="38"/>
  <c r="AN26" i="38"/>
  <c r="AL27" i="38"/>
  <c r="AN27" i="38"/>
  <c r="AL28" i="38"/>
  <c r="AN28" i="38"/>
  <c r="AL29" i="38"/>
  <c r="AN29" i="38"/>
  <c r="AL30" i="38"/>
  <c r="AN30" i="38"/>
  <c r="AL31" i="38"/>
  <c r="AN31" i="38"/>
  <c r="AL32" i="38"/>
  <c r="AN32" i="38"/>
  <c r="AL33" i="38"/>
  <c r="AN33" i="38"/>
  <c r="AL34" i="38"/>
  <c r="AN34" i="38"/>
  <c r="AL35" i="38"/>
  <c r="AN35" i="38"/>
  <c r="AL36" i="38"/>
  <c r="AN36" i="38"/>
  <c r="AL37" i="38"/>
  <c r="AN37" i="38"/>
  <c r="AL38" i="38"/>
  <c r="AN38" i="38"/>
  <c r="AP8" i="38"/>
  <c r="AO8" i="38"/>
  <c r="AP9" i="38"/>
  <c r="AO9" i="38"/>
  <c r="AP10" i="38"/>
  <c r="AO10" i="38"/>
  <c r="AP11" i="38"/>
  <c r="AO11" i="38"/>
  <c r="AP12" i="38"/>
  <c r="AO12" i="38"/>
  <c r="AP13" i="38"/>
  <c r="AO13" i="38"/>
  <c r="AP14" i="38"/>
  <c r="AO14" i="38"/>
  <c r="AP15" i="38"/>
  <c r="AO15" i="38"/>
  <c r="AP16" i="38"/>
  <c r="AO16" i="38"/>
  <c r="AP17" i="38"/>
  <c r="AO17" i="38"/>
  <c r="AP18" i="38"/>
  <c r="AO18" i="38"/>
  <c r="AP19" i="38"/>
  <c r="AO19" i="38"/>
  <c r="AP20" i="38"/>
  <c r="AO20" i="38"/>
  <c r="AP21" i="38"/>
  <c r="AO21" i="38"/>
  <c r="AP22" i="38"/>
  <c r="AO22" i="38"/>
  <c r="AP23" i="38"/>
  <c r="AO23" i="38"/>
  <c r="AP24" i="38"/>
  <c r="AO24" i="38"/>
  <c r="AP25" i="38"/>
  <c r="AO25" i="38"/>
  <c r="AP26" i="38"/>
  <c r="AO26" i="38"/>
  <c r="AP27" i="38"/>
  <c r="AO27" i="38"/>
  <c r="AP28" i="38"/>
  <c r="AO28" i="38"/>
  <c r="AP29" i="38"/>
  <c r="AO29" i="38"/>
  <c r="AP30" i="38"/>
  <c r="AO30" i="38"/>
  <c r="AP31" i="38"/>
  <c r="AO31" i="38"/>
  <c r="AP32" i="38"/>
  <c r="AO32" i="38"/>
  <c r="AP33" i="38"/>
  <c r="AO33" i="38"/>
  <c r="AP34" i="38"/>
  <c r="AO34" i="38"/>
  <c r="AP35" i="38"/>
  <c r="AO35" i="38"/>
  <c r="AP36" i="38"/>
  <c r="AO36" i="38"/>
  <c r="AP37" i="38"/>
  <c r="AO37" i="38"/>
  <c r="AP38" i="38"/>
  <c r="AO38" i="38"/>
  <c r="I50" i="38"/>
  <c r="J49" i="38"/>
  <c r="J48" i="38"/>
  <c r="I47" i="38"/>
  <c r="I46" i="38"/>
  <c r="I45" i="38"/>
  <c r="I44" i="38"/>
  <c r="I43" i="38"/>
  <c r="I42" i="38"/>
  <c r="I41" i="38"/>
  <c r="H39" i="38"/>
  <c r="F57" i="39"/>
  <c r="F56" i="39"/>
  <c r="J51" i="39"/>
  <c r="AL8" i="39"/>
  <c r="AN8" i="39"/>
  <c r="AL9" i="39"/>
  <c r="AN9" i="39"/>
  <c r="AL10" i="39"/>
  <c r="AN10" i="39"/>
  <c r="AL11" i="39"/>
  <c r="AN11" i="39"/>
  <c r="AL12" i="39"/>
  <c r="AN12" i="39"/>
  <c r="AL13" i="39"/>
  <c r="AN13" i="39"/>
  <c r="AL14" i="39"/>
  <c r="AN14" i="39"/>
  <c r="AL15" i="39"/>
  <c r="AN15" i="39"/>
  <c r="AL16" i="39"/>
  <c r="AN16" i="39"/>
  <c r="AL17" i="39"/>
  <c r="AN17" i="39"/>
  <c r="AL18" i="39"/>
  <c r="AN18" i="39"/>
  <c r="AL19" i="39"/>
  <c r="AN19" i="39"/>
  <c r="AL20" i="39"/>
  <c r="AN20" i="39"/>
  <c r="AL21" i="39"/>
  <c r="AN21" i="39"/>
  <c r="AL22" i="39"/>
  <c r="AN22" i="39"/>
  <c r="AL23" i="39"/>
  <c r="AN23" i="39"/>
  <c r="AL24" i="39"/>
  <c r="AN24" i="39"/>
  <c r="AL25" i="39"/>
  <c r="AN25" i="39"/>
  <c r="AL26" i="39"/>
  <c r="AN26" i="39"/>
  <c r="AL27" i="39"/>
  <c r="AN27" i="39"/>
  <c r="AL28" i="39"/>
  <c r="AN28" i="39"/>
  <c r="AL29" i="39"/>
  <c r="AN29" i="39"/>
  <c r="AL30" i="39"/>
  <c r="AN30" i="39"/>
  <c r="AL31" i="39"/>
  <c r="AN31" i="39"/>
  <c r="AL32" i="39"/>
  <c r="AN32" i="39"/>
  <c r="AL33" i="39"/>
  <c r="AN33" i="39"/>
  <c r="AL34" i="39"/>
  <c r="AN34" i="39"/>
  <c r="AL35" i="39"/>
  <c r="AN35" i="39"/>
  <c r="AL36" i="39"/>
  <c r="AN36" i="39"/>
  <c r="AL37" i="39"/>
  <c r="AN37" i="39"/>
  <c r="AL38" i="39"/>
  <c r="AN38" i="39"/>
  <c r="AP8" i="39"/>
  <c r="AO8" i="39"/>
  <c r="AP9" i="39"/>
  <c r="AO9" i="39"/>
  <c r="AP10" i="39"/>
  <c r="AO10" i="39"/>
  <c r="AP11" i="39"/>
  <c r="AO11" i="39"/>
  <c r="AP12" i="39"/>
  <c r="AO12" i="39"/>
  <c r="AP13" i="39"/>
  <c r="AO13" i="39"/>
  <c r="AP14" i="39"/>
  <c r="AO14" i="39"/>
  <c r="AP15" i="39"/>
  <c r="AO15" i="39"/>
  <c r="AP16" i="39"/>
  <c r="AO16" i="39"/>
  <c r="AP17" i="39"/>
  <c r="AO17" i="39"/>
  <c r="AP18" i="39"/>
  <c r="AO18" i="39"/>
  <c r="AP19" i="39"/>
  <c r="AO19" i="39"/>
  <c r="AP20" i="39"/>
  <c r="AO20" i="39"/>
  <c r="AP21" i="39"/>
  <c r="AO21" i="39"/>
  <c r="AP22" i="39"/>
  <c r="AO22" i="39"/>
  <c r="AP23" i="39"/>
  <c r="AO23" i="39"/>
  <c r="AP24" i="39"/>
  <c r="AO24" i="39"/>
  <c r="AP25" i="39"/>
  <c r="AO25" i="39"/>
  <c r="AP26" i="39"/>
  <c r="AO26" i="39"/>
  <c r="AP27" i="39"/>
  <c r="AO27" i="39"/>
  <c r="AP28" i="39"/>
  <c r="AO28" i="39"/>
  <c r="AP29" i="39"/>
  <c r="AO29" i="39"/>
  <c r="AP30" i="39"/>
  <c r="AO30" i="39"/>
  <c r="AP31" i="39"/>
  <c r="AO31" i="39"/>
  <c r="AP32" i="39"/>
  <c r="AO32" i="39"/>
  <c r="AP33" i="39"/>
  <c r="AO33" i="39"/>
  <c r="AP34" i="39"/>
  <c r="AO34" i="39"/>
  <c r="AP35" i="39"/>
  <c r="AO35" i="39"/>
  <c r="AP36" i="39"/>
  <c r="AO36" i="39"/>
  <c r="AP37" i="39"/>
  <c r="AO37" i="39"/>
  <c r="AP38" i="39"/>
  <c r="AO38" i="39"/>
  <c r="I50" i="39"/>
  <c r="J49" i="39"/>
  <c r="J48" i="39"/>
  <c r="I47" i="39"/>
  <c r="I46" i="39"/>
  <c r="I45" i="39"/>
  <c r="I44" i="39"/>
  <c r="I43" i="39"/>
  <c r="I42" i="39"/>
  <c r="I41" i="39"/>
  <c r="H39" i="39"/>
  <c r="F57" i="40"/>
  <c r="F56" i="40"/>
  <c r="J51" i="40"/>
  <c r="AL8" i="40"/>
  <c r="AN8" i="40"/>
  <c r="AL9" i="40"/>
  <c r="AN9" i="40"/>
  <c r="AL10" i="40"/>
  <c r="AN10" i="40"/>
  <c r="AL11" i="40"/>
  <c r="AN11" i="40"/>
  <c r="AL12" i="40"/>
  <c r="AN12" i="40"/>
  <c r="AL13" i="40"/>
  <c r="AN13" i="40"/>
  <c r="AL14" i="40"/>
  <c r="AN14" i="40"/>
  <c r="AL15" i="40"/>
  <c r="AN15" i="40"/>
  <c r="AL16" i="40"/>
  <c r="AN16" i="40"/>
  <c r="AL17" i="40"/>
  <c r="AN17" i="40"/>
  <c r="AL18" i="40"/>
  <c r="AN18" i="40"/>
  <c r="AL19" i="40"/>
  <c r="AN19" i="40"/>
  <c r="AL20" i="40"/>
  <c r="AN20" i="40"/>
  <c r="AL21" i="40"/>
  <c r="AN21" i="40"/>
  <c r="AL22" i="40"/>
  <c r="AN22" i="40"/>
  <c r="AL23" i="40"/>
  <c r="AN23" i="40"/>
  <c r="AL24" i="40"/>
  <c r="AN24" i="40"/>
  <c r="AL25" i="40"/>
  <c r="AN25" i="40"/>
  <c r="AL26" i="40"/>
  <c r="AN26" i="40"/>
  <c r="AL27" i="40"/>
  <c r="AN27" i="40"/>
  <c r="AL28" i="40"/>
  <c r="AN28" i="40"/>
  <c r="AL29" i="40"/>
  <c r="AN29" i="40"/>
  <c r="AL30" i="40"/>
  <c r="AN30" i="40"/>
  <c r="AL31" i="40"/>
  <c r="AN31" i="40"/>
  <c r="AL32" i="40"/>
  <c r="AN32" i="40"/>
  <c r="AL33" i="40"/>
  <c r="AN33" i="40"/>
  <c r="AL34" i="40"/>
  <c r="AN34" i="40"/>
  <c r="AL35" i="40"/>
  <c r="AN35" i="40"/>
  <c r="AL36" i="40"/>
  <c r="AN36" i="40"/>
  <c r="AL37" i="40"/>
  <c r="AN37" i="40"/>
  <c r="AL38" i="40"/>
  <c r="AN38" i="40"/>
  <c r="AP8" i="40"/>
  <c r="AO8" i="40"/>
  <c r="AP9" i="40"/>
  <c r="AO9" i="40"/>
  <c r="AP10" i="40"/>
  <c r="AO10" i="40"/>
  <c r="AP11" i="40"/>
  <c r="AO11" i="40"/>
  <c r="AP12" i="40"/>
  <c r="AO12" i="40"/>
  <c r="AP13" i="40"/>
  <c r="AO13" i="40"/>
  <c r="AP14" i="40"/>
  <c r="AO14" i="40"/>
  <c r="AP15" i="40"/>
  <c r="AO15" i="40"/>
  <c r="AP16" i="40"/>
  <c r="AO16" i="40"/>
  <c r="AP17" i="40"/>
  <c r="AO17" i="40"/>
  <c r="AP18" i="40"/>
  <c r="AO18" i="40"/>
  <c r="AP19" i="40"/>
  <c r="AO19" i="40"/>
  <c r="AP20" i="40"/>
  <c r="AO20" i="40"/>
  <c r="AP21" i="40"/>
  <c r="AO21" i="40"/>
  <c r="AP22" i="40"/>
  <c r="AO22" i="40"/>
  <c r="AP23" i="40"/>
  <c r="AO23" i="40"/>
  <c r="AP24" i="40"/>
  <c r="AO24" i="40"/>
  <c r="AP25" i="40"/>
  <c r="AO25" i="40"/>
  <c r="AP26" i="40"/>
  <c r="AO26" i="40"/>
  <c r="AP27" i="40"/>
  <c r="AO27" i="40"/>
  <c r="AP28" i="40"/>
  <c r="AO28" i="40"/>
  <c r="AP29" i="40"/>
  <c r="AO29" i="40"/>
  <c r="AP30" i="40"/>
  <c r="AO30" i="40"/>
  <c r="AP31" i="40"/>
  <c r="AO31" i="40"/>
  <c r="AP32" i="40"/>
  <c r="AO32" i="40"/>
  <c r="AP33" i="40"/>
  <c r="AO33" i="40"/>
  <c r="AP34" i="40"/>
  <c r="AO34" i="40"/>
  <c r="AP35" i="40"/>
  <c r="AO35" i="40"/>
  <c r="AP36" i="40"/>
  <c r="AO36" i="40"/>
  <c r="AP37" i="40"/>
  <c r="AO37" i="40"/>
  <c r="AP38" i="40"/>
  <c r="AO38" i="40"/>
  <c r="I50" i="40"/>
  <c r="J49" i="40"/>
  <c r="J48" i="40"/>
  <c r="I47" i="40"/>
  <c r="I46" i="40"/>
  <c r="I45" i="40"/>
  <c r="I44" i="40"/>
  <c r="I43" i="40"/>
  <c r="I42" i="40"/>
  <c r="I41" i="40"/>
  <c r="H39" i="40"/>
  <c r="F57" i="41"/>
  <c r="F56" i="41"/>
  <c r="J51" i="41"/>
  <c r="AL8" i="41"/>
  <c r="AN8" i="41"/>
  <c r="AL9" i="41"/>
  <c r="AN9" i="41"/>
  <c r="AL10" i="41"/>
  <c r="AN10" i="41"/>
  <c r="AL11" i="41"/>
  <c r="AN11" i="41"/>
  <c r="AL12" i="41"/>
  <c r="AN12" i="41"/>
  <c r="AL13" i="41"/>
  <c r="AN13" i="41"/>
  <c r="AL14" i="41"/>
  <c r="AN14" i="41"/>
  <c r="AL15" i="41"/>
  <c r="AN15" i="41"/>
  <c r="AL16" i="41"/>
  <c r="AN16" i="41"/>
  <c r="AL17" i="41"/>
  <c r="AN17" i="41"/>
  <c r="AL18" i="41"/>
  <c r="AN18" i="41"/>
  <c r="AL19" i="41"/>
  <c r="AN19" i="41"/>
  <c r="AL20" i="41"/>
  <c r="AN20" i="41"/>
  <c r="AL21" i="41"/>
  <c r="AN21" i="41"/>
  <c r="AL22" i="41"/>
  <c r="AN22" i="41"/>
  <c r="AL23" i="41"/>
  <c r="AN23" i="41"/>
  <c r="AL24" i="41"/>
  <c r="AN24" i="41"/>
  <c r="AL25" i="41"/>
  <c r="AN25" i="41"/>
  <c r="AL26" i="41"/>
  <c r="AN26" i="41"/>
  <c r="AL27" i="41"/>
  <c r="AN27" i="41"/>
  <c r="AL28" i="41"/>
  <c r="AN28" i="41"/>
  <c r="AL29" i="41"/>
  <c r="AN29" i="41"/>
  <c r="AL30" i="41"/>
  <c r="AN30" i="41"/>
  <c r="AL31" i="41"/>
  <c r="AN31" i="41"/>
  <c r="AL32" i="41"/>
  <c r="AN32" i="41"/>
  <c r="AL33" i="41"/>
  <c r="AN33" i="41"/>
  <c r="AL34" i="41"/>
  <c r="AN34" i="41"/>
  <c r="AL35" i="41"/>
  <c r="AN35" i="41"/>
  <c r="AL36" i="41"/>
  <c r="AN36" i="41"/>
  <c r="AL37" i="41"/>
  <c r="AN37" i="41"/>
  <c r="AL38" i="41"/>
  <c r="AN38" i="41"/>
  <c r="AP8" i="41"/>
  <c r="AO8" i="41"/>
  <c r="AP9" i="41"/>
  <c r="AO9" i="41"/>
  <c r="AP10" i="41"/>
  <c r="AO10" i="41"/>
  <c r="AP11" i="41"/>
  <c r="AO11" i="41"/>
  <c r="AP12" i="41"/>
  <c r="AO12" i="41"/>
  <c r="AP13" i="41"/>
  <c r="AO13" i="41"/>
  <c r="AP14" i="41"/>
  <c r="AO14" i="41"/>
  <c r="AP15" i="41"/>
  <c r="AO15" i="41"/>
  <c r="AP16" i="41"/>
  <c r="AO16" i="41"/>
  <c r="AP17" i="41"/>
  <c r="AO17" i="41"/>
  <c r="AP18" i="41"/>
  <c r="AO18" i="41"/>
  <c r="AP19" i="41"/>
  <c r="AO19" i="41"/>
  <c r="AP20" i="41"/>
  <c r="AO20" i="41"/>
  <c r="AP21" i="41"/>
  <c r="AO21" i="41"/>
  <c r="AP22" i="41"/>
  <c r="AO22" i="41"/>
  <c r="AP23" i="41"/>
  <c r="AO23" i="41"/>
  <c r="AP24" i="41"/>
  <c r="AO24" i="41"/>
  <c r="AP25" i="41"/>
  <c r="AO25" i="41"/>
  <c r="AP26" i="41"/>
  <c r="AO26" i="41"/>
  <c r="AP27" i="41"/>
  <c r="AO27" i="41"/>
  <c r="AP28" i="41"/>
  <c r="AO28" i="41"/>
  <c r="AP29" i="41"/>
  <c r="AO29" i="41"/>
  <c r="AP30" i="41"/>
  <c r="AO30" i="41"/>
  <c r="AP31" i="41"/>
  <c r="AO31" i="41"/>
  <c r="AP32" i="41"/>
  <c r="AO32" i="41"/>
  <c r="AP33" i="41"/>
  <c r="AO33" i="41"/>
  <c r="AP34" i="41"/>
  <c r="AO34" i="41"/>
  <c r="AP35" i="41"/>
  <c r="AO35" i="41"/>
  <c r="AP36" i="41"/>
  <c r="AO36" i="41"/>
  <c r="AP37" i="41"/>
  <c r="AO37" i="41"/>
  <c r="AP38" i="41"/>
  <c r="AO38" i="41"/>
  <c r="I50" i="41"/>
  <c r="J49" i="41"/>
  <c r="J48" i="41"/>
  <c r="I47" i="41"/>
  <c r="I46" i="41"/>
  <c r="I45" i="41"/>
  <c r="I44" i="41"/>
  <c r="I43" i="41"/>
  <c r="I42" i="41"/>
  <c r="I41" i="41"/>
  <c r="H39" i="41"/>
  <c r="F57" i="42"/>
  <c r="F56" i="42"/>
  <c r="J51" i="42"/>
  <c r="AL8" i="42"/>
  <c r="AN8" i="42"/>
  <c r="AL9" i="42"/>
  <c r="AN9" i="42"/>
  <c r="AL10" i="42"/>
  <c r="AN10" i="42"/>
  <c r="AL11" i="42"/>
  <c r="AN11" i="42"/>
  <c r="AL12" i="42"/>
  <c r="AN12" i="42"/>
  <c r="AL13" i="42"/>
  <c r="AN13" i="42"/>
  <c r="AL14" i="42"/>
  <c r="AN14" i="42"/>
  <c r="AL15" i="42"/>
  <c r="AN15" i="42"/>
  <c r="AL16" i="42"/>
  <c r="AN16" i="42"/>
  <c r="AL17" i="42"/>
  <c r="AN17" i="42"/>
  <c r="AL18" i="42"/>
  <c r="AN18" i="42"/>
  <c r="AL19" i="42"/>
  <c r="AN19" i="42"/>
  <c r="AL20" i="42"/>
  <c r="AN20" i="42"/>
  <c r="AL21" i="42"/>
  <c r="AN21" i="42"/>
  <c r="AL22" i="42"/>
  <c r="AN22" i="42"/>
  <c r="AL23" i="42"/>
  <c r="AN23" i="42"/>
  <c r="AL24" i="42"/>
  <c r="AN24" i="42"/>
  <c r="AL25" i="42"/>
  <c r="AN25" i="42"/>
  <c r="AL26" i="42"/>
  <c r="AN26" i="42"/>
  <c r="AL27" i="42"/>
  <c r="AN27" i="42"/>
  <c r="AL28" i="42"/>
  <c r="AN28" i="42"/>
  <c r="AL29" i="42"/>
  <c r="AN29" i="42"/>
  <c r="AL30" i="42"/>
  <c r="AN30" i="42"/>
  <c r="AL31" i="42"/>
  <c r="AN31" i="42"/>
  <c r="AL32" i="42"/>
  <c r="AN32" i="42"/>
  <c r="AL33" i="42"/>
  <c r="AN33" i="42"/>
  <c r="AL34" i="42"/>
  <c r="AN34" i="42"/>
  <c r="AL35" i="42"/>
  <c r="AN35" i="42"/>
  <c r="AL36" i="42"/>
  <c r="AN36" i="42"/>
  <c r="AL37" i="42"/>
  <c r="AN37" i="42"/>
  <c r="AL38" i="42"/>
  <c r="AN38" i="42"/>
  <c r="AP8" i="42"/>
  <c r="AO8" i="42"/>
  <c r="AP9" i="42"/>
  <c r="AO9" i="42"/>
  <c r="AP10" i="42"/>
  <c r="AO10" i="42"/>
  <c r="AP11" i="42"/>
  <c r="AO11" i="42"/>
  <c r="AP12" i="42"/>
  <c r="AO12" i="42"/>
  <c r="AP13" i="42"/>
  <c r="AO13" i="42"/>
  <c r="AP14" i="42"/>
  <c r="AO14" i="42"/>
  <c r="AP15" i="42"/>
  <c r="AO15" i="42"/>
  <c r="AP16" i="42"/>
  <c r="AO16" i="42"/>
  <c r="AP17" i="42"/>
  <c r="AO17" i="42"/>
  <c r="AP18" i="42"/>
  <c r="AO18" i="42"/>
  <c r="AP19" i="42"/>
  <c r="AO19" i="42"/>
  <c r="AP20" i="42"/>
  <c r="AO20" i="42"/>
  <c r="AP21" i="42"/>
  <c r="AO21" i="42"/>
  <c r="AP22" i="42"/>
  <c r="AO22" i="42"/>
  <c r="AP23" i="42"/>
  <c r="AO23" i="42"/>
  <c r="AP24" i="42"/>
  <c r="AO24" i="42"/>
  <c r="AP25" i="42"/>
  <c r="AO25" i="42"/>
  <c r="AP26" i="42"/>
  <c r="AO26" i="42"/>
  <c r="AP27" i="42"/>
  <c r="AO27" i="42"/>
  <c r="AP28" i="42"/>
  <c r="AO28" i="42"/>
  <c r="AP29" i="42"/>
  <c r="AO29" i="42"/>
  <c r="AP30" i="42"/>
  <c r="AO30" i="42"/>
  <c r="AP31" i="42"/>
  <c r="AO31" i="42"/>
  <c r="AP32" i="42"/>
  <c r="AO32" i="42"/>
  <c r="AP33" i="42"/>
  <c r="AO33" i="42"/>
  <c r="AP34" i="42"/>
  <c r="AO34" i="42"/>
  <c r="AP35" i="42"/>
  <c r="AO35" i="42"/>
  <c r="AP36" i="42"/>
  <c r="AO36" i="42"/>
  <c r="AP37" i="42"/>
  <c r="AO37" i="42"/>
  <c r="AP38" i="42"/>
  <c r="AO38" i="42"/>
  <c r="I50" i="42"/>
  <c r="J49" i="42"/>
  <c r="J48" i="42"/>
  <c r="I47" i="42"/>
  <c r="I46" i="42"/>
  <c r="I45" i="42"/>
  <c r="I44" i="42"/>
  <c r="I43" i="42"/>
  <c r="I42" i="42"/>
  <c r="I41" i="42"/>
  <c r="H39" i="42"/>
  <c r="F57" i="43"/>
  <c r="F56" i="43"/>
  <c r="J51" i="43"/>
  <c r="AL8" i="43"/>
  <c r="AN8" i="43"/>
  <c r="AL9" i="43"/>
  <c r="AN9" i="43"/>
  <c r="AL10" i="43"/>
  <c r="AN10" i="43"/>
  <c r="AL11" i="43"/>
  <c r="AN11" i="43"/>
  <c r="AL12" i="43"/>
  <c r="AN12" i="43"/>
  <c r="AL13" i="43"/>
  <c r="AN13" i="43"/>
  <c r="AL14" i="43"/>
  <c r="AN14" i="43"/>
  <c r="AL15" i="43"/>
  <c r="AN15" i="43"/>
  <c r="AL16" i="43"/>
  <c r="AN16" i="43"/>
  <c r="AL17" i="43"/>
  <c r="AN17" i="43"/>
  <c r="AL18" i="43"/>
  <c r="AN18" i="43"/>
  <c r="AL19" i="43"/>
  <c r="AN19" i="43"/>
  <c r="AL20" i="43"/>
  <c r="AN20" i="43"/>
  <c r="AL21" i="43"/>
  <c r="AN21" i="43"/>
  <c r="AL22" i="43"/>
  <c r="AN22" i="43"/>
  <c r="AL23" i="43"/>
  <c r="AN23" i="43"/>
  <c r="AL24" i="43"/>
  <c r="AN24" i="43"/>
  <c r="AL25" i="43"/>
  <c r="AN25" i="43"/>
  <c r="AL26" i="43"/>
  <c r="AN26" i="43"/>
  <c r="AL27" i="43"/>
  <c r="AN27" i="43"/>
  <c r="AL28" i="43"/>
  <c r="AN28" i="43"/>
  <c r="AL29" i="43"/>
  <c r="AN29" i="43"/>
  <c r="AL30" i="43"/>
  <c r="AN30" i="43"/>
  <c r="AL31" i="43"/>
  <c r="AN31" i="43"/>
  <c r="AL32" i="43"/>
  <c r="AN32" i="43"/>
  <c r="AL33" i="43"/>
  <c r="AN33" i="43"/>
  <c r="AL34" i="43"/>
  <c r="AN34" i="43"/>
  <c r="AL35" i="43"/>
  <c r="AN35" i="43"/>
  <c r="AL36" i="43"/>
  <c r="AN36" i="43"/>
  <c r="AL37" i="43"/>
  <c r="AN37" i="43"/>
  <c r="AL38" i="43"/>
  <c r="AN38" i="43"/>
  <c r="AP8" i="43"/>
  <c r="AO8" i="43"/>
  <c r="AP9" i="43"/>
  <c r="AO9" i="43"/>
  <c r="AP10" i="43"/>
  <c r="AO10" i="43"/>
  <c r="AP11" i="43"/>
  <c r="AO11" i="43"/>
  <c r="AP12" i="43"/>
  <c r="AO12" i="43"/>
  <c r="AP13" i="43"/>
  <c r="AO13" i="43"/>
  <c r="AP14" i="43"/>
  <c r="AO14" i="43"/>
  <c r="AP15" i="43"/>
  <c r="AO15" i="43"/>
  <c r="AP16" i="43"/>
  <c r="AO16" i="43"/>
  <c r="AP17" i="43"/>
  <c r="AO17" i="43"/>
  <c r="AP18" i="43"/>
  <c r="AO18" i="43"/>
  <c r="AP19" i="43"/>
  <c r="AO19" i="43"/>
  <c r="AP20" i="43"/>
  <c r="AO20" i="43"/>
  <c r="AP21" i="43"/>
  <c r="AO21" i="43"/>
  <c r="AP22" i="43"/>
  <c r="AO22" i="43"/>
  <c r="AP23" i="43"/>
  <c r="AO23" i="43"/>
  <c r="AP24" i="43"/>
  <c r="AO24" i="43"/>
  <c r="AP25" i="43"/>
  <c r="AO25" i="43"/>
  <c r="AP26" i="43"/>
  <c r="AO26" i="43"/>
  <c r="AP27" i="43"/>
  <c r="AO27" i="43"/>
  <c r="AP28" i="43"/>
  <c r="AO28" i="43"/>
  <c r="AP29" i="43"/>
  <c r="AO29" i="43"/>
  <c r="AP30" i="43"/>
  <c r="AO30" i="43"/>
  <c r="AP31" i="43"/>
  <c r="AO31" i="43"/>
  <c r="AP32" i="43"/>
  <c r="AO32" i="43"/>
  <c r="AP33" i="43"/>
  <c r="AO33" i="43"/>
  <c r="AP34" i="43"/>
  <c r="AO34" i="43"/>
  <c r="AP35" i="43"/>
  <c r="AO35" i="43"/>
  <c r="AP36" i="43"/>
  <c r="AO36" i="43"/>
  <c r="AP37" i="43"/>
  <c r="AO37" i="43"/>
  <c r="AP38" i="43"/>
  <c r="AO38" i="43"/>
  <c r="I50" i="43"/>
  <c r="J49" i="43"/>
  <c r="J48" i="43"/>
  <c r="I47" i="43"/>
  <c r="I46" i="43"/>
  <c r="I45" i="43"/>
  <c r="I44" i="43"/>
  <c r="I43" i="43"/>
  <c r="I42" i="43"/>
  <c r="I41" i="43"/>
  <c r="H39" i="43"/>
  <c r="F57" i="44"/>
  <c r="F56" i="44"/>
  <c r="J51" i="44"/>
  <c r="AL8" i="44"/>
  <c r="AN8" i="44"/>
  <c r="AL9" i="44"/>
  <c r="AN9" i="44"/>
  <c r="AL10" i="44"/>
  <c r="AN10" i="44"/>
  <c r="AL11" i="44"/>
  <c r="AN11" i="44"/>
  <c r="AL12" i="44"/>
  <c r="AN12" i="44"/>
  <c r="AL13" i="44"/>
  <c r="AN13" i="44"/>
  <c r="AL14" i="44"/>
  <c r="AN14" i="44"/>
  <c r="AL15" i="44"/>
  <c r="AN15" i="44"/>
  <c r="AL16" i="44"/>
  <c r="AN16" i="44"/>
  <c r="AL17" i="44"/>
  <c r="AN17" i="44"/>
  <c r="AL18" i="44"/>
  <c r="AN18" i="44"/>
  <c r="AL19" i="44"/>
  <c r="AN19" i="44"/>
  <c r="AL20" i="44"/>
  <c r="AN20" i="44"/>
  <c r="AL21" i="44"/>
  <c r="AN21" i="44"/>
  <c r="AL22" i="44"/>
  <c r="AN22" i="44"/>
  <c r="AL23" i="44"/>
  <c r="AN23" i="44"/>
  <c r="AL24" i="44"/>
  <c r="AN24" i="44"/>
  <c r="AL25" i="44"/>
  <c r="AN25" i="44"/>
  <c r="AL26" i="44"/>
  <c r="AN26" i="44"/>
  <c r="AL27" i="44"/>
  <c r="AN27" i="44"/>
  <c r="AL28" i="44"/>
  <c r="AN28" i="44"/>
  <c r="AL29" i="44"/>
  <c r="AN29" i="44"/>
  <c r="AL30" i="44"/>
  <c r="AN30" i="44"/>
  <c r="AL31" i="44"/>
  <c r="AN31" i="44"/>
  <c r="AL32" i="44"/>
  <c r="AN32" i="44"/>
  <c r="AL33" i="44"/>
  <c r="AN33" i="44"/>
  <c r="AL34" i="44"/>
  <c r="AN34" i="44"/>
  <c r="AL35" i="44"/>
  <c r="AN35" i="44"/>
  <c r="AL36" i="44"/>
  <c r="AN36" i="44"/>
  <c r="AL37" i="44"/>
  <c r="AN37" i="44"/>
  <c r="AL38" i="44"/>
  <c r="AN38" i="44"/>
  <c r="AP8" i="44"/>
  <c r="AO8" i="44"/>
  <c r="AP9" i="44"/>
  <c r="AO9" i="44"/>
  <c r="AP10" i="44"/>
  <c r="AO10" i="44"/>
  <c r="AP11" i="44"/>
  <c r="AO11" i="44"/>
  <c r="AP12" i="44"/>
  <c r="AO12" i="44"/>
  <c r="AP13" i="44"/>
  <c r="AO13" i="44"/>
  <c r="AP14" i="44"/>
  <c r="AO14" i="44"/>
  <c r="AP15" i="44"/>
  <c r="AO15" i="44"/>
  <c r="AP16" i="44"/>
  <c r="AO16" i="44"/>
  <c r="AP17" i="44"/>
  <c r="AO17" i="44"/>
  <c r="AP18" i="44"/>
  <c r="AO18" i="44"/>
  <c r="AP19" i="44"/>
  <c r="AO19" i="44"/>
  <c r="AP20" i="44"/>
  <c r="AO20" i="44"/>
  <c r="AP21" i="44"/>
  <c r="AO21" i="44"/>
  <c r="AP22" i="44"/>
  <c r="AO22" i="44"/>
  <c r="AP23" i="44"/>
  <c r="AO23" i="44"/>
  <c r="AP24" i="44"/>
  <c r="AO24" i="44"/>
  <c r="AP25" i="44"/>
  <c r="AO25" i="44"/>
  <c r="AP26" i="44"/>
  <c r="AO26" i="44"/>
  <c r="AP27" i="44"/>
  <c r="AO27" i="44"/>
  <c r="AP28" i="44"/>
  <c r="AO28" i="44"/>
  <c r="AP29" i="44"/>
  <c r="AO29" i="44"/>
  <c r="AP30" i="44"/>
  <c r="AO30" i="44"/>
  <c r="AP31" i="44"/>
  <c r="AO31" i="44"/>
  <c r="AP32" i="44"/>
  <c r="AO32" i="44"/>
  <c r="AP33" i="44"/>
  <c r="AO33" i="44"/>
  <c r="AP34" i="44"/>
  <c r="AO34" i="44"/>
  <c r="AP35" i="44"/>
  <c r="AO35" i="44"/>
  <c r="AP36" i="44"/>
  <c r="AO36" i="44"/>
  <c r="AP37" i="44"/>
  <c r="AO37" i="44"/>
  <c r="AP38" i="44"/>
  <c r="AO38" i="44"/>
  <c r="I50" i="44"/>
  <c r="J49" i="44"/>
  <c r="J48" i="44"/>
  <c r="I47" i="44"/>
  <c r="I46" i="44"/>
  <c r="I45" i="44"/>
  <c r="I44" i="44"/>
  <c r="I43" i="44"/>
  <c r="I42" i="44"/>
  <c r="I41" i="44"/>
  <c r="H39" i="44"/>
  <c r="F57" i="45"/>
  <c r="F56" i="45"/>
  <c r="J51" i="45"/>
  <c r="AL8" i="45"/>
  <c r="AN8" i="45"/>
  <c r="AL9" i="45"/>
  <c r="AN9" i="45"/>
  <c r="AL10" i="45"/>
  <c r="AN10" i="45"/>
  <c r="AL11" i="45"/>
  <c r="AN11" i="45"/>
  <c r="AL12" i="45"/>
  <c r="AN12" i="45"/>
  <c r="AL13" i="45"/>
  <c r="AN13" i="45"/>
  <c r="AL14" i="45"/>
  <c r="AN14" i="45"/>
  <c r="AL15" i="45"/>
  <c r="AN15" i="45"/>
  <c r="AL16" i="45"/>
  <c r="AN16" i="45"/>
  <c r="AL17" i="45"/>
  <c r="AN17" i="45"/>
  <c r="AL18" i="45"/>
  <c r="AN18" i="45"/>
  <c r="AL19" i="45"/>
  <c r="AN19" i="45"/>
  <c r="AL20" i="45"/>
  <c r="AN20" i="45"/>
  <c r="AL21" i="45"/>
  <c r="AN21" i="45"/>
  <c r="AL22" i="45"/>
  <c r="AN22" i="45"/>
  <c r="AL23" i="45"/>
  <c r="AN23" i="45"/>
  <c r="AL24" i="45"/>
  <c r="AN24" i="45"/>
  <c r="AL25" i="45"/>
  <c r="AN25" i="45"/>
  <c r="AL26" i="45"/>
  <c r="AN26" i="45"/>
  <c r="AL27" i="45"/>
  <c r="AN27" i="45"/>
  <c r="AL28" i="45"/>
  <c r="AN28" i="45"/>
  <c r="AL29" i="45"/>
  <c r="AN29" i="45"/>
  <c r="AL30" i="45"/>
  <c r="AN30" i="45"/>
  <c r="AL31" i="45"/>
  <c r="AN31" i="45"/>
  <c r="AL32" i="45"/>
  <c r="AN32" i="45"/>
  <c r="AL33" i="45"/>
  <c r="AN33" i="45"/>
  <c r="AL34" i="45"/>
  <c r="AN34" i="45"/>
  <c r="AL35" i="45"/>
  <c r="AN35" i="45"/>
  <c r="AL36" i="45"/>
  <c r="AN36" i="45"/>
  <c r="AL37" i="45"/>
  <c r="AN37" i="45"/>
  <c r="AL38" i="45"/>
  <c r="AN38" i="45"/>
  <c r="AP8" i="45"/>
  <c r="AO8" i="45"/>
  <c r="AP9" i="45"/>
  <c r="AO9" i="45"/>
  <c r="AP10" i="45"/>
  <c r="AO10" i="45"/>
  <c r="AP11" i="45"/>
  <c r="AO11" i="45"/>
  <c r="AP12" i="45"/>
  <c r="AO12" i="45"/>
  <c r="AP13" i="45"/>
  <c r="AO13" i="45"/>
  <c r="AP14" i="45"/>
  <c r="AO14" i="45"/>
  <c r="AP15" i="45"/>
  <c r="AO15" i="45"/>
  <c r="AP16" i="45"/>
  <c r="AO16" i="45"/>
  <c r="AP17" i="45"/>
  <c r="AO17" i="45"/>
  <c r="AP18" i="45"/>
  <c r="AO18" i="45"/>
  <c r="AP19" i="45"/>
  <c r="AO19" i="45"/>
  <c r="AP20" i="45"/>
  <c r="AO20" i="45"/>
  <c r="AP21" i="45"/>
  <c r="AO21" i="45"/>
  <c r="AP22" i="45"/>
  <c r="AO22" i="45"/>
  <c r="AP23" i="45"/>
  <c r="AO23" i="45"/>
  <c r="AP24" i="45"/>
  <c r="AO24" i="45"/>
  <c r="AP25" i="45"/>
  <c r="AO25" i="45"/>
  <c r="AP26" i="45"/>
  <c r="AO26" i="45"/>
  <c r="AP27" i="45"/>
  <c r="AO27" i="45"/>
  <c r="AP28" i="45"/>
  <c r="AO28" i="45"/>
  <c r="AP29" i="45"/>
  <c r="AO29" i="45"/>
  <c r="AP30" i="45"/>
  <c r="AO30" i="45"/>
  <c r="AP31" i="45"/>
  <c r="AO31" i="45"/>
  <c r="AP32" i="45"/>
  <c r="AO32" i="45"/>
  <c r="AP33" i="45"/>
  <c r="AO33" i="45"/>
  <c r="AP34" i="45"/>
  <c r="AO34" i="45"/>
  <c r="AP35" i="45"/>
  <c r="AO35" i="45"/>
  <c r="AP36" i="45"/>
  <c r="AO36" i="45"/>
  <c r="AP37" i="45"/>
  <c r="AO37" i="45"/>
  <c r="AP38" i="45"/>
  <c r="AO38" i="45"/>
  <c r="I50" i="45"/>
  <c r="J49" i="45"/>
  <c r="J48" i="45"/>
  <c r="I47" i="45"/>
  <c r="I46" i="45"/>
  <c r="I45" i="45"/>
  <c r="I44" i="45"/>
  <c r="I43" i="45"/>
  <c r="I42" i="45"/>
  <c r="I41" i="45"/>
  <c r="H39" i="45"/>
  <c r="F57" i="47"/>
  <c r="F56" i="47"/>
  <c r="J51" i="47"/>
  <c r="AL8" i="47"/>
  <c r="AN8" i="47"/>
  <c r="AL9" i="47"/>
  <c r="AN9" i="47"/>
  <c r="AL10" i="47"/>
  <c r="AN10" i="47"/>
  <c r="AL11" i="47"/>
  <c r="AN11" i="47"/>
  <c r="AL12" i="47"/>
  <c r="AN12" i="47"/>
  <c r="AL13" i="47"/>
  <c r="AN13" i="47"/>
  <c r="AL14" i="47"/>
  <c r="AN14" i="47"/>
  <c r="AL15" i="47"/>
  <c r="AN15" i="47"/>
  <c r="AL16" i="47"/>
  <c r="AN16" i="47"/>
  <c r="AL17" i="47"/>
  <c r="AN17" i="47"/>
  <c r="AL18" i="47"/>
  <c r="AN18" i="47"/>
  <c r="AL19" i="47"/>
  <c r="AN19" i="47"/>
  <c r="AL20" i="47"/>
  <c r="AN20" i="47"/>
  <c r="AL21" i="47"/>
  <c r="AN21" i="47"/>
  <c r="AL22" i="47"/>
  <c r="AN22" i="47"/>
  <c r="AL23" i="47"/>
  <c r="AN23" i="47"/>
  <c r="AL24" i="47"/>
  <c r="AN24" i="47"/>
  <c r="AL25" i="47"/>
  <c r="AN25" i="47"/>
  <c r="AL26" i="47"/>
  <c r="AN26" i="47"/>
  <c r="AL27" i="47"/>
  <c r="AN27" i="47"/>
  <c r="AL28" i="47"/>
  <c r="AN28" i="47"/>
  <c r="AL29" i="47"/>
  <c r="AN29" i="47"/>
  <c r="AL30" i="47"/>
  <c r="AN30" i="47"/>
  <c r="AL31" i="47"/>
  <c r="AN31" i="47"/>
  <c r="AL32" i="47"/>
  <c r="AN32" i="47"/>
  <c r="AL33" i="47"/>
  <c r="AN33" i="47"/>
  <c r="AL34" i="47"/>
  <c r="AN34" i="47"/>
  <c r="AL35" i="47"/>
  <c r="AN35" i="47"/>
  <c r="AL36" i="47"/>
  <c r="AN36" i="47"/>
  <c r="AL37" i="47"/>
  <c r="AN37" i="47"/>
  <c r="AL38" i="47"/>
  <c r="AN38" i="47"/>
  <c r="AP8" i="47"/>
  <c r="AO8" i="47"/>
  <c r="AP9" i="47"/>
  <c r="AO9" i="47"/>
  <c r="AP10" i="47"/>
  <c r="AO10" i="47"/>
  <c r="AP11" i="47"/>
  <c r="AO11" i="47"/>
  <c r="AP12" i="47"/>
  <c r="AO12" i="47"/>
  <c r="AP13" i="47"/>
  <c r="AO13" i="47"/>
  <c r="AP14" i="47"/>
  <c r="AO14" i="47"/>
  <c r="AP15" i="47"/>
  <c r="AO15" i="47"/>
  <c r="AP16" i="47"/>
  <c r="AO16" i="47"/>
  <c r="AP17" i="47"/>
  <c r="AO17" i="47"/>
  <c r="AP18" i="47"/>
  <c r="AO18" i="47"/>
  <c r="AP19" i="47"/>
  <c r="AO19" i="47"/>
  <c r="AP20" i="47"/>
  <c r="AO20" i="47"/>
  <c r="AP21" i="47"/>
  <c r="AO21" i="47"/>
  <c r="AP22" i="47"/>
  <c r="AO22" i="47"/>
  <c r="AP23" i="47"/>
  <c r="AO23" i="47"/>
  <c r="AP24" i="47"/>
  <c r="AO24" i="47"/>
  <c r="AP25" i="47"/>
  <c r="AO25" i="47"/>
  <c r="AP26" i="47"/>
  <c r="AO26" i="47"/>
  <c r="AP27" i="47"/>
  <c r="AO27" i="47"/>
  <c r="AP28" i="47"/>
  <c r="AO28" i="47"/>
  <c r="AP29" i="47"/>
  <c r="AO29" i="47"/>
  <c r="AP30" i="47"/>
  <c r="AO30" i="47"/>
  <c r="AP31" i="47"/>
  <c r="AO31" i="47"/>
  <c r="AP32" i="47"/>
  <c r="AO32" i="47"/>
  <c r="AP33" i="47"/>
  <c r="AO33" i="47"/>
  <c r="AP34" i="47"/>
  <c r="AO34" i="47"/>
  <c r="AP35" i="47"/>
  <c r="AO35" i="47"/>
  <c r="AP36" i="47"/>
  <c r="AO36" i="47"/>
  <c r="AP37" i="47"/>
  <c r="AO37" i="47"/>
  <c r="AP38" i="47"/>
  <c r="AO38" i="47"/>
  <c r="I50" i="47"/>
  <c r="J49" i="47"/>
  <c r="J48" i="47"/>
  <c r="I47" i="47"/>
  <c r="I46" i="47"/>
  <c r="I45" i="47"/>
  <c r="I44" i="47"/>
  <c r="I43" i="47"/>
  <c r="I42" i="47"/>
  <c r="I41" i="47"/>
  <c r="H39" i="47"/>
  <c r="F57" i="48"/>
  <c r="F56" i="48"/>
  <c r="J51" i="48"/>
  <c r="AL8" i="48"/>
  <c r="AN8" i="48"/>
  <c r="AL9" i="48"/>
  <c r="AN9" i="48"/>
  <c r="AL10" i="48"/>
  <c r="AN10" i="48"/>
  <c r="AL11" i="48"/>
  <c r="AN11" i="48"/>
  <c r="AL12" i="48"/>
  <c r="AN12" i="48"/>
  <c r="AL13" i="48"/>
  <c r="AN13" i="48"/>
  <c r="AL14" i="48"/>
  <c r="AN14" i="48"/>
  <c r="AL15" i="48"/>
  <c r="AN15" i="48"/>
  <c r="AL16" i="48"/>
  <c r="AN16" i="48"/>
  <c r="AL17" i="48"/>
  <c r="AN17" i="48"/>
  <c r="AL18" i="48"/>
  <c r="AN18" i="48"/>
  <c r="AL19" i="48"/>
  <c r="AN19" i="48"/>
  <c r="AL20" i="48"/>
  <c r="AN20" i="48"/>
  <c r="AL21" i="48"/>
  <c r="AN21" i="48"/>
  <c r="AL22" i="48"/>
  <c r="AN22" i="48"/>
  <c r="AL23" i="48"/>
  <c r="AN23" i="48"/>
  <c r="AL24" i="48"/>
  <c r="AN24" i="48"/>
  <c r="AL25" i="48"/>
  <c r="AN25" i="48"/>
  <c r="AL26" i="48"/>
  <c r="AN26" i="48"/>
  <c r="AL27" i="48"/>
  <c r="AN27" i="48"/>
  <c r="AL28" i="48"/>
  <c r="AN28" i="48"/>
  <c r="AL29" i="48"/>
  <c r="AN29" i="48"/>
  <c r="AL30" i="48"/>
  <c r="AN30" i="48"/>
  <c r="AL31" i="48"/>
  <c r="AN31" i="48"/>
  <c r="AL32" i="48"/>
  <c r="AN32" i="48"/>
  <c r="AL33" i="48"/>
  <c r="AN33" i="48"/>
  <c r="AL34" i="48"/>
  <c r="AN34" i="48"/>
  <c r="AL35" i="48"/>
  <c r="AN35" i="48"/>
  <c r="AL36" i="48"/>
  <c r="AN36" i="48"/>
  <c r="AL37" i="48"/>
  <c r="AN37" i="48"/>
  <c r="AL38" i="48"/>
  <c r="AN38" i="48"/>
  <c r="AP8" i="48"/>
  <c r="AO8" i="48"/>
  <c r="AP9" i="48"/>
  <c r="AO9" i="48"/>
  <c r="AP10" i="48"/>
  <c r="AO10" i="48"/>
  <c r="AP11" i="48"/>
  <c r="AO11" i="48"/>
  <c r="AP12" i="48"/>
  <c r="AO12" i="48"/>
  <c r="AP13" i="48"/>
  <c r="AO13" i="48"/>
  <c r="AP14" i="48"/>
  <c r="AO14" i="48"/>
  <c r="AP15" i="48"/>
  <c r="AO15" i="48"/>
  <c r="AP16" i="48"/>
  <c r="AO16" i="48"/>
  <c r="AP17" i="48"/>
  <c r="AO17" i="48"/>
  <c r="AP18" i="48"/>
  <c r="AO18" i="48"/>
  <c r="AP19" i="48"/>
  <c r="AO19" i="48"/>
  <c r="AP20" i="48"/>
  <c r="AO20" i="48"/>
  <c r="AP21" i="48"/>
  <c r="AO21" i="48"/>
  <c r="AP22" i="48"/>
  <c r="AO22" i="48"/>
  <c r="AP23" i="48"/>
  <c r="AO23" i="48"/>
  <c r="AP24" i="48"/>
  <c r="AO24" i="48"/>
  <c r="AP25" i="48"/>
  <c r="AO25" i="48"/>
  <c r="AP26" i="48"/>
  <c r="AO26" i="48"/>
  <c r="AP27" i="48"/>
  <c r="AO27" i="48"/>
  <c r="AP28" i="48"/>
  <c r="AO28" i="48"/>
  <c r="AP29" i="48"/>
  <c r="AO29" i="48"/>
  <c r="AP30" i="48"/>
  <c r="AO30" i="48"/>
  <c r="AP31" i="48"/>
  <c r="AO31" i="48"/>
  <c r="AP32" i="48"/>
  <c r="AO32" i="48"/>
  <c r="AP33" i="48"/>
  <c r="AO33" i="48"/>
  <c r="AP34" i="48"/>
  <c r="AO34" i="48"/>
  <c r="AP35" i="48"/>
  <c r="AO35" i="48"/>
  <c r="AP36" i="48"/>
  <c r="AO36" i="48"/>
  <c r="AP37" i="48"/>
  <c r="AO37" i="48"/>
  <c r="AP38" i="48"/>
  <c r="AO38" i="48"/>
  <c r="I50" i="48"/>
  <c r="J49" i="48"/>
  <c r="J48" i="48"/>
  <c r="I47" i="48"/>
  <c r="I46" i="48"/>
  <c r="I45" i="48"/>
  <c r="I44" i="48"/>
  <c r="I43" i="48"/>
  <c r="I42" i="48"/>
  <c r="I41" i="48"/>
  <c r="H39" i="48"/>
  <c r="F57" i="49"/>
  <c r="F56" i="49"/>
  <c r="J51" i="49"/>
  <c r="AL8" i="49"/>
  <c r="AN8" i="49"/>
  <c r="AL9" i="49"/>
  <c r="AN9" i="49"/>
  <c r="AL10" i="49"/>
  <c r="AN10" i="49"/>
  <c r="AL11" i="49"/>
  <c r="AN11" i="49"/>
  <c r="AL12" i="49"/>
  <c r="AN12" i="49"/>
  <c r="AL13" i="49"/>
  <c r="AN13" i="49"/>
  <c r="AL14" i="49"/>
  <c r="AN14" i="49"/>
  <c r="AL15" i="49"/>
  <c r="AN15" i="49"/>
  <c r="AL16" i="49"/>
  <c r="AN16" i="49"/>
  <c r="AL17" i="49"/>
  <c r="AN17" i="49"/>
  <c r="AL18" i="49"/>
  <c r="AN18" i="49"/>
  <c r="AL19" i="49"/>
  <c r="AN19" i="49"/>
  <c r="AL20" i="49"/>
  <c r="AN20" i="49"/>
  <c r="AL21" i="49"/>
  <c r="AN21" i="49"/>
  <c r="AL22" i="49"/>
  <c r="AN22" i="49"/>
  <c r="AL23" i="49"/>
  <c r="AN23" i="49"/>
  <c r="AL24" i="49"/>
  <c r="AN24" i="49"/>
  <c r="AL25" i="49"/>
  <c r="AN25" i="49"/>
  <c r="AL26" i="49"/>
  <c r="AN26" i="49"/>
  <c r="AL27" i="49"/>
  <c r="AN27" i="49"/>
  <c r="AL28" i="49"/>
  <c r="AN28" i="49"/>
  <c r="AL29" i="49"/>
  <c r="AN29" i="49"/>
  <c r="AL30" i="49"/>
  <c r="AN30" i="49"/>
  <c r="AL31" i="49"/>
  <c r="AN31" i="49"/>
  <c r="AL32" i="49"/>
  <c r="AN32" i="49"/>
  <c r="AL33" i="49"/>
  <c r="AN33" i="49"/>
  <c r="AL34" i="49"/>
  <c r="AN34" i="49"/>
  <c r="AL35" i="49"/>
  <c r="AN35" i="49"/>
  <c r="AL36" i="49"/>
  <c r="AN36" i="49"/>
  <c r="AL37" i="49"/>
  <c r="AN37" i="49"/>
  <c r="AL38" i="49"/>
  <c r="AN38" i="49"/>
  <c r="AP8" i="49"/>
  <c r="AO8" i="49"/>
  <c r="AP9" i="49"/>
  <c r="AO9" i="49"/>
  <c r="AP10" i="49"/>
  <c r="AO10" i="49"/>
  <c r="AP11" i="49"/>
  <c r="AO11" i="49"/>
  <c r="AP12" i="49"/>
  <c r="AO12" i="49"/>
  <c r="AP13" i="49"/>
  <c r="AO13" i="49"/>
  <c r="AP14" i="49"/>
  <c r="AO14" i="49"/>
  <c r="AP15" i="49"/>
  <c r="AO15" i="49"/>
  <c r="AP16" i="49"/>
  <c r="AO16" i="49"/>
  <c r="AP17" i="49"/>
  <c r="AO17" i="49"/>
  <c r="AP18" i="49"/>
  <c r="AO18" i="49"/>
  <c r="AP19" i="49"/>
  <c r="AO19" i="49"/>
  <c r="AP20" i="49"/>
  <c r="AO20" i="49"/>
  <c r="AP21" i="49"/>
  <c r="AO21" i="49"/>
  <c r="AP22" i="49"/>
  <c r="AO22" i="49"/>
  <c r="AP23" i="49"/>
  <c r="AO23" i="49"/>
  <c r="AP24" i="49"/>
  <c r="AO24" i="49"/>
  <c r="AP25" i="49"/>
  <c r="AO25" i="49"/>
  <c r="AP26" i="49"/>
  <c r="AO26" i="49"/>
  <c r="AP27" i="49"/>
  <c r="AO27" i="49"/>
  <c r="AP28" i="49"/>
  <c r="AO28" i="49"/>
  <c r="AP29" i="49"/>
  <c r="AO29" i="49"/>
  <c r="AP30" i="49"/>
  <c r="AO30" i="49"/>
  <c r="AP31" i="49"/>
  <c r="AO31" i="49"/>
  <c r="AP32" i="49"/>
  <c r="AO32" i="49"/>
  <c r="AP33" i="49"/>
  <c r="AO33" i="49"/>
  <c r="AP34" i="49"/>
  <c r="AO34" i="49"/>
  <c r="AP35" i="49"/>
  <c r="AO35" i="49"/>
  <c r="AP36" i="49"/>
  <c r="AO36" i="49"/>
  <c r="AP37" i="49"/>
  <c r="AO37" i="49"/>
  <c r="AP38" i="49"/>
  <c r="AO38" i="49"/>
  <c r="I50" i="49"/>
  <c r="J49" i="49"/>
  <c r="J48" i="49"/>
  <c r="I47" i="49"/>
  <c r="I46" i="49"/>
  <c r="I45" i="49"/>
  <c r="I44" i="49"/>
  <c r="I43" i="49"/>
  <c r="I42" i="49"/>
  <c r="I41" i="49"/>
  <c r="H39" i="49"/>
  <c r="F57" i="50"/>
  <c r="F56" i="50"/>
  <c r="J51" i="50"/>
  <c r="AL8" i="50"/>
  <c r="AN8" i="50"/>
  <c r="AL9" i="50"/>
  <c r="AN9" i="50"/>
  <c r="AL10" i="50"/>
  <c r="AN10" i="50"/>
  <c r="AL11" i="50"/>
  <c r="AN11" i="50"/>
  <c r="AL12" i="50"/>
  <c r="AN12" i="50"/>
  <c r="AL13" i="50"/>
  <c r="AN13" i="50"/>
  <c r="AL14" i="50"/>
  <c r="AN14" i="50"/>
  <c r="AL15" i="50"/>
  <c r="AN15" i="50"/>
  <c r="AL16" i="50"/>
  <c r="AN16" i="50"/>
  <c r="AL17" i="50"/>
  <c r="AN17" i="50"/>
  <c r="AL18" i="50"/>
  <c r="AN18" i="50"/>
  <c r="AL19" i="50"/>
  <c r="AN19" i="50"/>
  <c r="AL20" i="50"/>
  <c r="AN20" i="50"/>
  <c r="AL21" i="50"/>
  <c r="AN21" i="50"/>
  <c r="AL22" i="50"/>
  <c r="AN22" i="50"/>
  <c r="AL23" i="50"/>
  <c r="AN23" i="50"/>
  <c r="AL24" i="50"/>
  <c r="AN24" i="50"/>
  <c r="AL25" i="50"/>
  <c r="AN25" i="50"/>
  <c r="AL26" i="50"/>
  <c r="AN26" i="50"/>
  <c r="AL27" i="50"/>
  <c r="AN27" i="50"/>
  <c r="AL28" i="50"/>
  <c r="AN28" i="50"/>
  <c r="AL29" i="50"/>
  <c r="AN29" i="50"/>
  <c r="AL30" i="50"/>
  <c r="AN30" i="50"/>
  <c r="AL31" i="50"/>
  <c r="AN31" i="50"/>
  <c r="AL32" i="50"/>
  <c r="AN32" i="50"/>
  <c r="AL33" i="50"/>
  <c r="AN33" i="50"/>
  <c r="AL34" i="50"/>
  <c r="AN34" i="50"/>
  <c r="AL35" i="50"/>
  <c r="AN35" i="50"/>
  <c r="AL36" i="50"/>
  <c r="AN36" i="50"/>
  <c r="AL37" i="50"/>
  <c r="AN37" i="50"/>
  <c r="AL38" i="50"/>
  <c r="AN38" i="50"/>
  <c r="AP8" i="50"/>
  <c r="AO8" i="50"/>
  <c r="AP9" i="50"/>
  <c r="AO9" i="50"/>
  <c r="AP10" i="50"/>
  <c r="AO10" i="50"/>
  <c r="AP11" i="50"/>
  <c r="AO11" i="50"/>
  <c r="AP12" i="50"/>
  <c r="AO12" i="50"/>
  <c r="AP13" i="50"/>
  <c r="AO13" i="50"/>
  <c r="AP14" i="50"/>
  <c r="AO14" i="50"/>
  <c r="AP15" i="50"/>
  <c r="AO15" i="50"/>
  <c r="AP16" i="50"/>
  <c r="AO16" i="50"/>
  <c r="AP17" i="50"/>
  <c r="AO17" i="50"/>
  <c r="AP18" i="50"/>
  <c r="AO18" i="50"/>
  <c r="AP19" i="50"/>
  <c r="AO19" i="50"/>
  <c r="AP20" i="50"/>
  <c r="AO20" i="50"/>
  <c r="AP21" i="50"/>
  <c r="AO21" i="50"/>
  <c r="AP22" i="50"/>
  <c r="AO22" i="50"/>
  <c r="AP23" i="50"/>
  <c r="AO23" i="50"/>
  <c r="AP24" i="50"/>
  <c r="AO24" i="50"/>
  <c r="AP25" i="50"/>
  <c r="AO25" i="50"/>
  <c r="AP26" i="50"/>
  <c r="AO26" i="50"/>
  <c r="AP27" i="50"/>
  <c r="AO27" i="50"/>
  <c r="AP28" i="50"/>
  <c r="AO28" i="50"/>
  <c r="AP29" i="50"/>
  <c r="AO29" i="50"/>
  <c r="AP30" i="50"/>
  <c r="AO30" i="50"/>
  <c r="AP31" i="50"/>
  <c r="AO31" i="50"/>
  <c r="AP32" i="50"/>
  <c r="AO32" i="50"/>
  <c r="AP33" i="50"/>
  <c r="AO33" i="50"/>
  <c r="AP34" i="50"/>
  <c r="AO34" i="50"/>
  <c r="AP35" i="50"/>
  <c r="AO35" i="50"/>
  <c r="AP36" i="50"/>
  <c r="AO36" i="50"/>
  <c r="AP37" i="50"/>
  <c r="AO37" i="50"/>
  <c r="AP38" i="50"/>
  <c r="AO38" i="50"/>
  <c r="I50" i="50"/>
  <c r="J49" i="50"/>
  <c r="J48" i="50"/>
  <c r="I47" i="50"/>
  <c r="I46" i="50"/>
  <c r="I45" i="50"/>
  <c r="I44" i="50"/>
  <c r="I43" i="50"/>
  <c r="I42" i="50"/>
  <c r="I41" i="50"/>
  <c r="H39" i="50"/>
  <c r="F57" i="51"/>
  <c r="F56" i="51"/>
  <c r="J51" i="51"/>
  <c r="AL8" i="51"/>
  <c r="AN8" i="51"/>
  <c r="AL9" i="51"/>
  <c r="AN9" i="51"/>
  <c r="AL10" i="51"/>
  <c r="AN10" i="51"/>
  <c r="AL11" i="51"/>
  <c r="AN11" i="51"/>
  <c r="AL12" i="51"/>
  <c r="AN12" i="51"/>
  <c r="AL13" i="51"/>
  <c r="AN13" i="51"/>
  <c r="AL14" i="51"/>
  <c r="AN14" i="51"/>
  <c r="AL15" i="51"/>
  <c r="AN15" i="51"/>
  <c r="AL16" i="51"/>
  <c r="AN16" i="51"/>
  <c r="AL17" i="51"/>
  <c r="AN17" i="51"/>
  <c r="AL18" i="51"/>
  <c r="AN18" i="51"/>
  <c r="AL19" i="51"/>
  <c r="AN19" i="51"/>
  <c r="AL20" i="51"/>
  <c r="AN20" i="51"/>
  <c r="AL21" i="51"/>
  <c r="AN21" i="51"/>
  <c r="AL22" i="51"/>
  <c r="AN22" i="51"/>
  <c r="AL23" i="51"/>
  <c r="AN23" i="51"/>
  <c r="AL24" i="51"/>
  <c r="AN24" i="51"/>
  <c r="AL25" i="51"/>
  <c r="AN25" i="51"/>
  <c r="AL26" i="51"/>
  <c r="AN26" i="51"/>
  <c r="AL27" i="51"/>
  <c r="AN27" i="51"/>
  <c r="AL28" i="51"/>
  <c r="AN28" i="51"/>
  <c r="AL29" i="51"/>
  <c r="AN29" i="51"/>
  <c r="AL30" i="51"/>
  <c r="AN30" i="51"/>
  <c r="AL31" i="51"/>
  <c r="AN31" i="51"/>
  <c r="AL32" i="51"/>
  <c r="AN32" i="51"/>
  <c r="AL33" i="51"/>
  <c r="AN33" i="51"/>
  <c r="AL34" i="51"/>
  <c r="AN34" i="51"/>
  <c r="AL35" i="51"/>
  <c r="AN35" i="51"/>
  <c r="AL36" i="51"/>
  <c r="AN36" i="51"/>
  <c r="AL37" i="51"/>
  <c r="AN37" i="51"/>
  <c r="AL38" i="51"/>
  <c r="AN38" i="51"/>
  <c r="AP8" i="51"/>
  <c r="AO8" i="51"/>
  <c r="AP9" i="51"/>
  <c r="AO9" i="51"/>
  <c r="AP10" i="51"/>
  <c r="AO10" i="51"/>
  <c r="AP11" i="51"/>
  <c r="AO11" i="51"/>
  <c r="AP12" i="51"/>
  <c r="AO12" i="51"/>
  <c r="AP13" i="51"/>
  <c r="AO13" i="51"/>
  <c r="AP14" i="51"/>
  <c r="AO14" i="51"/>
  <c r="AP15" i="51"/>
  <c r="AO15" i="51"/>
  <c r="AP16" i="51"/>
  <c r="AO16" i="51"/>
  <c r="AP17" i="51"/>
  <c r="AO17" i="51"/>
  <c r="AP18" i="51"/>
  <c r="AO18" i="51"/>
  <c r="AP19" i="51"/>
  <c r="AO19" i="51"/>
  <c r="AP20" i="51"/>
  <c r="AO20" i="51"/>
  <c r="AP21" i="51"/>
  <c r="AO21" i="51"/>
  <c r="AP22" i="51"/>
  <c r="AO22" i="51"/>
  <c r="AP23" i="51"/>
  <c r="AO23" i="51"/>
  <c r="AP24" i="51"/>
  <c r="AO24" i="51"/>
  <c r="AP25" i="51"/>
  <c r="AO25" i="51"/>
  <c r="AP26" i="51"/>
  <c r="AO26" i="51"/>
  <c r="AP27" i="51"/>
  <c r="AO27" i="51"/>
  <c r="AP28" i="51"/>
  <c r="AO28" i="51"/>
  <c r="AP29" i="51"/>
  <c r="AO29" i="51"/>
  <c r="AP30" i="51"/>
  <c r="AO30" i="51"/>
  <c r="AP31" i="51"/>
  <c r="AO31" i="51"/>
  <c r="AP32" i="51"/>
  <c r="AO32" i="51"/>
  <c r="AP33" i="51"/>
  <c r="AO33" i="51"/>
  <c r="AP34" i="51"/>
  <c r="AO34" i="51"/>
  <c r="AP35" i="51"/>
  <c r="AO35" i="51"/>
  <c r="AP36" i="51"/>
  <c r="AO36" i="51"/>
  <c r="AP37" i="51"/>
  <c r="AO37" i="51"/>
  <c r="AP38" i="51"/>
  <c r="AO38" i="51"/>
  <c r="I50" i="51"/>
  <c r="J49" i="51"/>
  <c r="J48" i="51"/>
  <c r="I47" i="51"/>
  <c r="I46" i="51"/>
  <c r="I45" i="51"/>
  <c r="I44" i="51"/>
  <c r="I43" i="51"/>
  <c r="I42" i="51"/>
  <c r="I41" i="51"/>
  <c r="H39" i="51"/>
  <c r="F57" i="52"/>
  <c r="F56" i="52"/>
  <c r="J51" i="52"/>
  <c r="AL8" i="52"/>
  <c r="AN8" i="52"/>
  <c r="AL9" i="52"/>
  <c r="AN9" i="52"/>
  <c r="AL10" i="52"/>
  <c r="AN10" i="52"/>
  <c r="AL11" i="52"/>
  <c r="AN11" i="52"/>
  <c r="AL12" i="52"/>
  <c r="AN12" i="52"/>
  <c r="AL13" i="52"/>
  <c r="AN13" i="52"/>
  <c r="AL14" i="52"/>
  <c r="AN14" i="52"/>
  <c r="AL15" i="52"/>
  <c r="AN15" i="52"/>
  <c r="AL16" i="52"/>
  <c r="AN16" i="52"/>
  <c r="AL17" i="52"/>
  <c r="AN17" i="52"/>
  <c r="AL18" i="52"/>
  <c r="AN18" i="52"/>
  <c r="AL19" i="52"/>
  <c r="AN19" i="52"/>
  <c r="AL20" i="52"/>
  <c r="AN20" i="52"/>
  <c r="AL21" i="52"/>
  <c r="AN21" i="52"/>
  <c r="AL22" i="52"/>
  <c r="AN22" i="52"/>
  <c r="AL23" i="52"/>
  <c r="AN23" i="52"/>
  <c r="AL24" i="52"/>
  <c r="AN24" i="52"/>
  <c r="AL25" i="52"/>
  <c r="AN25" i="52"/>
  <c r="AL26" i="52"/>
  <c r="AN26" i="52"/>
  <c r="AL27" i="52"/>
  <c r="AN27" i="52"/>
  <c r="AL28" i="52"/>
  <c r="AN28" i="52"/>
  <c r="AL29" i="52"/>
  <c r="AN29" i="52"/>
  <c r="AL30" i="52"/>
  <c r="AN30" i="52"/>
  <c r="AL31" i="52"/>
  <c r="AN31" i="52"/>
  <c r="AL32" i="52"/>
  <c r="AN32" i="52"/>
  <c r="AL33" i="52"/>
  <c r="AN33" i="52"/>
  <c r="AL34" i="52"/>
  <c r="AN34" i="52"/>
  <c r="AL35" i="52"/>
  <c r="AN35" i="52"/>
  <c r="AL36" i="52"/>
  <c r="AN36" i="52"/>
  <c r="AL37" i="52"/>
  <c r="AN37" i="52"/>
  <c r="AL38" i="52"/>
  <c r="AN38" i="52"/>
  <c r="AP8" i="52"/>
  <c r="AO8" i="52"/>
  <c r="AP9" i="52"/>
  <c r="AO9" i="52"/>
  <c r="AP10" i="52"/>
  <c r="AO10" i="52"/>
  <c r="AP11" i="52"/>
  <c r="AO11" i="52"/>
  <c r="AP12" i="52"/>
  <c r="AO12" i="52"/>
  <c r="AP13" i="52"/>
  <c r="AO13" i="52"/>
  <c r="AP14" i="52"/>
  <c r="AO14" i="52"/>
  <c r="AP15" i="52"/>
  <c r="AO15" i="52"/>
  <c r="AP16" i="52"/>
  <c r="AO16" i="52"/>
  <c r="AP17" i="52"/>
  <c r="AO17" i="52"/>
  <c r="AP18" i="52"/>
  <c r="AO18" i="52"/>
  <c r="AP19" i="52"/>
  <c r="AO19" i="52"/>
  <c r="AP20" i="52"/>
  <c r="AO20" i="52"/>
  <c r="AP21" i="52"/>
  <c r="AO21" i="52"/>
  <c r="AP22" i="52"/>
  <c r="AO22" i="52"/>
  <c r="AP23" i="52"/>
  <c r="AO23" i="52"/>
  <c r="AP24" i="52"/>
  <c r="AO24" i="52"/>
  <c r="AP25" i="52"/>
  <c r="AO25" i="52"/>
  <c r="AP26" i="52"/>
  <c r="AO26" i="52"/>
  <c r="AP27" i="52"/>
  <c r="AO27" i="52"/>
  <c r="AP28" i="52"/>
  <c r="AO28" i="52"/>
  <c r="AP29" i="52"/>
  <c r="AO29" i="52"/>
  <c r="AP30" i="52"/>
  <c r="AO30" i="52"/>
  <c r="AP31" i="52"/>
  <c r="AO31" i="52"/>
  <c r="AP32" i="52"/>
  <c r="AO32" i="52"/>
  <c r="AP33" i="52"/>
  <c r="AO33" i="52"/>
  <c r="AP34" i="52"/>
  <c r="AO34" i="52"/>
  <c r="AP35" i="52"/>
  <c r="AO35" i="52"/>
  <c r="AP36" i="52"/>
  <c r="AO36" i="52"/>
  <c r="AP37" i="52"/>
  <c r="AO37" i="52"/>
  <c r="AP38" i="52"/>
  <c r="AO38" i="52"/>
  <c r="I50" i="52"/>
  <c r="J49" i="52"/>
  <c r="J48" i="52"/>
  <c r="I47" i="52"/>
  <c r="I46" i="52"/>
  <c r="I45" i="52"/>
  <c r="I44" i="52"/>
  <c r="I43" i="52"/>
  <c r="I42" i="52"/>
  <c r="I41" i="52"/>
  <c r="H39" i="52"/>
  <c r="F57" i="53"/>
  <c r="F56" i="53"/>
  <c r="J51" i="53"/>
  <c r="AL8" i="53"/>
  <c r="AN8" i="53"/>
  <c r="AL9" i="53"/>
  <c r="AN9" i="53"/>
  <c r="AL10" i="53"/>
  <c r="AN10" i="53"/>
  <c r="AL11" i="53"/>
  <c r="AN11" i="53"/>
  <c r="AL12" i="53"/>
  <c r="AN12" i="53"/>
  <c r="AL13" i="53"/>
  <c r="AN13" i="53"/>
  <c r="AL14" i="53"/>
  <c r="AN14" i="53"/>
  <c r="AL15" i="53"/>
  <c r="AN15" i="53"/>
  <c r="AL16" i="53"/>
  <c r="AN16" i="53"/>
  <c r="AL17" i="53"/>
  <c r="AN17" i="53"/>
  <c r="AL18" i="53"/>
  <c r="AN18" i="53"/>
  <c r="AL19" i="53"/>
  <c r="AN19" i="53"/>
  <c r="AL20" i="53"/>
  <c r="AN20" i="53"/>
  <c r="AL21" i="53"/>
  <c r="AN21" i="53"/>
  <c r="AL22" i="53"/>
  <c r="AN22" i="53"/>
  <c r="AL23" i="53"/>
  <c r="AN23" i="53"/>
  <c r="AL24" i="53"/>
  <c r="AN24" i="53"/>
  <c r="AL25" i="53"/>
  <c r="AN25" i="53"/>
  <c r="AL26" i="53"/>
  <c r="AN26" i="53"/>
  <c r="AL27" i="53"/>
  <c r="AN27" i="53"/>
  <c r="AL28" i="53"/>
  <c r="AN28" i="53"/>
  <c r="AL29" i="53"/>
  <c r="AN29" i="53"/>
  <c r="AL30" i="53"/>
  <c r="AN30" i="53"/>
  <c r="AL31" i="53"/>
  <c r="AN31" i="53"/>
  <c r="AL32" i="53"/>
  <c r="AN32" i="53"/>
  <c r="AL33" i="53"/>
  <c r="AN33" i="53"/>
  <c r="AL34" i="53"/>
  <c r="AN34" i="53"/>
  <c r="AL35" i="53"/>
  <c r="AN35" i="53"/>
  <c r="AL36" i="53"/>
  <c r="AN36" i="53"/>
  <c r="AL37" i="53"/>
  <c r="AN37" i="53"/>
  <c r="AL38" i="53"/>
  <c r="AN38" i="53"/>
  <c r="AP8" i="53"/>
  <c r="AO8" i="53"/>
  <c r="AP9" i="53"/>
  <c r="AO9" i="53"/>
  <c r="AP10" i="53"/>
  <c r="AO10" i="53"/>
  <c r="AP11" i="53"/>
  <c r="AO11" i="53"/>
  <c r="AP12" i="53"/>
  <c r="AO12" i="53"/>
  <c r="AP13" i="53"/>
  <c r="AO13" i="53"/>
  <c r="AP14" i="53"/>
  <c r="AO14" i="53"/>
  <c r="AP15" i="53"/>
  <c r="AO15" i="53"/>
  <c r="AP16" i="53"/>
  <c r="AO16" i="53"/>
  <c r="AP17" i="53"/>
  <c r="AO17" i="53"/>
  <c r="AP18" i="53"/>
  <c r="AO18" i="53"/>
  <c r="AP19" i="53"/>
  <c r="AO19" i="53"/>
  <c r="AP20" i="53"/>
  <c r="AO20" i="53"/>
  <c r="AP21" i="53"/>
  <c r="AO21" i="53"/>
  <c r="AP22" i="53"/>
  <c r="AO22" i="53"/>
  <c r="AP23" i="53"/>
  <c r="AO23" i="53"/>
  <c r="AP24" i="53"/>
  <c r="AO24" i="53"/>
  <c r="AP25" i="53"/>
  <c r="AO25" i="53"/>
  <c r="AP26" i="53"/>
  <c r="AO26" i="53"/>
  <c r="AP27" i="53"/>
  <c r="AO27" i="53"/>
  <c r="AP28" i="53"/>
  <c r="AO28" i="53"/>
  <c r="AP29" i="53"/>
  <c r="AO29" i="53"/>
  <c r="AP30" i="53"/>
  <c r="AO30" i="53"/>
  <c r="AP31" i="53"/>
  <c r="AO31" i="53"/>
  <c r="AP32" i="53"/>
  <c r="AO32" i="53"/>
  <c r="AP33" i="53"/>
  <c r="AO33" i="53"/>
  <c r="AP34" i="53"/>
  <c r="AO34" i="53"/>
  <c r="AP35" i="53"/>
  <c r="AO35" i="53"/>
  <c r="AP36" i="53"/>
  <c r="AO36" i="53"/>
  <c r="AP37" i="53"/>
  <c r="AO37" i="53"/>
  <c r="AP38" i="53"/>
  <c r="AO38" i="53"/>
  <c r="I50" i="53"/>
  <c r="J49" i="53"/>
  <c r="J48" i="53"/>
  <c r="I47" i="53"/>
  <c r="I46" i="53"/>
  <c r="I45" i="53"/>
  <c r="I44" i="53"/>
  <c r="I43" i="53"/>
  <c r="I42" i="53"/>
  <c r="I41" i="53"/>
  <c r="H39" i="53"/>
  <c r="F57" i="54"/>
  <c r="F56" i="54"/>
  <c r="J51" i="54"/>
  <c r="AL8" i="54"/>
  <c r="AN8" i="54"/>
  <c r="AL9" i="54"/>
  <c r="AN9" i="54"/>
  <c r="AL10" i="54"/>
  <c r="AN10" i="54"/>
  <c r="AL11" i="54"/>
  <c r="AN11" i="54"/>
  <c r="AL12" i="54"/>
  <c r="AN12" i="54"/>
  <c r="AL13" i="54"/>
  <c r="AN13" i="54"/>
  <c r="AL14" i="54"/>
  <c r="AN14" i="54"/>
  <c r="AL15" i="54"/>
  <c r="AN15" i="54"/>
  <c r="AL16" i="54"/>
  <c r="AN16" i="54"/>
  <c r="AL17" i="54"/>
  <c r="AN17" i="54"/>
  <c r="AL18" i="54"/>
  <c r="AN18" i="54"/>
  <c r="AL19" i="54"/>
  <c r="AN19" i="54"/>
  <c r="AL20" i="54"/>
  <c r="AN20" i="54"/>
  <c r="AL21" i="54"/>
  <c r="AN21" i="54"/>
  <c r="AL22" i="54"/>
  <c r="AN22" i="54"/>
  <c r="AL23" i="54"/>
  <c r="AN23" i="54"/>
  <c r="AL24" i="54"/>
  <c r="AN24" i="54"/>
  <c r="AL25" i="54"/>
  <c r="AN25" i="54"/>
  <c r="AL26" i="54"/>
  <c r="AN26" i="54"/>
  <c r="AL27" i="54"/>
  <c r="AN27" i="54"/>
  <c r="AL28" i="54"/>
  <c r="AN28" i="54"/>
  <c r="AL29" i="54"/>
  <c r="AN29" i="54"/>
  <c r="AL30" i="54"/>
  <c r="AN30" i="54"/>
  <c r="AL31" i="54"/>
  <c r="AN31" i="54"/>
  <c r="AL32" i="54"/>
  <c r="AN32" i="54"/>
  <c r="AL33" i="54"/>
  <c r="AN33" i="54"/>
  <c r="AL34" i="54"/>
  <c r="AN34" i="54"/>
  <c r="AL35" i="54"/>
  <c r="AN35" i="54"/>
  <c r="AL36" i="54"/>
  <c r="AN36" i="54"/>
  <c r="AL37" i="54"/>
  <c r="AN37" i="54"/>
  <c r="AL38" i="54"/>
  <c r="AN38" i="54"/>
  <c r="AP8" i="54"/>
  <c r="AO8" i="54"/>
  <c r="AP9" i="54"/>
  <c r="AO9" i="54"/>
  <c r="AP10" i="54"/>
  <c r="AO10" i="54"/>
  <c r="AP11" i="54"/>
  <c r="AO11" i="54"/>
  <c r="AP12" i="54"/>
  <c r="AO12" i="54"/>
  <c r="AP13" i="54"/>
  <c r="AO13" i="54"/>
  <c r="AP14" i="54"/>
  <c r="AO14" i="54"/>
  <c r="AP15" i="54"/>
  <c r="AO15" i="54"/>
  <c r="AP16" i="54"/>
  <c r="AO16" i="54"/>
  <c r="AP17" i="54"/>
  <c r="AO17" i="54"/>
  <c r="AP18" i="54"/>
  <c r="AO18" i="54"/>
  <c r="AP19" i="54"/>
  <c r="AO19" i="54"/>
  <c r="AP20" i="54"/>
  <c r="AO20" i="54"/>
  <c r="AP21" i="54"/>
  <c r="AO21" i="54"/>
  <c r="AP22" i="54"/>
  <c r="AO22" i="54"/>
  <c r="AP23" i="54"/>
  <c r="AO23" i="54"/>
  <c r="AP24" i="54"/>
  <c r="AO24" i="54"/>
  <c r="AP25" i="54"/>
  <c r="AO25" i="54"/>
  <c r="AP26" i="54"/>
  <c r="AO26" i="54"/>
  <c r="AP27" i="54"/>
  <c r="AO27" i="54"/>
  <c r="AP28" i="54"/>
  <c r="AO28" i="54"/>
  <c r="AP29" i="54"/>
  <c r="AO29" i="54"/>
  <c r="AP30" i="54"/>
  <c r="AO30" i="54"/>
  <c r="AP31" i="54"/>
  <c r="AO31" i="54"/>
  <c r="AP32" i="54"/>
  <c r="AO32" i="54"/>
  <c r="AP33" i="54"/>
  <c r="AO33" i="54"/>
  <c r="AP34" i="54"/>
  <c r="AO34" i="54"/>
  <c r="AP35" i="54"/>
  <c r="AO35" i="54"/>
  <c r="AP36" i="54"/>
  <c r="AO36" i="54"/>
  <c r="AP37" i="54"/>
  <c r="AO37" i="54"/>
  <c r="AP38" i="54"/>
  <c r="AO38" i="54"/>
  <c r="I50" i="54"/>
  <c r="J49" i="54"/>
  <c r="J48" i="54"/>
  <c r="I47" i="54"/>
  <c r="I46" i="54"/>
  <c r="I45" i="54"/>
  <c r="I44" i="54"/>
  <c r="I43" i="54"/>
  <c r="I42" i="54"/>
  <c r="I41" i="54"/>
  <c r="H39" i="54"/>
  <c r="F57" i="55"/>
  <c r="F56" i="55"/>
  <c r="J51" i="55"/>
  <c r="AL8" i="55"/>
  <c r="AN8" i="55"/>
  <c r="AL9" i="55"/>
  <c r="AN9" i="55"/>
  <c r="AL10" i="55"/>
  <c r="AN10" i="55"/>
  <c r="AL11" i="55"/>
  <c r="AN11" i="55"/>
  <c r="AL12" i="55"/>
  <c r="AN12" i="55"/>
  <c r="AL13" i="55"/>
  <c r="AN13" i="55"/>
  <c r="AL14" i="55"/>
  <c r="AN14" i="55"/>
  <c r="AL15" i="55"/>
  <c r="AN15" i="55"/>
  <c r="AL16" i="55"/>
  <c r="AN16" i="55"/>
  <c r="AL17" i="55"/>
  <c r="AN17" i="55"/>
  <c r="AL18" i="55"/>
  <c r="AN18" i="55"/>
  <c r="AL19" i="55"/>
  <c r="AN19" i="55"/>
  <c r="AL20" i="55"/>
  <c r="AN20" i="55"/>
  <c r="AL21" i="55"/>
  <c r="AN21" i="55"/>
  <c r="AL22" i="55"/>
  <c r="AN22" i="55"/>
  <c r="AL23" i="55"/>
  <c r="AN23" i="55"/>
  <c r="AL24" i="55"/>
  <c r="AN24" i="55"/>
  <c r="AL25" i="55"/>
  <c r="AN25" i="55"/>
  <c r="AL26" i="55"/>
  <c r="AN26" i="55"/>
  <c r="AL27" i="55"/>
  <c r="AN27" i="55"/>
  <c r="AL28" i="55"/>
  <c r="AN28" i="55"/>
  <c r="AL29" i="55"/>
  <c r="AN29" i="55"/>
  <c r="AL30" i="55"/>
  <c r="AN30" i="55"/>
  <c r="AL31" i="55"/>
  <c r="AN31" i="55"/>
  <c r="AL32" i="55"/>
  <c r="AN32" i="55"/>
  <c r="AL33" i="55"/>
  <c r="AN33" i="55"/>
  <c r="AL34" i="55"/>
  <c r="AN34" i="55"/>
  <c r="AL35" i="55"/>
  <c r="AN35" i="55"/>
  <c r="AL36" i="55"/>
  <c r="AN36" i="55"/>
  <c r="AL37" i="55"/>
  <c r="AN37" i="55"/>
  <c r="AL38" i="55"/>
  <c r="AN38" i="55"/>
  <c r="AP8" i="55"/>
  <c r="AO8" i="55"/>
  <c r="AP9" i="55"/>
  <c r="AO9" i="55"/>
  <c r="AP10" i="55"/>
  <c r="AO10" i="55"/>
  <c r="AP11" i="55"/>
  <c r="AO11" i="55"/>
  <c r="AP12" i="55"/>
  <c r="AO12" i="55"/>
  <c r="AP13" i="55"/>
  <c r="AO13" i="55"/>
  <c r="AP14" i="55"/>
  <c r="AO14" i="55"/>
  <c r="AP15" i="55"/>
  <c r="AO15" i="55"/>
  <c r="AP16" i="55"/>
  <c r="AO16" i="55"/>
  <c r="AP17" i="55"/>
  <c r="AO17" i="55"/>
  <c r="AP18" i="55"/>
  <c r="AO18" i="55"/>
  <c r="AP19" i="55"/>
  <c r="AO19" i="55"/>
  <c r="AP20" i="55"/>
  <c r="AO20" i="55"/>
  <c r="AP21" i="55"/>
  <c r="AO21" i="55"/>
  <c r="AP22" i="55"/>
  <c r="AO22" i="55"/>
  <c r="AP23" i="55"/>
  <c r="AO23" i="55"/>
  <c r="AP24" i="55"/>
  <c r="AO24" i="55"/>
  <c r="AP25" i="55"/>
  <c r="AO25" i="55"/>
  <c r="AP26" i="55"/>
  <c r="AO26" i="55"/>
  <c r="AP27" i="55"/>
  <c r="AO27" i="55"/>
  <c r="AP28" i="55"/>
  <c r="AO28" i="55"/>
  <c r="AP29" i="55"/>
  <c r="AO29" i="55"/>
  <c r="AP30" i="55"/>
  <c r="AO30" i="55"/>
  <c r="AP31" i="55"/>
  <c r="AO31" i="55"/>
  <c r="AP32" i="55"/>
  <c r="AO32" i="55"/>
  <c r="AP33" i="55"/>
  <c r="AO33" i="55"/>
  <c r="AP34" i="55"/>
  <c r="AO34" i="55"/>
  <c r="AP35" i="55"/>
  <c r="AO35" i="55"/>
  <c r="AP36" i="55"/>
  <c r="AO36" i="55"/>
  <c r="AP37" i="55"/>
  <c r="AO37" i="55"/>
  <c r="AP38" i="55"/>
  <c r="AO38" i="55"/>
  <c r="I50" i="55"/>
  <c r="J49" i="55"/>
  <c r="J48" i="55"/>
  <c r="I47" i="55"/>
  <c r="I46" i="55"/>
  <c r="I45" i="55"/>
  <c r="I44" i="55"/>
  <c r="I43" i="55"/>
  <c r="I42" i="55"/>
  <c r="I41" i="55"/>
  <c r="H39" i="55"/>
  <c r="F57" i="56"/>
  <c r="F56" i="56"/>
  <c r="J51" i="56"/>
  <c r="AL8" i="56"/>
  <c r="AN8" i="56"/>
  <c r="AL9" i="56"/>
  <c r="AN9" i="56"/>
  <c r="AL10" i="56"/>
  <c r="AN10" i="56"/>
  <c r="AL11" i="56"/>
  <c r="AN11" i="56"/>
  <c r="AL12" i="56"/>
  <c r="AN12" i="56"/>
  <c r="AL13" i="56"/>
  <c r="AN13" i="56"/>
  <c r="AL14" i="56"/>
  <c r="AN14" i="56"/>
  <c r="AL15" i="56"/>
  <c r="AN15" i="56"/>
  <c r="AL16" i="56"/>
  <c r="AN16" i="56"/>
  <c r="AL17" i="56"/>
  <c r="AN17" i="56"/>
  <c r="AL18" i="56"/>
  <c r="AN18" i="56"/>
  <c r="AL19" i="56"/>
  <c r="AN19" i="56"/>
  <c r="AL20" i="56"/>
  <c r="AN20" i="56"/>
  <c r="AL21" i="56"/>
  <c r="AN21" i="56"/>
  <c r="AL22" i="56"/>
  <c r="AN22" i="56"/>
  <c r="AL23" i="56"/>
  <c r="AN23" i="56"/>
  <c r="AL24" i="56"/>
  <c r="AN24" i="56"/>
  <c r="AL25" i="56"/>
  <c r="AN25" i="56"/>
  <c r="AL26" i="56"/>
  <c r="AN26" i="56"/>
  <c r="AL27" i="56"/>
  <c r="AN27" i="56"/>
  <c r="AL28" i="56"/>
  <c r="AN28" i="56"/>
  <c r="AL29" i="56"/>
  <c r="AN29" i="56"/>
  <c r="AL30" i="56"/>
  <c r="AN30" i="56"/>
  <c r="AL31" i="56"/>
  <c r="AN31" i="56"/>
  <c r="AL32" i="56"/>
  <c r="AN32" i="56"/>
  <c r="AL33" i="56"/>
  <c r="AN33" i="56"/>
  <c r="AL34" i="56"/>
  <c r="AN34" i="56"/>
  <c r="AL35" i="56"/>
  <c r="AN35" i="56"/>
  <c r="AL36" i="56"/>
  <c r="AN36" i="56"/>
  <c r="AL37" i="56"/>
  <c r="AN37" i="56"/>
  <c r="AL38" i="56"/>
  <c r="AN38" i="56"/>
  <c r="AP8" i="56"/>
  <c r="AO8" i="56"/>
  <c r="AP9" i="56"/>
  <c r="AO9" i="56"/>
  <c r="AP10" i="56"/>
  <c r="AO10" i="56"/>
  <c r="AP11" i="56"/>
  <c r="AO11" i="56"/>
  <c r="AP12" i="56"/>
  <c r="AO12" i="56"/>
  <c r="AP13" i="56"/>
  <c r="AO13" i="56"/>
  <c r="AP14" i="56"/>
  <c r="AO14" i="56"/>
  <c r="AP15" i="56"/>
  <c r="AO15" i="56"/>
  <c r="AP16" i="56"/>
  <c r="AO16" i="56"/>
  <c r="AP17" i="56"/>
  <c r="AO17" i="56"/>
  <c r="AP18" i="56"/>
  <c r="AO18" i="56"/>
  <c r="AP19" i="56"/>
  <c r="AO19" i="56"/>
  <c r="AP20" i="56"/>
  <c r="AO20" i="56"/>
  <c r="AP21" i="56"/>
  <c r="AO21" i="56"/>
  <c r="AP22" i="56"/>
  <c r="AO22" i="56"/>
  <c r="AP23" i="56"/>
  <c r="AO23" i="56"/>
  <c r="AP24" i="56"/>
  <c r="AO24" i="56"/>
  <c r="AP25" i="56"/>
  <c r="AO25" i="56"/>
  <c r="AP26" i="56"/>
  <c r="AO26" i="56"/>
  <c r="AP27" i="56"/>
  <c r="AO27" i="56"/>
  <c r="AP28" i="56"/>
  <c r="AO28" i="56"/>
  <c r="AP29" i="56"/>
  <c r="AO29" i="56"/>
  <c r="AP30" i="56"/>
  <c r="AO30" i="56"/>
  <c r="AP31" i="56"/>
  <c r="AO31" i="56"/>
  <c r="AP32" i="56"/>
  <c r="AO32" i="56"/>
  <c r="AP33" i="56"/>
  <c r="AO33" i="56"/>
  <c r="AP34" i="56"/>
  <c r="AO34" i="56"/>
  <c r="AP35" i="56"/>
  <c r="AO35" i="56"/>
  <c r="AP36" i="56"/>
  <c r="AO36" i="56"/>
  <c r="AP37" i="56"/>
  <c r="AO37" i="56"/>
  <c r="AP38" i="56"/>
  <c r="AO38" i="56"/>
  <c r="I50" i="56"/>
  <c r="J49" i="56"/>
  <c r="J48" i="56"/>
  <c r="I47" i="56"/>
  <c r="I46" i="56"/>
  <c r="I45" i="56"/>
  <c r="I44" i="56"/>
  <c r="I43" i="56"/>
  <c r="I42" i="56"/>
  <c r="I41" i="56"/>
  <c r="H39" i="56"/>
  <c r="F57" i="57"/>
  <c r="F56" i="57"/>
  <c r="J51" i="57"/>
  <c r="AL8" i="57"/>
  <c r="AN8" i="57"/>
  <c r="AL9" i="57"/>
  <c r="AN9" i="57"/>
  <c r="AL10" i="57"/>
  <c r="AN10" i="57"/>
  <c r="AL11" i="57"/>
  <c r="AN11" i="57"/>
  <c r="AL12" i="57"/>
  <c r="AN12" i="57"/>
  <c r="AL13" i="57"/>
  <c r="AN13" i="57"/>
  <c r="AL14" i="57"/>
  <c r="AN14" i="57"/>
  <c r="AL15" i="57"/>
  <c r="AN15" i="57"/>
  <c r="AL16" i="57"/>
  <c r="AN16" i="57"/>
  <c r="AL17" i="57"/>
  <c r="AN17" i="57"/>
  <c r="AL18" i="57"/>
  <c r="AN18" i="57"/>
  <c r="AL19" i="57"/>
  <c r="AN19" i="57"/>
  <c r="AL20" i="57"/>
  <c r="AN20" i="57"/>
  <c r="AL21" i="57"/>
  <c r="AN21" i="57"/>
  <c r="AL22" i="57"/>
  <c r="AN22" i="57"/>
  <c r="AL23" i="57"/>
  <c r="AN23" i="57"/>
  <c r="AL24" i="57"/>
  <c r="AN24" i="57"/>
  <c r="AL25" i="57"/>
  <c r="AN25" i="57"/>
  <c r="AL26" i="57"/>
  <c r="AN26" i="57"/>
  <c r="AL27" i="57"/>
  <c r="AN27" i="57"/>
  <c r="AL28" i="57"/>
  <c r="AN28" i="57"/>
  <c r="AL29" i="57"/>
  <c r="AN29" i="57"/>
  <c r="AL30" i="57"/>
  <c r="AN30" i="57"/>
  <c r="AL31" i="57"/>
  <c r="AN31" i="57"/>
  <c r="AL32" i="57"/>
  <c r="AN32" i="57"/>
  <c r="AL33" i="57"/>
  <c r="AN33" i="57"/>
  <c r="AL34" i="57"/>
  <c r="AN34" i="57"/>
  <c r="AL35" i="57"/>
  <c r="AN35" i="57"/>
  <c r="AL36" i="57"/>
  <c r="AN36" i="57"/>
  <c r="AL37" i="57"/>
  <c r="AN37" i="57"/>
  <c r="AL38" i="57"/>
  <c r="AN38" i="57"/>
  <c r="AP8" i="57"/>
  <c r="AO8" i="57"/>
  <c r="AP9" i="57"/>
  <c r="AO9" i="57"/>
  <c r="AP10" i="57"/>
  <c r="AO10" i="57"/>
  <c r="AP11" i="57"/>
  <c r="AO11" i="57"/>
  <c r="AP12" i="57"/>
  <c r="AO12" i="57"/>
  <c r="AP13" i="57"/>
  <c r="AO13" i="57"/>
  <c r="AP14" i="57"/>
  <c r="AO14" i="57"/>
  <c r="AP15" i="57"/>
  <c r="AO15" i="57"/>
  <c r="AP16" i="57"/>
  <c r="AO16" i="57"/>
  <c r="AP17" i="57"/>
  <c r="AO17" i="57"/>
  <c r="AP18" i="57"/>
  <c r="AO18" i="57"/>
  <c r="AP19" i="57"/>
  <c r="AO19" i="57"/>
  <c r="AP20" i="57"/>
  <c r="AO20" i="57"/>
  <c r="AP21" i="57"/>
  <c r="AO21" i="57"/>
  <c r="AP22" i="57"/>
  <c r="AO22" i="57"/>
  <c r="AP23" i="57"/>
  <c r="AO23" i="57"/>
  <c r="AP24" i="57"/>
  <c r="AO24" i="57"/>
  <c r="AP25" i="57"/>
  <c r="AO25" i="57"/>
  <c r="AP26" i="57"/>
  <c r="AO26" i="57"/>
  <c r="AP27" i="57"/>
  <c r="AO27" i="57"/>
  <c r="AP28" i="57"/>
  <c r="AO28" i="57"/>
  <c r="AP29" i="57"/>
  <c r="AO29" i="57"/>
  <c r="AP30" i="57"/>
  <c r="AO30" i="57"/>
  <c r="AP31" i="57"/>
  <c r="AO31" i="57"/>
  <c r="AP32" i="57"/>
  <c r="AO32" i="57"/>
  <c r="AP33" i="57"/>
  <c r="AO33" i="57"/>
  <c r="AP34" i="57"/>
  <c r="AO34" i="57"/>
  <c r="AP35" i="57"/>
  <c r="AO35" i="57"/>
  <c r="AP36" i="57"/>
  <c r="AO36" i="57"/>
  <c r="AP37" i="57"/>
  <c r="AO37" i="57"/>
  <c r="AP38" i="57"/>
  <c r="AO38" i="57"/>
  <c r="I50" i="57"/>
  <c r="J49" i="57"/>
  <c r="J48" i="57"/>
  <c r="I47" i="57"/>
  <c r="I46" i="57"/>
  <c r="I45" i="57"/>
  <c r="I44" i="57"/>
  <c r="I43" i="57"/>
  <c r="I42" i="57"/>
  <c r="I41" i="57"/>
  <c r="H39" i="57"/>
  <c r="F57" i="58"/>
  <c r="F56" i="58"/>
  <c r="J51" i="58"/>
  <c r="AL8" i="58"/>
  <c r="AN8" i="58"/>
  <c r="AL9" i="58"/>
  <c r="AN9" i="58"/>
  <c r="AL10" i="58"/>
  <c r="AN10" i="58"/>
  <c r="AL11" i="58"/>
  <c r="AN11" i="58"/>
  <c r="AL12" i="58"/>
  <c r="AN12" i="58"/>
  <c r="AL13" i="58"/>
  <c r="AN13" i="58"/>
  <c r="AL14" i="58"/>
  <c r="AN14" i="58"/>
  <c r="AL15" i="58"/>
  <c r="AN15" i="58"/>
  <c r="AL16" i="58"/>
  <c r="AN16" i="58"/>
  <c r="AL17" i="58"/>
  <c r="AN17" i="58"/>
  <c r="AL18" i="58"/>
  <c r="AN18" i="58"/>
  <c r="AL19" i="58"/>
  <c r="AN19" i="58"/>
  <c r="AL20" i="58"/>
  <c r="AN20" i="58"/>
  <c r="AL21" i="58"/>
  <c r="AN21" i="58"/>
  <c r="AL22" i="58"/>
  <c r="AN22" i="58"/>
  <c r="AL23" i="58"/>
  <c r="AN23" i="58"/>
  <c r="AL24" i="58"/>
  <c r="AN24" i="58"/>
  <c r="AL25" i="58"/>
  <c r="AN25" i="58"/>
  <c r="AL26" i="58"/>
  <c r="AN26" i="58"/>
  <c r="AL27" i="58"/>
  <c r="AN27" i="58"/>
  <c r="AL28" i="58"/>
  <c r="AN28" i="58"/>
  <c r="AL29" i="58"/>
  <c r="AN29" i="58"/>
  <c r="AL30" i="58"/>
  <c r="AN30" i="58"/>
  <c r="AL31" i="58"/>
  <c r="AN31" i="58"/>
  <c r="AL32" i="58"/>
  <c r="AN32" i="58"/>
  <c r="AL33" i="58"/>
  <c r="AN33" i="58"/>
  <c r="AL34" i="58"/>
  <c r="AN34" i="58"/>
  <c r="AL35" i="58"/>
  <c r="AN35" i="58"/>
  <c r="AL36" i="58"/>
  <c r="AN36" i="58"/>
  <c r="AL37" i="58"/>
  <c r="AN37" i="58"/>
  <c r="AL38" i="58"/>
  <c r="AN38" i="58"/>
  <c r="AP8" i="58"/>
  <c r="AO8" i="58"/>
  <c r="AP9" i="58"/>
  <c r="AO9" i="58"/>
  <c r="AP10" i="58"/>
  <c r="AO10" i="58"/>
  <c r="AP11" i="58"/>
  <c r="AO11" i="58"/>
  <c r="AP12" i="58"/>
  <c r="AO12" i="58"/>
  <c r="AP13" i="58"/>
  <c r="AO13" i="58"/>
  <c r="AP14" i="58"/>
  <c r="AO14" i="58"/>
  <c r="AP15" i="58"/>
  <c r="AO15" i="58"/>
  <c r="AP16" i="58"/>
  <c r="AO16" i="58"/>
  <c r="AP17" i="58"/>
  <c r="AO17" i="58"/>
  <c r="AP18" i="58"/>
  <c r="AO18" i="58"/>
  <c r="AP19" i="58"/>
  <c r="AO19" i="58"/>
  <c r="AP20" i="58"/>
  <c r="AO20" i="58"/>
  <c r="AP21" i="58"/>
  <c r="AO21" i="58"/>
  <c r="AP22" i="58"/>
  <c r="AO22" i="58"/>
  <c r="AP23" i="58"/>
  <c r="AO23" i="58"/>
  <c r="AP24" i="58"/>
  <c r="AO24" i="58"/>
  <c r="AP25" i="58"/>
  <c r="AO25" i="58"/>
  <c r="AP26" i="58"/>
  <c r="AO26" i="58"/>
  <c r="AP27" i="58"/>
  <c r="AO27" i="58"/>
  <c r="AP28" i="58"/>
  <c r="AO28" i="58"/>
  <c r="AP29" i="58"/>
  <c r="AO29" i="58"/>
  <c r="AP30" i="58"/>
  <c r="AO30" i="58"/>
  <c r="AP31" i="58"/>
  <c r="AO31" i="58"/>
  <c r="AP32" i="58"/>
  <c r="AO32" i="58"/>
  <c r="AP33" i="58"/>
  <c r="AO33" i="58"/>
  <c r="AP34" i="58"/>
  <c r="AO34" i="58"/>
  <c r="AP35" i="58"/>
  <c r="AO35" i="58"/>
  <c r="AP36" i="58"/>
  <c r="AO36" i="58"/>
  <c r="AP37" i="58"/>
  <c r="AO37" i="58"/>
  <c r="AP38" i="58"/>
  <c r="AO38" i="58"/>
  <c r="I50" i="58"/>
  <c r="J49" i="58"/>
  <c r="J48" i="58"/>
  <c r="I47" i="58"/>
  <c r="I46" i="58"/>
  <c r="I45" i="58"/>
  <c r="I44" i="58"/>
  <c r="I43" i="58"/>
  <c r="I42" i="58"/>
  <c r="I41" i="58"/>
  <c r="H39" i="58"/>
  <c r="F57" i="59"/>
  <c r="F56" i="59"/>
  <c r="J51" i="59"/>
  <c r="AL8" i="59"/>
  <c r="AN8" i="59"/>
  <c r="AL9" i="59"/>
  <c r="AN9" i="59"/>
  <c r="AL10" i="59"/>
  <c r="AN10" i="59"/>
  <c r="AL11" i="59"/>
  <c r="AN11" i="59"/>
  <c r="AL12" i="59"/>
  <c r="AN12" i="59"/>
  <c r="AL13" i="59"/>
  <c r="AN13" i="59"/>
  <c r="AL14" i="59"/>
  <c r="AN14" i="59"/>
  <c r="AL15" i="59"/>
  <c r="AN15" i="59"/>
  <c r="AL16" i="59"/>
  <c r="AN16" i="59"/>
  <c r="AL17" i="59"/>
  <c r="AN17" i="59"/>
  <c r="AL18" i="59"/>
  <c r="AN18" i="59"/>
  <c r="AL19" i="59"/>
  <c r="AN19" i="59"/>
  <c r="AL20" i="59"/>
  <c r="AN20" i="59"/>
  <c r="AL21" i="59"/>
  <c r="AN21" i="59"/>
  <c r="AL22" i="59"/>
  <c r="AN22" i="59"/>
  <c r="AL23" i="59"/>
  <c r="AN23" i="59"/>
  <c r="AL24" i="59"/>
  <c r="AN24" i="59"/>
  <c r="AL25" i="59"/>
  <c r="AN25" i="59"/>
  <c r="AL26" i="59"/>
  <c r="AN26" i="59"/>
  <c r="AL27" i="59"/>
  <c r="AN27" i="59"/>
  <c r="AL28" i="59"/>
  <c r="AN28" i="59"/>
  <c r="AL29" i="59"/>
  <c r="AN29" i="59"/>
  <c r="AL30" i="59"/>
  <c r="AN30" i="59"/>
  <c r="AL31" i="59"/>
  <c r="AN31" i="59"/>
  <c r="AL32" i="59"/>
  <c r="AN32" i="59"/>
  <c r="AL33" i="59"/>
  <c r="AN33" i="59"/>
  <c r="AL34" i="59"/>
  <c r="AN34" i="59"/>
  <c r="AL35" i="59"/>
  <c r="AN35" i="59"/>
  <c r="AL36" i="59"/>
  <c r="AN36" i="59"/>
  <c r="AL37" i="59"/>
  <c r="AN37" i="59"/>
  <c r="AL38" i="59"/>
  <c r="AN38" i="59"/>
  <c r="AP8" i="59"/>
  <c r="AO8" i="59"/>
  <c r="AP9" i="59"/>
  <c r="AO9" i="59"/>
  <c r="AP10" i="59"/>
  <c r="AO10" i="59"/>
  <c r="AP11" i="59"/>
  <c r="AO11" i="59"/>
  <c r="AP12" i="59"/>
  <c r="AO12" i="59"/>
  <c r="AP13" i="59"/>
  <c r="AO13" i="59"/>
  <c r="AP14" i="59"/>
  <c r="AO14" i="59"/>
  <c r="AP15" i="59"/>
  <c r="AO15" i="59"/>
  <c r="AP16" i="59"/>
  <c r="AO16" i="59"/>
  <c r="AP17" i="59"/>
  <c r="AO17" i="59"/>
  <c r="AP18" i="59"/>
  <c r="AO18" i="59"/>
  <c r="AP19" i="59"/>
  <c r="AO19" i="59"/>
  <c r="AP20" i="59"/>
  <c r="AO20" i="59"/>
  <c r="AP21" i="59"/>
  <c r="AO21" i="59"/>
  <c r="AP22" i="59"/>
  <c r="AO22" i="59"/>
  <c r="AP23" i="59"/>
  <c r="AO23" i="59"/>
  <c r="AP24" i="59"/>
  <c r="AO24" i="59"/>
  <c r="AP25" i="59"/>
  <c r="AO25" i="59"/>
  <c r="AP26" i="59"/>
  <c r="AO26" i="59"/>
  <c r="AP27" i="59"/>
  <c r="AO27" i="59"/>
  <c r="AP28" i="59"/>
  <c r="AO28" i="59"/>
  <c r="AP29" i="59"/>
  <c r="AO29" i="59"/>
  <c r="AP30" i="59"/>
  <c r="AO30" i="59"/>
  <c r="AP31" i="59"/>
  <c r="AO31" i="59"/>
  <c r="AP32" i="59"/>
  <c r="AO32" i="59"/>
  <c r="AP33" i="59"/>
  <c r="AO33" i="59"/>
  <c r="AP34" i="59"/>
  <c r="AO34" i="59"/>
  <c r="AP35" i="59"/>
  <c r="AO35" i="59"/>
  <c r="AP36" i="59"/>
  <c r="AO36" i="59"/>
  <c r="AP37" i="59"/>
  <c r="AO37" i="59"/>
  <c r="AP38" i="59"/>
  <c r="AO38" i="59"/>
  <c r="I50" i="59"/>
  <c r="J49" i="59"/>
  <c r="J48" i="59"/>
  <c r="I47" i="59"/>
  <c r="I46" i="59"/>
  <c r="I45" i="59"/>
  <c r="I44" i="59"/>
  <c r="I43" i="59"/>
  <c r="I42" i="59"/>
  <c r="I41" i="59"/>
  <c r="H39" i="59"/>
  <c r="F57" i="46"/>
  <c r="F56" i="46"/>
  <c r="J51" i="46"/>
  <c r="AL8" i="46"/>
  <c r="AN8" i="46"/>
  <c r="AL9" i="46"/>
  <c r="AN9" i="46"/>
  <c r="AL10" i="46"/>
  <c r="AN10" i="46"/>
  <c r="AL11" i="46"/>
  <c r="AN11" i="46"/>
  <c r="AL12" i="46"/>
  <c r="AN12" i="46"/>
  <c r="AL13" i="46"/>
  <c r="AN13" i="46"/>
  <c r="AL14" i="46"/>
  <c r="AN14" i="46"/>
  <c r="AL15" i="46"/>
  <c r="AN15" i="46"/>
  <c r="AL16" i="46"/>
  <c r="AN16" i="46"/>
  <c r="AL17" i="46"/>
  <c r="AN17" i="46"/>
  <c r="AL18" i="46"/>
  <c r="AN18" i="46"/>
  <c r="AL19" i="46"/>
  <c r="AN19" i="46"/>
  <c r="AL20" i="46"/>
  <c r="AN20" i="46"/>
  <c r="AL21" i="46"/>
  <c r="AN21" i="46"/>
  <c r="AL22" i="46"/>
  <c r="AN22" i="46"/>
  <c r="AL23" i="46"/>
  <c r="AN23" i="46"/>
  <c r="AL24" i="46"/>
  <c r="AN24" i="46"/>
  <c r="AL25" i="46"/>
  <c r="AN25" i="46"/>
  <c r="AL26" i="46"/>
  <c r="AN26" i="46"/>
  <c r="AL27" i="46"/>
  <c r="AN27" i="46"/>
  <c r="AL28" i="46"/>
  <c r="AN28" i="46"/>
  <c r="AL29" i="46"/>
  <c r="AN29" i="46"/>
  <c r="AL30" i="46"/>
  <c r="AN30" i="46"/>
  <c r="AL31" i="46"/>
  <c r="AN31" i="46"/>
  <c r="AL32" i="46"/>
  <c r="AN32" i="46"/>
  <c r="AL33" i="46"/>
  <c r="AN33" i="46"/>
  <c r="AL34" i="46"/>
  <c r="AN34" i="46"/>
  <c r="AL35" i="46"/>
  <c r="AN35" i="46"/>
  <c r="AL36" i="46"/>
  <c r="AN36" i="46"/>
  <c r="AL37" i="46"/>
  <c r="AN37" i="46"/>
  <c r="AL38" i="46"/>
  <c r="AN38" i="46"/>
  <c r="AP8" i="46"/>
  <c r="AO8" i="46"/>
  <c r="AP9" i="46"/>
  <c r="AO9" i="46"/>
  <c r="AP10" i="46"/>
  <c r="AO10" i="46"/>
  <c r="AP11" i="46"/>
  <c r="AO11" i="46"/>
  <c r="AP12" i="46"/>
  <c r="AO12" i="46"/>
  <c r="AP13" i="46"/>
  <c r="AO13" i="46"/>
  <c r="AP14" i="46"/>
  <c r="AO14" i="46"/>
  <c r="AP15" i="46"/>
  <c r="AO15" i="46"/>
  <c r="AP16" i="46"/>
  <c r="AO16" i="46"/>
  <c r="AP17" i="46"/>
  <c r="AO17" i="46"/>
  <c r="AP18" i="46"/>
  <c r="AO18" i="46"/>
  <c r="AP19" i="46"/>
  <c r="AO19" i="46"/>
  <c r="AP20" i="46"/>
  <c r="AO20" i="46"/>
  <c r="AP21" i="46"/>
  <c r="AO21" i="46"/>
  <c r="AP22" i="46"/>
  <c r="AO22" i="46"/>
  <c r="AP23" i="46"/>
  <c r="AO23" i="46"/>
  <c r="AP24" i="46"/>
  <c r="AO24" i="46"/>
  <c r="AP25" i="46"/>
  <c r="AO25" i="46"/>
  <c r="AP26" i="46"/>
  <c r="AO26" i="46"/>
  <c r="AP27" i="46"/>
  <c r="AO27" i="46"/>
  <c r="AP28" i="46"/>
  <c r="AO28" i="46"/>
  <c r="AP29" i="46"/>
  <c r="AO29" i="46"/>
  <c r="AP30" i="46"/>
  <c r="AO30" i="46"/>
  <c r="AP31" i="46"/>
  <c r="AO31" i="46"/>
  <c r="AP32" i="46"/>
  <c r="AO32" i="46"/>
  <c r="AP33" i="46"/>
  <c r="AO33" i="46"/>
  <c r="AP34" i="46"/>
  <c r="AO34" i="46"/>
  <c r="AP35" i="46"/>
  <c r="AO35" i="46"/>
  <c r="AP36" i="46"/>
  <c r="AO36" i="46"/>
  <c r="AP37" i="46"/>
  <c r="AO37" i="46"/>
  <c r="AP38" i="46"/>
  <c r="AO38" i="46"/>
  <c r="I50" i="46"/>
  <c r="J49" i="46"/>
  <c r="J48" i="46"/>
  <c r="I47" i="46"/>
  <c r="I46" i="46"/>
  <c r="I45" i="46"/>
  <c r="I44" i="46"/>
  <c r="I43" i="46"/>
  <c r="I42" i="46"/>
  <c r="I41" i="46"/>
  <c r="H39" i="46"/>
  <c r="U18" i="4"/>
  <c r="AL8" i="4"/>
  <c r="AN8" i="4"/>
  <c r="AM8" i="4"/>
  <c r="AP8" i="4"/>
  <c r="AO8" i="4"/>
  <c r="AL9" i="4"/>
  <c r="AN9" i="4"/>
  <c r="AM9" i="4"/>
  <c r="AP9" i="4"/>
  <c r="AO9" i="4"/>
  <c r="AL10" i="4"/>
  <c r="AN10" i="4"/>
  <c r="AM10" i="4"/>
  <c r="AP10" i="4"/>
  <c r="AO10" i="4"/>
  <c r="AL11" i="4"/>
  <c r="AN11" i="4"/>
  <c r="AM11" i="4"/>
  <c r="AP11" i="4"/>
  <c r="AO11" i="4"/>
  <c r="AL12" i="4"/>
  <c r="AN12" i="4"/>
  <c r="AP12" i="4"/>
  <c r="AO12" i="4"/>
  <c r="AL13" i="4"/>
  <c r="AN13" i="4"/>
  <c r="AP13" i="4"/>
  <c r="AO13" i="4"/>
  <c r="AL14" i="4"/>
  <c r="AN14" i="4"/>
  <c r="AM14" i="4"/>
  <c r="AP14" i="4"/>
  <c r="AO14" i="4"/>
  <c r="AL15" i="4"/>
  <c r="AN15" i="4"/>
  <c r="AM15" i="4"/>
  <c r="AP15" i="4"/>
  <c r="AO15" i="4"/>
  <c r="AL16" i="4"/>
  <c r="AN16" i="4"/>
  <c r="AM16" i="4"/>
  <c r="AP16" i="4"/>
  <c r="AO16" i="4"/>
  <c r="AL17" i="4"/>
  <c r="AN17" i="4"/>
  <c r="AM17" i="4"/>
  <c r="AP17" i="4"/>
  <c r="AO17" i="4"/>
  <c r="AL18" i="4"/>
  <c r="AN18" i="4"/>
  <c r="AM18" i="4"/>
  <c r="AP18" i="4"/>
  <c r="AO18" i="4"/>
  <c r="AL19" i="4"/>
  <c r="AN19" i="4"/>
  <c r="AP19" i="4"/>
  <c r="AO19" i="4"/>
  <c r="AL20" i="4"/>
  <c r="AN20" i="4"/>
  <c r="AP20" i="4"/>
  <c r="AO20" i="4"/>
  <c r="AL21" i="4"/>
  <c r="AN21" i="4"/>
  <c r="AM21" i="4"/>
  <c r="AP21" i="4"/>
  <c r="AO21" i="4"/>
  <c r="AL22" i="4"/>
  <c r="AN22" i="4"/>
  <c r="AM22" i="4"/>
  <c r="AP22" i="4"/>
  <c r="AO22" i="4"/>
  <c r="AL23" i="4"/>
  <c r="AN23" i="4"/>
  <c r="AM23" i="4"/>
  <c r="AP23" i="4"/>
  <c r="AO23" i="4"/>
  <c r="AL24" i="4"/>
  <c r="AN24" i="4"/>
  <c r="AM24" i="4"/>
  <c r="AP24" i="4"/>
  <c r="AO24" i="4"/>
  <c r="AL25" i="4"/>
  <c r="AN25" i="4"/>
  <c r="AM25" i="4"/>
  <c r="AP25" i="4"/>
  <c r="AO25" i="4"/>
  <c r="AL26" i="4"/>
  <c r="AN26" i="4"/>
  <c r="AP26" i="4"/>
  <c r="AO26" i="4"/>
  <c r="AL27" i="4"/>
  <c r="AN27" i="4"/>
  <c r="AP27" i="4"/>
  <c r="AO27" i="4"/>
  <c r="AL28" i="4"/>
  <c r="AN28" i="4"/>
  <c r="AM28" i="4"/>
  <c r="AP28" i="4"/>
  <c r="AO28" i="4"/>
  <c r="AL29" i="4"/>
  <c r="AN29" i="4"/>
  <c r="AM29" i="4"/>
  <c r="AP29" i="4"/>
  <c r="AO29" i="4"/>
  <c r="AL30" i="4"/>
  <c r="AN30" i="4"/>
  <c r="AM30" i="4"/>
  <c r="AP30" i="4"/>
  <c r="AO30" i="4"/>
  <c r="AL31" i="4"/>
  <c r="AN31" i="4"/>
  <c r="AM31" i="4"/>
  <c r="AP31" i="4"/>
  <c r="AO31" i="4"/>
  <c r="AL32" i="4"/>
  <c r="AN32" i="4"/>
  <c r="AP32" i="4"/>
  <c r="AO32" i="4"/>
  <c r="AL33" i="4"/>
  <c r="AN33" i="4"/>
  <c r="AP33" i="4"/>
  <c r="AO33" i="4"/>
  <c r="AL34" i="4"/>
  <c r="AN34" i="4"/>
  <c r="AM34" i="4"/>
  <c r="AP34" i="4"/>
  <c r="AO34" i="4"/>
  <c r="AL35" i="4"/>
  <c r="AN35" i="4"/>
  <c r="AM35" i="4"/>
  <c r="AP35" i="4"/>
  <c r="AO35" i="4"/>
  <c r="AL36" i="4"/>
  <c r="AN36" i="4"/>
  <c r="AM36" i="4"/>
  <c r="AP36" i="4"/>
  <c r="AO36" i="4"/>
  <c r="AL37" i="4"/>
  <c r="AN37" i="4"/>
  <c r="AM37" i="4"/>
  <c r="AP37" i="4"/>
  <c r="AO37" i="4"/>
  <c r="AL38" i="4"/>
  <c r="AN38" i="4"/>
  <c r="AM38" i="4"/>
  <c r="AP38" i="4"/>
  <c r="AO38" i="4"/>
  <c r="J51" i="4"/>
  <c r="J48" i="4"/>
  <c r="I50" i="4"/>
  <c r="BE10" i="60"/>
  <c r="BE11" i="60"/>
  <c r="BE12" i="60"/>
  <c r="BE13" i="60"/>
  <c r="BE14" i="60"/>
  <c r="BE15" i="60"/>
  <c r="BE16" i="60"/>
  <c r="BE17" i="60"/>
  <c r="BE18" i="60"/>
  <c r="BE19" i="60"/>
  <c r="BE20" i="60"/>
  <c r="BE21" i="60"/>
  <c r="BE22" i="60"/>
  <c r="BE23" i="60"/>
  <c r="BE24" i="60"/>
  <c r="BE25" i="60"/>
  <c r="BE26" i="60"/>
  <c r="BE27" i="60"/>
  <c r="BE28" i="60"/>
  <c r="BE29" i="60"/>
  <c r="BE30" i="60"/>
  <c r="BE31" i="60"/>
  <c r="BE32" i="60"/>
  <c r="BE33" i="60"/>
  <c r="BE34" i="60"/>
  <c r="BE35" i="60"/>
  <c r="BE36" i="60"/>
  <c r="BE37" i="60"/>
  <c r="BE38" i="60"/>
  <c r="BC10" i="60"/>
  <c r="BC11" i="60"/>
  <c r="BC12" i="60"/>
  <c r="BC13" i="60"/>
  <c r="BC14" i="60"/>
  <c r="BC15" i="60"/>
  <c r="BC16" i="60"/>
  <c r="BC17" i="60"/>
  <c r="BC18" i="60"/>
  <c r="BC19" i="60"/>
  <c r="BC20" i="60"/>
  <c r="BC21" i="60"/>
  <c r="BC22" i="60"/>
  <c r="BC23" i="60"/>
  <c r="BC24" i="60"/>
  <c r="BC25" i="60"/>
  <c r="BC26" i="60"/>
  <c r="BC27" i="60"/>
  <c r="BC28" i="60"/>
  <c r="BC29" i="60"/>
  <c r="BC30" i="60"/>
  <c r="BC31" i="60"/>
  <c r="BC32" i="60"/>
  <c r="BC33" i="60"/>
  <c r="BC34" i="60"/>
  <c r="BC35" i="60"/>
  <c r="BC36" i="60"/>
  <c r="BC37" i="60"/>
  <c r="BC38" i="60"/>
  <c r="J10" i="5"/>
  <c r="K10" i="5"/>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8" i="46"/>
  <c r="E38" i="47"/>
  <c r="E38" i="48"/>
  <c r="E38" i="49"/>
  <c r="E38" i="50"/>
  <c r="E38" i="51"/>
  <c r="E38" i="52"/>
  <c r="E38" i="53"/>
  <c r="E38" i="54"/>
  <c r="E38" i="55"/>
  <c r="E38" i="56"/>
  <c r="E38" i="57"/>
  <c r="E38" i="58"/>
  <c r="E38" i="59"/>
  <c r="E38" i="32"/>
  <c r="E38" i="33"/>
  <c r="E38" i="34"/>
  <c r="E38" i="35"/>
  <c r="E38" i="36"/>
  <c r="E38" i="37"/>
  <c r="E38" i="38"/>
  <c r="E38" i="39"/>
  <c r="E38" i="40"/>
  <c r="E38" i="41"/>
  <c r="E38" i="42"/>
  <c r="E38" i="43"/>
  <c r="E38" i="44"/>
  <c r="E38" i="45"/>
  <c r="E38" i="31"/>
  <c r="R8" i="32"/>
  <c r="R9" i="32"/>
  <c r="R11" i="32"/>
  <c r="P12" i="32"/>
  <c r="R12" i="32"/>
  <c r="P13" i="32"/>
  <c r="R13" i="32"/>
  <c r="R14" i="32"/>
  <c r="R15" i="32"/>
  <c r="R16" i="32"/>
  <c r="R18" i="32"/>
  <c r="P19" i="32"/>
  <c r="R19" i="32"/>
  <c r="P20" i="32"/>
  <c r="R20" i="32"/>
  <c r="R21" i="32"/>
  <c r="R22" i="32"/>
  <c r="R23" i="32"/>
  <c r="R25" i="32"/>
  <c r="P26" i="32"/>
  <c r="R26" i="32"/>
  <c r="P27" i="32"/>
  <c r="R27" i="32"/>
  <c r="R29" i="32"/>
  <c r="R30" i="32"/>
  <c r="P32" i="32"/>
  <c r="R32" i="32"/>
  <c r="P33" i="32"/>
  <c r="R33" i="32"/>
  <c r="R35" i="32"/>
  <c r="R36" i="32"/>
  <c r="R37" i="32"/>
  <c r="R10" i="32"/>
  <c r="R17" i="32"/>
  <c r="R24" i="32"/>
  <c r="R28" i="32"/>
  <c r="R31" i="32"/>
  <c r="R34" i="32"/>
  <c r="R38" i="32"/>
  <c r="Z25" i="32"/>
  <c r="U16" i="32"/>
  <c r="D38" i="32"/>
  <c r="AM12" i="32"/>
  <c r="AM13" i="32"/>
  <c r="AM19" i="32"/>
  <c r="AM26" i="32"/>
  <c r="AM27" i="32"/>
  <c r="AM32" i="32"/>
  <c r="U18" i="32"/>
  <c r="Z13" i="32"/>
  <c r="M5" i="32"/>
  <c r="Z11" i="32"/>
  <c r="V11" i="32"/>
  <c r="U10" i="32"/>
  <c r="U8" i="32"/>
  <c r="P8" i="33"/>
  <c r="R8" i="33"/>
  <c r="P9" i="33"/>
  <c r="R9" i="33"/>
  <c r="P11" i="33"/>
  <c r="R11" i="33"/>
  <c r="P12" i="33"/>
  <c r="R12" i="33"/>
  <c r="P13" i="33"/>
  <c r="R13" i="33"/>
  <c r="P14" i="33"/>
  <c r="R14" i="33"/>
  <c r="P15" i="33"/>
  <c r="R15" i="33"/>
  <c r="P16" i="33"/>
  <c r="R16" i="33"/>
  <c r="P18" i="33"/>
  <c r="R18" i="33"/>
  <c r="P19" i="33"/>
  <c r="R19" i="33"/>
  <c r="P20" i="33"/>
  <c r="R20" i="33"/>
  <c r="P21" i="33"/>
  <c r="R21" i="33"/>
  <c r="P22" i="33"/>
  <c r="R22" i="33"/>
  <c r="P23" i="33"/>
  <c r="R23" i="33"/>
  <c r="P25" i="33"/>
  <c r="R25" i="33"/>
  <c r="P26" i="33"/>
  <c r="R26" i="33"/>
  <c r="P27" i="33"/>
  <c r="R27" i="33"/>
  <c r="P29" i="33"/>
  <c r="R29" i="33"/>
  <c r="P30" i="33"/>
  <c r="R30" i="33"/>
  <c r="P32" i="33"/>
  <c r="R32" i="33"/>
  <c r="P33" i="33"/>
  <c r="R33" i="33"/>
  <c r="P34" i="33"/>
  <c r="R34" i="33"/>
  <c r="P35" i="33"/>
  <c r="R35" i="33"/>
  <c r="P36" i="33"/>
  <c r="R36" i="33"/>
  <c r="P37" i="33"/>
  <c r="R37" i="33"/>
  <c r="R10" i="33"/>
  <c r="R17" i="33"/>
  <c r="R24" i="33"/>
  <c r="R28" i="33"/>
  <c r="R31" i="33"/>
  <c r="R38" i="33"/>
  <c r="Z25" i="33"/>
  <c r="U16" i="33"/>
  <c r="D38" i="33"/>
  <c r="AM8" i="33"/>
  <c r="AM9" i="33"/>
  <c r="AM11" i="33"/>
  <c r="AM13" i="33"/>
  <c r="AM14" i="33"/>
  <c r="AM16" i="33"/>
  <c r="AM18" i="33"/>
  <c r="AM19" i="33"/>
  <c r="AM20" i="33"/>
  <c r="AM26" i="33"/>
  <c r="AM27" i="33"/>
  <c r="AM29" i="33"/>
  <c r="AM30" i="33"/>
  <c r="AM32" i="33"/>
  <c r="AM36" i="33"/>
  <c r="AM37" i="33"/>
  <c r="U18" i="33"/>
  <c r="Z13" i="33"/>
  <c r="M5" i="33"/>
  <c r="Z11" i="33"/>
  <c r="V11" i="33"/>
  <c r="U10" i="33"/>
  <c r="U8" i="33"/>
  <c r="R8" i="34"/>
  <c r="R9" i="34"/>
  <c r="R11" i="34"/>
  <c r="P12" i="34"/>
  <c r="R12" i="34"/>
  <c r="P13" i="34"/>
  <c r="R13" i="34"/>
  <c r="R14" i="34"/>
  <c r="R15" i="34"/>
  <c r="R16" i="34"/>
  <c r="R18" i="34"/>
  <c r="P19" i="34"/>
  <c r="R19" i="34"/>
  <c r="P20" i="34"/>
  <c r="R20" i="34"/>
  <c r="R21" i="34"/>
  <c r="R22" i="34"/>
  <c r="R23" i="34"/>
  <c r="R25" i="34"/>
  <c r="P26" i="34"/>
  <c r="R26" i="34"/>
  <c r="P27" i="34"/>
  <c r="R27" i="34"/>
  <c r="R29" i="34"/>
  <c r="R30" i="34"/>
  <c r="P33" i="34"/>
  <c r="R33" i="34"/>
  <c r="P34" i="34"/>
  <c r="R34" i="34"/>
  <c r="R35" i="34"/>
  <c r="R36" i="34"/>
  <c r="R37" i="34"/>
  <c r="R10" i="34"/>
  <c r="R17" i="34"/>
  <c r="R24" i="34"/>
  <c r="R28" i="34"/>
  <c r="R31" i="34"/>
  <c r="R32" i="34"/>
  <c r="R38" i="34"/>
  <c r="Z25" i="34"/>
  <c r="U16" i="34"/>
  <c r="D38" i="34"/>
  <c r="AG8" i="34"/>
  <c r="AM12" i="34"/>
  <c r="AG11" i="34"/>
  <c r="AM13" i="34"/>
  <c r="AG14" i="34"/>
  <c r="AG17" i="34"/>
  <c r="AM19" i="34"/>
  <c r="AG18" i="34"/>
  <c r="AM20" i="34"/>
  <c r="AG21" i="34"/>
  <c r="AG24" i="34"/>
  <c r="AM26" i="34"/>
  <c r="AG25" i="34"/>
  <c r="AM27" i="34"/>
  <c r="AM33" i="34"/>
  <c r="AM34" i="34"/>
  <c r="AG35" i="34"/>
  <c r="AG36" i="34"/>
  <c r="AG9" i="34"/>
  <c r="AG10" i="34"/>
  <c r="AG15" i="34"/>
  <c r="AG16" i="34"/>
  <c r="AG22" i="34"/>
  <c r="AG23" i="34"/>
  <c r="AG29" i="34"/>
  <c r="AG30" i="34"/>
  <c r="AG31" i="34"/>
  <c r="AG37" i="34"/>
  <c r="AG38" i="34"/>
  <c r="U18" i="34"/>
  <c r="Z13" i="34"/>
  <c r="M5" i="34"/>
  <c r="Z11" i="34"/>
  <c r="V11" i="34"/>
  <c r="U10" i="34"/>
  <c r="U8" i="34"/>
  <c r="P8" i="35"/>
  <c r="R8" i="35"/>
  <c r="P10" i="35"/>
  <c r="R10" i="35"/>
  <c r="P11" i="35"/>
  <c r="R11" i="35"/>
  <c r="P12" i="35"/>
  <c r="R12" i="35"/>
  <c r="P13" i="35"/>
  <c r="R13" i="35"/>
  <c r="P14" i="35"/>
  <c r="R14" i="35"/>
  <c r="P15" i="35"/>
  <c r="R15" i="35"/>
  <c r="P16" i="35"/>
  <c r="R16" i="35"/>
  <c r="P17" i="35"/>
  <c r="R17" i="35"/>
  <c r="P18" i="35"/>
  <c r="R18" i="35"/>
  <c r="P19" i="35"/>
  <c r="R19" i="35"/>
  <c r="P20" i="35"/>
  <c r="R20" i="35"/>
  <c r="P21" i="35"/>
  <c r="R21" i="35"/>
  <c r="P22" i="35"/>
  <c r="R22" i="35"/>
  <c r="P23" i="35"/>
  <c r="R23" i="35"/>
  <c r="P24" i="35"/>
  <c r="R24" i="35"/>
  <c r="P25" i="35"/>
  <c r="R25" i="35"/>
  <c r="P26" i="35"/>
  <c r="R26" i="35"/>
  <c r="P27" i="35"/>
  <c r="R27" i="35"/>
  <c r="P29" i="35"/>
  <c r="R29" i="35"/>
  <c r="P30" i="35"/>
  <c r="R30" i="35"/>
  <c r="P32" i="35"/>
  <c r="R32" i="35"/>
  <c r="P33" i="35"/>
  <c r="R33" i="35"/>
  <c r="P34" i="35"/>
  <c r="R34" i="35"/>
  <c r="P35" i="35"/>
  <c r="R35" i="35"/>
  <c r="P36" i="35"/>
  <c r="R36" i="35"/>
  <c r="P37" i="35"/>
  <c r="R37" i="35"/>
  <c r="R9" i="35"/>
  <c r="R28" i="35"/>
  <c r="R31" i="35"/>
  <c r="R38" i="35"/>
  <c r="Z25" i="35"/>
  <c r="U16" i="35"/>
  <c r="D38" i="35"/>
  <c r="AM11" i="35"/>
  <c r="AM12" i="35"/>
  <c r="AM13" i="35"/>
  <c r="AM14" i="35"/>
  <c r="AM15" i="35"/>
  <c r="AM18" i="35"/>
  <c r="AM21" i="35"/>
  <c r="AM22" i="35"/>
  <c r="AM25" i="35"/>
  <c r="AM26" i="35"/>
  <c r="AM27" i="35"/>
  <c r="AM29" i="35"/>
  <c r="AM33" i="35"/>
  <c r="AM36" i="35"/>
  <c r="U18" i="35"/>
  <c r="Z13" i="35"/>
  <c r="M5" i="35"/>
  <c r="Z11" i="35"/>
  <c r="V11" i="35"/>
  <c r="U10" i="35"/>
  <c r="U8" i="35"/>
  <c r="P8" i="36"/>
  <c r="R8" i="36"/>
  <c r="P9" i="36"/>
  <c r="R9" i="36"/>
  <c r="P11" i="36"/>
  <c r="R11" i="36"/>
  <c r="P12" i="36"/>
  <c r="R12" i="36"/>
  <c r="P14" i="36"/>
  <c r="R14" i="36"/>
  <c r="P15" i="36"/>
  <c r="R15" i="36"/>
  <c r="P16" i="36"/>
  <c r="R16" i="36"/>
  <c r="P17" i="36"/>
  <c r="R17" i="36"/>
  <c r="P18" i="36"/>
  <c r="R18" i="36"/>
  <c r="P19" i="36"/>
  <c r="R19" i="36"/>
  <c r="P20" i="36"/>
  <c r="R20" i="36"/>
  <c r="P21" i="36"/>
  <c r="R21" i="36"/>
  <c r="P22" i="36"/>
  <c r="R22" i="36"/>
  <c r="P23" i="36"/>
  <c r="R23" i="36"/>
  <c r="P24" i="36"/>
  <c r="R24" i="36"/>
  <c r="P25" i="36"/>
  <c r="R25" i="36"/>
  <c r="P26" i="36"/>
  <c r="R26" i="36"/>
  <c r="P27" i="36"/>
  <c r="R27" i="36"/>
  <c r="P29" i="36"/>
  <c r="R29" i="36"/>
  <c r="P30" i="36"/>
  <c r="R30" i="36"/>
  <c r="P32" i="36"/>
  <c r="R32" i="36"/>
  <c r="P33" i="36"/>
  <c r="R33" i="36"/>
  <c r="P34" i="36"/>
  <c r="R34" i="36"/>
  <c r="P35" i="36"/>
  <c r="R35" i="36"/>
  <c r="P36" i="36"/>
  <c r="R36" i="36"/>
  <c r="P37" i="36"/>
  <c r="R37" i="36"/>
  <c r="R10" i="36"/>
  <c r="R13" i="36"/>
  <c r="R28" i="36"/>
  <c r="R31" i="36"/>
  <c r="R38" i="36"/>
  <c r="Z25" i="36"/>
  <c r="U16" i="36"/>
  <c r="D38" i="36"/>
  <c r="AM8" i="36"/>
  <c r="AM11" i="36"/>
  <c r="AM12" i="36"/>
  <c r="AM15" i="36"/>
  <c r="AM21" i="36"/>
  <c r="AM25" i="36"/>
  <c r="AM27" i="36"/>
  <c r="AM29" i="36"/>
  <c r="AM34" i="36"/>
  <c r="AM35" i="36"/>
  <c r="AM36" i="36"/>
  <c r="U18" i="36"/>
  <c r="Z13" i="36"/>
  <c r="M5" i="36"/>
  <c r="Z11" i="36"/>
  <c r="V11" i="36"/>
  <c r="U10" i="36"/>
  <c r="U8" i="36"/>
  <c r="P8" i="37"/>
  <c r="R8" i="37"/>
  <c r="P9" i="37"/>
  <c r="R9" i="37"/>
  <c r="P11" i="37"/>
  <c r="R11" i="37"/>
  <c r="P12" i="37"/>
  <c r="R12" i="37"/>
  <c r="P13" i="37"/>
  <c r="R13" i="37"/>
  <c r="P14" i="37"/>
  <c r="R14" i="37"/>
  <c r="P15" i="37"/>
  <c r="R15" i="37"/>
  <c r="P16" i="37"/>
  <c r="R16" i="37"/>
  <c r="P18" i="37"/>
  <c r="R18" i="37"/>
  <c r="P19" i="37"/>
  <c r="R19" i="37"/>
  <c r="P20" i="37"/>
  <c r="R20" i="37"/>
  <c r="P21" i="37"/>
  <c r="R21" i="37"/>
  <c r="P22" i="37"/>
  <c r="R22" i="37"/>
  <c r="P23" i="37"/>
  <c r="R23" i="37"/>
  <c r="P25" i="37"/>
  <c r="R25" i="37"/>
  <c r="P26" i="37"/>
  <c r="R26" i="37"/>
  <c r="P27" i="37"/>
  <c r="R27" i="37"/>
  <c r="P29" i="37"/>
  <c r="R29" i="37"/>
  <c r="P30" i="37"/>
  <c r="R30" i="37"/>
  <c r="P32" i="37"/>
  <c r="R32" i="37"/>
  <c r="P33" i="37"/>
  <c r="R33" i="37"/>
  <c r="P34" i="37"/>
  <c r="R34" i="37"/>
  <c r="P35" i="37"/>
  <c r="R35" i="37"/>
  <c r="P36" i="37"/>
  <c r="R36" i="37"/>
  <c r="P37" i="37"/>
  <c r="R37" i="37"/>
  <c r="R10" i="37"/>
  <c r="R17" i="37"/>
  <c r="R24" i="37"/>
  <c r="R28" i="37"/>
  <c r="R31" i="37"/>
  <c r="R38" i="37"/>
  <c r="Z25" i="37"/>
  <c r="U16" i="37"/>
  <c r="D38" i="37"/>
  <c r="AM9" i="37"/>
  <c r="AM11" i="37"/>
  <c r="AM15" i="37"/>
  <c r="AM20" i="37"/>
  <c r="AM21" i="37"/>
  <c r="AM23" i="37"/>
  <c r="AM25" i="37"/>
  <c r="AM26" i="37"/>
  <c r="AM34" i="37"/>
  <c r="AM35" i="37"/>
  <c r="AM37" i="37"/>
  <c r="U18" i="37"/>
  <c r="Z13" i="37"/>
  <c r="M5" i="37"/>
  <c r="Z11" i="37"/>
  <c r="V11" i="37"/>
  <c r="U10" i="37"/>
  <c r="U8" i="37"/>
  <c r="C16" i="30"/>
  <c r="P8" i="38"/>
  <c r="R8" i="38"/>
  <c r="P9" i="38"/>
  <c r="R9" i="38"/>
  <c r="P11" i="38"/>
  <c r="R11" i="38"/>
  <c r="P12" i="38"/>
  <c r="R12" i="38"/>
  <c r="P13" i="38"/>
  <c r="R13" i="38"/>
  <c r="P14" i="38"/>
  <c r="R14" i="38"/>
  <c r="P15" i="38"/>
  <c r="R15" i="38"/>
  <c r="P16" i="38"/>
  <c r="R16" i="38"/>
  <c r="P18" i="38"/>
  <c r="R18" i="38"/>
  <c r="P19" i="38"/>
  <c r="R19" i="38"/>
  <c r="P20" i="38"/>
  <c r="R20" i="38"/>
  <c r="P21" i="38"/>
  <c r="R21" i="38"/>
  <c r="P22" i="38"/>
  <c r="R22" i="38"/>
  <c r="P23" i="38"/>
  <c r="R23" i="38"/>
  <c r="P25" i="38"/>
  <c r="R25" i="38"/>
  <c r="P26" i="38"/>
  <c r="R26" i="38"/>
  <c r="P27" i="38"/>
  <c r="R27" i="38"/>
  <c r="P29" i="38"/>
  <c r="R29" i="38"/>
  <c r="P30" i="38"/>
  <c r="R30" i="38"/>
  <c r="P32" i="38"/>
  <c r="R32" i="38"/>
  <c r="P33" i="38"/>
  <c r="R33" i="38"/>
  <c r="P34" i="38"/>
  <c r="R34" i="38"/>
  <c r="P35" i="38"/>
  <c r="R35" i="38"/>
  <c r="P36" i="38"/>
  <c r="R36" i="38"/>
  <c r="P37" i="38"/>
  <c r="R37" i="38"/>
  <c r="R10" i="38"/>
  <c r="R17" i="38"/>
  <c r="R24" i="38"/>
  <c r="R28" i="38"/>
  <c r="R31" i="38"/>
  <c r="R38" i="38"/>
  <c r="Z25" i="38"/>
  <c r="U16" i="38"/>
  <c r="D38" i="38"/>
  <c r="AM9" i="38"/>
  <c r="AM11" i="38"/>
  <c r="AM15" i="38"/>
  <c r="AM20" i="38"/>
  <c r="AM21" i="38"/>
  <c r="AM23" i="38"/>
  <c r="AM25" i="38"/>
  <c r="AM26" i="38"/>
  <c r="AM34" i="38"/>
  <c r="AM35" i="38"/>
  <c r="AM37" i="38"/>
  <c r="U18" i="38"/>
  <c r="Z13" i="38"/>
  <c r="M5" i="38"/>
  <c r="Z11" i="38"/>
  <c r="V11" i="38"/>
  <c r="U10" i="38"/>
  <c r="U8" i="38"/>
  <c r="C17" i="30"/>
  <c r="P11" i="39"/>
  <c r="R11" i="39"/>
  <c r="P12" i="39"/>
  <c r="R12" i="39"/>
  <c r="P13" i="39"/>
  <c r="R13" i="39"/>
  <c r="P14" i="39"/>
  <c r="R14" i="39"/>
  <c r="P15" i="39"/>
  <c r="R15" i="39"/>
  <c r="P16" i="39"/>
  <c r="R16" i="39"/>
  <c r="P18" i="39"/>
  <c r="R18" i="39"/>
  <c r="P19" i="39"/>
  <c r="R19" i="39"/>
  <c r="P20" i="39"/>
  <c r="R20" i="39"/>
  <c r="P21" i="39"/>
  <c r="R21" i="39"/>
  <c r="P22" i="39"/>
  <c r="R22" i="39"/>
  <c r="P23" i="39"/>
  <c r="R23" i="39"/>
  <c r="P25" i="39"/>
  <c r="R25" i="39"/>
  <c r="P26" i="39"/>
  <c r="R26" i="39"/>
  <c r="P27" i="39"/>
  <c r="R27" i="39"/>
  <c r="P29" i="39"/>
  <c r="R29" i="39"/>
  <c r="P30" i="39"/>
  <c r="R30" i="39"/>
  <c r="P32" i="39"/>
  <c r="R32" i="39"/>
  <c r="P33" i="39"/>
  <c r="R33" i="39"/>
  <c r="P34" i="39"/>
  <c r="R34" i="39"/>
  <c r="P35" i="39"/>
  <c r="R35" i="39"/>
  <c r="P36" i="39"/>
  <c r="R36" i="39"/>
  <c r="P37" i="39"/>
  <c r="R37" i="39"/>
  <c r="R8" i="39"/>
  <c r="R9" i="39"/>
  <c r="R10" i="39"/>
  <c r="R17" i="39"/>
  <c r="R24" i="39"/>
  <c r="R28" i="39"/>
  <c r="R31" i="39"/>
  <c r="R38" i="39"/>
  <c r="Z25" i="39"/>
  <c r="U16" i="39"/>
  <c r="D38" i="39"/>
  <c r="AM12" i="39"/>
  <c r="AM15" i="39"/>
  <c r="AM16" i="39"/>
  <c r="AM18" i="39"/>
  <c r="AM19" i="39"/>
  <c r="AM20" i="39"/>
  <c r="AM21" i="39"/>
  <c r="AM22" i="39"/>
  <c r="AM25" i="39"/>
  <c r="AM26" i="39"/>
  <c r="AM27" i="39"/>
  <c r="AM29" i="39"/>
  <c r="AM33" i="39"/>
  <c r="U18" i="39"/>
  <c r="Z13" i="39"/>
  <c r="M5" i="39"/>
  <c r="Z11" i="39"/>
  <c r="V11" i="39"/>
  <c r="U10" i="39"/>
  <c r="U8" i="39"/>
  <c r="C18" i="30"/>
  <c r="P8" i="40"/>
  <c r="R8" i="40"/>
  <c r="P9" i="40"/>
  <c r="R9" i="40"/>
  <c r="P11" i="40"/>
  <c r="R11" i="40"/>
  <c r="P12" i="40"/>
  <c r="R12" i="40"/>
  <c r="P13" i="40"/>
  <c r="R13" i="40"/>
  <c r="P14" i="40"/>
  <c r="R14" i="40"/>
  <c r="P15" i="40"/>
  <c r="R15" i="40"/>
  <c r="P16" i="40"/>
  <c r="R16" i="40"/>
  <c r="P18" i="40"/>
  <c r="R18" i="40"/>
  <c r="P19" i="40"/>
  <c r="R19" i="40"/>
  <c r="P20" i="40"/>
  <c r="R20" i="40"/>
  <c r="P21" i="40"/>
  <c r="R21" i="40"/>
  <c r="P22" i="40"/>
  <c r="R22" i="40"/>
  <c r="P23" i="40"/>
  <c r="R23" i="40"/>
  <c r="P25" i="40"/>
  <c r="R25" i="40"/>
  <c r="P26" i="40"/>
  <c r="R26" i="40"/>
  <c r="P27" i="40"/>
  <c r="R27" i="40"/>
  <c r="P29" i="40"/>
  <c r="R29" i="40"/>
  <c r="P30" i="40"/>
  <c r="R30" i="40"/>
  <c r="P32" i="40"/>
  <c r="R32" i="40"/>
  <c r="P33" i="40"/>
  <c r="R33" i="40"/>
  <c r="P34" i="40"/>
  <c r="R34" i="40"/>
  <c r="P35" i="40"/>
  <c r="R35" i="40"/>
  <c r="P36" i="40"/>
  <c r="R36" i="40"/>
  <c r="P37" i="40"/>
  <c r="R37" i="40"/>
  <c r="R10" i="40"/>
  <c r="R17" i="40"/>
  <c r="R24" i="40"/>
  <c r="R28" i="40"/>
  <c r="R31" i="40"/>
  <c r="R38" i="40"/>
  <c r="Z25" i="40"/>
  <c r="U16" i="40"/>
  <c r="D38" i="40"/>
  <c r="AM9" i="40"/>
  <c r="AM13" i="40"/>
  <c r="AM14" i="40"/>
  <c r="AM15" i="40"/>
  <c r="AM16" i="40"/>
  <c r="AM18" i="40"/>
  <c r="AM19" i="40"/>
  <c r="AM22" i="40"/>
  <c r="AM27" i="40"/>
  <c r="AM29" i="40"/>
  <c r="AM32" i="40"/>
  <c r="AM33" i="40"/>
  <c r="AM35" i="40"/>
  <c r="AM37" i="40"/>
  <c r="U18" i="40"/>
  <c r="Z13" i="40"/>
  <c r="M5" i="40"/>
  <c r="Z11" i="40"/>
  <c r="V11" i="40"/>
  <c r="U10" i="40"/>
  <c r="U8" i="40"/>
  <c r="R8" i="41"/>
  <c r="R9" i="41"/>
  <c r="R10" i="41"/>
  <c r="R11" i="41"/>
  <c r="R12" i="41"/>
  <c r="R13" i="41"/>
  <c r="R14" i="41"/>
  <c r="R15" i="41"/>
  <c r="R16" i="41"/>
  <c r="R17" i="41"/>
  <c r="R18" i="41"/>
  <c r="R19" i="41"/>
  <c r="R20" i="41"/>
  <c r="R21" i="41"/>
  <c r="R22" i="41"/>
  <c r="R23" i="41"/>
  <c r="R24" i="41"/>
  <c r="R25" i="41"/>
  <c r="R26" i="41"/>
  <c r="R27" i="41"/>
  <c r="R28" i="41"/>
  <c r="R29" i="41"/>
  <c r="R30" i="41"/>
  <c r="R31" i="41"/>
  <c r="R32" i="41"/>
  <c r="R33" i="41"/>
  <c r="R34" i="41"/>
  <c r="R35" i="41"/>
  <c r="R36" i="41"/>
  <c r="R37" i="41"/>
  <c r="R38" i="41"/>
  <c r="Z25" i="41"/>
  <c r="C19" i="30"/>
  <c r="U16" i="41"/>
  <c r="D38" i="41"/>
  <c r="U18" i="41"/>
  <c r="Z13" i="41"/>
  <c r="M5" i="41"/>
  <c r="Z11" i="41"/>
  <c r="V11" i="41"/>
  <c r="U10" i="41"/>
  <c r="U8" i="41"/>
  <c r="R8" i="42"/>
  <c r="R9" i="42"/>
  <c r="R10" i="42"/>
  <c r="R11" i="42"/>
  <c r="R12" i="42"/>
  <c r="R13" i="42"/>
  <c r="R14" i="42"/>
  <c r="R15" i="42"/>
  <c r="R16" i="42"/>
  <c r="R17" i="42"/>
  <c r="R18" i="42"/>
  <c r="R19" i="42"/>
  <c r="R20" i="42"/>
  <c r="R21" i="42"/>
  <c r="R22" i="42"/>
  <c r="R23" i="42"/>
  <c r="R24" i="42"/>
  <c r="R25" i="42"/>
  <c r="R26" i="42"/>
  <c r="R27" i="42"/>
  <c r="R28" i="42"/>
  <c r="R29" i="42"/>
  <c r="R30" i="42"/>
  <c r="R31" i="42"/>
  <c r="R32" i="42"/>
  <c r="R33" i="42"/>
  <c r="R34" i="42"/>
  <c r="R35" i="42"/>
  <c r="R36" i="42"/>
  <c r="R37" i="42"/>
  <c r="R38" i="42"/>
  <c r="Z25" i="42"/>
  <c r="C20" i="30"/>
  <c r="U16" i="42"/>
  <c r="D38" i="42"/>
  <c r="U18" i="42"/>
  <c r="Z13" i="42"/>
  <c r="M5" i="42"/>
  <c r="Z11" i="42"/>
  <c r="V11" i="42"/>
  <c r="U10" i="42"/>
  <c r="U8" i="42"/>
  <c r="R8" i="43"/>
  <c r="R9" i="43"/>
  <c r="R10" i="43"/>
  <c r="R11" i="43"/>
  <c r="R12" i="43"/>
  <c r="R13" i="43"/>
  <c r="R14" i="43"/>
  <c r="R15" i="43"/>
  <c r="R16" i="43"/>
  <c r="R17" i="43"/>
  <c r="R18" i="43"/>
  <c r="R19" i="43"/>
  <c r="R20" i="43"/>
  <c r="R21" i="43"/>
  <c r="R22" i="43"/>
  <c r="R23" i="43"/>
  <c r="R24" i="43"/>
  <c r="R25" i="43"/>
  <c r="R26" i="43"/>
  <c r="R27" i="43"/>
  <c r="R28" i="43"/>
  <c r="R29" i="43"/>
  <c r="R30" i="43"/>
  <c r="R31" i="43"/>
  <c r="R32" i="43"/>
  <c r="R33" i="43"/>
  <c r="R34" i="43"/>
  <c r="R35" i="43"/>
  <c r="R36" i="43"/>
  <c r="R37" i="43"/>
  <c r="R38" i="43"/>
  <c r="Z25" i="43"/>
  <c r="C21" i="30"/>
  <c r="U16" i="43"/>
  <c r="D38" i="43"/>
  <c r="U18" i="43"/>
  <c r="Z13" i="43"/>
  <c r="M5" i="43"/>
  <c r="Z11" i="43"/>
  <c r="V11" i="43"/>
  <c r="U10" i="43"/>
  <c r="U8" i="43"/>
  <c r="R8" i="44"/>
  <c r="R9" i="44"/>
  <c r="R10" i="44"/>
  <c r="R11" i="44"/>
  <c r="R12" i="44"/>
  <c r="R13" i="44"/>
  <c r="R14" i="44"/>
  <c r="R15" i="44"/>
  <c r="R16" i="44"/>
  <c r="R17" i="44"/>
  <c r="R18" i="44"/>
  <c r="R19" i="44"/>
  <c r="R20" i="44"/>
  <c r="R21" i="44"/>
  <c r="R22" i="44"/>
  <c r="R23" i="44"/>
  <c r="R24" i="44"/>
  <c r="R25" i="44"/>
  <c r="R26" i="44"/>
  <c r="R27" i="44"/>
  <c r="R28" i="44"/>
  <c r="R29" i="44"/>
  <c r="R30" i="44"/>
  <c r="R31" i="44"/>
  <c r="R32" i="44"/>
  <c r="R33" i="44"/>
  <c r="R34" i="44"/>
  <c r="R35" i="44"/>
  <c r="R36" i="44"/>
  <c r="R37" i="44"/>
  <c r="R38" i="44"/>
  <c r="Z25" i="44"/>
  <c r="C22" i="30"/>
  <c r="U16" i="44"/>
  <c r="D38" i="44"/>
  <c r="U18" i="44"/>
  <c r="Z13" i="44"/>
  <c r="M5" i="44"/>
  <c r="Z11" i="44"/>
  <c r="V11" i="44"/>
  <c r="U10" i="44"/>
  <c r="U8" i="44"/>
  <c r="R8" i="45"/>
  <c r="R9" i="45"/>
  <c r="R10" i="45"/>
  <c r="R11" i="45"/>
  <c r="R12" i="45"/>
  <c r="R13" i="45"/>
  <c r="R14" i="45"/>
  <c r="R15" i="45"/>
  <c r="R16" i="45"/>
  <c r="R17" i="45"/>
  <c r="R18" i="45"/>
  <c r="R19" i="45"/>
  <c r="R20" i="45"/>
  <c r="R21" i="45"/>
  <c r="R22" i="45"/>
  <c r="R23" i="45"/>
  <c r="R24" i="45"/>
  <c r="R25" i="45"/>
  <c r="R26" i="45"/>
  <c r="R27" i="45"/>
  <c r="R28" i="45"/>
  <c r="R29" i="45"/>
  <c r="R30" i="45"/>
  <c r="R31" i="45"/>
  <c r="R32" i="45"/>
  <c r="R33" i="45"/>
  <c r="R34" i="45"/>
  <c r="R35" i="45"/>
  <c r="R36" i="45"/>
  <c r="R37" i="45"/>
  <c r="R38" i="45"/>
  <c r="Z25" i="45"/>
  <c r="C23" i="30"/>
  <c r="U16" i="45"/>
  <c r="D38" i="45"/>
  <c r="U18" i="45"/>
  <c r="Z13" i="45"/>
  <c r="M5" i="45"/>
  <c r="Z11" i="45"/>
  <c r="V11" i="45"/>
  <c r="U10" i="45"/>
  <c r="U8" i="45"/>
  <c r="R8" i="46"/>
  <c r="R9" i="46"/>
  <c r="R10" i="46"/>
  <c r="R11" i="46"/>
  <c r="R12" i="46"/>
  <c r="R13" i="46"/>
  <c r="R14" i="46"/>
  <c r="R15" i="46"/>
  <c r="R16" i="46"/>
  <c r="R17" i="46"/>
  <c r="R18" i="46"/>
  <c r="R19" i="46"/>
  <c r="R20" i="46"/>
  <c r="R21" i="46"/>
  <c r="R22" i="46"/>
  <c r="R23" i="46"/>
  <c r="R24" i="46"/>
  <c r="R25" i="46"/>
  <c r="R26" i="46"/>
  <c r="R27" i="46"/>
  <c r="R28" i="46"/>
  <c r="R29" i="46"/>
  <c r="R30" i="46"/>
  <c r="R31" i="46"/>
  <c r="R32" i="46"/>
  <c r="R33" i="46"/>
  <c r="R34" i="46"/>
  <c r="R35" i="46"/>
  <c r="R36" i="46"/>
  <c r="R37" i="46"/>
  <c r="R38" i="46"/>
  <c r="Z25" i="46"/>
  <c r="U16" i="46"/>
  <c r="D38" i="46"/>
  <c r="U18" i="46"/>
  <c r="Z13" i="46"/>
  <c r="M5" i="46"/>
  <c r="Z11" i="46"/>
  <c r="V11" i="46"/>
  <c r="U10" i="46"/>
  <c r="U8" i="46"/>
  <c r="R8" i="47"/>
  <c r="R9" i="47"/>
  <c r="R10" i="47"/>
  <c r="R11" i="47"/>
  <c r="R12" i="47"/>
  <c r="R13" i="47"/>
  <c r="R14" i="47"/>
  <c r="R15" i="47"/>
  <c r="R16" i="47"/>
  <c r="R17" i="47"/>
  <c r="R18" i="47"/>
  <c r="R19" i="47"/>
  <c r="R20" i="47"/>
  <c r="R21" i="47"/>
  <c r="R22" i="47"/>
  <c r="R23" i="47"/>
  <c r="R24" i="47"/>
  <c r="R25" i="47"/>
  <c r="R26" i="47"/>
  <c r="R27" i="47"/>
  <c r="R28" i="47"/>
  <c r="R29" i="47"/>
  <c r="R30" i="47"/>
  <c r="R31" i="47"/>
  <c r="R32" i="47"/>
  <c r="R33" i="47"/>
  <c r="R34" i="47"/>
  <c r="R35" i="47"/>
  <c r="R36" i="47"/>
  <c r="R37" i="47"/>
  <c r="R38" i="47"/>
  <c r="Z25" i="47"/>
  <c r="U16" i="47"/>
  <c r="D38" i="47"/>
  <c r="U18" i="47"/>
  <c r="Z13" i="47"/>
  <c r="M5" i="47"/>
  <c r="Z11" i="47"/>
  <c r="V11" i="47"/>
  <c r="U10" i="47"/>
  <c r="U8" i="47"/>
  <c r="R8" i="48"/>
  <c r="R9" i="48"/>
  <c r="R10" i="48"/>
  <c r="R11" i="48"/>
  <c r="R12" i="48"/>
  <c r="R13" i="48"/>
  <c r="R14" i="48"/>
  <c r="R15" i="48"/>
  <c r="R16" i="48"/>
  <c r="R17" i="48"/>
  <c r="R18" i="48"/>
  <c r="R19" i="48"/>
  <c r="R20" i="48"/>
  <c r="R21" i="48"/>
  <c r="R22" i="48"/>
  <c r="R23" i="48"/>
  <c r="R24" i="48"/>
  <c r="R25" i="48"/>
  <c r="R26" i="48"/>
  <c r="R27" i="48"/>
  <c r="R28" i="48"/>
  <c r="R29" i="48"/>
  <c r="R30" i="48"/>
  <c r="R31" i="48"/>
  <c r="R32" i="48"/>
  <c r="R33" i="48"/>
  <c r="R34" i="48"/>
  <c r="R35" i="48"/>
  <c r="R36" i="48"/>
  <c r="R37" i="48"/>
  <c r="R38" i="48"/>
  <c r="Z25" i="48"/>
  <c r="U16" i="48"/>
  <c r="D38" i="48"/>
  <c r="U18" i="48"/>
  <c r="Z13" i="48"/>
  <c r="M5" i="48"/>
  <c r="Z11" i="48"/>
  <c r="V11" i="48"/>
  <c r="U10" i="48"/>
  <c r="U8" i="48"/>
  <c r="R8" i="49"/>
  <c r="R9" i="49"/>
  <c r="R10" i="49"/>
  <c r="R11" i="49"/>
  <c r="R12" i="49"/>
  <c r="R13" i="49"/>
  <c r="R14" i="49"/>
  <c r="R15" i="49"/>
  <c r="R16" i="49"/>
  <c r="R17" i="49"/>
  <c r="R18" i="49"/>
  <c r="R19" i="49"/>
  <c r="R20" i="49"/>
  <c r="R21" i="49"/>
  <c r="R22" i="49"/>
  <c r="R23" i="49"/>
  <c r="R24" i="49"/>
  <c r="R25" i="49"/>
  <c r="R26" i="49"/>
  <c r="R27" i="49"/>
  <c r="R28" i="49"/>
  <c r="R29" i="49"/>
  <c r="R30" i="49"/>
  <c r="R31" i="49"/>
  <c r="R32" i="49"/>
  <c r="R33" i="49"/>
  <c r="R34" i="49"/>
  <c r="R35" i="49"/>
  <c r="R36" i="49"/>
  <c r="R37" i="49"/>
  <c r="R38" i="49"/>
  <c r="Z25" i="49"/>
  <c r="U16" i="49"/>
  <c r="D38" i="49"/>
  <c r="U18" i="49"/>
  <c r="Z13" i="49"/>
  <c r="M5" i="49"/>
  <c r="Z11" i="49"/>
  <c r="V11" i="49"/>
  <c r="U10" i="49"/>
  <c r="U8" i="49"/>
  <c r="R8" i="50"/>
  <c r="R9" i="50"/>
  <c r="R10" i="50"/>
  <c r="R11" i="50"/>
  <c r="R12" i="50"/>
  <c r="R13" i="50"/>
  <c r="R14" i="50"/>
  <c r="R15" i="50"/>
  <c r="R16" i="50"/>
  <c r="R17" i="50"/>
  <c r="R18" i="50"/>
  <c r="R19" i="50"/>
  <c r="R20" i="50"/>
  <c r="R21" i="50"/>
  <c r="R22" i="50"/>
  <c r="R23" i="50"/>
  <c r="R24" i="50"/>
  <c r="R25" i="50"/>
  <c r="R26" i="50"/>
  <c r="R27" i="50"/>
  <c r="R28" i="50"/>
  <c r="R29" i="50"/>
  <c r="R30" i="50"/>
  <c r="R31" i="50"/>
  <c r="R32" i="50"/>
  <c r="R33" i="50"/>
  <c r="R34" i="50"/>
  <c r="R35" i="50"/>
  <c r="R36" i="50"/>
  <c r="R37" i="50"/>
  <c r="R38" i="50"/>
  <c r="Z25" i="50"/>
  <c r="U16" i="50"/>
  <c r="D38" i="50"/>
  <c r="U18" i="50"/>
  <c r="Z13" i="50"/>
  <c r="M5" i="50"/>
  <c r="Z11" i="50"/>
  <c r="V11" i="50"/>
  <c r="U10" i="50"/>
  <c r="U8" i="50"/>
  <c r="R8" i="51"/>
  <c r="R9" i="51"/>
  <c r="R10" i="51"/>
  <c r="R11" i="51"/>
  <c r="R12" i="51"/>
  <c r="R13" i="51"/>
  <c r="R14" i="51"/>
  <c r="R15" i="51"/>
  <c r="R16" i="51"/>
  <c r="R17" i="51"/>
  <c r="R18" i="51"/>
  <c r="R19" i="51"/>
  <c r="R20" i="51"/>
  <c r="R21" i="51"/>
  <c r="R22" i="51"/>
  <c r="R23" i="51"/>
  <c r="R24" i="51"/>
  <c r="R25" i="51"/>
  <c r="R26" i="51"/>
  <c r="R27" i="51"/>
  <c r="R28" i="51"/>
  <c r="R29" i="51"/>
  <c r="R30" i="51"/>
  <c r="R31" i="51"/>
  <c r="R32" i="51"/>
  <c r="R33" i="51"/>
  <c r="R34" i="51"/>
  <c r="R35" i="51"/>
  <c r="R36" i="51"/>
  <c r="R37" i="51"/>
  <c r="R38" i="51"/>
  <c r="Z25" i="51"/>
  <c r="U16" i="51"/>
  <c r="D38" i="51"/>
  <c r="U18" i="51"/>
  <c r="Z13" i="51"/>
  <c r="M5" i="51"/>
  <c r="Z11" i="51"/>
  <c r="V11" i="51"/>
  <c r="U10" i="51"/>
  <c r="U8" i="51"/>
  <c r="R8" i="52"/>
  <c r="R9" i="52"/>
  <c r="R10" i="52"/>
  <c r="R11" i="52"/>
  <c r="R12" i="52"/>
  <c r="R13" i="52"/>
  <c r="R14" i="52"/>
  <c r="R15" i="52"/>
  <c r="R16" i="52"/>
  <c r="R17" i="52"/>
  <c r="R18" i="52"/>
  <c r="R19" i="52"/>
  <c r="R20" i="52"/>
  <c r="R21" i="52"/>
  <c r="R22" i="52"/>
  <c r="R23" i="52"/>
  <c r="R24" i="52"/>
  <c r="R25" i="52"/>
  <c r="R26" i="52"/>
  <c r="R27" i="52"/>
  <c r="R28" i="52"/>
  <c r="R29" i="52"/>
  <c r="R30" i="52"/>
  <c r="R31" i="52"/>
  <c r="R32" i="52"/>
  <c r="R33" i="52"/>
  <c r="R34" i="52"/>
  <c r="R35" i="52"/>
  <c r="R36" i="52"/>
  <c r="R37" i="52"/>
  <c r="R38" i="52"/>
  <c r="Z25" i="52"/>
  <c r="U16" i="52"/>
  <c r="D38" i="52"/>
  <c r="U18" i="52"/>
  <c r="Z13" i="52"/>
  <c r="M5" i="52"/>
  <c r="Z11" i="52"/>
  <c r="V11" i="52"/>
  <c r="U10" i="52"/>
  <c r="U8" i="52"/>
  <c r="R8" i="53"/>
  <c r="R9" i="53"/>
  <c r="R10" i="53"/>
  <c r="R11" i="53"/>
  <c r="R12" i="53"/>
  <c r="R13" i="53"/>
  <c r="R14" i="53"/>
  <c r="R15" i="53"/>
  <c r="R16" i="53"/>
  <c r="R17" i="53"/>
  <c r="R18" i="53"/>
  <c r="R19" i="53"/>
  <c r="R20" i="53"/>
  <c r="R21" i="53"/>
  <c r="R22" i="53"/>
  <c r="R23" i="53"/>
  <c r="R24" i="53"/>
  <c r="R25" i="53"/>
  <c r="R26" i="53"/>
  <c r="R27" i="53"/>
  <c r="R28" i="53"/>
  <c r="R29" i="53"/>
  <c r="R30" i="53"/>
  <c r="R31" i="53"/>
  <c r="R32" i="53"/>
  <c r="R33" i="53"/>
  <c r="R34" i="53"/>
  <c r="R35" i="53"/>
  <c r="R36" i="53"/>
  <c r="R37" i="53"/>
  <c r="R38" i="53"/>
  <c r="Z25" i="53"/>
  <c r="U16" i="53"/>
  <c r="D38" i="53"/>
  <c r="U18" i="53"/>
  <c r="Z13" i="53"/>
  <c r="M5" i="53"/>
  <c r="Z11" i="53"/>
  <c r="V11" i="53"/>
  <c r="U10" i="53"/>
  <c r="U8" i="53"/>
  <c r="R8" i="54"/>
  <c r="R9" i="54"/>
  <c r="R10" i="54"/>
  <c r="R11" i="54"/>
  <c r="R12" i="54"/>
  <c r="R13" i="54"/>
  <c r="R14" i="54"/>
  <c r="R15" i="54"/>
  <c r="R16" i="54"/>
  <c r="R17" i="54"/>
  <c r="R18" i="54"/>
  <c r="R19" i="54"/>
  <c r="R20" i="54"/>
  <c r="R21" i="54"/>
  <c r="R22" i="54"/>
  <c r="R23" i="54"/>
  <c r="R24" i="54"/>
  <c r="R25" i="54"/>
  <c r="R26" i="54"/>
  <c r="R27" i="54"/>
  <c r="R28" i="54"/>
  <c r="R29" i="54"/>
  <c r="R30" i="54"/>
  <c r="R31" i="54"/>
  <c r="R32" i="54"/>
  <c r="R33" i="54"/>
  <c r="R34" i="54"/>
  <c r="R35" i="54"/>
  <c r="R36" i="54"/>
  <c r="R37" i="54"/>
  <c r="R38" i="54"/>
  <c r="Z25" i="54"/>
  <c r="U16" i="54"/>
  <c r="D38" i="54"/>
  <c r="U18" i="54"/>
  <c r="Z13" i="54"/>
  <c r="M5" i="54"/>
  <c r="Z11" i="54"/>
  <c r="V11" i="54"/>
  <c r="U10" i="54"/>
  <c r="U8" i="54"/>
  <c r="R8" i="55"/>
  <c r="R9" i="55"/>
  <c r="R10" i="55"/>
  <c r="R11" i="55"/>
  <c r="R12" i="55"/>
  <c r="R13" i="55"/>
  <c r="R14" i="55"/>
  <c r="R15" i="55"/>
  <c r="R16" i="55"/>
  <c r="R17" i="55"/>
  <c r="R18" i="55"/>
  <c r="R19" i="55"/>
  <c r="R20" i="55"/>
  <c r="R21" i="55"/>
  <c r="R22" i="55"/>
  <c r="R23" i="55"/>
  <c r="R24" i="55"/>
  <c r="R25" i="55"/>
  <c r="R26" i="55"/>
  <c r="R27" i="55"/>
  <c r="R28" i="55"/>
  <c r="R29" i="55"/>
  <c r="R30" i="55"/>
  <c r="R31" i="55"/>
  <c r="R32" i="55"/>
  <c r="R33" i="55"/>
  <c r="R34" i="55"/>
  <c r="R35" i="55"/>
  <c r="R36" i="55"/>
  <c r="R37" i="55"/>
  <c r="R38" i="55"/>
  <c r="Z25" i="55"/>
  <c r="U16" i="55"/>
  <c r="D38" i="55"/>
  <c r="U18" i="55"/>
  <c r="Z13" i="55"/>
  <c r="M5" i="55"/>
  <c r="Z11" i="55"/>
  <c r="V11" i="55"/>
  <c r="U10" i="55"/>
  <c r="U8" i="55"/>
  <c r="R8" i="56"/>
  <c r="R9" i="56"/>
  <c r="R10" i="56"/>
  <c r="R11" i="56"/>
  <c r="R12" i="56"/>
  <c r="R13" i="56"/>
  <c r="R14" i="56"/>
  <c r="R15" i="56"/>
  <c r="R16" i="56"/>
  <c r="R17" i="56"/>
  <c r="R18" i="56"/>
  <c r="R19" i="56"/>
  <c r="R20" i="56"/>
  <c r="R21" i="56"/>
  <c r="R22" i="56"/>
  <c r="R23" i="56"/>
  <c r="R24" i="56"/>
  <c r="R25" i="56"/>
  <c r="R26" i="56"/>
  <c r="R27" i="56"/>
  <c r="R28" i="56"/>
  <c r="R29" i="56"/>
  <c r="R30" i="56"/>
  <c r="R31" i="56"/>
  <c r="R32" i="56"/>
  <c r="R33" i="56"/>
  <c r="R34" i="56"/>
  <c r="R35" i="56"/>
  <c r="R36" i="56"/>
  <c r="R37" i="56"/>
  <c r="R38" i="56"/>
  <c r="Z25" i="56"/>
  <c r="U16" i="56"/>
  <c r="D38" i="56"/>
  <c r="U18" i="56"/>
  <c r="Z13" i="56"/>
  <c r="M5" i="56"/>
  <c r="Z11" i="56"/>
  <c r="V11" i="56"/>
  <c r="U10" i="56"/>
  <c r="U8" i="56"/>
  <c r="R8" i="57"/>
  <c r="R9" i="57"/>
  <c r="R10" i="57"/>
  <c r="R11" i="57"/>
  <c r="R12" i="57"/>
  <c r="R13" i="57"/>
  <c r="R14" i="57"/>
  <c r="R15" i="57"/>
  <c r="R16" i="57"/>
  <c r="R17" i="57"/>
  <c r="R18" i="57"/>
  <c r="R19" i="57"/>
  <c r="R20" i="57"/>
  <c r="R21" i="57"/>
  <c r="R22" i="57"/>
  <c r="R23" i="57"/>
  <c r="R24" i="57"/>
  <c r="R25" i="57"/>
  <c r="R26" i="57"/>
  <c r="R27" i="57"/>
  <c r="R28" i="57"/>
  <c r="R29" i="57"/>
  <c r="R30" i="57"/>
  <c r="R31" i="57"/>
  <c r="R32" i="57"/>
  <c r="R33" i="57"/>
  <c r="R34" i="57"/>
  <c r="R35" i="57"/>
  <c r="R36" i="57"/>
  <c r="R37" i="57"/>
  <c r="R38" i="57"/>
  <c r="Z25" i="57"/>
  <c r="U16" i="57"/>
  <c r="D38" i="57"/>
  <c r="U18" i="57"/>
  <c r="Z13" i="57"/>
  <c r="M5" i="57"/>
  <c r="Z11" i="57"/>
  <c r="V11" i="57"/>
  <c r="U10" i="57"/>
  <c r="U8" i="57"/>
  <c r="R8" i="58"/>
  <c r="R9" i="58"/>
  <c r="R10" i="58"/>
  <c r="R11" i="58"/>
  <c r="R12" i="58"/>
  <c r="R13" i="58"/>
  <c r="R14" i="58"/>
  <c r="R15" i="58"/>
  <c r="R16" i="58"/>
  <c r="R17" i="58"/>
  <c r="R18" i="58"/>
  <c r="R19" i="58"/>
  <c r="R20" i="58"/>
  <c r="R21" i="58"/>
  <c r="R22" i="58"/>
  <c r="R23" i="58"/>
  <c r="R24" i="58"/>
  <c r="R25" i="58"/>
  <c r="R26" i="58"/>
  <c r="R27" i="58"/>
  <c r="R28" i="58"/>
  <c r="R29" i="58"/>
  <c r="R30" i="58"/>
  <c r="R31" i="58"/>
  <c r="R32" i="58"/>
  <c r="R33" i="58"/>
  <c r="R34" i="58"/>
  <c r="R35" i="58"/>
  <c r="R36" i="58"/>
  <c r="R37" i="58"/>
  <c r="R38" i="58"/>
  <c r="Z25" i="58"/>
  <c r="U16" i="58"/>
  <c r="D38" i="58"/>
  <c r="U18" i="58"/>
  <c r="Z13" i="58"/>
  <c r="M5" i="58"/>
  <c r="Z11" i="58"/>
  <c r="V11" i="58"/>
  <c r="U10" i="58"/>
  <c r="U8" i="58"/>
  <c r="R8" i="59"/>
  <c r="R9" i="59"/>
  <c r="R10" i="59"/>
  <c r="R11" i="59"/>
  <c r="R12" i="59"/>
  <c r="R13" i="59"/>
  <c r="R14" i="59"/>
  <c r="R15" i="59"/>
  <c r="R16" i="59"/>
  <c r="R17" i="59"/>
  <c r="R18" i="59"/>
  <c r="R19" i="59"/>
  <c r="R20" i="59"/>
  <c r="R21" i="59"/>
  <c r="R22" i="59"/>
  <c r="R23" i="59"/>
  <c r="R24" i="59"/>
  <c r="R25" i="59"/>
  <c r="R26" i="59"/>
  <c r="R27" i="59"/>
  <c r="R28" i="59"/>
  <c r="R29" i="59"/>
  <c r="R30" i="59"/>
  <c r="R31" i="59"/>
  <c r="R32" i="59"/>
  <c r="R33" i="59"/>
  <c r="R34" i="59"/>
  <c r="R35" i="59"/>
  <c r="R36" i="59"/>
  <c r="R37" i="59"/>
  <c r="R38" i="59"/>
  <c r="Z25" i="59"/>
  <c r="U16" i="59"/>
  <c r="D38" i="59"/>
  <c r="U18" i="59"/>
  <c r="Z13" i="59"/>
  <c r="M5" i="59"/>
  <c r="Z11" i="59"/>
  <c r="V11" i="59"/>
  <c r="U10" i="59"/>
  <c r="U8" i="59"/>
  <c r="R8" i="31"/>
  <c r="R9" i="31"/>
  <c r="R11" i="31"/>
  <c r="R12" i="31"/>
  <c r="P13" i="31"/>
  <c r="R13" i="31"/>
  <c r="R14" i="31"/>
  <c r="R15" i="31"/>
  <c r="R16" i="31"/>
  <c r="R18" i="31"/>
  <c r="R19" i="31"/>
  <c r="P20" i="31"/>
  <c r="R20" i="31"/>
  <c r="R21" i="31"/>
  <c r="R22" i="31"/>
  <c r="R23" i="31"/>
  <c r="R25" i="31"/>
  <c r="R26" i="31"/>
  <c r="P27" i="31"/>
  <c r="R27" i="31"/>
  <c r="R29" i="31"/>
  <c r="R30" i="31"/>
  <c r="R32" i="31"/>
  <c r="P33" i="31"/>
  <c r="R33" i="31"/>
  <c r="P34" i="31"/>
  <c r="R34" i="31"/>
  <c r="R35" i="31"/>
  <c r="R36" i="31"/>
  <c r="R37" i="31"/>
  <c r="R10" i="31"/>
  <c r="R17" i="31"/>
  <c r="R24" i="31"/>
  <c r="R28" i="31"/>
  <c r="R31" i="31"/>
  <c r="R38" i="31"/>
  <c r="Z25" i="31"/>
  <c r="U16" i="31"/>
  <c r="D38" i="31"/>
  <c r="AM13" i="31"/>
  <c r="AM19" i="31"/>
  <c r="AM20" i="31"/>
  <c r="AM26" i="31"/>
  <c r="AM27" i="31"/>
  <c r="AM33" i="31"/>
  <c r="AM34" i="31"/>
  <c r="U18" i="31"/>
  <c r="Z13" i="31"/>
  <c r="M5" i="31"/>
  <c r="Z11" i="31"/>
  <c r="V11" i="31"/>
  <c r="U10" i="31"/>
  <c r="U8" i="31"/>
  <c r="P32" i="4"/>
  <c r="R32" i="4"/>
  <c r="P33" i="4"/>
  <c r="R33" i="4"/>
  <c r="P34" i="4"/>
  <c r="R34" i="4"/>
  <c r="R35" i="4"/>
  <c r="R36" i="4"/>
  <c r="R8" i="4"/>
  <c r="R9" i="4"/>
  <c r="R10" i="4"/>
  <c r="R11" i="4"/>
  <c r="P12" i="4"/>
  <c r="R12" i="4"/>
  <c r="P13" i="4"/>
  <c r="R13" i="4"/>
  <c r="R14" i="4"/>
  <c r="R15" i="4"/>
  <c r="R16" i="4"/>
  <c r="R17" i="4"/>
  <c r="R18" i="4"/>
  <c r="P19" i="4"/>
  <c r="R19" i="4"/>
  <c r="P20" i="4"/>
  <c r="R20" i="4"/>
  <c r="R21" i="4"/>
  <c r="R22" i="4"/>
  <c r="R23" i="4"/>
  <c r="R24" i="4"/>
  <c r="R25" i="4"/>
  <c r="P26" i="4"/>
  <c r="R26" i="4"/>
  <c r="P27" i="4"/>
  <c r="R27" i="4"/>
  <c r="R28" i="4"/>
  <c r="R29" i="4"/>
  <c r="R30" i="4"/>
  <c r="R31" i="4"/>
  <c r="R37" i="4"/>
  <c r="R38" i="4"/>
  <c r="Z25" i="4"/>
  <c r="U16" i="4"/>
  <c r="Z13" i="4"/>
  <c r="M5" i="4"/>
  <c r="Z11" i="4"/>
  <c r="V11" i="4"/>
  <c r="U10" i="4"/>
  <c r="U8" i="4"/>
  <c r="W38" i="60"/>
  <c r="W37" i="60"/>
  <c r="W36" i="60"/>
  <c r="W35" i="60"/>
  <c r="W34" i="60"/>
  <c r="W33" i="60"/>
  <c r="W32" i="60"/>
  <c r="W31" i="60"/>
  <c r="W30" i="60"/>
  <c r="W29" i="60"/>
  <c r="W28" i="60"/>
  <c r="W27" i="60"/>
  <c r="W26" i="60"/>
  <c r="W25" i="60"/>
  <c r="W24" i="60"/>
  <c r="W23" i="60"/>
  <c r="W22" i="60"/>
  <c r="W21" i="60"/>
  <c r="W20" i="60"/>
  <c r="W19" i="60"/>
  <c r="W18" i="60"/>
  <c r="W17" i="60"/>
  <c r="W16" i="60"/>
  <c r="W15" i="60"/>
  <c r="W14" i="60"/>
  <c r="W13" i="60"/>
  <c r="W12" i="60"/>
  <c r="W11" i="60"/>
  <c r="W10" i="60"/>
  <c r="V38" i="5"/>
  <c r="V37" i="5"/>
  <c r="V36" i="5"/>
  <c r="V35" i="5"/>
  <c r="V34" i="5"/>
  <c r="V33" i="5"/>
  <c r="V32" i="5"/>
  <c r="V31" i="5"/>
  <c r="V30" i="5"/>
  <c r="V29" i="5"/>
  <c r="V28" i="5"/>
  <c r="V27" i="5"/>
  <c r="V26" i="5"/>
  <c r="V25" i="5"/>
  <c r="V24" i="5"/>
  <c r="V23" i="5"/>
  <c r="V22" i="5"/>
  <c r="V21" i="5"/>
  <c r="V20" i="5"/>
  <c r="V19" i="5"/>
  <c r="V18" i="5"/>
  <c r="V17" i="5"/>
  <c r="V16" i="5"/>
  <c r="V15" i="5"/>
  <c r="V14" i="5"/>
  <c r="V13" i="5"/>
  <c r="V12" i="5"/>
  <c r="V11" i="5"/>
  <c r="V10" i="5"/>
  <c r="U9" i="5"/>
  <c r="W9" i="5"/>
  <c r="AM32" i="4"/>
  <c r="AZ9" i="5"/>
  <c r="T10" i="5"/>
  <c r="U10" i="5"/>
  <c r="W10" i="5"/>
  <c r="X10" i="5"/>
  <c r="Z10" i="5"/>
  <c r="AC10" i="5"/>
  <c r="AE10" i="5"/>
  <c r="AG10" i="5"/>
  <c r="AI10" i="5"/>
  <c r="AK10" i="5"/>
  <c r="AM10" i="5"/>
  <c r="AO10" i="5"/>
  <c r="AQ10" i="5"/>
  <c r="AS10" i="5"/>
  <c r="AU10" i="5"/>
  <c r="AW10" i="5"/>
  <c r="AY10" i="5"/>
  <c r="AZ10" i="5"/>
  <c r="BA10" i="5"/>
  <c r="BB10" i="5"/>
  <c r="BC10" i="5"/>
  <c r="T11" i="5"/>
  <c r="U11" i="5"/>
  <c r="W11" i="5"/>
  <c r="X11" i="5"/>
  <c r="Z11" i="5"/>
  <c r="AC11" i="5"/>
  <c r="AE11" i="5"/>
  <c r="AG11" i="5"/>
  <c r="AI11" i="5"/>
  <c r="AK11" i="5"/>
  <c r="AM11" i="5"/>
  <c r="AO11" i="5"/>
  <c r="AQ11" i="5"/>
  <c r="AS11" i="5"/>
  <c r="AU11" i="5"/>
  <c r="AW11" i="5"/>
  <c r="AY11" i="5"/>
  <c r="AZ11" i="5"/>
  <c r="BA11" i="5"/>
  <c r="BB11" i="5"/>
  <c r="BC11" i="5"/>
  <c r="T12" i="5"/>
  <c r="U12" i="5"/>
  <c r="W12" i="5"/>
  <c r="X12" i="5"/>
  <c r="Z12" i="5"/>
  <c r="AC12" i="5"/>
  <c r="AE12" i="5"/>
  <c r="AG12" i="5"/>
  <c r="AI12" i="5"/>
  <c r="AK12" i="5"/>
  <c r="AM12" i="5"/>
  <c r="AO12" i="5"/>
  <c r="AQ12" i="5"/>
  <c r="AS12" i="5"/>
  <c r="AU12" i="5"/>
  <c r="AW12" i="5"/>
  <c r="AY12" i="5"/>
  <c r="AZ12" i="5"/>
  <c r="BA12" i="5"/>
  <c r="BB12" i="5"/>
  <c r="BC12" i="5"/>
  <c r="T13" i="5"/>
  <c r="U13" i="5"/>
  <c r="W13" i="5"/>
  <c r="X13" i="5"/>
  <c r="Z13" i="5"/>
  <c r="AC13" i="5"/>
  <c r="AE13" i="5"/>
  <c r="AG13" i="5"/>
  <c r="AI13" i="5"/>
  <c r="AK13" i="5"/>
  <c r="AM13" i="5"/>
  <c r="AO13" i="5"/>
  <c r="AQ13" i="5"/>
  <c r="AS13" i="5"/>
  <c r="AU13" i="5"/>
  <c r="AW13" i="5"/>
  <c r="AY13" i="5"/>
  <c r="AZ13" i="5"/>
  <c r="BA13" i="5"/>
  <c r="BB13" i="5"/>
  <c r="BC13" i="5"/>
  <c r="T14" i="5"/>
  <c r="U14" i="5"/>
  <c r="W14" i="5"/>
  <c r="X14" i="5"/>
  <c r="Z14" i="5"/>
  <c r="AC14" i="5"/>
  <c r="AE14" i="5"/>
  <c r="AG14" i="5"/>
  <c r="AI14" i="5"/>
  <c r="AK14" i="5"/>
  <c r="AM14" i="5"/>
  <c r="AO14" i="5"/>
  <c r="AQ14" i="5"/>
  <c r="AS14" i="5"/>
  <c r="AU14" i="5"/>
  <c r="AW14" i="5"/>
  <c r="AY14" i="5"/>
  <c r="AZ14" i="5"/>
  <c r="BA14" i="5"/>
  <c r="BB14" i="5"/>
  <c r="BC14" i="5"/>
  <c r="T15" i="5"/>
  <c r="U15" i="5"/>
  <c r="W15" i="5"/>
  <c r="X15" i="5"/>
  <c r="Z15" i="5"/>
  <c r="AC15" i="5"/>
  <c r="AE15" i="5"/>
  <c r="AG15" i="5"/>
  <c r="AI15" i="5"/>
  <c r="AK15" i="5"/>
  <c r="AM15" i="5"/>
  <c r="AO15" i="5"/>
  <c r="AQ15" i="5"/>
  <c r="AS15" i="5"/>
  <c r="AU15" i="5"/>
  <c r="AW15" i="5"/>
  <c r="AY15" i="5"/>
  <c r="AZ15" i="5"/>
  <c r="BA15" i="5"/>
  <c r="BB15" i="5"/>
  <c r="BC15" i="5"/>
  <c r="T16" i="5"/>
  <c r="U16" i="5"/>
  <c r="P17" i="37"/>
  <c r="P24" i="37"/>
  <c r="W16" i="5"/>
  <c r="X16" i="5"/>
  <c r="Z16" i="5"/>
  <c r="AC16" i="5"/>
  <c r="AE16" i="5"/>
  <c r="AG16" i="5"/>
  <c r="AI16" i="5"/>
  <c r="AK16" i="5"/>
  <c r="AM16" i="5"/>
  <c r="AO16" i="5"/>
  <c r="AQ16" i="5"/>
  <c r="AS16" i="5"/>
  <c r="AU16" i="5"/>
  <c r="AW16" i="5"/>
  <c r="AM8" i="37"/>
  <c r="AM12" i="37"/>
  <c r="AM27" i="37"/>
  <c r="AM29" i="37"/>
  <c r="AM36" i="37"/>
  <c r="AY16" i="5"/>
  <c r="AZ16" i="5"/>
  <c r="BA16" i="5"/>
  <c r="BB16" i="5"/>
  <c r="BC16" i="5"/>
  <c r="T17" i="5"/>
  <c r="U17" i="5"/>
  <c r="W17" i="5"/>
  <c r="X17" i="5"/>
  <c r="Z17" i="5"/>
  <c r="AC17" i="5"/>
  <c r="AE17" i="5"/>
  <c r="AG17" i="5"/>
  <c r="AI17" i="5"/>
  <c r="AK17" i="5"/>
  <c r="AM17" i="5"/>
  <c r="AO17" i="5"/>
  <c r="AQ17" i="5"/>
  <c r="AS17" i="5"/>
  <c r="AU17" i="5"/>
  <c r="AW17" i="5"/>
  <c r="AY17" i="5"/>
  <c r="AZ17" i="5"/>
  <c r="BA17" i="5"/>
  <c r="BB17" i="5"/>
  <c r="BC17" i="5"/>
  <c r="T18" i="5"/>
  <c r="U18" i="5"/>
  <c r="W18" i="5"/>
  <c r="X18" i="5"/>
  <c r="Z18" i="5"/>
  <c r="AC18" i="5"/>
  <c r="AE18" i="5"/>
  <c r="AG18" i="5"/>
  <c r="AI18" i="5"/>
  <c r="AK18" i="5"/>
  <c r="AM18" i="5"/>
  <c r="AO18" i="5"/>
  <c r="AQ18" i="5"/>
  <c r="AS18" i="5"/>
  <c r="AU18" i="5"/>
  <c r="AW18" i="5"/>
  <c r="AY18" i="5"/>
  <c r="AZ18" i="5"/>
  <c r="BA18" i="5"/>
  <c r="BB18" i="5"/>
  <c r="BC18" i="5"/>
  <c r="T19" i="5"/>
  <c r="U19" i="5"/>
  <c r="W19" i="5"/>
  <c r="X19" i="5"/>
  <c r="Z19" i="5"/>
  <c r="AC19" i="5"/>
  <c r="AE19" i="5"/>
  <c r="AG19" i="5"/>
  <c r="AI19" i="5"/>
  <c r="AK19" i="5"/>
  <c r="AM19" i="5"/>
  <c r="AO19" i="5"/>
  <c r="AQ19" i="5"/>
  <c r="AS19" i="5"/>
  <c r="AU19" i="5"/>
  <c r="AW19" i="5"/>
  <c r="AY19" i="5"/>
  <c r="AZ19" i="5"/>
  <c r="BA19" i="5"/>
  <c r="BB19" i="5"/>
  <c r="BC19" i="5"/>
  <c r="T20" i="5"/>
  <c r="U20" i="5"/>
  <c r="W20" i="5"/>
  <c r="X20" i="5"/>
  <c r="Z20" i="5"/>
  <c r="AC20" i="5"/>
  <c r="AE20" i="5"/>
  <c r="AG20" i="5"/>
  <c r="AI20" i="5"/>
  <c r="AK20" i="5"/>
  <c r="AM20" i="5"/>
  <c r="AO20" i="5"/>
  <c r="AQ20" i="5"/>
  <c r="AS20" i="5"/>
  <c r="AU20" i="5"/>
  <c r="AW20" i="5"/>
  <c r="AY20" i="5"/>
  <c r="AZ20" i="5"/>
  <c r="BA20" i="5"/>
  <c r="BB20" i="5"/>
  <c r="BC20" i="5"/>
  <c r="T21" i="5"/>
  <c r="U21" i="5"/>
  <c r="W21" i="5"/>
  <c r="X21" i="5"/>
  <c r="Z21" i="5"/>
  <c r="AC21" i="5"/>
  <c r="AE21" i="5"/>
  <c r="AG21" i="5"/>
  <c r="AI21" i="5"/>
  <c r="AK21" i="5"/>
  <c r="AM21" i="5"/>
  <c r="AO21" i="5"/>
  <c r="AQ21" i="5"/>
  <c r="AS21" i="5"/>
  <c r="AU21" i="5"/>
  <c r="AW21" i="5"/>
  <c r="AY21" i="5"/>
  <c r="AZ21" i="5"/>
  <c r="BA21" i="5"/>
  <c r="BB21" i="5"/>
  <c r="BC21" i="5"/>
  <c r="T22" i="5"/>
  <c r="U22" i="5"/>
  <c r="W22" i="5"/>
  <c r="X22" i="5"/>
  <c r="Z22" i="5"/>
  <c r="AC22" i="5"/>
  <c r="AE22" i="5"/>
  <c r="AG22" i="5"/>
  <c r="AI22" i="5"/>
  <c r="AK22" i="5"/>
  <c r="AM22" i="5"/>
  <c r="AO22" i="5"/>
  <c r="AQ22" i="5"/>
  <c r="AS22" i="5"/>
  <c r="AU22" i="5"/>
  <c r="AW22" i="5"/>
  <c r="AY22" i="5"/>
  <c r="AZ22" i="5"/>
  <c r="BA22" i="5"/>
  <c r="BB22" i="5"/>
  <c r="BC22" i="5"/>
  <c r="T23" i="5"/>
  <c r="U23" i="5"/>
  <c r="W23" i="5"/>
  <c r="X23" i="5"/>
  <c r="Z23" i="5"/>
  <c r="AC23" i="5"/>
  <c r="AE23" i="5"/>
  <c r="AG23" i="5"/>
  <c r="AI23" i="5"/>
  <c r="AK23" i="5"/>
  <c r="AM23" i="5"/>
  <c r="AO23" i="5"/>
  <c r="AQ23" i="5"/>
  <c r="AS23" i="5"/>
  <c r="AU23" i="5"/>
  <c r="AW23" i="5"/>
  <c r="AY23" i="5"/>
  <c r="AZ23" i="5"/>
  <c r="BA23" i="5"/>
  <c r="BB23" i="5"/>
  <c r="BC23" i="5"/>
  <c r="T24" i="5"/>
  <c r="U24" i="5"/>
  <c r="W24" i="5"/>
  <c r="X24" i="5"/>
  <c r="Z24" i="5"/>
  <c r="AC24" i="5"/>
  <c r="AE24" i="5"/>
  <c r="AG24" i="5"/>
  <c r="AI24" i="5"/>
  <c r="AK24" i="5"/>
  <c r="AM24" i="5"/>
  <c r="AO24" i="5"/>
  <c r="AQ24" i="5"/>
  <c r="AS24" i="5"/>
  <c r="AU24" i="5"/>
  <c r="AW24" i="5"/>
  <c r="AY24" i="5"/>
  <c r="AZ24" i="5"/>
  <c r="BA24" i="5"/>
  <c r="BB24" i="5"/>
  <c r="BC24" i="5"/>
  <c r="T25" i="5"/>
  <c r="U25" i="5"/>
  <c r="W25" i="5"/>
  <c r="X25" i="5"/>
  <c r="Z25" i="5"/>
  <c r="AC25" i="5"/>
  <c r="AE25" i="5"/>
  <c r="AG25" i="5"/>
  <c r="AI25" i="5"/>
  <c r="AK25" i="5"/>
  <c r="AM25" i="5"/>
  <c r="AO25" i="5"/>
  <c r="AQ25" i="5"/>
  <c r="AS25" i="5"/>
  <c r="AU25" i="5"/>
  <c r="AW25" i="5"/>
  <c r="AY25" i="5"/>
  <c r="AZ25" i="5"/>
  <c r="BA25" i="5"/>
  <c r="BB25" i="5"/>
  <c r="BC25" i="5"/>
  <c r="T26" i="5"/>
  <c r="U26" i="5"/>
  <c r="W26" i="5"/>
  <c r="X26" i="5"/>
  <c r="Z26" i="5"/>
  <c r="AC26" i="5"/>
  <c r="AE26" i="5"/>
  <c r="AG26" i="5"/>
  <c r="AI26" i="5"/>
  <c r="AK26" i="5"/>
  <c r="AM26" i="5"/>
  <c r="AO26" i="5"/>
  <c r="AQ26" i="5"/>
  <c r="AS26" i="5"/>
  <c r="AU26" i="5"/>
  <c r="AW26" i="5"/>
  <c r="AY26" i="5"/>
  <c r="AZ26" i="5"/>
  <c r="BA26" i="5"/>
  <c r="BB26" i="5"/>
  <c r="BC26" i="5"/>
  <c r="T27" i="5"/>
  <c r="U27" i="5"/>
  <c r="W27" i="5"/>
  <c r="X27" i="5"/>
  <c r="Z27" i="5"/>
  <c r="AC27" i="5"/>
  <c r="AE27" i="5"/>
  <c r="AG27" i="5"/>
  <c r="AI27" i="5"/>
  <c r="AK27" i="5"/>
  <c r="AM27" i="5"/>
  <c r="AO27" i="5"/>
  <c r="AQ27" i="5"/>
  <c r="AS27" i="5"/>
  <c r="AU27" i="5"/>
  <c r="AW27" i="5"/>
  <c r="AY27" i="5"/>
  <c r="AZ27" i="5"/>
  <c r="BA27" i="5"/>
  <c r="BB27" i="5"/>
  <c r="BC27" i="5"/>
  <c r="T28" i="5"/>
  <c r="U28" i="5"/>
  <c r="W28" i="5"/>
  <c r="X28" i="5"/>
  <c r="Z28" i="5"/>
  <c r="AC28" i="5"/>
  <c r="AE28" i="5"/>
  <c r="AG28" i="5"/>
  <c r="AI28" i="5"/>
  <c r="AK28" i="5"/>
  <c r="AM28" i="5"/>
  <c r="AO28" i="5"/>
  <c r="AQ28" i="5"/>
  <c r="AS28" i="5"/>
  <c r="AU28" i="5"/>
  <c r="AW28" i="5"/>
  <c r="AY28" i="5"/>
  <c r="AZ28" i="5"/>
  <c r="BA28" i="5"/>
  <c r="BB28" i="5"/>
  <c r="BC28" i="5"/>
  <c r="T29" i="5"/>
  <c r="U29" i="5"/>
  <c r="W29" i="5"/>
  <c r="X29" i="5"/>
  <c r="Z29" i="5"/>
  <c r="AC29" i="5"/>
  <c r="AE29" i="5"/>
  <c r="AG29" i="5"/>
  <c r="AI29" i="5"/>
  <c r="AK29" i="5"/>
  <c r="AM29" i="5"/>
  <c r="AO29" i="5"/>
  <c r="AQ29" i="5"/>
  <c r="AS29" i="5"/>
  <c r="AU29" i="5"/>
  <c r="AW29" i="5"/>
  <c r="AY29" i="5"/>
  <c r="AZ29" i="5"/>
  <c r="BA29" i="5"/>
  <c r="BB29" i="5"/>
  <c r="BC29" i="5"/>
  <c r="T30" i="5"/>
  <c r="U30" i="5"/>
  <c r="W30" i="5"/>
  <c r="X30" i="5"/>
  <c r="Z30" i="5"/>
  <c r="AC30" i="5"/>
  <c r="AE30" i="5"/>
  <c r="AG30" i="5"/>
  <c r="AI30" i="5"/>
  <c r="AK30" i="5"/>
  <c r="AM30" i="5"/>
  <c r="AO30" i="5"/>
  <c r="AQ30" i="5"/>
  <c r="AS30" i="5"/>
  <c r="AU30" i="5"/>
  <c r="AW30" i="5"/>
  <c r="AY30" i="5"/>
  <c r="AZ30" i="5"/>
  <c r="BA30" i="5"/>
  <c r="BB30" i="5"/>
  <c r="BC30" i="5"/>
  <c r="T31" i="5"/>
  <c r="U31" i="5"/>
  <c r="W31" i="5"/>
  <c r="X31" i="5"/>
  <c r="Z31" i="5"/>
  <c r="AC31" i="5"/>
  <c r="AE31" i="5"/>
  <c r="AG31" i="5"/>
  <c r="AI31" i="5"/>
  <c r="AK31" i="5"/>
  <c r="AM31" i="5"/>
  <c r="AO31" i="5"/>
  <c r="AQ31" i="5"/>
  <c r="AS31" i="5"/>
  <c r="AU31" i="5"/>
  <c r="AW31" i="5"/>
  <c r="AY31" i="5"/>
  <c r="AZ31" i="5"/>
  <c r="BA31" i="5"/>
  <c r="BB31" i="5"/>
  <c r="BC31" i="5"/>
  <c r="T32" i="5"/>
  <c r="U32" i="5"/>
  <c r="W32" i="5"/>
  <c r="X32" i="5"/>
  <c r="Z32" i="5"/>
  <c r="AC32" i="5"/>
  <c r="AE32" i="5"/>
  <c r="AG32" i="5"/>
  <c r="AI32" i="5"/>
  <c r="AK32" i="5"/>
  <c r="AM32" i="5"/>
  <c r="AO32" i="5"/>
  <c r="AQ32" i="5"/>
  <c r="AS32" i="5"/>
  <c r="AU32" i="5"/>
  <c r="AW32" i="5"/>
  <c r="AY32" i="5"/>
  <c r="AZ32" i="5"/>
  <c r="BA32" i="5"/>
  <c r="BB32" i="5"/>
  <c r="BC32" i="5"/>
  <c r="T33" i="5"/>
  <c r="U33" i="5"/>
  <c r="W33" i="5"/>
  <c r="X33" i="5"/>
  <c r="Z33" i="5"/>
  <c r="AC33" i="5"/>
  <c r="AE33" i="5"/>
  <c r="AG33" i="5"/>
  <c r="AI33" i="5"/>
  <c r="AK33" i="5"/>
  <c r="AM33" i="5"/>
  <c r="AO33" i="5"/>
  <c r="AQ33" i="5"/>
  <c r="AS33" i="5"/>
  <c r="AU33" i="5"/>
  <c r="AW33" i="5"/>
  <c r="AY33" i="5"/>
  <c r="AZ33" i="5"/>
  <c r="BA33" i="5"/>
  <c r="BB33" i="5"/>
  <c r="BC33" i="5"/>
  <c r="T34" i="5"/>
  <c r="U34" i="5"/>
  <c r="W34" i="5"/>
  <c r="X34" i="5"/>
  <c r="Z34" i="5"/>
  <c r="AC34" i="5"/>
  <c r="AE34" i="5"/>
  <c r="AG34" i="5"/>
  <c r="AI34" i="5"/>
  <c r="AK34" i="5"/>
  <c r="AM34" i="5"/>
  <c r="AO34" i="5"/>
  <c r="AQ34" i="5"/>
  <c r="AS34" i="5"/>
  <c r="AU34" i="5"/>
  <c r="AW34" i="5"/>
  <c r="AY34" i="5"/>
  <c r="AZ34" i="5"/>
  <c r="BA34" i="5"/>
  <c r="BB34" i="5"/>
  <c r="BC34" i="5"/>
  <c r="T35" i="5"/>
  <c r="U35" i="5"/>
  <c r="W35" i="5"/>
  <c r="X35" i="5"/>
  <c r="Z35" i="5"/>
  <c r="AC35" i="5"/>
  <c r="AE35" i="5"/>
  <c r="AG35" i="5"/>
  <c r="AI35" i="5"/>
  <c r="AK35" i="5"/>
  <c r="AM35" i="5"/>
  <c r="AO35" i="5"/>
  <c r="AQ35" i="5"/>
  <c r="AS35" i="5"/>
  <c r="AU35" i="5"/>
  <c r="AW35" i="5"/>
  <c r="AY35" i="5"/>
  <c r="AZ35" i="5"/>
  <c r="BA35" i="5"/>
  <c r="BB35" i="5"/>
  <c r="BC35" i="5"/>
  <c r="T36" i="5"/>
  <c r="U36" i="5"/>
  <c r="W36" i="5"/>
  <c r="X36" i="5"/>
  <c r="Z36" i="5"/>
  <c r="AC36" i="5"/>
  <c r="AE36" i="5"/>
  <c r="AG36" i="5"/>
  <c r="AI36" i="5"/>
  <c r="AK36" i="5"/>
  <c r="AM36" i="5"/>
  <c r="AO36" i="5"/>
  <c r="AQ36" i="5"/>
  <c r="AS36" i="5"/>
  <c r="AU36" i="5"/>
  <c r="AW36" i="5"/>
  <c r="AY36" i="5"/>
  <c r="AZ36" i="5"/>
  <c r="BA36" i="5"/>
  <c r="BB36" i="5"/>
  <c r="BC36" i="5"/>
  <c r="T37" i="5"/>
  <c r="U37" i="5"/>
  <c r="W37" i="5"/>
  <c r="X37" i="5"/>
  <c r="Z37" i="5"/>
  <c r="AC37" i="5"/>
  <c r="AE37" i="5"/>
  <c r="AG37" i="5"/>
  <c r="AI37" i="5"/>
  <c r="AK37" i="5"/>
  <c r="AM37" i="5"/>
  <c r="AO37" i="5"/>
  <c r="AQ37" i="5"/>
  <c r="AS37" i="5"/>
  <c r="AU37" i="5"/>
  <c r="AW37" i="5"/>
  <c r="AY37" i="5"/>
  <c r="AZ37" i="5"/>
  <c r="BA37" i="5"/>
  <c r="BB37" i="5"/>
  <c r="BC37" i="5"/>
  <c r="T38" i="5"/>
  <c r="U38" i="5"/>
  <c r="W38" i="5"/>
  <c r="X38" i="5"/>
  <c r="Z38" i="5"/>
  <c r="AC38" i="5"/>
  <c r="AE38" i="5"/>
  <c r="AG38" i="5"/>
  <c r="AI38" i="5"/>
  <c r="AK38" i="5"/>
  <c r="AM38" i="5"/>
  <c r="AO38" i="5"/>
  <c r="AQ38" i="5"/>
  <c r="AS38" i="5"/>
  <c r="AU38" i="5"/>
  <c r="AW38" i="5"/>
  <c r="AY38" i="5"/>
  <c r="AZ38" i="5"/>
  <c r="BA38" i="5"/>
  <c r="BB38" i="5"/>
  <c r="BC38" i="5"/>
  <c r="C24" i="30"/>
  <c r="C25" i="30"/>
  <c r="C26" i="30"/>
  <c r="C27" i="30"/>
  <c r="C28" i="30"/>
  <c r="C29" i="30"/>
  <c r="C30" i="30"/>
  <c r="C31" i="30"/>
  <c r="C32" i="30"/>
  <c r="C33" i="30"/>
  <c r="C34" i="30"/>
  <c r="C35" i="30"/>
  <c r="C36" i="30"/>
  <c r="C37" i="30"/>
  <c r="K32" i="5"/>
  <c r="K28" i="5"/>
  <c r="AM12" i="4"/>
  <c r="AM19" i="4"/>
  <c r="AM20" i="4"/>
  <c r="M9" i="5"/>
  <c r="BI9" i="5"/>
  <c r="BH10" i="5"/>
  <c r="BI10" i="5"/>
  <c r="BH18" i="5"/>
  <c r="BI18" i="5"/>
  <c r="L10" i="5"/>
  <c r="AH38" i="32"/>
  <c r="AB9" i="32"/>
  <c r="AB10" i="32"/>
  <c r="AB11" i="32"/>
  <c r="AB12" i="32"/>
  <c r="AB13" i="32"/>
  <c r="AB14" i="32"/>
  <c r="AB15" i="32"/>
  <c r="AB16" i="32"/>
  <c r="AB17" i="32"/>
  <c r="AB18" i="32"/>
  <c r="AB19" i="32"/>
  <c r="AB20" i="32"/>
  <c r="AB21" i="32"/>
  <c r="AB22" i="32"/>
  <c r="AB23" i="32"/>
  <c r="AB24" i="32"/>
  <c r="AB25" i="32"/>
  <c r="AB26" i="32"/>
  <c r="AB27" i="32"/>
  <c r="AB28" i="32"/>
  <c r="AB29" i="32"/>
  <c r="AB30" i="32"/>
  <c r="AB31" i="32"/>
  <c r="AB32" i="32"/>
  <c r="AB33" i="32"/>
  <c r="AB34" i="32"/>
  <c r="AB35" i="32"/>
  <c r="AB36" i="32"/>
  <c r="AB37" i="32"/>
  <c r="AB38" i="32"/>
  <c r="AC38" i="32"/>
  <c r="E37" i="32"/>
  <c r="P28" i="33"/>
  <c r="P10" i="33"/>
  <c r="P17" i="33"/>
  <c r="P24" i="33"/>
  <c r="P31" i="33"/>
  <c r="AM12" i="33"/>
  <c r="AM38" i="33"/>
  <c r="AH38" i="33"/>
  <c r="AB9" i="33"/>
  <c r="AB10" i="33"/>
  <c r="AB11" i="33"/>
  <c r="AB12" i="33"/>
  <c r="AB13" i="33"/>
  <c r="AB14" i="33"/>
  <c r="AB15" i="33"/>
  <c r="AB16" i="33"/>
  <c r="AB17" i="33"/>
  <c r="AB18" i="33"/>
  <c r="AB19" i="33"/>
  <c r="AB20" i="33"/>
  <c r="AB21" i="33"/>
  <c r="AB22" i="33"/>
  <c r="AB23" i="33"/>
  <c r="AB24" i="33"/>
  <c r="AB25" i="33"/>
  <c r="AB26" i="33"/>
  <c r="AB27" i="33"/>
  <c r="AB28" i="33"/>
  <c r="AB29" i="33"/>
  <c r="AB30" i="33"/>
  <c r="AB31" i="33"/>
  <c r="AB32" i="33"/>
  <c r="AB33" i="33"/>
  <c r="AB34" i="33"/>
  <c r="AB35" i="33"/>
  <c r="AB36" i="33"/>
  <c r="AB37" i="33"/>
  <c r="AB38" i="33"/>
  <c r="AC38" i="33"/>
  <c r="P38" i="33"/>
  <c r="E37" i="33"/>
  <c r="P28" i="34"/>
  <c r="P32" i="34"/>
  <c r="AM28" i="34"/>
  <c r="AH38" i="34"/>
  <c r="AB9" i="34"/>
  <c r="AB10" i="34"/>
  <c r="AB11" i="34"/>
  <c r="AB12" i="34"/>
  <c r="AB13" i="34"/>
  <c r="AB14" i="34"/>
  <c r="AB15" i="34"/>
  <c r="AB16" i="34"/>
  <c r="AB17" i="34"/>
  <c r="AB18" i="34"/>
  <c r="AB19" i="34"/>
  <c r="AB20" i="34"/>
  <c r="AB21" i="34"/>
  <c r="AB22" i="34"/>
  <c r="AB23" i="34"/>
  <c r="AB24" i="34"/>
  <c r="AB25" i="34"/>
  <c r="AB26" i="34"/>
  <c r="AB27" i="34"/>
  <c r="AB28" i="34"/>
  <c r="AB29" i="34"/>
  <c r="AB30" i="34"/>
  <c r="AB31" i="34"/>
  <c r="AB32" i="34"/>
  <c r="AB33" i="34"/>
  <c r="AB34" i="34"/>
  <c r="AB35" i="34"/>
  <c r="AB36" i="34"/>
  <c r="AB37" i="34"/>
  <c r="AB38" i="34"/>
  <c r="AC38" i="34"/>
  <c r="E37" i="34"/>
  <c r="P28" i="35"/>
  <c r="P9" i="35"/>
  <c r="P31" i="35"/>
  <c r="AM38" i="35"/>
  <c r="AH38" i="35"/>
  <c r="AB9" i="35"/>
  <c r="AB10" i="35"/>
  <c r="AB11" i="35"/>
  <c r="AB12" i="35"/>
  <c r="AB13" i="35"/>
  <c r="AB14" i="35"/>
  <c r="AB15" i="35"/>
  <c r="AB16" i="35"/>
  <c r="AB17" i="35"/>
  <c r="AB18" i="35"/>
  <c r="AB19" i="35"/>
  <c r="AB20" i="35"/>
  <c r="AB21" i="35"/>
  <c r="AB22" i="35"/>
  <c r="AB23" i="35"/>
  <c r="AB24" i="35"/>
  <c r="AB25" i="35"/>
  <c r="AB26" i="35"/>
  <c r="AB27" i="35"/>
  <c r="AB28" i="35"/>
  <c r="AB29" i="35"/>
  <c r="AB30" i="35"/>
  <c r="AB31" i="35"/>
  <c r="AB32" i="35"/>
  <c r="AB33" i="35"/>
  <c r="AB34" i="35"/>
  <c r="AB35" i="35"/>
  <c r="AB36" i="35"/>
  <c r="AB37" i="35"/>
  <c r="AB38" i="35"/>
  <c r="AC38" i="35"/>
  <c r="P38" i="35"/>
  <c r="E37" i="35"/>
  <c r="P28" i="36"/>
  <c r="P10" i="36"/>
  <c r="P31" i="36"/>
  <c r="AM9" i="36"/>
  <c r="AM10" i="36"/>
  <c r="AM28" i="36"/>
  <c r="AM30" i="36"/>
  <c r="AM31" i="36"/>
  <c r="AM32" i="36"/>
  <c r="AM33" i="36"/>
  <c r="AM38" i="36"/>
  <c r="AH38" i="36"/>
  <c r="AB9" i="36"/>
  <c r="AB10" i="36"/>
  <c r="AB11" i="36"/>
  <c r="AB12" i="36"/>
  <c r="AB13" i="36"/>
  <c r="AB14" i="36"/>
  <c r="AB15" i="36"/>
  <c r="AB16" i="36"/>
  <c r="AB17" i="36"/>
  <c r="AB18" i="36"/>
  <c r="AB19" i="36"/>
  <c r="AB20" i="36"/>
  <c r="AB21" i="36"/>
  <c r="AB22" i="36"/>
  <c r="AB23" i="36"/>
  <c r="AB24" i="36"/>
  <c r="AB25" i="36"/>
  <c r="AB26" i="36"/>
  <c r="AB27" i="36"/>
  <c r="AB28" i="36"/>
  <c r="AB29" i="36"/>
  <c r="AB30" i="36"/>
  <c r="AB31" i="36"/>
  <c r="AB32" i="36"/>
  <c r="AB33" i="36"/>
  <c r="AB34" i="36"/>
  <c r="AB35" i="36"/>
  <c r="AB36" i="36"/>
  <c r="AB37" i="36"/>
  <c r="AB38" i="36"/>
  <c r="AC38" i="36"/>
  <c r="P38" i="36"/>
  <c r="E37" i="36"/>
  <c r="P28" i="37"/>
  <c r="P31" i="37"/>
  <c r="AM19" i="37"/>
  <c r="AM22" i="37"/>
  <c r="AM24" i="37"/>
  <c r="AM33" i="37"/>
  <c r="AM38" i="37"/>
  <c r="AH38" i="37"/>
  <c r="AB9" i="37"/>
  <c r="AB10" i="37"/>
  <c r="AB11" i="37"/>
  <c r="AB12" i="37"/>
  <c r="AB13" i="37"/>
  <c r="AB14" i="37"/>
  <c r="AB15" i="37"/>
  <c r="AB16" i="37"/>
  <c r="AB17" i="37"/>
  <c r="AB18" i="37"/>
  <c r="AB19" i="37"/>
  <c r="AB20" i="37"/>
  <c r="AB21" i="37"/>
  <c r="AB22" i="37"/>
  <c r="AB23" i="37"/>
  <c r="AB24" i="37"/>
  <c r="AB25" i="37"/>
  <c r="AB26" i="37"/>
  <c r="AB27" i="37"/>
  <c r="AB28" i="37"/>
  <c r="AB29" i="37"/>
  <c r="AB30" i="37"/>
  <c r="AB31" i="37"/>
  <c r="AB32" i="37"/>
  <c r="AB33" i="37"/>
  <c r="AB34" i="37"/>
  <c r="AB35" i="37"/>
  <c r="AB36" i="37"/>
  <c r="AB37" i="37"/>
  <c r="AB38" i="37"/>
  <c r="AC38" i="37"/>
  <c r="P38" i="37"/>
  <c r="E37" i="37"/>
  <c r="P28" i="38"/>
  <c r="P10" i="38"/>
  <c r="P17" i="38"/>
  <c r="P24" i="38"/>
  <c r="P31" i="38"/>
  <c r="AM12" i="38"/>
  <c r="AM19" i="38"/>
  <c r="AM38" i="38"/>
  <c r="AH38" i="38"/>
  <c r="AB9" i="38"/>
  <c r="AB10" i="38"/>
  <c r="AB11" i="38"/>
  <c r="AB12" i="38"/>
  <c r="AB13" i="38"/>
  <c r="AB14" i="38"/>
  <c r="AB15" i="38"/>
  <c r="AB16" i="38"/>
  <c r="AB17" i="38"/>
  <c r="AB18" i="38"/>
  <c r="AB19" i="38"/>
  <c r="AB20" i="38"/>
  <c r="AB21" i="38"/>
  <c r="AB22" i="38"/>
  <c r="AB23" i="38"/>
  <c r="AB24" i="38"/>
  <c r="AB25" i="38"/>
  <c r="AB26" i="38"/>
  <c r="AB27" i="38"/>
  <c r="AB28" i="38"/>
  <c r="AB29" i="38"/>
  <c r="AB30" i="38"/>
  <c r="AB31" i="38"/>
  <c r="AB32" i="38"/>
  <c r="AB33" i="38"/>
  <c r="AB34" i="38"/>
  <c r="AB35" i="38"/>
  <c r="AB36" i="38"/>
  <c r="AB37" i="38"/>
  <c r="AB38" i="38"/>
  <c r="AC38" i="38"/>
  <c r="P38" i="38"/>
  <c r="E37" i="38"/>
  <c r="P28" i="39"/>
  <c r="P8" i="39"/>
  <c r="P9" i="39"/>
  <c r="P10" i="39"/>
  <c r="P17" i="39"/>
  <c r="P31" i="39"/>
  <c r="AM13" i="39"/>
  <c r="AM14" i="39"/>
  <c r="AM23" i="39"/>
  <c r="AM38" i="39"/>
  <c r="AH38" i="39"/>
  <c r="AB9" i="39"/>
  <c r="AB10" i="39"/>
  <c r="AB11" i="39"/>
  <c r="AB12" i="39"/>
  <c r="AB13" i="39"/>
  <c r="AB14" i="39"/>
  <c r="AB15" i="39"/>
  <c r="AB16" i="39"/>
  <c r="AB17" i="39"/>
  <c r="AB18" i="39"/>
  <c r="AB19" i="39"/>
  <c r="AB20" i="39"/>
  <c r="AB21" i="39"/>
  <c r="AB22" i="39"/>
  <c r="AB23" i="39"/>
  <c r="AB24" i="39"/>
  <c r="AB25" i="39"/>
  <c r="AB26" i="39"/>
  <c r="AB27" i="39"/>
  <c r="AB28" i="39"/>
  <c r="AB29" i="39"/>
  <c r="AB30" i="39"/>
  <c r="AB31" i="39"/>
  <c r="AB32" i="39"/>
  <c r="AB33" i="39"/>
  <c r="AB34" i="39"/>
  <c r="AB35" i="39"/>
  <c r="AB36" i="39"/>
  <c r="AB37" i="39"/>
  <c r="AB38" i="39"/>
  <c r="AC38" i="39"/>
  <c r="P38" i="39"/>
  <c r="E37" i="39"/>
  <c r="P28" i="40"/>
  <c r="P10" i="40"/>
  <c r="P17" i="40"/>
  <c r="P24" i="40"/>
  <c r="P31" i="40"/>
  <c r="AM8" i="40"/>
  <c r="AM10" i="40"/>
  <c r="AM17" i="40"/>
  <c r="AM25" i="40"/>
  <c r="AM26" i="40"/>
  <c r="AM28" i="40"/>
  <c r="AM30" i="40"/>
  <c r="AM31" i="40"/>
  <c r="AM38" i="40"/>
  <c r="AH38" i="40"/>
  <c r="AB9" i="40"/>
  <c r="AB10" i="40"/>
  <c r="AB11" i="40"/>
  <c r="AB12" i="40"/>
  <c r="AB13" i="40"/>
  <c r="AB14" i="40"/>
  <c r="AB15" i="40"/>
  <c r="AB16" i="40"/>
  <c r="AB17" i="40"/>
  <c r="AB18" i="40"/>
  <c r="AB19" i="40"/>
  <c r="AB20" i="40"/>
  <c r="AB21" i="40"/>
  <c r="AB22" i="40"/>
  <c r="AB23" i="40"/>
  <c r="AB24" i="40"/>
  <c r="AB25" i="40"/>
  <c r="AB26" i="40"/>
  <c r="AB27" i="40"/>
  <c r="AB28" i="40"/>
  <c r="AB29" i="40"/>
  <c r="AB30" i="40"/>
  <c r="AB31" i="40"/>
  <c r="AB32" i="40"/>
  <c r="AB33" i="40"/>
  <c r="AB34" i="40"/>
  <c r="AB35" i="40"/>
  <c r="AB36" i="40"/>
  <c r="AB37" i="40"/>
  <c r="AB38" i="40"/>
  <c r="AC38" i="40"/>
  <c r="P38" i="40"/>
  <c r="E37" i="40"/>
  <c r="P21" i="41"/>
  <c r="P28" i="41"/>
  <c r="P35" i="41"/>
  <c r="P18" i="41"/>
  <c r="P22" i="41"/>
  <c r="P23" i="41"/>
  <c r="P24" i="41"/>
  <c r="P29" i="41"/>
  <c r="P30" i="41"/>
  <c r="P31" i="41"/>
  <c r="P32" i="41"/>
  <c r="AM38" i="41"/>
  <c r="AH38" i="41"/>
  <c r="AB9" i="41"/>
  <c r="AB10" i="41"/>
  <c r="AB11" i="41"/>
  <c r="AB12" i="41"/>
  <c r="AB13" i="41"/>
  <c r="AB14" i="41"/>
  <c r="AB15" i="41"/>
  <c r="AB16" i="41"/>
  <c r="AB17" i="41"/>
  <c r="AB18" i="41"/>
  <c r="AB19" i="41"/>
  <c r="AB20" i="41"/>
  <c r="AB21" i="41"/>
  <c r="AB22" i="41"/>
  <c r="AB23" i="41"/>
  <c r="AB24" i="41"/>
  <c r="AB25" i="41"/>
  <c r="AB26" i="41"/>
  <c r="AB27" i="41"/>
  <c r="AB28" i="41"/>
  <c r="AB29" i="41"/>
  <c r="AB30" i="41"/>
  <c r="AB31" i="41"/>
  <c r="AB32" i="41"/>
  <c r="AB33" i="41"/>
  <c r="AB34" i="41"/>
  <c r="AB35" i="41"/>
  <c r="AB36" i="41"/>
  <c r="AB37" i="41"/>
  <c r="AB38" i="41"/>
  <c r="AC38" i="41"/>
  <c r="P38" i="41"/>
  <c r="E37" i="41"/>
  <c r="P14" i="42"/>
  <c r="P28" i="42"/>
  <c r="P35" i="42"/>
  <c r="P8" i="42"/>
  <c r="P9" i="42"/>
  <c r="P10" i="42"/>
  <c r="P11" i="42"/>
  <c r="P12" i="42"/>
  <c r="P13" i="42"/>
  <c r="P15" i="42"/>
  <c r="P16" i="42"/>
  <c r="P17" i="42"/>
  <c r="P18" i="42"/>
  <c r="P29" i="42"/>
  <c r="P30" i="42"/>
  <c r="P31" i="42"/>
  <c r="AM11" i="42"/>
  <c r="AM12" i="42"/>
  <c r="AM13" i="42"/>
  <c r="AM14" i="42"/>
  <c r="AM15" i="42"/>
  <c r="AM16" i="42"/>
  <c r="AM17" i="42"/>
  <c r="AM18" i="42"/>
  <c r="AM38" i="42"/>
  <c r="AH38" i="42"/>
  <c r="AB9" i="42"/>
  <c r="AB10" i="42"/>
  <c r="AB11" i="42"/>
  <c r="AB12" i="42"/>
  <c r="AB13" i="42"/>
  <c r="AB14" i="42"/>
  <c r="AB15" i="42"/>
  <c r="AB16" i="42"/>
  <c r="AB17" i="42"/>
  <c r="AB18" i="42"/>
  <c r="AB19" i="42"/>
  <c r="AB20" i="42"/>
  <c r="AB21" i="42"/>
  <c r="AB22" i="42"/>
  <c r="AB23" i="42"/>
  <c r="AB24" i="42"/>
  <c r="AB25" i="42"/>
  <c r="AB26" i="42"/>
  <c r="AB27" i="42"/>
  <c r="AB28" i="42"/>
  <c r="AB29" i="42"/>
  <c r="AB30" i="42"/>
  <c r="AB31" i="42"/>
  <c r="AB32" i="42"/>
  <c r="AB33" i="42"/>
  <c r="AB34" i="42"/>
  <c r="AB35" i="42"/>
  <c r="AB36" i="42"/>
  <c r="AB37" i="42"/>
  <c r="AB38" i="42"/>
  <c r="AC38" i="42"/>
  <c r="P38" i="42"/>
  <c r="E37" i="42"/>
  <c r="P14" i="43"/>
  <c r="P21" i="43"/>
  <c r="P28" i="43"/>
  <c r="P8" i="43"/>
  <c r="P9" i="43"/>
  <c r="P10" i="43"/>
  <c r="P11" i="43"/>
  <c r="P12" i="43"/>
  <c r="P15" i="43"/>
  <c r="P16" i="43"/>
  <c r="P17" i="43"/>
  <c r="P18" i="43"/>
  <c r="P19" i="43"/>
  <c r="P22" i="43"/>
  <c r="P23" i="43"/>
  <c r="P24" i="43"/>
  <c r="P25" i="43"/>
  <c r="P26" i="43"/>
  <c r="P29" i="43"/>
  <c r="P30" i="43"/>
  <c r="P31" i="43"/>
  <c r="P32" i="43"/>
  <c r="AM12" i="43"/>
  <c r="AM19" i="43"/>
  <c r="AM26" i="43"/>
  <c r="AM38" i="43"/>
  <c r="AH38" i="43"/>
  <c r="AB9" i="43"/>
  <c r="AB10" i="43"/>
  <c r="AB11" i="43"/>
  <c r="AB12" i="43"/>
  <c r="AB13" i="43"/>
  <c r="AB14" i="43"/>
  <c r="AB15" i="43"/>
  <c r="AB16" i="43"/>
  <c r="AB17" i="43"/>
  <c r="AB18" i="43"/>
  <c r="AB19" i="43"/>
  <c r="AB20" i="43"/>
  <c r="AB21" i="43"/>
  <c r="AB22" i="43"/>
  <c r="AB23" i="43"/>
  <c r="AB24" i="43"/>
  <c r="AB25" i="43"/>
  <c r="AB26" i="43"/>
  <c r="AB27" i="43"/>
  <c r="AB28" i="43"/>
  <c r="AB29" i="43"/>
  <c r="AB30" i="43"/>
  <c r="AB31" i="43"/>
  <c r="AB32" i="43"/>
  <c r="AB33" i="43"/>
  <c r="AB34" i="43"/>
  <c r="AB35" i="43"/>
  <c r="AB36" i="43"/>
  <c r="AB37" i="43"/>
  <c r="AB38" i="43"/>
  <c r="AC38" i="43"/>
  <c r="P38" i="43"/>
  <c r="E37" i="43"/>
  <c r="AM38" i="44"/>
  <c r="AH38" i="44"/>
  <c r="AB9" i="44"/>
  <c r="AB10" i="44"/>
  <c r="AB11" i="44"/>
  <c r="AB12" i="44"/>
  <c r="AB13" i="44"/>
  <c r="AB14" i="44"/>
  <c r="AB15" i="44"/>
  <c r="AB16" i="44"/>
  <c r="AB17" i="44"/>
  <c r="AB18" i="44"/>
  <c r="AB19" i="44"/>
  <c r="AB20" i="44"/>
  <c r="AB21" i="44"/>
  <c r="AB22" i="44"/>
  <c r="AB23" i="44"/>
  <c r="AB24" i="44"/>
  <c r="AB25" i="44"/>
  <c r="AB26" i="44"/>
  <c r="AB27" i="44"/>
  <c r="AB28" i="44"/>
  <c r="AB29" i="44"/>
  <c r="AB30" i="44"/>
  <c r="AB31" i="44"/>
  <c r="AB32" i="44"/>
  <c r="AB33" i="44"/>
  <c r="AB34" i="44"/>
  <c r="AB35" i="44"/>
  <c r="AB36" i="44"/>
  <c r="AB37" i="44"/>
  <c r="AB38" i="44"/>
  <c r="AC38" i="44"/>
  <c r="P38" i="44"/>
  <c r="E37" i="44"/>
  <c r="AM38" i="45"/>
  <c r="AH38" i="45"/>
  <c r="AB9" i="45"/>
  <c r="AB10" i="45"/>
  <c r="AB11" i="45"/>
  <c r="AB12" i="45"/>
  <c r="AB13" i="45"/>
  <c r="AB14" i="45"/>
  <c r="AB15" i="45"/>
  <c r="AB16" i="45"/>
  <c r="AB17" i="45"/>
  <c r="AB18" i="45"/>
  <c r="AB19" i="45"/>
  <c r="AB20" i="45"/>
  <c r="AB21" i="45"/>
  <c r="AB22" i="45"/>
  <c r="AB23" i="45"/>
  <c r="AB24" i="45"/>
  <c r="AB25" i="45"/>
  <c r="AB26" i="45"/>
  <c r="AB27" i="45"/>
  <c r="AB28" i="45"/>
  <c r="AB29" i="45"/>
  <c r="AB30" i="45"/>
  <c r="AB31" i="45"/>
  <c r="AB32" i="45"/>
  <c r="AB33" i="45"/>
  <c r="AB34" i="45"/>
  <c r="AB35" i="45"/>
  <c r="AB36" i="45"/>
  <c r="AB37" i="45"/>
  <c r="AB38" i="45"/>
  <c r="AC38" i="45"/>
  <c r="P38" i="45"/>
  <c r="E37" i="45"/>
  <c r="AM38" i="46"/>
  <c r="AH38" i="46"/>
  <c r="AB9" i="46"/>
  <c r="AB10" i="46"/>
  <c r="AB11" i="46"/>
  <c r="AB12" i="46"/>
  <c r="AB13" i="46"/>
  <c r="AB14" i="46"/>
  <c r="AB15" i="46"/>
  <c r="AB16" i="46"/>
  <c r="AB17" i="46"/>
  <c r="AB18" i="46"/>
  <c r="AB19" i="46"/>
  <c r="AB20" i="46"/>
  <c r="AB21" i="46"/>
  <c r="AB22" i="46"/>
  <c r="AB23" i="46"/>
  <c r="AB24" i="46"/>
  <c r="AB25" i="46"/>
  <c r="AB26" i="46"/>
  <c r="AB27" i="46"/>
  <c r="AB28" i="46"/>
  <c r="AB29" i="46"/>
  <c r="AB30" i="46"/>
  <c r="AB31" i="46"/>
  <c r="AB32" i="46"/>
  <c r="AB33" i="46"/>
  <c r="AB34" i="46"/>
  <c r="AB35" i="46"/>
  <c r="AB36" i="46"/>
  <c r="AB37" i="46"/>
  <c r="AB38" i="46"/>
  <c r="AC38" i="46"/>
  <c r="P38" i="46"/>
  <c r="E37" i="46"/>
  <c r="AM38" i="47"/>
  <c r="AH38" i="47"/>
  <c r="AB9" i="47"/>
  <c r="AB10" i="47"/>
  <c r="AB11" i="47"/>
  <c r="AB12" i="47"/>
  <c r="AB13" i="47"/>
  <c r="AB14" i="47"/>
  <c r="AB15" i="47"/>
  <c r="AB16" i="47"/>
  <c r="AB17" i="47"/>
  <c r="AB18" i="47"/>
  <c r="AB19" i="47"/>
  <c r="AB20" i="47"/>
  <c r="AB21" i="47"/>
  <c r="AB22" i="47"/>
  <c r="AB23" i="47"/>
  <c r="AB24" i="47"/>
  <c r="AB25" i="47"/>
  <c r="AB26" i="47"/>
  <c r="AB27" i="47"/>
  <c r="AB28" i="47"/>
  <c r="AB29" i="47"/>
  <c r="AB30" i="47"/>
  <c r="AB31" i="47"/>
  <c r="AB32" i="47"/>
  <c r="AB33" i="47"/>
  <c r="AB34" i="47"/>
  <c r="AB35" i="47"/>
  <c r="AB36" i="47"/>
  <c r="AB37" i="47"/>
  <c r="AB38" i="47"/>
  <c r="AC38" i="47"/>
  <c r="P38" i="47"/>
  <c r="E37" i="47"/>
  <c r="AM38" i="48"/>
  <c r="AH38" i="48"/>
  <c r="AB9" i="48"/>
  <c r="AB10" i="48"/>
  <c r="AB11" i="48"/>
  <c r="AB12" i="48"/>
  <c r="AB13" i="48"/>
  <c r="AB14" i="48"/>
  <c r="AB15" i="48"/>
  <c r="AB16" i="48"/>
  <c r="AB17" i="48"/>
  <c r="AB18" i="48"/>
  <c r="AB19" i="48"/>
  <c r="AB20" i="48"/>
  <c r="AB21" i="48"/>
  <c r="AB22" i="48"/>
  <c r="AB23" i="48"/>
  <c r="AB24" i="48"/>
  <c r="AB25" i="48"/>
  <c r="AB26" i="48"/>
  <c r="AB27" i="48"/>
  <c r="AB28" i="48"/>
  <c r="AB29" i="48"/>
  <c r="AB30" i="48"/>
  <c r="AB31" i="48"/>
  <c r="AB32" i="48"/>
  <c r="AB33" i="48"/>
  <c r="AB34" i="48"/>
  <c r="AB35" i="48"/>
  <c r="AB36" i="48"/>
  <c r="AB37" i="48"/>
  <c r="AB38" i="48"/>
  <c r="AC38" i="48"/>
  <c r="P38" i="48"/>
  <c r="E37" i="48"/>
  <c r="AM38" i="49"/>
  <c r="AH38" i="49"/>
  <c r="AB9" i="49"/>
  <c r="AB10" i="49"/>
  <c r="AB11" i="49"/>
  <c r="AB12" i="49"/>
  <c r="AB13" i="49"/>
  <c r="AB14" i="49"/>
  <c r="AB15" i="49"/>
  <c r="AB16" i="49"/>
  <c r="AB17" i="49"/>
  <c r="AB18" i="49"/>
  <c r="AB19" i="49"/>
  <c r="AB20" i="49"/>
  <c r="AB21" i="49"/>
  <c r="AB22" i="49"/>
  <c r="AB23" i="49"/>
  <c r="AB24" i="49"/>
  <c r="AB25" i="49"/>
  <c r="AB26" i="49"/>
  <c r="AB27" i="49"/>
  <c r="AB28" i="49"/>
  <c r="AB29" i="49"/>
  <c r="AB30" i="49"/>
  <c r="AB31" i="49"/>
  <c r="AB32" i="49"/>
  <c r="AB33" i="49"/>
  <c r="AB34" i="49"/>
  <c r="AB35" i="49"/>
  <c r="AB36" i="49"/>
  <c r="AB37" i="49"/>
  <c r="AB38" i="49"/>
  <c r="AC38" i="49"/>
  <c r="P38" i="49"/>
  <c r="E37" i="49"/>
  <c r="AM38" i="50"/>
  <c r="AH38" i="50"/>
  <c r="AB9" i="50"/>
  <c r="AB10" i="50"/>
  <c r="AB11" i="50"/>
  <c r="AB12" i="50"/>
  <c r="AB13" i="50"/>
  <c r="AB14" i="50"/>
  <c r="AB15" i="50"/>
  <c r="AB16" i="50"/>
  <c r="AB17" i="50"/>
  <c r="AB18" i="50"/>
  <c r="AB19" i="50"/>
  <c r="AB20" i="50"/>
  <c r="AB21" i="50"/>
  <c r="AB22" i="50"/>
  <c r="AB23" i="50"/>
  <c r="AB24" i="50"/>
  <c r="AB25" i="50"/>
  <c r="AB26" i="50"/>
  <c r="AB27" i="50"/>
  <c r="AB28" i="50"/>
  <c r="AB29" i="50"/>
  <c r="AB30" i="50"/>
  <c r="AB31" i="50"/>
  <c r="AB32" i="50"/>
  <c r="AB33" i="50"/>
  <c r="AB34" i="50"/>
  <c r="AB35" i="50"/>
  <c r="AB36" i="50"/>
  <c r="AB37" i="50"/>
  <c r="AB38" i="50"/>
  <c r="AC38" i="50"/>
  <c r="P38" i="50"/>
  <c r="E37" i="50"/>
  <c r="AM38" i="51"/>
  <c r="AH38" i="51"/>
  <c r="AB9" i="51"/>
  <c r="AB10" i="51"/>
  <c r="AB11" i="51"/>
  <c r="AB12" i="51"/>
  <c r="AB13" i="51"/>
  <c r="AB14" i="51"/>
  <c r="AB15" i="51"/>
  <c r="AB16" i="51"/>
  <c r="AB17" i="51"/>
  <c r="AB18" i="51"/>
  <c r="AB19" i="51"/>
  <c r="AB20" i="51"/>
  <c r="AB21" i="51"/>
  <c r="AB22" i="51"/>
  <c r="AB23" i="51"/>
  <c r="AB24" i="51"/>
  <c r="AB25" i="51"/>
  <c r="AB26" i="51"/>
  <c r="AB27" i="51"/>
  <c r="AB28" i="51"/>
  <c r="AB29" i="51"/>
  <c r="AB30" i="51"/>
  <c r="AB31" i="51"/>
  <c r="AB32" i="51"/>
  <c r="AB33" i="51"/>
  <c r="AB34" i="51"/>
  <c r="AB35" i="51"/>
  <c r="AB36" i="51"/>
  <c r="AB37" i="51"/>
  <c r="AB38" i="51"/>
  <c r="AC38" i="51"/>
  <c r="P38" i="51"/>
  <c r="E37" i="51"/>
  <c r="AM38" i="52"/>
  <c r="AH38" i="52"/>
  <c r="AB9" i="52"/>
  <c r="AB10" i="52"/>
  <c r="AB11" i="52"/>
  <c r="AB12" i="52"/>
  <c r="AB13" i="52"/>
  <c r="AB14" i="52"/>
  <c r="AB15" i="52"/>
  <c r="AB16" i="52"/>
  <c r="AB17" i="52"/>
  <c r="AB18" i="52"/>
  <c r="AB19" i="52"/>
  <c r="AB20" i="52"/>
  <c r="AB21" i="52"/>
  <c r="AB22" i="52"/>
  <c r="AB23" i="52"/>
  <c r="AB24" i="52"/>
  <c r="AB25" i="52"/>
  <c r="AB26" i="52"/>
  <c r="AB27" i="52"/>
  <c r="AB28" i="52"/>
  <c r="AB29" i="52"/>
  <c r="AB30" i="52"/>
  <c r="AB31" i="52"/>
  <c r="AB32" i="52"/>
  <c r="AB33" i="52"/>
  <c r="AB34" i="52"/>
  <c r="AB35" i="52"/>
  <c r="AB36" i="52"/>
  <c r="AB37" i="52"/>
  <c r="AB38" i="52"/>
  <c r="AC38" i="52"/>
  <c r="P38" i="52"/>
  <c r="E37" i="52"/>
  <c r="AM38" i="53"/>
  <c r="AH38" i="53"/>
  <c r="AB9" i="53"/>
  <c r="AB10" i="53"/>
  <c r="AB11" i="53"/>
  <c r="AB12" i="53"/>
  <c r="AB13" i="53"/>
  <c r="AB14" i="53"/>
  <c r="AB15" i="53"/>
  <c r="AB16" i="53"/>
  <c r="AB17" i="53"/>
  <c r="AB18" i="53"/>
  <c r="AB19" i="53"/>
  <c r="AB20" i="53"/>
  <c r="AB21" i="53"/>
  <c r="AB22" i="53"/>
  <c r="AB23" i="53"/>
  <c r="AB24" i="53"/>
  <c r="AB25" i="53"/>
  <c r="AB26" i="53"/>
  <c r="AB27" i="53"/>
  <c r="AB28" i="53"/>
  <c r="AB29" i="53"/>
  <c r="AB30" i="53"/>
  <c r="AB31" i="53"/>
  <c r="AB32" i="53"/>
  <c r="AB33" i="53"/>
  <c r="AB34" i="53"/>
  <c r="AB35" i="53"/>
  <c r="AB36" i="53"/>
  <c r="AB37" i="53"/>
  <c r="AB38" i="53"/>
  <c r="AC38" i="53"/>
  <c r="P38" i="53"/>
  <c r="E37" i="53"/>
  <c r="AM38" i="54"/>
  <c r="AH38" i="54"/>
  <c r="AB9" i="54"/>
  <c r="AB10" i="54"/>
  <c r="AB11" i="54"/>
  <c r="AB12" i="54"/>
  <c r="AB13" i="54"/>
  <c r="AB14" i="54"/>
  <c r="AB15" i="54"/>
  <c r="AB16" i="54"/>
  <c r="AB17" i="54"/>
  <c r="AB18" i="54"/>
  <c r="AB19" i="54"/>
  <c r="AB20" i="54"/>
  <c r="AB21" i="54"/>
  <c r="AB22" i="54"/>
  <c r="AB23" i="54"/>
  <c r="AB24" i="54"/>
  <c r="AB25" i="54"/>
  <c r="AB26" i="54"/>
  <c r="AB27" i="54"/>
  <c r="AB28" i="54"/>
  <c r="AB29" i="54"/>
  <c r="AB30" i="54"/>
  <c r="AB31" i="54"/>
  <c r="AB32" i="54"/>
  <c r="AB33" i="54"/>
  <c r="AB34" i="54"/>
  <c r="AB35" i="54"/>
  <c r="AB36" i="54"/>
  <c r="AB37" i="54"/>
  <c r="AB38" i="54"/>
  <c r="AC38" i="54"/>
  <c r="P38" i="54"/>
  <c r="E37" i="54"/>
  <c r="AM38" i="55"/>
  <c r="AH38" i="55"/>
  <c r="AB9" i="55"/>
  <c r="AB10" i="55"/>
  <c r="AB11" i="55"/>
  <c r="AB12" i="55"/>
  <c r="AB13" i="55"/>
  <c r="AB14" i="55"/>
  <c r="AB15" i="55"/>
  <c r="AB16" i="55"/>
  <c r="AB17" i="55"/>
  <c r="AB18" i="55"/>
  <c r="AB19" i="55"/>
  <c r="AB20" i="55"/>
  <c r="AB21" i="55"/>
  <c r="AB22" i="55"/>
  <c r="AB23" i="55"/>
  <c r="AB24" i="55"/>
  <c r="AB25" i="55"/>
  <c r="AB26" i="55"/>
  <c r="AB27" i="55"/>
  <c r="AB28" i="55"/>
  <c r="AB29" i="55"/>
  <c r="AB30" i="55"/>
  <c r="AB31" i="55"/>
  <c r="AB32" i="55"/>
  <c r="AB33" i="55"/>
  <c r="AB34" i="55"/>
  <c r="AB35" i="55"/>
  <c r="AB36" i="55"/>
  <c r="AB37" i="55"/>
  <c r="AB38" i="55"/>
  <c r="AC38" i="55"/>
  <c r="P38" i="55"/>
  <c r="E37" i="55"/>
  <c r="AM38" i="56"/>
  <c r="AH38" i="56"/>
  <c r="AB9" i="56"/>
  <c r="AB10" i="56"/>
  <c r="AB11" i="56"/>
  <c r="AB12" i="56"/>
  <c r="AB13" i="56"/>
  <c r="AB14" i="56"/>
  <c r="AB15" i="56"/>
  <c r="AB16" i="56"/>
  <c r="AB17" i="56"/>
  <c r="AB18" i="56"/>
  <c r="AB19" i="56"/>
  <c r="AB20" i="56"/>
  <c r="AB21" i="56"/>
  <c r="AB22" i="56"/>
  <c r="AB23" i="56"/>
  <c r="AB24" i="56"/>
  <c r="AB25" i="56"/>
  <c r="AB26" i="56"/>
  <c r="AB27" i="56"/>
  <c r="AB28" i="56"/>
  <c r="AB29" i="56"/>
  <c r="AB30" i="56"/>
  <c r="AB31" i="56"/>
  <c r="AB32" i="56"/>
  <c r="AB33" i="56"/>
  <c r="AB34" i="56"/>
  <c r="AB35" i="56"/>
  <c r="AB36" i="56"/>
  <c r="AB37" i="56"/>
  <c r="AB38" i="56"/>
  <c r="AC38" i="56"/>
  <c r="P38" i="56"/>
  <c r="E37" i="56"/>
  <c r="AM38" i="57"/>
  <c r="AH38" i="57"/>
  <c r="AB9" i="57"/>
  <c r="AB10" i="57"/>
  <c r="AB11" i="57"/>
  <c r="AB12" i="57"/>
  <c r="AB13" i="57"/>
  <c r="AB14" i="57"/>
  <c r="AB15" i="57"/>
  <c r="AB16" i="57"/>
  <c r="AB17" i="57"/>
  <c r="AB18" i="57"/>
  <c r="AB19" i="57"/>
  <c r="AB20" i="57"/>
  <c r="AB21" i="57"/>
  <c r="AB22" i="57"/>
  <c r="AB23" i="57"/>
  <c r="AB24" i="57"/>
  <c r="AB25" i="57"/>
  <c r="AB26" i="57"/>
  <c r="AB27" i="57"/>
  <c r="AB28" i="57"/>
  <c r="AB29" i="57"/>
  <c r="AB30" i="57"/>
  <c r="AB31" i="57"/>
  <c r="AB32" i="57"/>
  <c r="AB33" i="57"/>
  <c r="AB34" i="57"/>
  <c r="AB35" i="57"/>
  <c r="AB36" i="57"/>
  <c r="AB37" i="57"/>
  <c r="AB38" i="57"/>
  <c r="AC38" i="57"/>
  <c r="P38" i="57"/>
  <c r="E37" i="57"/>
  <c r="AM38" i="58"/>
  <c r="AH38" i="58"/>
  <c r="AB9" i="58"/>
  <c r="AB10" i="58"/>
  <c r="AB11" i="58"/>
  <c r="AB12" i="58"/>
  <c r="AB13" i="58"/>
  <c r="AB14" i="58"/>
  <c r="AB15" i="58"/>
  <c r="AB16" i="58"/>
  <c r="AB17" i="58"/>
  <c r="AB18" i="58"/>
  <c r="AB19" i="58"/>
  <c r="AB20" i="58"/>
  <c r="AB21" i="58"/>
  <c r="AB22" i="58"/>
  <c r="AB23" i="58"/>
  <c r="AB24" i="58"/>
  <c r="AB25" i="58"/>
  <c r="AB26" i="58"/>
  <c r="AB27" i="58"/>
  <c r="AB28" i="58"/>
  <c r="AB29" i="58"/>
  <c r="AB30" i="58"/>
  <c r="AB31" i="58"/>
  <c r="AB32" i="58"/>
  <c r="AB33" i="58"/>
  <c r="AB34" i="58"/>
  <c r="AB35" i="58"/>
  <c r="AB36" i="58"/>
  <c r="AB37" i="58"/>
  <c r="AB38" i="58"/>
  <c r="AC38" i="58"/>
  <c r="P38" i="58"/>
  <c r="E37" i="58"/>
  <c r="AM38" i="59"/>
  <c r="AH38" i="59"/>
  <c r="AB9" i="59"/>
  <c r="AB10" i="59"/>
  <c r="AB11" i="59"/>
  <c r="AB12" i="59"/>
  <c r="AB13" i="59"/>
  <c r="AB14" i="59"/>
  <c r="AB15" i="59"/>
  <c r="AB16" i="59"/>
  <c r="AB17" i="59"/>
  <c r="AB18" i="59"/>
  <c r="AB19" i="59"/>
  <c r="AB20" i="59"/>
  <c r="AB21" i="59"/>
  <c r="AB22" i="59"/>
  <c r="AB23" i="59"/>
  <c r="AB24" i="59"/>
  <c r="AB25" i="59"/>
  <c r="AB26" i="59"/>
  <c r="AB27" i="59"/>
  <c r="AB28" i="59"/>
  <c r="AB29" i="59"/>
  <c r="AB30" i="59"/>
  <c r="AB31" i="59"/>
  <c r="AB32" i="59"/>
  <c r="AB33" i="59"/>
  <c r="AB34" i="59"/>
  <c r="AB35" i="59"/>
  <c r="AB36" i="59"/>
  <c r="AB37" i="59"/>
  <c r="AB38" i="59"/>
  <c r="AC38" i="59"/>
  <c r="P38" i="59"/>
  <c r="E37" i="59"/>
  <c r="AH38" i="31"/>
  <c r="AB9" i="31"/>
  <c r="AB10" i="31"/>
  <c r="AB11" i="31"/>
  <c r="AB12" i="31"/>
  <c r="AB13" i="31"/>
  <c r="AB14" i="31"/>
  <c r="AB15" i="31"/>
  <c r="AB16" i="31"/>
  <c r="AB17" i="31"/>
  <c r="AB18" i="31"/>
  <c r="AB19" i="31"/>
  <c r="AB20" i="31"/>
  <c r="AB21" i="31"/>
  <c r="AB22" i="31"/>
  <c r="AB23" i="31"/>
  <c r="AB24" i="31"/>
  <c r="AB25" i="31"/>
  <c r="AB26" i="31"/>
  <c r="AB27" i="31"/>
  <c r="AB28" i="31"/>
  <c r="AB29" i="31"/>
  <c r="AB30" i="31"/>
  <c r="AB31" i="31"/>
  <c r="AB32" i="31"/>
  <c r="AB33" i="31"/>
  <c r="AB34" i="31"/>
  <c r="AB35" i="31"/>
  <c r="AB36" i="31"/>
  <c r="AB37" i="31"/>
  <c r="AB38" i="31"/>
  <c r="AC38" i="31"/>
  <c r="E37" i="31"/>
  <c r="F56" i="4"/>
  <c r="AM37" i="36"/>
  <c r="AM26" i="36"/>
  <c r="AM22" i="36"/>
  <c r="AM20" i="36"/>
  <c r="AM19" i="36"/>
  <c r="AM18" i="36"/>
  <c r="AM17" i="36"/>
  <c r="AM16" i="36"/>
  <c r="AM14" i="36"/>
  <c r="AM13" i="36"/>
  <c r="P10" i="37"/>
  <c r="AM10" i="37"/>
  <c r="AM33" i="38"/>
  <c r="AM32" i="38"/>
  <c r="AM31" i="38"/>
  <c r="AM28" i="38"/>
  <c r="AM27" i="38"/>
  <c r="AM24" i="38"/>
  <c r="AM22" i="38"/>
  <c r="AM18" i="38"/>
  <c r="AM17" i="38"/>
  <c r="AM10" i="38"/>
  <c r="AM8" i="38"/>
  <c r="AM35" i="39"/>
  <c r="AM32" i="39"/>
  <c r="AM31" i="39"/>
  <c r="AM30" i="39"/>
  <c r="AM28" i="39"/>
  <c r="AM17" i="39"/>
  <c r="AM11" i="39"/>
  <c r="AM10" i="39"/>
  <c r="AM8" i="39"/>
  <c r="AM36" i="40"/>
  <c r="AM34" i="40"/>
  <c r="AM24" i="40"/>
  <c r="AM23" i="40"/>
  <c r="AM21" i="40"/>
  <c r="AM20" i="40"/>
  <c r="AM12" i="40"/>
  <c r="AM11" i="40"/>
  <c r="AM18" i="41"/>
  <c r="P17" i="41"/>
  <c r="AM17" i="41"/>
  <c r="P12" i="41"/>
  <c r="AM12" i="41"/>
  <c r="P11" i="41"/>
  <c r="AM11" i="41"/>
  <c r="P10" i="41"/>
  <c r="AM10" i="41"/>
  <c r="P8" i="41"/>
  <c r="AM8" i="41"/>
  <c r="AM35" i="42"/>
  <c r="P34" i="42"/>
  <c r="AM34" i="42"/>
  <c r="P33" i="42"/>
  <c r="AM33" i="42"/>
  <c r="P32" i="42"/>
  <c r="AM32" i="42"/>
  <c r="AM31" i="42"/>
  <c r="AM30" i="42"/>
  <c r="AM29" i="42"/>
  <c r="AM28" i="42"/>
  <c r="P27" i="42"/>
  <c r="AM27" i="42"/>
  <c r="P26" i="42"/>
  <c r="AM26" i="42"/>
  <c r="P25" i="42"/>
  <c r="AM25" i="42"/>
  <c r="P21" i="42"/>
  <c r="AM21" i="42"/>
  <c r="P20" i="42"/>
  <c r="AM20" i="42"/>
  <c r="P19" i="42"/>
  <c r="AM19" i="42"/>
  <c r="AM10" i="42"/>
  <c r="AM8" i="42"/>
  <c r="AM13" i="4"/>
  <c r="AM27" i="4"/>
  <c r="AM33" i="4"/>
  <c r="AM26" i="4"/>
  <c r="AM10" i="33"/>
  <c r="AM17" i="33"/>
  <c r="AM21" i="33"/>
  <c r="AM24" i="33"/>
  <c r="AM28" i="33"/>
  <c r="AM31" i="33"/>
  <c r="AM33" i="33"/>
  <c r="AM34" i="33"/>
  <c r="AM35" i="33"/>
  <c r="AM10" i="35"/>
  <c r="AM17" i="35"/>
  <c r="AM19" i="35"/>
  <c r="AM20" i="35"/>
  <c r="AM24" i="35"/>
  <c r="AM28" i="35"/>
  <c r="AM31" i="35"/>
  <c r="AM32" i="35"/>
  <c r="AM34" i="35"/>
  <c r="AM35" i="35"/>
  <c r="BF6" i="6"/>
  <c r="BE7" i="6"/>
  <c r="BF7" i="6"/>
  <c r="BE8" i="6"/>
  <c r="BF8" i="6"/>
  <c r="BE9" i="6"/>
  <c r="BF9" i="6"/>
  <c r="BE10" i="6"/>
  <c r="BF10" i="6"/>
  <c r="BE11" i="6"/>
  <c r="BF11" i="6"/>
  <c r="BE12" i="6"/>
  <c r="BF12" i="6"/>
  <c r="BE13" i="6"/>
  <c r="BF13" i="6"/>
  <c r="BE14" i="6"/>
  <c r="BF14" i="6"/>
  <c r="BE15" i="6"/>
  <c r="BF15" i="6"/>
  <c r="BE16" i="6"/>
  <c r="BF16" i="6"/>
  <c r="BE17" i="6"/>
  <c r="BF17" i="6"/>
  <c r="BE18" i="6"/>
  <c r="BF18" i="6"/>
  <c r="BE19" i="6"/>
  <c r="BF19" i="6"/>
  <c r="BE20" i="6"/>
  <c r="BF20" i="6"/>
  <c r="BE21" i="6"/>
  <c r="BF21" i="6"/>
  <c r="BE22" i="6"/>
  <c r="BF22" i="6"/>
  <c r="BE23" i="6"/>
  <c r="BF23" i="6"/>
  <c r="BE24" i="6"/>
  <c r="BF24" i="6"/>
  <c r="BE25" i="6"/>
  <c r="BF25" i="6"/>
  <c r="BE26" i="6"/>
  <c r="BF26" i="6"/>
  <c r="BE27" i="6"/>
  <c r="BF27" i="6"/>
  <c r="BE28" i="6"/>
  <c r="BF28" i="6"/>
  <c r="BE29" i="6"/>
  <c r="BF29" i="6"/>
  <c r="BE30" i="6"/>
  <c r="BF30" i="6"/>
  <c r="BE31" i="6"/>
  <c r="BF31" i="6"/>
  <c r="BE32" i="6"/>
  <c r="BF32" i="6"/>
  <c r="BE33" i="6"/>
  <c r="BF33" i="6"/>
  <c r="BE34" i="6"/>
  <c r="BF34" i="6"/>
  <c r="BE35" i="6"/>
  <c r="BF35" i="6"/>
  <c r="BF5" i="6"/>
  <c r="O85" i="8"/>
  <c r="BB6" i="6"/>
  <c r="BA7" i="6"/>
  <c r="BB7" i="6"/>
  <c r="BA8" i="6"/>
  <c r="BB8" i="6"/>
  <c r="BA9" i="6"/>
  <c r="BB9" i="6"/>
  <c r="BA10" i="6"/>
  <c r="BB10" i="6"/>
  <c r="BA11" i="6"/>
  <c r="BB11" i="6"/>
  <c r="BA12" i="6"/>
  <c r="BB12" i="6"/>
  <c r="BA13" i="6"/>
  <c r="BB13" i="6"/>
  <c r="BA14" i="6"/>
  <c r="BB14" i="6"/>
  <c r="BA15" i="6"/>
  <c r="BB15" i="6"/>
  <c r="BA16" i="6"/>
  <c r="BB16" i="6"/>
  <c r="BA17" i="6"/>
  <c r="BB17" i="6"/>
  <c r="BA18" i="6"/>
  <c r="BB18" i="6"/>
  <c r="BA19" i="6"/>
  <c r="BB19" i="6"/>
  <c r="BA20" i="6"/>
  <c r="BB20" i="6"/>
  <c r="BA21" i="6"/>
  <c r="BB21" i="6"/>
  <c r="BA22" i="6"/>
  <c r="BB22" i="6"/>
  <c r="BA23" i="6"/>
  <c r="BB23" i="6"/>
  <c r="BA24" i="6"/>
  <c r="BB24" i="6"/>
  <c r="BA25" i="6"/>
  <c r="BB25" i="6"/>
  <c r="BA26" i="6"/>
  <c r="BB26" i="6"/>
  <c r="BA27" i="6"/>
  <c r="BB27" i="6"/>
  <c r="BA28" i="6"/>
  <c r="BB28" i="6"/>
  <c r="BA29" i="6"/>
  <c r="BB29" i="6"/>
  <c r="BA30" i="6"/>
  <c r="BB30" i="6"/>
  <c r="BA31" i="6"/>
  <c r="BB31" i="6"/>
  <c r="BA32" i="6"/>
  <c r="BB32" i="6"/>
  <c r="BA33" i="6"/>
  <c r="BB33" i="6"/>
  <c r="BA34" i="6"/>
  <c r="BB34" i="6"/>
  <c r="BA35" i="6"/>
  <c r="BB35" i="6"/>
  <c r="BB5" i="6"/>
  <c r="N85" i="8"/>
  <c r="AZ6" i="6"/>
  <c r="AY7" i="6"/>
  <c r="AZ7" i="6"/>
  <c r="AY8" i="6"/>
  <c r="AZ8" i="6"/>
  <c r="AY9" i="6"/>
  <c r="AZ9" i="6"/>
  <c r="AY10" i="6"/>
  <c r="AZ10" i="6"/>
  <c r="AY11" i="6"/>
  <c r="AZ11" i="6"/>
  <c r="AY12" i="6"/>
  <c r="AZ12" i="6"/>
  <c r="AY13" i="6"/>
  <c r="AZ13" i="6"/>
  <c r="AY14" i="6"/>
  <c r="AZ14" i="6"/>
  <c r="AY15" i="6"/>
  <c r="AZ15" i="6"/>
  <c r="AY16" i="6"/>
  <c r="AZ16" i="6"/>
  <c r="AY17" i="6"/>
  <c r="AZ17" i="6"/>
  <c r="AY18" i="6"/>
  <c r="AZ18" i="6"/>
  <c r="AY19" i="6"/>
  <c r="AZ19" i="6"/>
  <c r="AY20" i="6"/>
  <c r="AZ20" i="6"/>
  <c r="AY21" i="6"/>
  <c r="AZ21" i="6"/>
  <c r="AY22" i="6"/>
  <c r="AZ22" i="6"/>
  <c r="AY23" i="6"/>
  <c r="AZ23" i="6"/>
  <c r="AY24" i="6"/>
  <c r="AZ24" i="6"/>
  <c r="AY25" i="6"/>
  <c r="AZ25" i="6"/>
  <c r="AY26" i="6"/>
  <c r="AZ26" i="6"/>
  <c r="AY27" i="6"/>
  <c r="AZ27" i="6"/>
  <c r="AY28" i="6"/>
  <c r="AZ28" i="6"/>
  <c r="AY29" i="6"/>
  <c r="AZ29" i="6"/>
  <c r="AY30" i="6"/>
  <c r="AZ30" i="6"/>
  <c r="AY31" i="6"/>
  <c r="AZ31" i="6"/>
  <c r="AY32" i="6"/>
  <c r="AZ32" i="6"/>
  <c r="AY33" i="6"/>
  <c r="AZ33" i="6"/>
  <c r="AY34" i="6"/>
  <c r="AZ34" i="6"/>
  <c r="AY35" i="6"/>
  <c r="AZ35" i="6"/>
  <c r="AZ5" i="6"/>
  <c r="M85" i="8"/>
  <c r="AX6" i="6"/>
  <c r="AW7" i="6"/>
  <c r="AX7" i="6"/>
  <c r="AW8" i="6"/>
  <c r="AX8" i="6"/>
  <c r="AW9" i="6"/>
  <c r="AX9" i="6"/>
  <c r="AW10" i="6"/>
  <c r="AX10" i="6"/>
  <c r="AW11" i="6"/>
  <c r="AX11" i="6"/>
  <c r="AW12" i="6"/>
  <c r="AX12" i="6"/>
  <c r="AW13" i="6"/>
  <c r="AX13" i="6"/>
  <c r="AW14" i="6"/>
  <c r="AX14" i="6"/>
  <c r="AW15" i="6"/>
  <c r="AX15" i="6"/>
  <c r="AW16" i="6"/>
  <c r="AX16" i="6"/>
  <c r="AW17" i="6"/>
  <c r="AX17" i="6"/>
  <c r="AW18" i="6"/>
  <c r="AX18" i="6"/>
  <c r="AW19" i="6"/>
  <c r="AX19" i="6"/>
  <c r="AW20" i="6"/>
  <c r="AX20" i="6"/>
  <c r="AW21" i="6"/>
  <c r="AX21" i="6"/>
  <c r="AW22" i="6"/>
  <c r="AX22" i="6"/>
  <c r="AW23" i="6"/>
  <c r="AX23" i="6"/>
  <c r="AW24" i="6"/>
  <c r="AX24" i="6"/>
  <c r="AW25" i="6"/>
  <c r="AX25" i="6"/>
  <c r="AW26" i="6"/>
  <c r="AX26" i="6"/>
  <c r="AW27" i="6"/>
  <c r="AX27" i="6"/>
  <c r="AW28" i="6"/>
  <c r="AX28" i="6"/>
  <c r="AW29" i="6"/>
  <c r="AX29" i="6"/>
  <c r="AW30" i="6"/>
  <c r="AX30" i="6"/>
  <c r="AW31" i="6"/>
  <c r="AX31" i="6"/>
  <c r="AW32" i="6"/>
  <c r="AX32" i="6"/>
  <c r="AW33" i="6"/>
  <c r="AX33" i="6"/>
  <c r="AW34" i="6"/>
  <c r="AX34" i="6"/>
  <c r="AW35" i="6"/>
  <c r="AX35" i="6"/>
  <c r="AX5" i="6"/>
  <c r="L85" i="8"/>
  <c r="AV6" i="6"/>
  <c r="AU7" i="6"/>
  <c r="AV7" i="6"/>
  <c r="AU8" i="6"/>
  <c r="AV8" i="6"/>
  <c r="AU9" i="6"/>
  <c r="AV9" i="6"/>
  <c r="AU10" i="6"/>
  <c r="AV10" i="6"/>
  <c r="AU11" i="6"/>
  <c r="AV11" i="6"/>
  <c r="AU12" i="6"/>
  <c r="AV12" i="6"/>
  <c r="AU13" i="6"/>
  <c r="AV13" i="6"/>
  <c r="AU14" i="6"/>
  <c r="AV14" i="6"/>
  <c r="AU15" i="6"/>
  <c r="AV15" i="6"/>
  <c r="AU16" i="6"/>
  <c r="AV16" i="6"/>
  <c r="AU17" i="6"/>
  <c r="AV17" i="6"/>
  <c r="AU18" i="6"/>
  <c r="AV18" i="6"/>
  <c r="AU19" i="6"/>
  <c r="AV19" i="6"/>
  <c r="AU20" i="6"/>
  <c r="AV20" i="6"/>
  <c r="AU21" i="6"/>
  <c r="AV21" i="6"/>
  <c r="AU22" i="6"/>
  <c r="AV22" i="6"/>
  <c r="AU23" i="6"/>
  <c r="AV23" i="6"/>
  <c r="AU24" i="6"/>
  <c r="AV24" i="6"/>
  <c r="AU25" i="6"/>
  <c r="AV25" i="6"/>
  <c r="AU26" i="6"/>
  <c r="AV26" i="6"/>
  <c r="AU27" i="6"/>
  <c r="AV27" i="6"/>
  <c r="AU28" i="6"/>
  <c r="AV28" i="6"/>
  <c r="AU29" i="6"/>
  <c r="AV29" i="6"/>
  <c r="AU30" i="6"/>
  <c r="AV30" i="6"/>
  <c r="AU31" i="6"/>
  <c r="AV31" i="6"/>
  <c r="AU32" i="6"/>
  <c r="AV32" i="6"/>
  <c r="AU33" i="6"/>
  <c r="AV33" i="6"/>
  <c r="AU34" i="6"/>
  <c r="AV34" i="6"/>
  <c r="AU35" i="6"/>
  <c r="AV35" i="6"/>
  <c r="AV5" i="6"/>
  <c r="K85" i="8"/>
  <c r="AT6" i="6"/>
  <c r="AS7" i="6"/>
  <c r="AT7" i="6"/>
  <c r="AS8" i="6"/>
  <c r="AT8" i="6"/>
  <c r="AS9" i="6"/>
  <c r="AT9" i="6"/>
  <c r="AS10" i="6"/>
  <c r="AT10" i="6"/>
  <c r="AS11" i="6"/>
  <c r="AT11" i="6"/>
  <c r="AS12" i="6"/>
  <c r="AT12" i="6"/>
  <c r="AS13" i="6"/>
  <c r="AT13" i="6"/>
  <c r="AS14" i="6"/>
  <c r="AT14" i="6"/>
  <c r="AS15" i="6"/>
  <c r="AT15" i="6"/>
  <c r="AS16" i="6"/>
  <c r="AT16" i="6"/>
  <c r="AS17" i="6"/>
  <c r="AT17" i="6"/>
  <c r="AS18" i="6"/>
  <c r="AT18" i="6"/>
  <c r="AS19" i="6"/>
  <c r="AT19" i="6"/>
  <c r="AS20" i="6"/>
  <c r="AT20" i="6"/>
  <c r="AS21" i="6"/>
  <c r="AT21" i="6"/>
  <c r="AS22" i="6"/>
  <c r="AT22" i="6"/>
  <c r="AS23" i="6"/>
  <c r="AT23" i="6"/>
  <c r="AS24" i="6"/>
  <c r="AT24" i="6"/>
  <c r="AS25" i="6"/>
  <c r="AT25" i="6"/>
  <c r="AS26" i="6"/>
  <c r="AT26" i="6"/>
  <c r="AS27" i="6"/>
  <c r="AT27" i="6"/>
  <c r="AS28" i="6"/>
  <c r="AT28" i="6"/>
  <c r="AS29" i="6"/>
  <c r="AT29" i="6"/>
  <c r="AS30" i="6"/>
  <c r="AT30" i="6"/>
  <c r="AS31" i="6"/>
  <c r="AT31" i="6"/>
  <c r="AS32" i="6"/>
  <c r="AT32" i="6"/>
  <c r="AS33" i="6"/>
  <c r="AT33" i="6"/>
  <c r="AS34" i="6"/>
  <c r="AT34" i="6"/>
  <c r="AS35" i="6"/>
  <c r="AT35" i="6"/>
  <c r="AT5" i="6"/>
  <c r="J85" i="8"/>
  <c r="AR6" i="6"/>
  <c r="AQ7" i="6"/>
  <c r="AR7" i="6"/>
  <c r="AQ8" i="6"/>
  <c r="AR8" i="6"/>
  <c r="AQ9" i="6"/>
  <c r="AR9" i="6"/>
  <c r="AQ10" i="6"/>
  <c r="AR10" i="6"/>
  <c r="AQ11" i="6"/>
  <c r="AR11" i="6"/>
  <c r="AQ12" i="6"/>
  <c r="AR12" i="6"/>
  <c r="AQ13" i="6"/>
  <c r="AR13" i="6"/>
  <c r="AQ14" i="6"/>
  <c r="AR14" i="6"/>
  <c r="AQ15" i="6"/>
  <c r="AR15" i="6"/>
  <c r="AQ16" i="6"/>
  <c r="AR16" i="6"/>
  <c r="AQ17" i="6"/>
  <c r="AR17" i="6"/>
  <c r="AQ18" i="6"/>
  <c r="AR18" i="6"/>
  <c r="AQ19" i="6"/>
  <c r="AR19" i="6"/>
  <c r="AQ20" i="6"/>
  <c r="AR20" i="6"/>
  <c r="AQ21" i="6"/>
  <c r="AR21" i="6"/>
  <c r="AQ22" i="6"/>
  <c r="AR22" i="6"/>
  <c r="AQ23" i="6"/>
  <c r="AR23" i="6"/>
  <c r="AQ24" i="6"/>
  <c r="AR24" i="6"/>
  <c r="AQ25" i="6"/>
  <c r="AR25" i="6"/>
  <c r="AQ26" i="6"/>
  <c r="AR26" i="6"/>
  <c r="AQ27" i="6"/>
  <c r="AR27" i="6"/>
  <c r="AQ28" i="6"/>
  <c r="AR28" i="6"/>
  <c r="AQ29" i="6"/>
  <c r="AR29" i="6"/>
  <c r="AQ30" i="6"/>
  <c r="AR30" i="6"/>
  <c r="AQ31" i="6"/>
  <c r="AR31" i="6"/>
  <c r="AQ32" i="6"/>
  <c r="AR32" i="6"/>
  <c r="AQ33" i="6"/>
  <c r="AR33" i="6"/>
  <c r="AQ34" i="6"/>
  <c r="AR34" i="6"/>
  <c r="AQ35" i="6"/>
  <c r="AR35" i="6"/>
  <c r="AR5" i="6"/>
  <c r="I85" i="8"/>
  <c r="AP6" i="6"/>
  <c r="AO7" i="6"/>
  <c r="AP7" i="6"/>
  <c r="AO8" i="6"/>
  <c r="AP8" i="6"/>
  <c r="AO9" i="6"/>
  <c r="AP9" i="6"/>
  <c r="AO10" i="6"/>
  <c r="AP10" i="6"/>
  <c r="AO11" i="6"/>
  <c r="AP11" i="6"/>
  <c r="AO12" i="6"/>
  <c r="AP12" i="6"/>
  <c r="AO13" i="6"/>
  <c r="AP13" i="6"/>
  <c r="AO14" i="6"/>
  <c r="AP14" i="6"/>
  <c r="AO15" i="6"/>
  <c r="AP15" i="6"/>
  <c r="AO16" i="6"/>
  <c r="AP16" i="6"/>
  <c r="AO17" i="6"/>
  <c r="AP17" i="6"/>
  <c r="AO18" i="6"/>
  <c r="AP18" i="6"/>
  <c r="AO19" i="6"/>
  <c r="AP19" i="6"/>
  <c r="AO20" i="6"/>
  <c r="AP20" i="6"/>
  <c r="AO21" i="6"/>
  <c r="AP21" i="6"/>
  <c r="AO22" i="6"/>
  <c r="AP22" i="6"/>
  <c r="AO23" i="6"/>
  <c r="AP23" i="6"/>
  <c r="AO24" i="6"/>
  <c r="AP24" i="6"/>
  <c r="AO25" i="6"/>
  <c r="AP25" i="6"/>
  <c r="AO26" i="6"/>
  <c r="AP26" i="6"/>
  <c r="AO27" i="6"/>
  <c r="AP27" i="6"/>
  <c r="AO28" i="6"/>
  <c r="AP28" i="6"/>
  <c r="AO29" i="6"/>
  <c r="AP29" i="6"/>
  <c r="AO30" i="6"/>
  <c r="AP30" i="6"/>
  <c r="AO31" i="6"/>
  <c r="AP31" i="6"/>
  <c r="AO32" i="6"/>
  <c r="AP32" i="6"/>
  <c r="AO33" i="6"/>
  <c r="AP33" i="6"/>
  <c r="AO34" i="6"/>
  <c r="AP34" i="6"/>
  <c r="AO35" i="6"/>
  <c r="AP35" i="6"/>
  <c r="AP5" i="6"/>
  <c r="H85" i="8"/>
  <c r="Y36" i="6"/>
  <c r="Z36" i="6"/>
  <c r="AA36" i="6"/>
  <c r="G83" i="8"/>
  <c r="AN6" i="6"/>
  <c r="AM7" i="6"/>
  <c r="AN7" i="6"/>
  <c r="AM8" i="6"/>
  <c r="AN8" i="6"/>
  <c r="AM9" i="6"/>
  <c r="AN9" i="6"/>
  <c r="AM10" i="6"/>
  <c r="AN10" i="6"/>
  <c r="AM11" i="6"/>
  <c r="AN11" i="6"/>
  <c r="AM12" i="6"/>
  <c r="AN12" i="6"/>
  <c r="AM13" i="6"/>
  <c r="AN13" i="6"/>
  <c r="AM14" i="6"/>
  <c r="AN14" i="6"/>
  <c r="AM15" i="6"/>
  <c r="AN15" i="6"/>
  <c r="AM16" i="6"/>
  <c r="AN16" i="6"/>
  <c r="AM17" i="6"/>
  <c r="AN17" i="6"/>
  <c r="AM18" i="6"/>
  <c r="AN18" i="6"/>
  <c r="AM19" i="6"/>
  <c r="AN19" i="6"/>
  <c r="AM20" i="6"/>
  <c r="AN20" i="6"/>
  <c r="AM21" i="6"/>
  <c r="AN21" i="6"/>
  <c r="AM22" i="6"/>
  <c r="AN22" i="6"/>
  <c r="AM23" i="6"/>
  <c r="AN23" i="6"/>
  <c r="AM24" i="6"/>
  <c r="AN24" i="6"/>
  <c r="AM25" i="6"/>
  <c r="AN25" i="6"/>
  <c r="AM26" i="6"/>
  <c r="AN26" i="6"/>
  <c r="AM27" i="6"/>
  <c r="AN27" i="6"/>
  <c r="AM28" i="6"/>
  <c r="AN28" i="6"/>
  <c r="AM29" i="6"/>
  <c r="AN29" i="6"/>
  <c r="AM30" i="6"/>
  <c r="AN30" i="6"/>
  <c r="AM31" i="6"/>
  <c r="AN31" i="6"/>
  <c r="AM32" i="6"/>
  <c r="AN32" i="6"/>
  <c r="AM33" i="6"/>
  <c r="AN33" i="6"/>
  <c r="AM34" i="6"/>
  <c r="AN34" i="6"/>
  <c r="AM35" i="6"/>
  <c r="AN35" i="6"/>
  <c r="AN5" i="6"/>
  <c r="G85" i="8"/>
  <c r="F83" i="8"/>
  <c r="AL6" i="6"/>
  <c r="AK7" i="6"/>
  <c r="AL7" i="6"/>
  <c r="AK8" i="6"/>
  <c r="AL8" i="6"/>
  <c r="AK9" i="6"/>
  <c r="AL9" i="6"/>
  <c r="AK10" i="6"/>
  <c r="AL10" i="6"/>
  <c r="AK11" i="6"/>
  <c r="AL11" i="6"/>
  <c r="AK12" i="6"/>
  <c r="AL12" i="6"/>
  <c r="AK13" i="6"/>
  <c r="AL13" i="6"/>
  <c r="AK14" i="6"/>
  <c r="AL14" i="6"/>
  <c r="AK15" i="6"/>
  <c r="AL15" i="6"/>
  <c r="AK16" i="6"/>
  <c r="AL16" i="6"/>
  <c r="AK17" i="6"/>
  <c r="AL17" i="6"/>
  <c r="AK18" i="6"/>
  <c r="AL18" i="6"/>
  <c r="AK19" i="6"/>
  <c r="AL19" i="6"/>
  <c r="AK20" i="6"/>
  <c r="AL20" i="6"/>
  <c r="AK21" i="6"/>
  <c r="AL21" i="6"/>
  <c r="AK22" i="6"/>
  <c r="AL22" i="6"/>
  <c r="AK23" i="6"/>
  <c r="AL23" i="6"/>
  <c r="AK24" i="6"/>
  <c r="AL24" i="6"/>
  <c r="AK25" i="6"/>
  <c r="AL25" i="6"/>
  <c r="AK26" i="6"/>
  <c r="AL26" i="6"/>
  <c r="AK27" i="6"/>
  <c r="AL27" i="6"/>
  <c r="AK28" i="6"/>
  <c r="AL28" i="6"/>
  <c r="AK29" i="6"/>
  <c r="AL29" i="6"/>
  <c r="AK30" i="6"/>
  <c r="AL30" i="6"/>
  <c r="AK31" i="6"/>
  <c r="AL31" i="6"/>
  <c r="AK32" i="6"/>
  <c r="AL32" i="6"/>
  <c r="AK33" i="6"/>
  <c r="AL33" i="6"/>
  <c r="AK34" i="6"/>
  <c r="AL34" i="6"/>
  <c r="AK35" i="6"/>
  <c r="AL35" i="6"/>
  <c r="AL5" i="6"/>
  <c r="F85" i="8"/>
  <c r="E83" i="8"/>
  <c r="AJ6" i="6"/>
  <c r="AI7" i="6"/>
  <c r="AJ7" i="6"/>
  <c r="AI8" i="6"/>
  <c r="AJ8" i="6"/>
  <c r="AI9" i="6"/>
  <c r="AJ9" i="6"/>
  <c r="AI10" i="6"/>
  <c r="AJ10" i="6"/>
  <c r="AI11" i="6"/>
  <c r="AJ11" i="6"/>
  <c r="AI12" i="6"/>
  <c r="AJ12" i="6"/>
  <c r="AI13" i="6"/>
  <c r="AJ13" i="6"/>
  <c r="AI14" i="6"/>
  <c r="AJ14" i="6"/>
  <c r="AI15" i="6"/>
  <c r="AJ15" i="6"/>
  <c r="AI16" i="6"/>
  <c r="AJ16" i="6"/>
  <c r="AI17" i="6"/>
  <c r="AJ17" i="6"/>
  <c r="AI18" i="6"/>
  <c r="AJ18" i="6"/>
  <c r="AI19" i="6"/>
  <c r="AJ19" i="6"/>
  <c r="AI20" i="6"/>
  <c r="AJ20" i="6"/>
  <c r="AI21" i="6"/>
  <c r="AJ21" i="6"/>
  <c r="AI22" i="6"/>
  <c r="AJ22" i="6"/>
  <c r="AI23" i="6"/>
  <c r="AJ23" i="6"/>
  <c r="AI24" i="6"/>
  <c r="AJ24" i="6"/>
  <c r="AI25" i="6"/>
  <c r="AJ25" i="6"/>
  <c r="AI26" i="6"/>
  <c r="AJ26" i="6"/>
  <c r="AI27" i="6"/>
  <c r="AJ27" i="6"/>
  <c r="AI28" i="6"/>
  <c r="AJ28" i="6"/>
  <c r="AI29" i="6"/>
  <c r="AJ29" i="6"/>
  <c r="AI30" i="6"/>
  <c r="AJ30" i="6"/>
  <c r="AI31" i="6"/>
  <c r="AJ31" i="6"/>
  <c r="AI32" i="6"/>
  <c r="AJ32" i="6"/>
  <c r="AI33" i="6"/>
  <c r="AJ33" i="6"/>
  <c r="AI34" i="6"/>
  <c r="AJ34" i="6"/>
  <c r="AI35" i="6"/>
  <c r="AJ35" i="6"/>
  <c r="AJ5" i="6"/>
  <c r="E85" i="8"/>
  <c r="D83" i="8"/>
  <c r="AH6" i="6"/>
  <c r="AG7" i="6"/>
  <c r="AH7" i="6"/>
  <c r="AG8" i="6"/>
  <c r="AH8" i="6"/>
  <c r="AG9" i="6"/>
  <c r="AH9" i="6"/>
  <c r="AG10" i="6"/>
  <c r="AH10" i="6"/>
  <c r="AG11" i="6"/>
  <c r="AH11" i="6"/>
  <c r="AG12" i="6"/>
  <c r="AH12" i="6"/>
  <c r="AG13" i="6"/>
  <c r="AH13" i="6"/>
  <c r="AG14" i="6"/>
  <c r="AH14" i="6"/>
  <c r="AG15" i="6"/>
  <c r="AH15" i="6"/>
  <c r="AG16" i="6"/>
  <c r="AH16" i="6"/>
  <c r="AG17" i="6"/>
  <c r="AH17" i="6"/>
  <c r="AG18" i="6"/>
  <c r="AH18" i="6"/>
  <c r="AG19" i="6"/>
  <c r="AH19" i="6"/>
  <c r="AG20" i="6"/>
  <c r="AH20" i="6"/>
  <c r="AG21" i="6"/>
  <c r="AH21" i="6"/>
  <c r="AG22" i="6"/>
  <c r="AH22" i="6"/>
  <c r="AG23" i="6"/>
  <c r="AH23" i="6"/>
  <c r="AG24" i="6"/>
  <c r="AH24" i="6"/>
  <c r="AG25" i="6"/>
  <c r="AH25" i="6"/>
  <c r="AG26" i="6"/>
  <c r="AH26" i="6"/>
  <c r="AG27" i="6"/>
  <c r="AH27" i="6"/>
  <c r="AG28" i="6"/>
  <c r="AH28" i="6"/>
  <c r="AG29" i="6"/>
  <c r="AH29" i="6"/>
  <c r="AG30" i="6"/>
  <c r="AH30" i="6"/>
  <c r="AG31" i="6"/>
  <c r="AH31" i="6"/>
  <c r="AG32" i="6"/>
  <c r="AH32" i="6"/>
  <c r="AG33" i="6"/>
  <c r="AH33" i="6"/>
  <c r="AG34" i="6"/>
  <c r="AH34" i="6"/>
  <c r="AG35" i="6"/>
  <c r="AH35" i="6"/>
  <c r="AH5" i="6"/>
  <c r="D85" i="8"/>
  <c r="K34" i="5"/>
  <c r="F40" i="5"/>
  <c r="F38" i="5"/>
  <c r="F36" i="5"/>
  <c r="F34" i="5"/>
  <c r="F32" i="5"/>
  <c r="F30" i="5"/>
  <c r="F28" i="5"/>
  <c r="F57" i="4"/>
  <c r="I47" i="4"/>
  <c r="I46" i="4"/>
  <c r="I45" i="4"/>
  <c r="I44" i="4"/>
  <c r="I43" i="4"/>
  <c r="I42" i="4"/>
  <c r="I41" i="4"/>
  <c r="AK9" i="60"/>
  <c r="AJ10" i="60"/>
  <c r="AK10" i="60"/>
  <c r="P34" i="32"/>
  <c r="AJ11" i="60"/>
  <c r="AK11" i="60"/>
  <c r="AJ12" i="60"/>
  <c r="AK12" i="60"/>
  <c r="AJ13" i="60"/>
  <c r="AK13" i="60"/>
  <c r="AJ14" i="60"/>
  <c r="AK14" i="60"/>
  <c r="AJ15" i="60"/>
  <c r="AK15" i="60"/>
  <c r="AJ16" i="60"/>
  <c r="AK16" i="60"/>
  <c r="AJ17" i="60"/>
  <c r="AK17" i="60"/>
  <c r="AJ18" i="60"/>
  <c r="AK18" i="60"/>
  <c r="AJ19" i="60"/>
  <c r="AK19" i="60"/>
  <c r="P13" i="41"/>
  <c r="P20" i="41"/>
  <c r="P27" i="41"/>
  <c r="P34" i="41"/>
  <c r="AJ20" i="60"/>
  <c r="AK20" i="60"/>
  <c r="AJ21" i="60"/>
  <c r="AK21" i="60"/>
  <c r="P13" i="43"/>
  <c r="P20" i="43"/>
  <c r="P27" i="43"/>
  <c r="P34" i="43"/>
  <c r="AJ22" i="60"/>
  <c r="AK22" i="60"/>
  <c r="P13" i="44"/>
  <c r="P20" i="44"/>
  <c r="P27" i="44"/>
  <c r="P34" i="44"/>
  <c r="AJ23" i="60"/>
  <c r="AK23" i="60"/>
  <c r="P13" i="45"/>
  <c r="P20" i="45"/>
  <c r="P27" i="45"/>
  <c r="P34" i="45"/>
  <c r="AJ24" i="60"/>
  <c r="AK24" i="60"/>
  <c r="P13" i="46"/>
  <c r="P20" i="46"/>
  <c r="P27" i="46"/>
  <c r="P34" i="46"/>
  <c r="AJ25" i="60"/>
  <c r="AK25" i="60"/>
  <c r="P13" i="47"/>
  <c r="P20" i="47"/>
  <c r="P27" i="47"/>
  <c r="P34" i="47"/>
  <c r="AJ26" i="60"/>
  <c r="AK26" i="60"/>
  <c r="P13" i="48"/>
  <c r="P20" i="48"/>
  <c r="P27" i="48"/>
  <c r="P34" i="48"/>
  <c r="AJ27" i="60"/>
  <c r="AK27" i="60"/>
  <c r="P13" i="49"/>
  <c r="P20" i="49"/>
  <c r="P27" i="49"/>
  <c r="P34" i="49"/>
  <c r="AJ28" i="60"/>
  <c r="AK28" i="60"/>
  <c r="P13" i="50"/>
  <c r="P20" i="50"/>
  <c r="P27" i="50"/>
  <c r="P34" i="50"/>
  <c r="AJ29" i="60"/>
  <c r="AK29" i="60"/>
  <c r="P13" i="51"/>
  <c r="P20" i="51"/>
  <c r="P27" i="51"/>
  <c r="P34" i="51"/>
  <c r="AJ30" i="60"/>
  <c r="AK30" i="60"/>
  <c r="P13" i="52"/>
  <c r="P20" i="52"/>
  <c r="P27" i="52"/>
  <c r="P34" i="52"/>
  <c r="AJ31" i="60"/>
  <c r="AK31" i="60"/>
  <c r="P13" i="53"/>
  <c r="P20" i="53"/>
  <c r="P27" i="53"/>
  <c r="P34" i="53"/>
  <c r="AJ32" i="60"/>
  <c r="AK32" i="60"/>
  <c r="P13" i="54"/>
  <c r="P20" i="54"/>
  <c r="P27" i="54"/>
  <c r="P34" i="54"/>
  <c r="AJ33" i="60"/>
  <c r="AK33" i="60"/>
  <c r="P13" i="55"/>
  <c r="P20" i="55"/>
  <c r="P27" i="55"/>
  <c r="P34" i="55"/>
  <c r="AJ34" i="60"/>
  <c r="AK34" i="60"/>
  <c r="P13" i="56"/>
  <c r="P20" i="56"/>
  <c r="P27" i="56"/>
  <c r="P34" i="56"/>
  <c r="AJ35" i="60"/>
  <c r="AK35" i="60"/>
  <c r="P13" i="57"/>
  <c r="P20" i="57"/>
  <c r="P27" i="57"/>
  <c r="P34" i="57"/>
  <c r="AJ36" i="60"/>
  <c r="AK36" i="60"/>
  <c r="P13" i="58"/>
  <c r="P20" i="58"/>
  <c r="P27" i="58"/>
  <c r="P34" i="58"/>
  <c r="AJ37" i="60"/>
  <c r="AK37" i="60"/>
  <c r="P13" i="59"/>
  <c r="P20" i="59"/>
  <c r="P27" i="59"/>
  <c r="P34" i="59"/>
  <c r="AJ38" i="60"/>
  <c r="AK38" i="60"/>
  <c r="R9" i="60"/>
  <c r="S9" i="60"/>
  <c r="R10" i="60"/>
  <c r="S10" i="60"/>
  <c r="R11" i="60"/>
  <c r="S11" i="60"/>
  <c r="R12" i="60"/>
  <c r="S12" i="60"/>
  <c r="R13" i="60"/>
  <c r="S13" i="60"/>
  <c r="R14" i="60"/>
  <c r="S14" i="60"/>
  <c r="R15" i="60"/>
  <c r="S15" i="60"/>
  <c r="R16" i="60"/>
  <c r="S16" i="60"/>
  <c r="S17" i="60"/>
  <c r="S18" i="60"/>
  <c r="S19" i="60"/>
  <c r="S20" i="60"/>
  <c r="S21" i="60"/>
  <c r="S22" i="60"/>
  <c r="S23" i="60"/>
  <c r="S24" i="60"/>
  <c r="S25" i="60"/>
  <c r="S26" i="60"/>
  <c r="S27" i="60"/>
  <c r="S28" i="60"/>
  <c r="S29" i="60"/>
  <c r="S30" i="60"/>
  <c r="S31" i="60"/>
  <c r="S32" i="60"/>
  <c r="S33" i="60"/>
  <c r="S34" i="60"/>
  <c r="S35" i="60"/>
  <c r="S36" i="60"/>
  <c r="S37" i="60"/>
  <c r="S38" i="60"/>
  <c r="F18" i="60"/>
  <c r="C31" i="31"/>
  <c r="C31" i="32"/>
  <c r="C31" i="33"/>
  <c r="C31" i="34"/>
  <c r="C31" i="35"/>
  <c r="C31" i="36"/>
  <c r="C31" i="37"/>
  <c r="C31" i="38"/>
  <c r="C31" i="39"/>
  <c r="C31" i="40"/>
  <c r="C31" i="41"/>
  <c r="C31" i="42"/>
  <c r="C31" i="43"/>
  <c r="C31" i="44"/>
  <c r="C31" i="4"/>
  <c r="C31" i="46"/>
  <c r="C31" i="47"/>
  <c r="C31" i="48"/>
  <c r="C31" i="49"/>
  <c r="C31" i="50"/>
  <c r="C31" i="51"/>
  <c r="C31" i="52"/>
  <c r="C31" i="54"/>
  <c r="C31" i="55"/>
  <c r="C31" i="56"/>
  <c r="C31" i="57"/>
  <c r="C31" i="58"/>
  <c r="C31" i="59"/>
  <c r="C31" i="45"/>
  <c r="S26" i="45"/>
  <c r="S26" i="46"/>
  <c r="S26" i="47"/>
  <c r="S26" i="48"/>
  <c r="S26" i="49"/>
  <c r="S26" i="50"/>
  <c r="S26" i="51"/>
  <c r="S26" i="52"/>
  <c r="S26" i="53"/>
  <c r="S26" i="54"/>
  <c r="S26" i="55"/>
  <c r="S26" i="56"/>
  <c r="S26" i="57"/>
  <c r="S26" i="58"/>
  <c r="S26" i="59"/>
  <c r="S26" i="32"/>
  <c r="S26" i="33"/>
  <c r="S26" i="34"/>
  <c r="S26" i="35"/>
  <c r="S26" i="36"/>
  <c r="S26" i="37"/>
  <c r="S26" i="38"/>
  <c r="S26" i="39"/>
  <c r="S26" i="40"/>
  <c r="S26" i="41"/>
  <c r="S26" i="42"/>
  <c r="S26" i="43"/>
  <c r="S26" i="44"/>
  <c r="S26" i="31"/>
  <c r="S26" i="4"/>
  <c r="P37" i="56"/>
  <c r="P36" i="56"/>
  <c r="P35" i="56"/>
  <c r="P33" i="56"/>
  <c r="P32" i="56"/>
  <c r="P31" i="56"/>
  <c r="P30" i="56"/>
  <c r="P29" i="56"/>
  <c r="P28" i="56"/>
  <c r="P26" i="56"/>
  <c r="P25" i="56"/>
  <c r="P24" i="56"/>
  <c r="P23" i="56"/>
  <c r="P22" i="56"/>
  <c r="P21" i="56"/>
  <c r="P19" i="56"/>
  <c r="P18" i="56"/>
  <c r="P17" i="56"/>
  <c r="P16" i="56"/>
  <c r="P15" i="56"/>
  <c r="P14" i="56"/>
  <c r="P12" i="56"/>
  <c r="P11" i="56"/>
  <c r="P10" i="56"/>
  <c r="P9" i="56"/>
  <c r="P8" i="56"/>
  <c r="P37" i="57"/>
  <c r="P36" i="57"/>
  <c r="P35" i="57"/>
  <c r="P33" i="57"/>
  <c r="P32" i="57"/>
  <c r="P31" i="57"/>
  <c r="P30" i="57"/>
  <c r="P29" i="57"/>
  <c r="P28" i="57"/>
  <c r="P26" i="57"/>
  <c r="P25" i="57"/>
  <c r="P24" i="57"/>
  <c r="P23" i="57"/>
  <c r="P22" i="57"/>
  <c r="P21" i="57"/>
  <c r="P19" i="57"/>
  <c r="P18" i="57"/>
  <c r="P17" i="57"/>
  <c r="P16" i="57"/>
  <c r="P15" i="57"/>
  <c r="P14" i="57"/>
  <c r="P12" i="57"/>
  <c r="P11" i="57"/>
  <c r="P10" i="57"/>
  <c r="P9" i="57"/>
  <c r="P8" i="57"/>
  <c r="P37" i="58"/>
  <c r="P36" i="58"/>
  <c r="P35" i="58"/>
  <c r="P33" i="58"/>
  <c r="P32" i="58"/>
  <c r="P31" i="58"/>
  <c r="P30" i="58"/>
  <c r="P29" i="58"/>
  <c r="P28" i="58"/>
  <c r="P26" i="58"/>
  <c r="P25" i="58"/>
  <c r="P24" i="58"/>
  <c r="P23" i="58"/>
  <c r="P22" i="58"/>
  <c r="P21" i="58"/>
  <c r="P19" i="58"/>
  <c r="P18" i="58"/>
  <c r="P17" i="58"/>
  <c r="P16" i="58"/>
  <c r="P15" i="58"/>
  <c r="P14" i="58"/>
  <c r="P12" i="58"/>
  <c r="P11" i="58"/>
  <c r="P10" i="58"/>
  <c r="P9" i="58"/>
  <c r="P8" i="58"/>
  <c r="P37" i="59"/>
  <c r="P36" i="59"/>
  <c r="P35" i="59"/>
  <c r="P33" i="59"/>
  <c r="P32" i="59"/>
  <c r="P31" i="59"/>
  <c r="P30" i="59"/>
  <c r="P29" i="59"/>
  <c r="P28" i="59"/>
  <c r="P26" i="59"/>
  <c r="P25" i="59"/>
  <c r="P24" i="59"/>
  <c r="P23" i="59"/>
  <c r="P22" i="59"/>
  <c r="P21" i="59"/>
  <c r="P19" i="59"/>
  <c r="P18" i="59"/>
  <c r="P17" i="59"/>
  <c r="P16" i="59"/>
  <c r="P15" i="59"/>
  <c r="P14" i="59"/>
  <c r="P12" i="59"/>
  <c r="P11" i="59"/>
  <c r="P10" i="59"/>
  <c r="P9" i="59"/>
  <c r="P8" i="59"/>
  <c r="P37" i="55"/>
  <c r="P36" i="55"/>
  <c r="P35" i="55"/>
  <c r="P33" i="55"/>
  <c r="P32" i="55"/>
  <c r="P31" i="55"/>
  <c r="P30" i="55"/>
  <c r="P29" i="55"/>
  <c r="P28" i="55"/>
  <c r="P26" i="55"/>
  <c r="P25" i="55"/>
  <c r="P24" i="55"/>
  <c r="P23" i="55"/>
  <c r="P22" i="55"/>
  <c r="P21" i="55"/>
  <c r="P19" i="55"/>
  <c r="P18" i="55"/>
  <c r="P17" i="55"/>
  <c r="P16" i="55"/>
  <c r="P15" i="55"/>
  <c r="P14" i="55"/>
  <c r="P12" i="55"/>
  <c r="P11" i="55"/>
  <c r="P10" i="55"/>
  <c r="P9" i="55"/>
  <c r="P8" i="55"/>
  <c r="P37" i="43"/>
  <c r="P36" i="43"/>
  <c r="P35" i="43"/>
  <c r="P33" i="43"/>
  <c r="P37" i="44"/>
  <c r="P36" i="44"/>
  <c r="P35" i="44"/>
  <c r="P33" i="44"/>
  <c r="P32" i="44"/>
  <c r="P31" i="44"/>
  <c r="P30" i="44"/>
  <c r="P29" i="44"/>
  <c r="P28" i="44"/>
  <c r="P26" i="44"/>
  <c r="P25" i="44"/>
  <c r="P24" i="44"/>
  <c r="P23" i="44"/>
  <c r="P22" i="44"/>
  <c r="P21" i="44"/>
  <c r="P19" i="44"/>
  <c r="P18" i="44"/>
  <c r="P17" i="44"/>
  <c r="P16" i="44"/>
  <c r="P15" i="44"/>
  <c r="P14" i="44"/>
  <c r="P12" i="44"/>
  <c r="P11" i="44"/>
  <c r="P10" i="44"/>
  <c r="P9" i="44"/>
  <c r="P8" i="44"/>
  <c r="P37" i="45"/>
  <c r="P36" i="45"/>
  <c r="P35" i="45"/>
  <c r="P33" i="45"/>
  <c r="P32" i="45"/>
  <c r="P31" i="45"/>
  <c r="P30" i="45"/>
  <c r="P29" i="45"/>
  <c r="P28" i="45"/>
  <c r="P26" i="45"/>
  <c r="P25" i="45"/>
  <c r="P24" i="45"/>
  <c r="P23" i="45"/>
  <c r="P22" i="45"/>
  <c r="P21" i="45"/>
  <c r="P19" i="45"/>
  <c r="P18" i="45"/>
  <c r="P17" i="45"/>
  <c r="P16" i="45"/>
  <c r="P15" i="45"/>
  <c r="P14" i="45"/>
  <c r="P12" i="45"/>
  <c r="P11" i="45"/>
  <c r="P10" i="45"/>
  <c r="P9" i="45"/>
  <c r="P8" i="45"/>
  <c r="P37" i="46"/>
  <c r="P36" i="46"/>
  <c r="P35" i="46"/>
  <c r="P33" i="46"/>
  <c r="P32" i="46"/>
  <c r="P31" i="46"/>
  <c r="P30" i="46"/>
  <c r="P29" i="46"/>
  <c r="P28" i="46"/>
  <c r="P26" i="46"/>
  <c r="P25" i="46"/>
  <c r="P24" i="46"/>
  <c r="P23" i="46"/>
  <c r="P22" i="46"/>
  <c r="P21" i="46"/>
  <c r="P19" i="46"/>
  <c r="P18" i="46"/>
  <c r="P17" i="46"/>
  <c r="P16" i="46"/>
  <c r="P15" i="46"/>
  <c r="P14" i="46"/>
  <c r="P12" i="46"/>
  <c r="P11" i="46"/>
  <c r="P10" i="46"/>
  <c r="P9" i="46"/>
  <c r="P8" i="46"/>
  <c r="P37" i="47"/>
  <c r="P36" i="47"/>
  <c r="P35" i="47"/>
  <c r="P33" i="47"/>
  <c r="P32" i="47"/>
  <c r="P31" i="47"/>
  <c r="P30" i="47"/>
  <c r="P29" i="47"/>
  <c r="P28" i="47"/>
  <c r="P26" i="47"/>
  <c r="P25" i="47"/>
  <c r="P24" i="47"/>
  <c r="P23" i="47"/>
  <c r="P22" i="47"/>
  <c r="P21" i="47"/>
  <c r="P19" i="47"/>
  <c r="P18" i="47"/>
  <c r="P17" i="47"/>
  <c r="P16" i="47"/>
  <c r="P15" i="47"/>
  <c r="P14" i="47"/>
  <c r="P12" i="47"/>
  <c r="P11" i="47"/>
  <c r="P10" i="47"/>
  <c r="P9" i="47"/>
  <c r="P8" i="47"/>
  <c r="P37" i="48"/>
  <c r="P36" i="48"/>
  <c r="P35" i="48"/>
  <c r="P33" i="48"/>
  <c r="P32" i="48"/>
  <c r="P31" i="48"/>
  <c r="P30" i="48"/>
  <c r="P29" i="48"/>
  <c r="P28" i="48"/>
  <c r="P26" i="48"/>
  <c r="P25" i="48"/>
  <c r="P24" i="48"/>
  <c r="P23" i="48"/>
  <c r="P22" i="48"/>
  <c r="P21" i="48"/>
  <c r="P19" i="48"/>
  <c r="P18" i="48"/>
  <c r="P17" i="48"/>
  <c r="P16" i="48"/>
  <c r="P15" i="48"/>
  <c r="P14" i="48"/>
  <c r="P12" i="48"/>
  <c r="P11" i="48"/>
  <c r="P10" i="48"/>
  <c r="P9" i="48"/>
  <c r="P8" i="48"/>
  <c r="P37" i="49"/>
  <c r="P36" i="49"/>
  <c r="P35" i="49"/>
  <c r="P33" i="49"/>
  <c r="P32" i="49"/>
  <c r="P31" i="49"/>
  <c r="P30" i="49"/>
  <c r="P29" i="49"/>
  <c r="P28" i="49"/>
  <c r="P26" i="49"/>
  <c r="P25" i="49"/>
  <c r="P24" i="49"/>
  <c r="P23" i="49"/>
  <c r="P22" i="49"/>
  <c r="P21" i="49"/>
  <c r="P19" i="49"/>
  <c r="P18" i="49"/>
  <c r="P17" i="49"/>
  <c r="P16" i="49"/>
  <c r="P15" i="49"/>
  <c r="P14" i="49"/>
  <c r="P12" i="49"/>
  <c r="P11" i="49"/>
  <c r="P10" i="49"/>
  <c r="P9" i="49"/>
  <c r="P8" i="49"/>
  <c r="P37" i="50"/>
  <c r="P36" i="50"/>
  <c r="P35" i="50"/>
  <c r="P33" i="50"/>
  <c r="P32" i="50"/>
  <c r="P31" i="50"/>
  <c r="P30" i="50"/>
  <c r="P29" i="50"/>
  <c r="P28" i="50"/>
  <c r="P26" i="50"/>
  <c r="P25" i="50"/>
  <c r="P24" i="50"/>
  <c r="P23" i="50"/>
  <c r="P22" i="50"/>
  <c r="P21" i="50"/>
  <c r="P19" i="50"/>
  <c r="P18" i="50"/>
  <c r="P17" i="50"/>
  <c r="P16" i="50"/>
  <c r="P15" i="50"/>
  <c r="P14" i="50"/>
  <c r="P12" i="50"/>
  <c r="P11" i="50"/>
  <c r="P10" i="50"/>
  <c r="P9" i="50"/>
  <c r="P8" i="50"/>
  <c r="P37" i="51"/>
  <c r="P36" i="51"/>
  <c r="P35" i="51"/>
  <c r="P33" i="51"/>
  <c r="P32" i="51"/>
  <c r="P31" i="51"/>
  <c r="P30" i="51"/>
  <c r="P29" i="51"/>
  <c r="P28" i="51"/>
  <c r="P26" i="51"/>
  <c r="P25" i="51"/>
  <c r="P24" i="51"/>
  <c r="P23" i="51"/>
  <c r="P22" i="51"/>
  <c r="P21" i="51"/>
  <c r="P19" i="51"/>
  <c r="P18" i="51"/>
  <c r="P17" i="51"/>
  <c r="P16" i="51"/>
  <c r="P15" i="51"/>
  <c r="P14" i="51"/>
  <c r="P12" i="51"/>
  <c r="P11" i="51"/>
  <c r="P10" i="51"/>
  <c r="P9" i="51"/>
  <c r="P8" i="51"/>
  <c r="P37" i="52"/>
  <c r="P36" i="52"/>
  <c r="P35" i="52"/>
  <c r="P33" i="52"/>
  <c r="P32" i="52"/>
  <c r="P31" i="52"/>
  <c r="P30" i="52"/>
  <c r="P29" i="52"/>
  <c r="P28" i="52"/>
  <c r="P26" i="52"/>
  <c r="P25" i="52"/>
  <c r="P24" i="52"/>
  <c r="P23" i="52"/>
  <c r="P22" i="52"/>
  <c r="P21" i="52"/>
  <c r="P19" i="52"/>
  <c r="P18" i="52"/>
  <c r="P17" i="52"/>
  <c r="P16" i="52"/>
  <c r="P15" i="52"/>
  <c r="P14" i="52"/>
  <c r="P12" i="52"/>
  <c r="P11" i="52"/>
  <c r="P10" i="52"/>
  <c r="P9" i="52"/>
  <c r="P8" i="52"/>
  <c r="P37" i="53"/>
  <c r="P36" i="53"/>
  <c r="P35" i="53"/>
  <c r="P33" i="53"/>
  <c r="P32" i="53"/>
  <c r="P31" i="53"/>
  <c r="P30" i="53"/>
  <c r="P29" i="53"/>
  <c r="P28" i="53"/>
  <c r="P26" i="53"/>
  <c r="P25" i="53"/>
  <c r="P24" i="53"/>
  <c r="P23" i="53"/>
  <c r="P22" i="53"/>
  <c r="P21" i="53"/>
  <c r="P19" i="53"/>
  <c r="P18" i="53"/>
  <c r="P17" i="53"/>
  <c r="P16" i="53"/>
  <c r="P15" i="53"/>
  <c r="P14" i="53"/>
  <c r="P12" i="53"/>
  <c r="P11" i="53"/>
  <c r="P10" i="53"/>
  <c r="P9" i="53"/>
  <c r="P8" i="53"/>
  <c r="P37" i="54"/>
  <c r="P36" i="54"/>
  <c r="P35" i="54"/>
  <c r="P33" i="54"/>
  <c r="P32" i="54"/>
  <c r="P31" i="54"/>
  <c r="P30" i="54"/>
  <c r="P29" i="54"/>
  <c r="P28" i="54"/>
  <c r="P26" i="54"/>
  <c r="P25" i="54"/>
  <c r="P24" i="54"/>
  <c r="P23" i="54"/>
  <c r="P22" i="54"/>
  <c r="P21" i="54"/>
  <c r="P19" i="54"/>
  <c r="P18" i="54"/>
  <c r="P17" i="54"/>
  <c r="P16" i="54"/>
  <c r="P15" i="54"/>
  <c r="P14" i="54"/>
  <c r="P12" i="54"/>
  <c r="P11" i="54"/>
  <c r="P10" i="54"/>
  <c r="P9" i="54"/>
  <c r="P8" i="54"/>
  <c r="P37" i="42"/>
  <c r="P36" i="42"/>
  <c r="P24" i="42"/>
  <c r="P23" i="42"/>
  <c r="P22" i="42"/>
  <c r="P13" i="36"/>
  <c r="P24" i="39"/>
  <c r="P37" i="41"/>
  <c r="P36" i="41"/>
  <c r="P33" i="41"/>
  <c r="P26" i="41"/>
  <c r="P25" i="41"/>
  <c r="P19" i="41"/>
  <c r="P16" i="41"/>
  <c r="P15" i="41"/>
  <c r="P14" i="41"/>
  <c r="P9" i="41"/>
  <c r="U6" i="61"/>
  <c r="I6" i="7"/>
  <c r="W6" i="9"/>
  <c r="U7" i="61"/>
  <c r="I7" i="7"/>
  <c r="W7" i="9"/>
  <c r="U8" i="61"/>
  <c r="I8" i="7"/>
  <c r="W8" i="9"/>
  <c r="U9" i="61"/>
  <c r="I9" i="7"/>
  <c r="W9" i="9"/>
  <c r="U10" i="61"/>
  <c r="I10" i="7"/>
  <c r="W10" i="9"/>
  <c r="U11" i="61"/>
  <c r="I11" i="7"/>
  <c r="W11" i="9"/>
  <c r="U12" i="61"/>
  <c r="I12" i="7"/>
  <c r="W12" i="9"/>
  <c r="U13" i="61"/>
  <c r="I13" i="7"/>
  <c r="W13" i="9"/>
  <c r="AC34" i="9"/>
  <c r="E47" i="9"/>
  <c r="AD34" i="9"/>
  <c r="F47" i="9"/>
  <c r="AE34" i="9"/>
  <c r="G47" i="9"/>
  <c r="AF34" i="9"/>
  <c r="H47" i="9"/>
  <c r="AG34" i="9"/>
  <c r="I47" i="9"/>
  <c r="AH34" i="9"/>
  <c r="J47" i="9"/>
  <c r="K47" i="9"/>
  <c r="AJ34" i="9"/>
  <c r="L47" i="9"/>
  <c r="AI34" i="9"/>
  <c r="M47" i="9"/>
  <c r="N47" i="9"/>
  <c r="O47" i="9"/>
  <c r="AC35" i="9"/>
  <c r="E48" i="9"/>
  <c r="AD35" i="9"/>
  <c r="F48" i="9"/>
  <c r="AE35" i="9"/>
  <c r="G48" i="9"/>
  <c r="AF35" i="9"/>
  <c r="H48" i="9"/>
  <c r="AG35" i="9"/>
  <c r="I48" i="9"/>
  <c r="AH35" i="9"/>
  <c r="J48" i="9"/>
  <c r="K48" i="9"/>
  <c r="AJ35" i="9"/>
  <c r="L48" i="9"/>
  <c r="AI35" i="9"/>
  <c r="M48" i="9"/>
  <c r="N48" i="9"/>
  <c r="O48" i="9"/>
  <c r="E8" i="59"/>
  <c r="C19" i="9"/>
  <c r="E36" i="59"/>
  <c r="D47" i="9"/>
  <c r="D48" i="9"/>
  <c r="D49" i="9"/>
  <c r="C47" i="9"/>
  <c r="C48" i="9"/>
  <c r="AB9" i="4"/>
  <c r="T36" i="62"/>
  <c r="C36" i="62"/>
  <c r="I36" i="62"/>
  <c r="H36" i="62"/>
  <c r="G36" i="62"/>
  <c r="Y36" i="62"/>
  <c r="BH22" i="5"/>
  <c r="BI22" i="5"/>
  <c r="BH20" i="5"/>
  <c r="BI20" i="5"/>
  <c r="BH11" i="5"/>
  <c r="BI11" i="5"/>
  <c r="BH12" i="5"/>
  <c r="BI12" i="5"/>
  <c r="BH13" i="5"/>
  <c r="BI13" i="5"/>
  <c r="BH14" i="5"/>
  <c r="BI14" i="5"/>
  <c r="BH15" i="5"/>
  <c r="BI15" i="5"/>
  <c r="BH16" i="5"/>
  <c r="BI16" i="5"/>
  <c r="BH17" i="5"/>
  <c r="BI17" i="5"/>
  <c r="BH19" i="5"/>
  <c r="BI19" i="5"/>
  <c r="BH21" i="5"/>
  <c r="BI21" i="5"/>
  <c r="BH23" i="5"/>
  <c r="BI23" i="5"/>
  <c r="BH24" i="5"/>
  <c r="BI24" i="5"/>
  <c r="W36" i="62"/>
  <c r="J36" i="62"/>
  <c r="X36" i="62"/>
  <c r="L36" i="62"/>
  <c r="BF9" i="5"/>
  <c r="BE10" i="5"/>
  <c r="BF10" i="5"/>
  <c r="AM20" i="32"/>
  <c r="AM34" i="32"/>
  <c r="BE11" i="5"/>
  <c r="BF11" i="5"/>
  <c r="AM15" i="33"/>
  <c r="AM22" i="33"/>
  <c r="AM23" i="33"/>
  <c r="BE12" i="5"/>
  <c r="BF12" i="5"/>
  <c r="BE13" i="5"/>
  <c r="BF13" i="5"/>
  <c r="AM8" i="35"/>
  <c r="AM9" i="35"/>
  <c r="AM16" i="35"/>
  <c r="AM23" i="35"/>
  <c r="AM30" i="35"/>
  <c r="AM37" i="35"/>
  <c r="BE14" i="5"/>
  <c r="BF14" i="5"/>
  <c r="BE15" i="5"/>
  <c r="BF15" i="5"/>
  <c r="AM13" i="37"/>
  <c r="AM16" i="37"/>
  <c r="AM17" i="37"/>
  <c r="AM18" i="37"/>
  <c r="AM28" i="37"/>
  <c r="AM30" i="37"/>
  <c r="AM31" i="37"/>
  <c r="BE16" i="5"/>
  <c r="BF16" i="5"/>
  <c r="BE17" i="5"/>
  <c r="BF17" i="5"/>
  <c r="BE18" i="5"/>
  <c r="BF18" i="5"/>
  <c r="BE19" i="5"/>
  <c r="BF19" i="5"/>
  <c r="BE20" i="5"/>
  <c r="BF20" i="5"/>
  <c r="BE21" i="5"/>
  <c r="BF21" i="5"/>
  <c r="AM8" i="43"/>
  <c r="BE22" i="5"/>
  <c r="BF22" i="5"/>
  <c r="AM8" i="44"/>
  <c r="BE23" i="5"/>
  <c r="BF23" i="5"/>
  <c r="BE24" i="5"/>
  <c r="BF24" i="5"/>
  <c r="BE25" i="5"/>
  <c r="BF25" i="5"/>
  <c r="BH25" i="5"/>
  <c r="BI25" i="5"/>
  <c r="BE26" i="5"/>
  <c r="BF26" i="5"/>
  <c r="BH26" i="5"/>
  <c r="BI26" i="5"/>
  <c r="BE27" i="5"/>
  <c r="BF27" i="5"/>
  <c r="BH27" i="5"/>
  <c r="BI27" i="5"/>
  <c r="BE28" i="5"/>
  <c r="BF28" i="5"/>
  <c r="BH28" i="5"/>
  <c r="BI28" i="5"/>
  <c r="BE29" i="5"/>
  <c r="BF29" i="5"/>
  <c r="BH29" i="5"/>
  <c r="BI29" i="5"/>
  <c r="BE30" i="5"/>
  <c r="BF30" i="5"/>
  <c r="BH30" i="5"/>
  <c r="BI30" i="5"/>
  <c r="BE31" i="5"/>
  <c r="BF31" i="5"/>
  <c r="BH31" i="5"/>
  <c r="BI31" i="5"/>
  <c r="BE32" i="5"/>
  <c r="BF32" i="5"/>
  <c r="BH32" i="5"/>
  <c r="BI32" i="5"/>
  <c r="BE33" i="5"/>
  <c r="BF33" i="5"/>
  <c r="BH33" i="5"/>
  <c r="BI33" i="5"/>
  <c r="BE34" i="5"/>
  <c r="BF34" i="5"/>
  <c r="BH34" i="5"/>
  <c r="BI34" i="5"/>
  <c r="BE35" i="5"/>
  <c r="BF35" i="5"/>
  <c r="BH35" i="5"/>
  <c r="BI35" i="5"/>
  <c r="BE36" i="5"/>
  <c r="BF36" i="5"/>
  <c r="BH36" i="5"/>
  <c r="BI36" i="5"/>
  <c r="BE37" i="5"/>
  <c r="BF37" i="5"/>
  <c r="BH37" i="5"/>
  <c r="BI37" i="5"/>
  <c r="BE38" i="5"/>
  <c r="BF38" i="5"/>
  <c r="BH38" i="5"/>
  <c r="BI38" i="5"/>
  <c r="K36" i="62"/>
  <c r="T35" i="62"/>
  <c r="C35" i="62"/>
  <c r="I35" i="62"/>
  <c r="H35" i="62"/>
  <c r="G35" i="62"/>
  <c r="Y35" i="62"/>
  <c r="W35" i="62"/>
  <c r="J35" i="62"/>
  <c r="X35" i="62"/>
  <c r="L35" i="62"/>
  <c r="K35" i="62"/>
  <c r="T34" i="62"/>
  <c r="C34" i="62"/>
  <c r="I34" i="62"/>
  <c r="H34" i="62"/>
  <c r="G34" i="62"/>
  <c r="Y34" i="62"/>
  <c r="W34" i="62"/>
  <c r="J34" i="62"/>
  <c r="X34" i="62"/>
  <c r="L34" i="62"/>
  <c r="K34" i="62"/>
  <c r="T33" i="62"/>
  <c r="C33" i="62"/>
  <c r="I33" i="62"/>
  <c r="H33" i="62"/>
  <c r="G33" i="62"/>
  <c r="Y33" i="62"/>
  <c r="W33" i="62"/>
  <c r="J33" i="62"/>
  <c r="X33" i="62"/>
  <c r="L33" i="62"/>
  <c r="K33" i="62"/>
  <c r="T32" i="62"/>
  <c r="C32" i="62"/>
  <c r="I32" i="62"/>
  <c r="H32" i="62"/>
  <c r="G32" i="62"/>
  <c r="Y32" i="62"/>
  <c r="W32" i="62"/>
  <c r="J32" i="62"/>
  <c r="X32" i="62"/>
  <c r="L32" i="62"/>
  <c r="K32" i="62"/>
  <c r="T31" i="62"/>
  <c r="C31" i="62"/>
  <c r="I31" i="62"/>
  <c r="H31" i="62"/>
  <c r="G31" i="62"/>
  <c r="Y31" i="62"/>
  <c r="W31" i="62"/>
  <c r="J31" i="62"/>
  <c r="X31" i="62"/>
  <c r="L31" i="62"/>
  <c r="K31" i="62"/>
  <c r="T30" i="62"/>
  <c r="C30" i="62"/>
  <c r="I30" i="62"/>
  <c r="H30" i="62"/>
  <c r="G30" i="62"/>
  <c r="Y30" i="62"/>
  <c r="W30" i="62"/>
  <c r="J30" i="62"/>
  <c r="X30" i="62"/>
  <c r="L30" i="62"/>
  <c r="K30" i="62"/>
  <c r="T29" i="62"/>
  <c r="C29" i="62"/>
  <c r="I29" i="62"/>
  <c r="H29" i="62"/>
  <c r="G29" i="62"/>
  <c r="Y29" i="62"/>
  <c r="W29" i="62"/>
  <c r="J29" i="62"/>
  <c r="X29" i="62"/>
  <c r="L29" i="62"/>
  <c r="K29" i="62"/>
  <c r="T28" i="62"/>
  <c r="C28" i="62"/>
  <c r="I28" i="62"/>
  <c r="H28" i="62"/>
  <c r="G28" i="62"/>
  <c r="Y28" i="62"/>
  <c r="W28" i="62"/>
  <c r="J28" i="62"/>
  <c r="X28" i="62"/>
  <c r="L28" i="62"/>
  <c r="K28" i="62"/>
  <c r="T27" i="62"/>
  <c r="C27" i="62"/>
  <c r="I27" i="62"/>
  <c r="H27" i="62"/>
  <c r="G27" i="62"/>
  <c r="Y27" i="62"/>
  <c r="W27" i="62"/>
  <c r="J27" i="62"/>
  <c r="X27" i="62"/>
  <c r="L27" i="62"/>
  <c r="K27" i="62"/>
  <c r="T26" i="62"/>
  <c r="C26" i="62"/>
  <c r="I26" i="62"/>
  <c r="H26" i="62"/>
  <c r="G26" i="62"/>
  <c r="Y26" i="62"/>
  <c r="W26" i="62"/>
  <c r="J26" i="62"/>
  <c r="X26" i="62"/>
  <c r="L26" i="62"/>
  <c r="K26" i="62"/>
  <c r="T25" i="62"/>
  <c r="C25" i="62"/>
  <c r="I25" i="62"/>
  <c r="H25" i="62"/>
  <c r="G25" i="62"/>
  <c r="Y25" i="62"/>
  <c r="W25" i="62"/>
  <c r="J25" i="62"/>
  <c r="X25" i="62"/>
  <c r="L25" i="62"/>
  <c r="K25" i="62"/>
  <c r="T24" i="62"/>
  <c r="C24" i="62"/>
  <c r="I24" i="62"/>
  <c r="H24" i="62"/>
  <c r="G24" i="62"/>
  <c r="Y24" i="62"/>
  <c r="W24" i="62"/>
  <c r="J24" i="62"/>
  <c r="X24" i="62"/>
  <c r="L24" i="62"/>
  <c r="K24" i="62"/>
  <c r="T23" i="62"/>
  <c r="C23" i="62"/>
  <c r="I23" i="62"/>
  <c r="H23" i="62"/>
  <c r="G23" i="62"/>
  <c r="Y23" i="62"/>
  <c r="W23" i="62"/>
  <c r="J23" i="62"/>
  <c r="X23" i="62"/>
  <c r="L23" i="62"/>
  <c r="K23" i="62"/>
  <c r="T22" i="62"/>
  <c r="C22" i="62"/>
  <c r="I22" i="62"/>
  <c r="H22" i="62"/>
  <c r="G22" i="62"/>
  <c r="Y22" i="62"/>
  <c r="W22" i="62"/>
  <c r="J22" i="62"/>
  <c r="X22" i="62"/>
  <c r="L22" i="62"/>
  <c r="K22" i="62"/>
  <c r="T21" i="62"/>
  <c r="C21" i="62"/>
  <c r="I21" i="62"/>
  <c r="H21" i="62"/>
  <c r="G21" i="62"/>
  <c r="Y21" i="62"/>
  <c r="W21" i="62"/>
  <c r="J21" i="62"/>
  <c r="X21" i="62"/>
  <c r="L21" i="62"/>
  <c r="K21" i="62"/>
  <c r="T20" i="62"/>
  <c r="C20" i="62"/>
  <c r="I20" i="62"/>
  <c r="H20" i="62"/>
  <c r="G20" i="62"/>
  <c r="Y20" i="62"/>
  <c r="W20" i="62"/>
  <c r="J20" i="62"/>
  <c r="X20" i="62"/>
  <c r="L20" i="62"/>
  <c r="K20" i="62"/>
  <c r="T19" i="62"/>
  <c r="C19" i="62"/>
  <c r="I19" i="62"/>
  <c r="H19" i="62"/>
  <c r="G19" i="62"/>
  <c r="Y19" i="62"/>
  <c r="W19" i="62"/>
  <c r="J19" i="62"/>
  <c r="X19" i="62"/>
  <c r="L19" i="62"/>
  <c r="K19" i="62"/>
  <c r="T18" i="62"/>
  <c r="C18" i="62"/>
  <c r="I18" i="62"/>
  <c r="H18" i="62"/>
  <c r="G18" i="62"/>
  <c r="Y18" i="62"/>
  <c r="W18" i="62"/>
  <c r="J18" i="62"/>
  <c r="X18" i="62"/>
  <c r="L18" i="62"/>
  <c r="K18" i="62"/>
  <c r="T17" i="62"/>
  <c r="C17" i="62"/>
  <c r="I17" i="62"/>
  <c r="H17" i="62"/>
  <c r="G17" i="62"/>
  <c r="Y17" i="62"/>
  <c r="W17" i="62"/>
  <c r="J17" i="62"/>
  <c r="X17" i="62"/>
  <c r="L17" i="62"/>
  <c r="K17" i="62"/>
  <c r="T8" i="62"/>
  <c r="C8" i="62"/>
  <c r="W8" i="62"/>
  <c r="J8" i="62"/>
  <c r="I8" i="62"/>
  <c r="E9" i="31"/>
  <c r="E10" i="31"/>
  <c r="E11" i="31"/>
  <c r="E12" i="31"/>
  <c r="E13" i="31"/>
  <c r="E16" i="31"/>
  <c r="E17" i="31"/>
  <c r="E18" i="31"/>
  <c r="E19" i="31"/>
  <c r="E20" i="31"/>
  <c r="E23" i="31"/>
  <c r="E24" i="31"/>
  <c r="E25" i="31"/>
  <c r="E26" i="31"/>
  <c r="E27" i="31"/>
  <c r="E30" i="31"/>
  <c r="E31" i="31"/>
  <c r="E32" i="31"/>
  <c r="H8" i="62"/>
  <c r="E8" i="31"/>
  <c r="E14" i="31"/>
  <c r="E15" i="31"/>
  <c r="E21" i="31"/>
  <c r="E22" i="31"/>
  <c r="E28" i="31"/>
  <c r="E29" i="31"/>
  <c r="E33" i="31"/>
  <c r="E34" i="31"/>
  <c r="E35" i="31"/>
  <c r="E36" i="31"/>
  <c r="G8" i="62"/>
  <c r="Y8" i="62"/>
  <c r="X8" i="62"/>
  <c r="K8" i="62"/>
  <c r="L8" i="62"/>
  <c r="T9" i="62"/>
  <c r="C9" i="62"/>
  <c r="W9" i="62"/>
  <c r="J9" i="62"/>
  <c r="I9" i="62"/>
  <c r="E9" i="32"/>
  <c r="E10" i="32"/>
  <c r="E11" i="32"/>
  <c r="E12" i="32"/>
  <c r="E13" i="32"/>
  <c r="E16" i="32"/>
  <c r="E17" i="32"/>
  <c r="E18" i="32"/>
  <c r="E19" i="32"/>
  <c r="E20" i="32"/>
  <c r="E23" i="32"/>
  <c r="E24" i="32"/>
  <c r="E25" i="32"/>
  <c r="E26" i="32"/>
  <c r="E27" i="32"/>
  <c r="E30" i="32"/>
  <c r="E31" i="32"/>
  <c r="E32" i="32"/>
  <c r="H9" i="62"/>
  <c r="E8" i="32"/>
  <c r="E14" i="32"/>
  <c r="E15" i="32"/>
  <c r="E21" i="32"/>
  <c r="E22" i="32"/>
  <c r="E28" i="32"/>
  <c r="E29" i="32"/>
  <c r="E33" i="32"/>
  <c r="E34" i="32"/>
  <c r="E35" i="32"/>
  <c r="E36" i="32"/>
  <c r="G9" i="62"/>
  <c r="Y9" i="62"/>
  <c r="X9" i="62"/>
  <c r="K9" i="62"/>
  <c r="L9" i="62"/>
  <c r="T10" i="62"/>
  <c r="C10" i="62"/>
  <c r="W10" i="62"/>
  <c r="J10" i="62"/>
  <c r="I10" i="62"/>
  <c r="E9" i="33"/>
  <c r="E10" i="33"/>
  <c r="E11" i="33"/>
  <c r="E12" i="33"/>
  <c r="E13" i="33"/>
  <c r="E16" i="33"/>
  <c r="E17" i="33"/>
  <c r="E18" i="33"/>
  <c r="E19" i="33"/>
  <c r="E20" i="33"/>
  <c r="E23" i="33"/>
  <c r="E24" i="33"/>
  <c r="E25" i="33"/>
  <c r="E26" i="33"/>
  <c r="E27" i="33"/>
  <c r="E30" i="33"/>
  <c r="E31" i="33"/>
  <c r="E32" i="33"/>
  <c r="H10" i="62"/>
  <c r="E8" i="33"/>
  <c r="E14" i="33"/>
  <c r="E15" i="33"/>
  <c r="E21" i="33"/>
  <c r="E22" i="33"/>
  <c r="E28" i="33"/>
  <c r="E29" i="33"/>
  <c r="E33" i="33"/>
  <c r="E34" i="33"/>
  <c r="E35" i="33"/>
  <c r="E36" i="33"/>
  <c r="G10" i="62"/>
  <c r="Y10" i="62"/>
  <c r="X10" i="62"/>
  <c r="K10" i="62"/>
  <c r="L10" i="62"/>
  <c r="T11" i="62"/>
  <c r="C11" i="62"/>
  <c r="W11" i="62"/>
  <c r="J11" i="62"/>
  <c r="I11" i="62"/>
  <c r="E9" i="34"/>
  <c r="E10" i="34"/>
  <c r="E11" i="34"/>
  <c r="E12" i="34"/>
  <c r="E13" i="34"/>
  <c r="E16" i="34"/>
  <c r="E17" i="34"/>
  <c r="E18" i="34"/>
  <c r="E19" i="34"/>
  <c r="E20" i="34"/>
  <c r="E23" i="34"/>
  <c r="E24" i="34"/>
  <c r="E25" i="34"/>
  <c r="E26" i="34"/>
  <c r="E27" i="34"/>
  <c r="E30" i="34"/>
  <c r="E31" i="34"/>
  <c r="E32" i="34"/>
  <c r="H11" i="62"/>
  <c r="E8" i="34"/>
  <c r="E14" i="34"/>
  <c r="E15" i="34"/>
  <c r="E21" i="34"/>
  <c r="E22" i="34"/>
  <c r="E28" i="34"/>
  <c r="E29" i="34"/>
  <c r="E33" i="34"/>
  <c r="E34" i="34"/>
  <c r="E35" i="34"/>
  <c r="E36" i="34"/>
  <c r="G11" i="62"/>
  <c r="Y11" i="62"/>
  <c r="X11" i="62"/>
  <c r="K11" i="62"/>
  <c r="L11" i="62"/>
  <c r="T12" i="62"/>
  <c r="C12" i="62"/>
  <c r="W12" i="62"/>
  <c r="J12" i="62"/>
  <c r="I12" i="62"/>
  <c r="E9" i="35"/>
  <c r="E10" i="35"/>
  <c r="E11" i="35"/>
  <c r="E12" i="35"/>
  <c r="E13" i="35"/>
  <c r="E16" i="35"/>
  <c r="E17" i="35"/>
  <c r="E18" i="35"/>
  <c r="E19" i="35"/>
  <c r="E20" i="35"/>
  <c r="E23" i="35"/>
  <c r="E24" i="35"/>
  <c r="E25" i="35"/>
  <c r="E26" i="35"/>
  <c r="E27" i="35"/>
  <c r="E30" i="35"/>
  <c r="E31" i="35"/>
  <c r="E32" i="35"/>
  <c r="H12" i="62"/>
  <c r="E8" i="35"/>
  <c r="E14" i="35"/>
  <c r="E15" i="35"/>
  <c r="E21" i="35"/>
  <c r="E22" i="35"/>
  <c r="E28" i="35"/>
  <c r="E29" i="35"/>
  <c r="E33" i="35"/>
  <c r="E34" i="35"/>
  <c r="E35" i="35"/>
  <c r="E36" i="35"/>
  <c r="G12" i="62"/>
  <c r="Y12" i="62"/>
  <c r="X12" i="62"/>
  <c r="K12" i="62"/>
  <c r="L12" i="62"/>
  <c r="T13" i="62"/>
  <c r="C13" i="62"/>
  <c r="W13" i="62"/>
  <c r="J13" i="62"/>
  <c r="I13" i="62"/>
  <c r="E9" i="36"/>
  <c r="E10" i="36"/>
  <c r="E11" i="36"/>
  <c r="E12" i="36"/>
  <c r="E13" i="36"/>
  <c r="E16" i="36"/>
  <c r="E17" i="36"/>
  <c r="E18" i="36"/>
  <c r="E19" i="36"/>
  <c r="E20" i="36"/>
  <c r="E23" i="36"/>
  <c r="E24" i="36"/>
  <c r="E25" i="36"/>
  <c r="E26" i="36"/>
  <c r="E27" i="36"/>
  <c r="E30" i="36"/>
  <c r="E31" i="36"/>
  <c r="E32" i="36"/>
  <c r="H13" i="62"/>
  <c r="E8" i="36"/>
  <c r="E14" i="36"/>
  <c r="E15" i="36"/>
  <c r="E21" i="36"/>
  <c r="E22" i="36"/>
  <c r="E28" i="36"/>
  <c r="E29" i="36"/>
  <c r="E33" i="36"/>
  <c r="E34" i="36"/>
  <c r="E35" i="36"/>
  <c r="E36" i="36"/>
  <c r="G13" i="62"/>
  <c r="Y13" i="62"/>
  <c r="X13" i="62"/>
  <c r="K13" i="62"/>
  <c r="L13" i="62"/>
  <c r="T14" i="62"/>
  <c r="C14" i="62"/>
  <c r="W14" i="62"/>
  <c r="J14" i="62"/>
  <c r="I14" i="62"/>
  <c r="E9" i="37"/>
  <c r="E10" i="37"/>
  <c r="E11" i="37"/>
  <c r="E12" i="37"/>
  <c r="E13" i="37"/>
  <c r="E16" i="37"/>
  <c r="E17" i="37"/>
  <c r="E18" i="37"/>
  <c r="E19" i="37"/>
  <c r="E20" i="37"/>
  <c r="E23" i="37"/>
  <c r="E24" i="37"/>
  <c r="E25" i="37"/>
  <c r="E26" i="37"/>
  <c r="E27" i="37"/>
  <c r="E30" i="37"/>
  <c r="E31" i="37"/>
  <c r="E32" i="37"/>
  <c r="H14" i="62"/>
  <c r="E8" i="37"/>
  <c r="E14" i="37"/>
  <c r="E15" i="37"/>
  <c r="E21" i="37"/>
  <c r="E22" i="37"/>
  <c r="E28" i="37"/>
  <c r="E29" i="37"/>
  <c r="E33" i="37"/>
  <c r="E34" i="37"/>
  <c r="E35" i="37"/>
  <c r="E36" i="37"/>
  <c r="G14" i="62"/>
  <c r="Y14" i="62"/>
  <c r="X14" i="62"/>
  <c r="K14" i="62"/>
  <c r="L14" i="62"/>
  <c r="T15" i="62"/>
  <c r="C15" i="62"/>
  <c r="W15" i="62"/>
  <c r="J15" i="62"/>
  <c r="I15" i="62"/>
  <c r="E9" i="38"/>
  <c r="E10" i="38"/>
  <c r="E11" i="38"/>
  <c r="E12" i="38"/>
  <c r="E13" i="38"/>
  <c r="E16" i="38"/>
  <c r="E17" i="38"/>
  <c r="E18" i="38"/>
  <c r="E19" i="38"/>
  <c r="E20" i="38"/>
  <c r="E23" i="38"/>
  <c r="E24" i="38"/>
  <c r="E25" i="38"/>
  <c r="E26" i="38"/>
  <c r="E27" i="38"/>
  <c r="E30" i="38"/>
  <c r="E31" i="38"/>
  <c r="E32" i="38"/>
  <c r="H15" i="62"/>
  <c r="E8" i="38"/>
  <c r="E14" i="38"/>
  <c r="E15" i="38"/>
  <c r="E21" i="38"/>
  <c r="E22" i="38"/>
  <c r="E28" i="38"/>
  <c r="E29" i="38"/>
  <c r="E33" i="38"/>
  <c r="E34" i="38"/>
  <c r="E35" i="38"/>
  <c r="E36" i="38"/>
  <c r="G15" i="62"/>
  <c r="Y15" i="62"/>
  <c r="X15" i="62"/>
  <c r="K15" i="62"/>
  <c r="L15" i="62"/>
  <c r="T16" i="62"/>
  <c r="C16" i="62"/>
  <c r="W16" i="62"/>
  <c r="J16" i="62"/>
  <c r="I16" i="62"/>
  <c r="E10" i="39"/>
  <c r="E11" i="39"/>
  <c r="E12" i="39"/>
  <c r="E13" i="39"/>
  <c r="E16" i="39"/>
  <c r="E17" i="39"/>
  <c r="E18" i="39"/>
  <c r="E19" i="39"/>
  <c r="E20" i="39"/>
  <c r="E23" i="39"/>
  <c r="E24" i="39"/>
  <c r="E25" i="39"/>
  <c r="E26" i="39"/>
  <c r="E27" i="39"/>
  <c r="E30" i="39"/>
  <c r="E31" i="39"/>
  <c r="E32" i="39"/>
  <c r="H16" i="62"/>
  <c r="E8" i="39"/>
  <c r="E9" i="39"/>
  <c r="E14" i="39"/>
  <c r="E15" i="39"/>
  <c r="E21" i="39"/>
  <c r="E22" i="39"/>
  <c r="E28" i="39"/>
  <c r="E29" i="39"/>
  <c r="E33" i="39"/>
  <c r="E34" i="39"/>
  <c r="E35" i="39"/>
  <c r="E36" i="39"/>
  <c r="G16" i="62"/>
  <c r="Y16" i="62"/>
  <c r="X16" i="62"/>
  <c r="K16" i="62"/>
  <c r="L16" i="62"/>
  <c r="I7" i="62"/>
  <c r="H7" i="62"/>
  <c r="G7" i="62"/>
  <c r="Y7" i="62"/>
  <c r="W7" i="62"/>
  <c r="J7" i="62"/>
  <c r="X7" i="62"/>
  <c r="L7" i="62"/>
  <c r="G10" i="5"/>
  <c r="H10" i="5"/>
  <c r="I10" i="5"/>
  <c r="E8" i="40"/>
  <c r="E9" i="40"/>
  <c r="E10" i="40"/>
  <c r="E11" i="40"/>
  <c r="E12" i="40"/>
  <c r="E13" i="40"/>
  <c r="E14" i="40"/>
  <c r="E15" i="40"/>
  <c r="E16" i="40"/>
  <c r="E17" i="40"/>
  <c r="E18" i="40"/>
  <c r="E19" i="40"/>
  <c r="E20" i="40"/>
  <c r="E21" i="40"/>
  <c r="E22" i="40"/>
  <c r="E23" i="40"/>
  <c r="E24" i="40"/>
  <c r="E25" i="40"/>
  <c r="E26" i="40"/>
  <c r="E27" i="40"/>
  <c r="E28" i="40"/>
  <c r="E29" i="40"/>
  <c r="E30" i="40"/>
  <c r="E31" i="40"/>
  <c r="E32" i="40"/>
  <c r="E33" i="40"/>
  <c r="E34" i="40"/>
  <c r="E35" i="40"/>
  <c r="E36" i="40"/>
  <c r="E8" i="41"/>
  <c r="E9" i="41"/>
  <c r="E10" i="41"/>
  <c r="E11" i="41"/>
  <c r="E12" i="41"/>
  <c r="E13" i="41"/>
  <c r="E14" i="41"/>
  <c r="E15" i="41"/>
  <c r="E16" i="41"/>
  <c r="E17" i="41"/>
  <c r="E18" i="41"/>
  <c r="E19" i="41"/>
  <c r="E20" i="41"/>
  <c r="E21" i="41"/>
  <c r="E22" i="41"/>
  <c r="E23" i="41"/>
  <c r="E24" i="41"/>
  <c r="E25" i="41"/>
  <c r="E26" i="41"/>
  <c r="E27" i="41"/>
  <c r="E28" i="41"/>
  <c r="E29" i="41"/>
  <c r="E30" i="41"/>
  <c r="E31" i="41"/>
  <c r="E32" i="41"/>
  <c r="E33" i="41"/>
  <c r="E34" i="41"/>
  <c r="E35" i="41"/>
  <c r="E36" i="41"/>
  <c r="E8" i="42"/>
  <c r="E9" i="42"/>
  <c r="E10" i="42"/>
  <c r="E11" i="42"/>
  <c r="E12" i="42"/>
  <c r="E13" i="42"/>
  <c r="E14" i="42"/>
  <c r="E15" i="42"/>
  <c r="E16" i="42"/>
  <c r="E17" i="42"/>
  <c r="E18" i="42"/>
  <c r="E19" i="42"/>
  <c r="E20" i="42"/>
  <c r="E21" i="42"/>
  <c r="E22" i="42"/>
  <c r="E23" i="42"/>
  <c r="E24" i="42"/>
  <c r="E25" i="42"/>
  <c r="E26" i="42"/>
  <c r="E27" i="42"/>
  <c r="E28" i="42"/>
  <c r="E29" i="42"/>
  <c r="E30" i="42"/>
  <c r="E31" i="42"/>
  <c r="E32" i="42"/>
  <c r="E33" i="42"/>
  <c r="E34" i="42"/>
  <c r="E35" i="42"/>
  <c r="E36" i="42"/>
  <c r="E8" i="43"/>
  <c r="E9" i="43"/>
  <c r="E10" i="43"/>
  <c r="E11" i="43"/>
  <c r="E12" i="43"/>
  <c r="E13" i="43"/>
  <c r="E14" i="43"/>
  <c r="E15" i="43"/>
  <c r="E16" i="43"/>
  <c r="E17" i="43"/>
  <c r="E18" i="43"/>
  <c r="E19" i="43"/>
  <c r="E20" i="43"/>
  <c r="E21" i="43"/>
  <c r="E22" i="43"/>
  <c r="E23" i="43"/>
  <c r="E24" i="43"/>
  <c r="E25" i="43"/>
  <c r="E26" i="43"/>
  <c r="E27" i="43"/>
  <c r="E28" i="43"/>
  <c r="E29" i="43"/>
  <c r="E30" i="43"/>
  <c r="E31" i="43"/>
  <c r="E32" i="43"/>
  <c r="E33" i="43"/>
  <c r="E34" i="43"/>
  <c r="E35" i="43"/>
  <c r="E36" i="43"/>
  <c r="E8" i="44"/>
  <c r="E9" i="44"/>
  <c r="E10" i="44"/>
  <c r="E11" i="44"/>
  <c r="E12" i="44"/>
  <c r="E13" i="44"/>
  <c r="E14" i="44"/>
  <c r="E15" i="44"/>
  <c r="E16" i="44"/>
  <c r="E17" i="44"/>
  <c r="E18" i="44"/>
  <c r="E19" i="44"/>
  <c r="E20" i="44"/>
  <c r="E21" i="44"/>
  <c r="E22" i="44"/>
  <c r="E23" i="44"/>
  <c r="E24" i="44"/>
  <c r="E25" i="44"/>
  <c r="E26" i="44"/>
  <c r="E27" i="44"/>
  <c r="E28" i="44"/>
  <c r="E29" i="44"/>
  <c r="E30" i="44"/>
  <c r="E31" i="44"/>
  <c r="E32" i="44"/>
  <c r="E33" i="44"/>
  <c r="E34" i="44"/>
  <c r="E35" i="44"/>
  <c r="E36" i="44"/>
  <c r="E8" i="45"/>
  <c r="E9" i="45"/>
  <c r="E10" i="45"/>
  <c r="E11" i="45"/>
  <c r="E12" i="45"/>
  <c r="E13" i="45"/>
  <c r="E14" i="45"/>
  <c r="E15" i="45"/>
  <c r="E16" i="45"/>
  <c r="E17" i="45"/>
  <c r="E18" i="45"/>
  <c r="E19" i="45"/>
  <c r="E20" i="45"/>
  <c r="E21" i="45"/>
  <c r="E22" i="45"/>
  <c r="E23" i="45"/>
  <c r="E24" i="45"/>
  <c r="E25" i="45"/>
  <c r="E26" i="45"/>
  <c r="E27" i="45"/>
  <c r="E28" i="45"/>
  <c r="E29" i="45"/>
  <c r="E30" i="45"/>
  <c r="E31" i="45"/>
  <c r="E32" i="45"/>
  <c r="E33" i="45"/>
  <c r="E34" i="45"/>
  <c r="E35" i="45"/>
  <c r="E36" i="45"/>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8" i="47"/>
  <c r="E9" i="47"/>
  <c r="E10" i="47"/>
  <c r="E11" i="47"/>
  <c r="E12" i="47"/>
  <c r="E13" i="47"/>
  <c r="E14" i="47"/>
  <c r="E15" i="47"/>
  <c r="E16" i="47"/>
  <c r="E17" i="47"/>
  <c r="E18" i="47"/>
  <c r="E19" i="47"/>
  <c r="E20" i="47"/>
  <c r="E21" i="47"/>
  <c r="E22" i="47"/>
  <c r="E23" i="47"/>
  <c r="E24" i="47"/>
  <c r="E25" i="47"/>
  <c r="E26" i="47"/>
  <c r="E27" i="47"/>
  <c r="E28" i="47"/>
  <c r="E29" i="47"/>
  <c r="E30" i="47"/>
  <c r="E31" i="47"/>
  <c r="E32" i="47"/>
  <c r="E33" i="47"/>
  <c r="E34" i="47"/>
  <c r="E35" i="47"/>
  <c r="E36" i="47"/>
  <c r="E8" i="48"/>
  <c r="E9" i="48"/>
  <c r="E10" i="48"/>
  <c r="E11" i="48"/>
  <c r="E12" i="48"/>
  <c r="E13" i="48"/>
  <c r="E14" i="48"/>
  <c r="E15" i="48"/>
  <c r="E16" i="48"/>
  <c r="E17" i="48"/>
  <c r="E18" i="48"/>
  <c r="E19" i="48"/>
  <c r="E20" i="48"/>
  <c r="E21" i="48"/>
  <c r="E22" i="48"/>
  <c r="E23" i="48"/>
  <c r="E24" i="48"/>
  <c r="E25" i="48"/>
  <c r="E26" i="48"/>
  <c r="E27" i="48"/>
  <c r="E28" i="48"/>
  <c r="E29" i="48"/>
  <c r="E30" i="48"/>
  <c r="E31" i="48"/>
  <c r="E32" i="48"/>
  <c r="E33" i="48"/>
  <c r="E34" i="48"/>
  <c r="E35" i="48"/>
  <c r="E36" i="48"/>
  <c r="E8" i="49"/>
  <c r="E9" i="49"/>
  <c r="E10" i="49"/>
  <c r="E11" i="49"/>
  <c r="E12" i="49"/>
  <c r="E13" i="49"/>
  <c r="E14" i="49"/>
  <c r="E15" i="49"/>
  <c r="E16" i="49"/>
  <c r="E17" i="49"/>
  <c r="E18" i="49"/>
  <c r="E19" i="49"/>
  <c r="E20" i="49"/>
  <c r="E21" i="49"/>
  <c r="E22" i="49"/>
  <c r="E23" i="49"/>
  <c r="E24" i="49"/>
  <c r="E25" i="49"/>
  <c r="E26" i="49"/>
  <c r="E27" i="49"/>
  <c r="E28" i="49"/>
  <c r="E29" i="49"/>
  <c r="E30" i="49"/>
  <c r="E31" i="49"/>
  <c r="E32" i="49"/>
  <c r="E33" i="49"/>
  <c r="E34" i="49"/>
  <c r="E35" i="49"/>
  <c r="E36" i="49"/>
  <c r="E8" i="50"/>
  <c r="E9" i="50"/>
  <c r="E10" i="50"/>
  <c r="E11" i="50"/>
  <c r="E12" i="50"/>
  <c r="E13" i="50"/>
  <c r="E14" i="50"/>
  <c r="E15" i="50"/>
  <c r="E16" i="50"/>
  <c r="E17" i="50"/>
  <c r="E18" i="50"/>
  <c r="E19" i="50"/>
  <c r="E20" i="50"/>
  <c r="E21" i="50"/>
  <c r="E22" i="50"/>
  <c r="E23" i="50"/>
  <c r="E24" i="50"/>
  <c r="E25" i="50"/>
  <c r="E26" i="50"/>
  <c r="E27" i="50"/>
  <c r="E28" i="50"/>
  <c r="E29" i="50"/>
  <c r="E30" i="50"/>
  <c r="E31" i="50"/>
  <c r="E32" i="50"/>
  <c r="E33" i="50"/>
  <c r="E34" i="50"/>
  <c r="E35" i="50"/>
  <c r="E36" i="50"/>
  <c r="E8" i="51"/>
  <c r="E9" i="51"/>
  <c r="E10" i="51"/>
  <c r="E11" i="51"/>
  <c r="E12" i="51"/>
  <c r="E13" i="51"/>
  <c r="E14" i="51"/>
  <c r="E15" i="51"/>
  <c r="E16" i="51"/>
  <c r="E17" i="51"/>
  <c r="E18" i="51"/>
  <c r="E19" i="51"/>
  <c r="E20" i="51"/>
  <c r="E21" i="51"/>
  <c r="E22" i="51"/>
  <c r="E23" i="51"/>
  <c r="E24" i="51"/>
  <c r="E25" i="51"/>
  <c r="E26" i="51"/>
  <c r="E27" i="51"/>
  <c r="E28" i="51"/>
  <c r="E29" i="51"/>
  <c r="E30" i="51"/>
  <c r="E31" i="51"/>
  <c r="E32" i="51"/>
  <c r="E33" i="51"/>
  <c r="E34" i="51"/>
  <c r="E35" i="51"/>
  <c r="E36" i="51"/>
  <c r="E8" i="52"/>
  <c r="E9" i="52"/>
  <c r="E10" i="52"/>
  <c r="E11" i="52"/>
  <c r="E12" i="52"/>
  <c r="E13" i="52"/>
  <c r="E14" i="52"/>
  <c r="E15" i="52"/>
  <c r="E16" i="52"/>
  <c r="E17" i="52"/>
  <c r="E18" i="52"/>
  <c r="E19" i="52"/>
  <c r="E20" i="52"/>
  <c r="E21" i="52"/>
  <c r="E22" i="52"/>
  <c r="E23" i="52"/>
  <c r="E24" i="52"/>
  <c r="E25" i="52"/>
  <c r="E26" i="52"/>
  <c r="E27" i="52"/>
  <c r="E28" i="52"/>
  <c r="E29" i="52"/>
  <c r="E30" i="52"/>
  <c r="E31" i="52"/>
  <c r="E32" i="52"/>
  <c r="E33" i="52"/>
  <c r="E34" i="52"/>
  <c r="E35" i="52"/>
  <c r="E36" i="52"/>
  <c r="E8" i="53"/>
  <c r="E9" i="53"/>
  <c r="E10" i="53"/>
  <c r="E11" i="53"/>
  <c r="E12" i="53"/>
  <c r="E13" i="53"/>
  <c r="E14" i="53"/>
  <c r="E15" i="53"/>
  <c r="E16" i="53"/>
  <c r="E17" i="53"/>
  <c r="E18" i="53"/>
  <c r="E19" i="53"/>
  <c r="E20" i="53"/>
  <c r="E21" i="53"/>
  <c r="E22" i="53"/>
  <c r="E23" i="53"/>
  <c r="E24" i="53"/>
  <c r="E25" i="53"/>
  <c r="E26" i="53"/>
  <c r="E27" i="53"/>
  <c r="E28" i="53"/>
  <c r="E29" i="53"/>
  <c r="E30" i="53"/>
  <c r="E31" i="53"/>
  <c r="E32" i="53"/>
  <c r="E33" i="53"/>
  <c r="E34" i="53"/>
  <c r="E35" i="53"/>
  <c r="E36" i="53"/>
  <c r="E8" i="54"/>
  <c r="E9" i="54"/>
  <c r="E10" i="54"/>
  <c r="E11" i="54"/>
  <c r="E12" i="54"/>
  <c r="E13" i="54"/>
  <c r="E14" i="54"/>
  <c r="E15" i="54"/>
  <c r="E16" i="54"/>
  <c r="E17" i="54"/>
  <c r="E18" i="54"/>
  <c r="E19" i="54"/>
  <c r="E20" i="54"/>
  <c r="E21" i="54"/>
  <c r="E22" i="54"/>
  <c r="E23" i="54"/>
  <c r="E24" i="54"/>
  <c r="E25" i="54"/>
  <c r="E26" i="54"/>
  <c r="E27" i="54"/>
  <c r="E28" i="54"/>
  <c r="E29" i="54"/>
  <c r="E30" i="54"/>
  <c r="E31" i="54"/>
  <c r="E32" i="54"/>
  <c r="E33" i="54"/>
  <c r="E34" i="54"/>
  <c r="E35" i="54"/>
  <c r="E36" i="54"/>
  <c r="E8" i="55"/>
  <c r="E9" i="55"/>
  <c r="E10" i="55"/>
  <c r="E11" i="55"/>
  <c r="E12" i="55"/>
  <c r="E13" i="55"/>
  <c r="E14" i="55"/>
  <c r="E15" i="55"/>
  <c r="E16" i="55"/>
  <c r="E17" i="55"/>
  <c r="E18" i="55"/>
  <c r="E19" i="55"/>
  <c r="E20" i="55"/>
  <c r="E21" i="55"/>
  <c r="E22" i="55"/>
  <c r="E23" i="55"/>
  <c r="E24" i="55"/>
  <c r="E25" i="55"/>
  <c r="E26" i="55"/>
  <c r="E27" i="55"/>
  <c r="E28" i="55"/>
  <c r="E29" i="55"/>
  <c r="E30" i="55"/>
  <c r="E31" i="55"/>
  <c r="E32" i="55"/>
  <c r="E33" i="55"/>
  <c r="E34" i="55"/>
  <c r="E35" i="55"/>
  <c r="E36" i="55"/>
  <c r="E8" i="56"/>
  <c r="E9" i="56"/>
  <c r="E10" i="56"/>
  <c r="E11" i="56"/>
  <c r="E12" i="56"/>
  <c r="E13" i="56"/>
  <c r="E14" i="56"/>
  <c r="E15" i="56"/>
  <c r="E16" i="56"/>
  <c r="E17" i="56"/>
  <c r="E18" i="56"/>
  <c r="E19" i="56"/>
  <c r="E20" i="56"/>
  <c r="E21" i="56"/>
  <c r="E22" i="56"/>
  <c r="E23" i="56"/>
  <c r="E24" i="56"/>
  <c r="E25" i="56"/>
  <c r="E26" i="56"/>
  <c r="E27" i="56"/>
  <c r="E28" i="56"/>
  <c r="E29" i="56"/>
  <c r="E30" i="56"/>
  <c r="E31" i="56"/>
  <c r="E32" i="56"/>
  <c r="E33" i="56"/>
  <c r="E34" i="56"/>
  <c r="E35" i="56"/>
  <c r="E36" i="56"/>
  <c r="E8" i="57"/>
  <c r="E9" i="57"/>
  <c r="E10" i="57"/>
  <c r="E11" i="57"/>
  <c r="E12" i="57"/>
  <c r="E13" i="57"/>
  <c r="E14" i="57"/>
  <c r="E15" i="57"/>
  <c r="E16" i="57"/>
  <c r="E17" i="57"/>
  <c r="E18" i="57"/>
  <c r="E19" i="57"/>
  <c r="E20" i="57"/>
  <c r="E21" i="57"/>
  <c r="E22" i="57"/>
  <c r="E23" i="57"/>
  <c r="E24" i="57"/>
  <c r="E25" i="57"/>
  <c r="E26" i="57"/>
  <c r="E27" i="57"/>
  <c r="E28" i="57"/>
  <c r="E29" i="57"/>
  <c r="E30" i="57"/>
  <c r="E31" i="57"/>
  <c r="E32" i="57"/>
  <c r="E33" i="57"/>
  <c r="E34" i="57"/>
  <c r="E35" i="57"/>
  <c r="E36" i="57"/>
  <c r="E8" i="58"/>
  <c r="E9" i="58"/>
  <c r="E10" i="58"/>
  <c r="E11" i="58"/>
  <c r="E12" i="58"/>
  <c r="E13" i="58"/>
  <c r="E14" i="58"/>
  <c r="E15" i="58"/>
  <c r="E16" i="58"/>
  <c r="E17" i="58"/>
  <c r="E18" i="58"/>
  <c r="E19" i="58"/>
  <c r="E20" i="58"/>
  <c r="E21" i="58"/>
  <c r="E22" i="58"/>
  <c r="E23" i="58"/>
  <c r="E24" i="58"/>
  <c r="E25" i="58"/>
  <c r="E26" i="58"/>
  <c r="E27" i="58"/>
  <c r="E28" i="58"/>
  <c r="E29" i="58"/>
  <c r="E30" i="58"/>
  <c r="E31" i="58"/>
  <c r="E32" i="58"/>
  <c r="E33" i="58"/>
  <c r="E34" i="58"/>
  <c r="E35" i="58"/>
  <c r="E36" i="58"/>
  <c r="E9" i="59"/>
  <c r="E10" i="59"/>
  <c r="E11" i="59"/>
  <c r="E12" i="59"/>
  <c r="E13" i="59"/>
  <c r="E14" i="59"/>
  <c r="E15" i="59"/>
  <c r="E16" i="59"/>
  <c r="E17" i="59"/>
  <c r="E18" i="59"/>
  <c r="E19" i="59"/>
  <c r="E20" i="59"/>
  <c r="E21" i="59"/>
  <c r="E22" i="59"/>
  <c r="E23" i="59"/>
  <c r="E24" i="59"/>
  <c r="E25" i="59"/>
  <c r="E26" i="59"/>
  <c r="E27" i="59"/>
  <c r="E28" i="59"/>
  <c r="E29" i="59"/>
  <c r="E30" i="59"/>
  <c r="E31" i="59"/>
  <c r="E32" i="59"/>
  <c r="E33" i="59"/>
  <c r="E34" i="59"/>
  <c r="E35" i="59"/>
  <c r="K7" i="62"/>
  <c r="AH9" i="33"/>
  <c r="AH10" i="33"/>
  <c r="AH11" i="33"/>
  <c r="AH12" i="33"/>
  <c r="AH13" i="33"/>
  <c r="AH14" i="33"/>
  <c r="AH15" i="33"/>
  <c r="AH16" i="33"/>
  <c r="AH17" i="33"/>
  <c r="AH18" i="33"/>
  <c r="AH19" i="33"/>
  <c r="AH20" i="33"/>
  <c r="AH21" i="33"/>
  <c r="AH22" i="33"/>
  <c r="AH23" i="33"/>
  <c r="AH24" i="33"/>
  <c r="AH25" i="33"/>
  <c r="AH26" i="33"/>
  <c r="AH27" i="33"/>
  <c r="AH28" i="33"/>
  <c r="AH29" i="33"/>
  <c r="AH30" i="33"/>
  <c r="AH31" i="33"/>
  <c r="AH32" i="33"/>
  <c r="AH33" i="33"/>
  <c r="AH34" i="33"/>
  <c r="AH35" i="33"/>
  <c r="AH36" i="33"/>
  <c r="AH37" i="33"/>
  <c r="AH11" i="38"/>
  <c r="AH12" i="38"/>
  <c r="AH13" i="38"/>
  <c r="AM13" i="38"/>
  <c r="AH14" i="38"/>
  <c r="AM14" i="38"/>
  <c r="AH15" i="38"/>
  <c r="AH16" i="38"/>
  <c r="AM16" i="38"/>
  <c r="AH17" i="38"/>
  <c r="AH18" i="38"/>
  <c r="AH19" i="38"/>
  <c r="AH20" i="38"/>
  <c r="AH21" i="38"/>
  <c r="AH22" i="38"/>
  <c r="AH23" i="38"/>
  <c r="AH24" i="38"/>
  <c r="AH25" i="38"/>
  <c r="AH26" i="38"/>
  <c r="AH27" i="38"/>
  <c r="AH28" i="38"/>
  <c r="AH9" i="34"/>
  <c r="AH10" i="34"/>
  <c r="AH11" i="34"/>
  <c r="AH12" i="34"/>
  <c r="AH13" i="34"/>
  <c r="AH14" i="34"/>
  <c r="AH15" i="34"/>
  <c r="AH16" i="34"/>
  <c r="AH17" i="34"/>
  <c r="AH18" i="34"/>
  <c r="AH19" i="34"/>
  <c r="AH20" i="34"/>
  <c r="AH21" i="34"/>
  <c r="AH22" i="34"/>
  <c r="AH23" i="34"/>
  <c r="AH24" i="34"/>
  <c r="AH25" i="34"/>
  <c r="AH26" i="34"/>
  <c r="AH27" i="34"/>
  <c r="AH28" i="34"/>
  <c r="AH29" i="34"/>
  <c r="AH30" i="34"/>
  <c r="AH31" i="34"/>
  <c r="AH32" i="34"/>
  <c r="AM32" i="34"/>
  <c r="AH33" i="34"/>
  <c r="AH34" i="34"/>
  <c r="AH35" i="34"/>
  <c r="AH36" i="34"/>
  <c r="AH37" i="34"/>
  <c r="AH27" i="4"/>
  <c r="AH28" i="4"/>
  <c r="AH29" i="4"/>
  <c r="AH30" i="4"/>
  <c r="AH31" i="4"/>
  <c r="AH32" i="4"/>
  <c r="AH33" i="4"/>
  <c r="AH34" i="4"/>
  <c r="AH35" i="4"/>
  <c r="AH36" i="4"/>
  <c r="AH37" i="4"/>
  <c r="AH38" i="4"/>
  <c r="AM32" i="37"/>
  <c r="AM30" i="38"/>
  <c r="AM24" i="39"/>
  <c r="AM23" i="36"/>
  <c r="AM24" i="36"/>
  <c r="U14" i="61"/>
  <c r="I14" i="7"/>
  <c r="W14" i="9"/>
  <c r="U15" i="61"/>
  <c r="I15" i="7"/>
  <c r="W15" i="9"/>
  <c r="U16" i="61"/>
  <c r="I16" i="7"/>
  <c r="W16" i="9"/>
  <c r="U17" i="61"/>
  <c r="I17" i="7"/>
  <c r="W17" i="9"/>
  <c r="U18" i="61"/>
  <c r="I18" i="7"/>
  <c r="W18" i="9"/>
  <c r="U19" i="61"/>
  <c r="I19" i="7"/>
  <c r="W19" i="9"/>
  <c r="U20" i="61"/>
  <c r="I20" i="7"/>
  <c r="W20" i="9"/>
  <c r="U21" i="61"/>
  <c r="I21" i="7"/>
  <c r="W21" i="9"/>
  <c r="U22" i="61"/>
  <c r="I22" i="7"/>
  <c r="W22" i="9"/>
  <c r="U23" i="61"/>
  <c r="I23" i="7"/>
  <c r="W23" i="9"/>
  <c r="U24" i="61"/>
  <c r="I24" i="7"/>
  <c r="W24" i="9"/>
  <c r="U25" i="61"/>
  <c r="I25" i="7"/>
  <c r="W25" i="9"/>
  <c r="U26" i="61"/>
  <c r="I26" i="7"/>
  <c r="W26" i="9"/>
  <c r="U27" i="61"/>
  <c r="I27" i="7"/>
  <c r="W27" i="9"/>
  <c r="U28" i="61"/>
  <c r="I28" i="7"/>
  <c r="W28" i="9"/>
  <c r="U29" i="61"/>
  <c r="I29" i="7"/>
  <c r="W29" i="9"/>
  <c r="U30" i="61"/>
  <c r="I30" i="7"/>
  <c r="W30" i="9"/>
  <c r="U31" i="61"/>
  <c r="I31" i="7"/>
  <c r="W31" i="9"/>
  <c r="U32" i="61"/>
  <c r="I32" i="7"/>
  <c r="W32" i="9"/>
  <c r="U33" i="61"/>
  <c r="I33" i="7"/>
  <c r="W33" i="9"/>
  <c r="U34" i="61"/>
  <c r="I34" i="7"/>
  <c r="W34" i="9"/>
  <c r="U35" i="61"/>
  <c r="I35" i="7"/>
  <c r="W35" i="9"/>
  <c r="G50" i="9"/>
  <c r="G53" i="9"/>
  <c r="BE50" i="8"/>
  <c r="BC50" i="8"/>
  <c r="BA50" i="8"/>
  <c r="AY50" i="8"/>
  <c r="AW50" i="8"/>
  <c r="AU50" i="8"/>
  <c r="AS50" i="8"/>
  <c r="AQ50" i="8"/>
  <c r="AO50" i="8"/>
  <c r="AM50" i="8"/>
  <c r="AK50" i="8"/>
  <c r="AI50" i="8"/>
  <c r="AG50" i="8"/>
  <c r="AE50" i="8"/>
  <c r="AC50" i="8"/>
  <c r="Z50" i="8"/>
  <c r="X50" i="8"/>
  <c r="V50" i="8"/>
  <c r="T50" i="8"/>
  <c r="R50" i="8"/>
  <c r="BE49" i="8"/>
  <c r="BC49" i="8"/>
  <c r="BA49" i="8"/>
  <c r="AY49" i="8"/>
  <c r="AW49" i="8"/>
  <c r="AU49" i="8"/>
  <c r="AS49" i="8"/>
  <c r="AQ49" i="8"/>
  <c r="AO49" i="8"/>
  <c r="AM49" i="8"/>
  <c r="AK49" i="8"/>
  <c r="AI49" i="8"/>
  <c r="AG49" i="8"/>
  <c r="AE49" i="8"/>
  <c r="AC49" i="8"/>
  <c r="Z49" i="8"/>
  <c r="X49" i="8"/>
  <c r="V49" i="8"/>
  <c r="T49" i="8"/>
  <c r="R49" i="8"/>
  <c r="BE48" i="8"/>
  <c r="BC48" i="8"/>
  <c r="BA48" i="8"/>
  <c r="AY48" i="8"/>
  <c r="AW48" i="8"/>
  <c r="AU48" i="8"/>
  <c r="AS48" i="8"/>
  <c r="AQ48" i="8"/>
  <c r="AO48" i="8"/>
  <c r="AM48" i="8"/>
  <c r="AK48" i="8"/>
  <c r="AI48" i="8"/>
  <c r="AG48" i="8"/>
  <c r="AE48" i="8"/>
  <c r="AC48" i="8"/>
  <c r="Z48" i="8"/>
  <c r="X48" i="8"/>
  <c r="V48" i="8"/>
  <c r="T48" i="8"/>
  <c r="R48" i="8"/>
  <c r="BE47" i="8"/>
  <c r="BC47" i="8"/>
  <c r="BA47" i="8"/>
  <c r="AY47" i="8"/>
  <c r="AW47" i="8"/>
  <c r="AU47" i="8"/>
  <c r="AS47" i="8"/>
  <c r="AQ47" i="8"/>
  <c r="AO47" i="8"/>
  <c r="AM47" i="8"/>
  <c r="AK47" i="8"/>
  <c r="AI47" i="8"/>
  <c r="AG47" i="8"/>
  <c r="AE47" i="8"/>
  <c r="AC47" i="8"/>
  <c r="Z47" i="8"/>
  <c r="X47" i="8"/>
  <c r="V47" i="8"/>
  <c r="T47" i="8"/>
  <c r="R47" i="8"/>
  <c r="BE46" i="8"/>
  <c r="BC46" i="8"/>
  <c r="BA46" i="8"/>
  <c r="AY46" i="8"/>
  <c r="AW46" i="8"/>
  <c r="AU46" i="8"/>
  <c r="AS46" i="8"/>
  <c r="AQ46" i="8"/>
  <c r="AO46" i="8"/>
  <c r="AM46" i="8"/>
  <c r="AK46" i="8"/>
  <c r="AI46" i="8"/>
  <c r="AG46" i="8"/>
  <c r="AE46" i="8"/>
  <c r="AC46" i="8"/>
  <c r="Z46" i="8"/>
  <c r="X46" i="8"/>
  <c r="V46" i="8"/>
  <c r="T46" i="8"/>
  <c r="R46" i="8"/>
  <c r="BE45" i="8"/>
  <c r="BC45" i="8"/>
  <c r="BA45" i="8"/>
  <c r="AY45" i="8"/>
  <c r="AW45" i="8"/>
  <c r="AU45" i="8"/>
  <c r="AS45" i="8"/>
  <c r="AQ45" i="8"/>
  <c r="AO45" i="8"/>
  <c r="AM45" i="8"/>
  <c r="AK45" i="8"/>
  <c r="AI45" i="8"/>
  <c r="AG45" i="8"/>
  <c r="AE45" i="8"/>
  <c r="AC45" i="8"/>
  <c r="Z45" i="8"/>
  <c r="X45" i="8"/>
  <c r="V45" i="8"/>
  <c r="T45" i="8"/>
  <c r="R45" i="8"/>
  <c r="BE44" i="8"/>
  <c r="BC44" i="8"/>
  <c r="BA44" i="8"/>
  <c r="AY44" i="8"/>
  <c r="AW44" i="8"/>
  <c r="AU44" i="8"/>
  <c r="AS44" i="8"/>
  <c r="AQ44" i="8"/>
  <c r="AO44" i="8"/>
  <c r="AM44" i="8"/>
  <c r="AK44" i="8"/>
  <c r="AI44" i="8"/>
  <c r="AG44" i="8"/>
  <c r="AE44" i="8"/>
  <c r="AC44" i="8"/>
  <c r="Z44" i="8"/>
  <c r="X44" i="8"/>
  <c r="V44" i="8"/>
  <c r="T44" i="8"/>
  <c r="R44" i="8"/>
  <c r="BE43" i="8"/>
  <c r="BC43" i="8"/>
  <c r="BA43" i="8"/>
  <c r="AY43" i="8"/>
  <c r="AW43" i="8"/>
  <c r="AU43" i="8"/>
  <c r="AS43" i="8"/>
  <c r="AQ43" i="8"/>
  <c r="AO43" i="8"/>
  <c r="AM43" i="8"/>
  <c r="AK43" i="8"/>
  <c r="AI43" i="8"/>
  <c r="AG43" i="8"/>
  <c r="AE43" i="8"/>
  <c r="AC43" i="8"/>
  <c r="Z43" i="8"/>
  <c r="X43" i="8"/>
  <c r="V43" i="8"/>
  <c r="T43" i="8"/>
  <c r="R43" i="8"/>
  <c r="BE42" i="8"/>
  <c r="BC42" i="8"/>
  <c r="BA42" i="8"/>
  <c r="AY42" i="8"/>
  <c r="AW42" i="8"/>
  <c r="AU42" i="8"/>
  <c r="AS42" i="8"/>
  <c r="AQ42" i="8"/>
  <c r="AO42" i="8"/>
  <c r="AM42" i="8"/>
  <c r="AK42" i="8"/>
  <c r="AI42" i="8"/>
  <c r="AG42" i="8"/>
  <c r="AE42" i="8"/>
  <c r="AC42" i="8"/>
  <c r="Z42" i="8"/>
  <c r="X42" i="8"/>
  <c r="V42" i="8"/>
  <c r="T42" i="8"/>
  <c r="R42" i="8"/>
  <c r="BE41" i="8"/>
  <c r="BC41" i="8"/>
  <c r="BA41" i="8"/>
  <c r="AY41" i="8"/>
  <c r="AW41" i="8"/>
  <c r="AU41" i="8"/>
  <c r="AS41" i="8"/>
  <c r="AQ41" i="8"/>
  <c r="AO41" i="8"/>
  <c r="AM41" i="8"/>
  <c r="AK41" i="8"/>
  <c r="AI41" i="8"/>
  <c r="AG41" i="8"/>
  <c r="AE41" i="8"/>
  <c r="AC41" i="8"/>
  <c r="Z41" i="8"/>
  <c r="X41" i="8"/>
  <c r="V41" i="8"/>
  <c r="T41" i="8"/>
  <c r="R41" i="8"/>
  <c r="BE40" i="8"/>
  <c r="BC40" i="8"/>
  <c r="BA40" i="8"/>
  <c r="AY40" i="8"/>
  <c r="AW40" i="8"/>
  <c r="AU40" i="8"/>
  <c r="AS40" i="8"/>
  <c r="AQ40" i="8"/>
  <c r="AO40" i="8"/>
  <c r="AM40" i="8"/>
  <c r="AK40" i="8"/>
  <c r="AI40" i="8"/>
  <c r="AG40" i="8"/>
  <c r="AE40" i="8"/>
  <c r="AC40" i="8"/>
  <c r="Z40" i="8"/>
  <c r="X40" i="8"/>
  <c r="V40" i="8"/>
  <c r="T40" i="8"/>
  <c r="R40" i="8"/>
  <c r="BE39" i="8"/>
  <c r="BC39" i="8"/>
  <c r="BA39" i="8"/>
  <c r="AY39" i="8"/>
  <c r="AW39" i="8"/>
  <c r="AU39" i="8"/>
  <c r="AS39" i="8"/>
  <c r="AQ39" i="8"/>
  <c r="AO39" i="8"/>
  <c r="AM39" i="8"/>
  <c r="AK39" i="8"/>
  <c r="AI39" i="8"/>
  <c r="AG39" i="8"/>
  <c r="AE39" i="8"/>
  <c r="AC39" i="8"/>
  <c r="Z39" i="8"/>
  <c r="X39" i="8"/>
  <c r="V39" i="8"/>
  <c r="T39" i="8"/>
  <c r="R39" i="8"/>
  <c r="L7" i="29"/>
  <c r="L8" i="29"/>
  <c r="L9" i="29"/>
  <c r="L10" i="29"/>
  <c r="L11" i="29"/>
  <c r="L12" i="29"/>
  <c r="C12" i="8"/>
  <c r="M17" i="62"/>
  <c r="M18" i="62"/>
  <c r="M19" i="62"/>
  <c r="M20" i="62"/>
  <c r="M21" i="62"/>
  <c r="M22" i="62"/>
  <c r="M23" i="62"/>
  <c r="M24" i="62"/>
  <c r="M25" i="62"/>
  <c r="M26" i="62"/>
  <c r="M27" i="62"/>
  <c r="M28" i="62"/>
  <c r="M29" i="62"/>
  <c r="M30" i="62"/>
  <c r="M31" i="62"/>
  <c r="M32" i="62"/>
  <c r="M33" i="62"/>
  <c r="M34" i="62"/>
  <c r="M35" i="62"/>
  <c r="M36" i="62"/>
  <c r="AG11" i="30"/>
  <c r="E12" i="62"/>
  <c r="AC8" i="33"/>
  <c r="AC8" i="52"/>
  <c r="C6" i="9"/>
  <c r="Z8" i="9"/>
  <c r="AA8" i="9"/>
  <c r="Z9" i="9"/>
  <c r="AA9" i="9"/>
  <c r="Z10" i="9"/>
  <c r="AA10" i="9"/>
  <c r="Z11" i="9"/>
  <c r="AA11" i="9"/>
  <c r="Z12" i="9"/>
  <c r="AA12" i="9"/>
  <c r="Z13" i="9"/>
  <c r="AA13" i="9"/>
  <c r="Z14" i="9"/>
  <c r="AA14" i="9"/>
  <c r="Z15" i="9"/>
  <c r="AA15" i="9"/>
  <c r="Z16" i="9"/>
  <c r="AA16" i="9"/>
  <c r="Z17" i="9"/>
  <c r="AA17" i="9"/>
  <c r="Z18" i="9"/>
  <c r="AA18" i="9"/>
  <c r="Z19" i="9"/>
  <c r="AA19" i="9"/>
  <c r="Z20" i="9"/>
  <c r="AA20" i="9"/>
  <c r="Z21" i="9"/>
  <c r="AA21" i="9"/>
  <c r="Z22" i="9"/>
  <c r="AA22" i="9"/>
  <c r="Z23" i="9"/>
  <c r="AA23" i="9"/>
  <c r="Z24" i="9"/>
  <c r="AA24" i="9"/>
  <c r="Z25" i="9"/>
  <c r="AA25" i="9"/>
  <c r="Z26" i="9"/>
  <c r="AA26" i="9"/>
  <c r="Z27" i="9"/>
  <c r="AA27" i="9"/>
  <c r="Z28" i="9"/>
  <c r="AA28" i="9"/>
  <c r="Z29" i="9"/>
  <c r="AA29" i="9"/>
  <c r="Z30" i="9"/>
  <c r="AA30" i="9"/>
  <c r="Z31" i="9"/>
  <c r="AA31" i="9"/>
  <c r="Z32" i="9"/>
  <c r="AA32" i="9"/>
  <c r="Z33" i="9"/>
  <c r="AA33" i="9"/>
  <c r="Z34" i="9"/>
  <c r="AA34" i="9"/>
  <c r="Z35" i="9"/>
  <c r="AA35" i="9"/>
  <c r="AA7" i="9"/>
  <c r="Z7" i="9"/>
  <c r="E11" i="9"/>
  <c r="C5" i="9"/>
  <c r="J21" i="8"/>
  <c r="AC36" i="6"/>
  <c r="AD36" i="6"/>
  <c r="AE36" i="6"/>
  <c r="AF36" i="6"/>
  <c r="AG36" i="6"/>
  <c r="AH36" i="6"/>
  <c r="AI36" i="6"/>
  <c r="C9" i="5"/>
  <c r="C21" i="8"/>
  <c r="L6" i="7"/>
  <c r="M6" i="7"/>
  <c r="N6" i="7"/>
  <c r="O6" i="7"/>
  <c r="P6" i="7"/>
  <c r="Q6" i="7"/>
  <c r="R6" i="7"/>
  <c r="S6" i="7"/>
  <c r="T6" i="7"/>
  <c r="U6" i="7"/>
  <c r="V6" i="7"/>
  <c r="W6" i="7"/>
  <c r="X6" i="7"/>
  <c r="Y6" i="7"/>
  <c r="Z6" i="7"/>
  <c r="AA6" i="7"/>
  <c r="AB6" i="7"/>
  <c r="AC6" i="7"/>
  <c r="AD6" i="7"/>
  <c r="AE6" i="7"/>
  <c r="AF6" i="7"/>
  <c r="AG6" i="7"/>
  <c r="AH6" i="7"/>
  <c r="AI6" i="7"/>
  <c r="AJ6" i="7"/>
  <c r="AK6" i="7"/>
  <c r="AL6" i="7"/>
  <c r="AM6" i="7"/>
  <c r="AN6" i="7"/>
  <c r="L8" i="7"/>
  <c r="L7" i="7"/>
  <c r="M8" i="7"/>
  <c r="M7" i="7"/>
  <c r="N8" i="7"/>
  <c r="N7" i="7"/>
  <c r="O8" i="7"/>
  <c r="O7" i="7"/>
  <c r="P8" i="7"/>
  <c r="Q8" i="7"/>
  <c r="R8" i="7"/>
  <c r="S8" i="7"/>
  <c r="T8" i="7"/>
  <c r="U8" i="7"/>
  <c r="V8" i="7"/>
  <c r="W8" i="7"/>
  <c r="X8" i="7"/>
  <c r="Y8" i="7"/>
  <c r="Z8" i="7"/>
  <c r="AA8" i="7"/>
  <c r="AB8" i="7"/>
  <c r="AC8" i="7"/>
  <c r="AD8" i="7"/>
  <c r="AE8" i="7"/>
  <c r="AF8" i="7"/>
  <c r="AG8" i="7"/>
  <c r="AH8" i="7"/>
  <c r="AI8" i="7"/>
  <c r="AJ8" i="7"/>
  <c r="AK8" i="7"/>
  <c r="AL8" i="7"/>
  <c r="AM8" i="7"/>
  <c r="AN8" i="7"/>
  <c r="P7" i="7"/>
  <c r="Q7" i="7"/>
  <c r="R7" i="7"/>
  <c r="S7" i="7"/>
  <c r="T7" i="7"/>
  <c r="U7" i="7"/>
  <c r="V7" i="7"/>
  <c r="W7" i="7"/>
  <c r="X7" i="7"/>
  <c r="Y7" i="7"/>
  <c r="Z7" i="7"/>
  <c r="AA7" i="7"/>
  <c r="AB7" i="7"/>
  <c r="AC7" i="7"/>
  <c r="AD7" i="7"/>
  <c r="AE7" i="7"/>
  <c r="AF7" i="7"/>
  <c r="AG7" i="7"/>
  <c r="AH7" i="7"/>
  <c r="AI7" i="7"/>
  <c r="AJ7" i="7"/>
  <c r="AK7" i="7"/>
  <c r="AL7" i="7"/>
  <c r="AM7" i="7"/>
  <c r="AN7" i="7"/>
  <c r="V17" i="61"/>
  <c r="V25" i="61"/>
  <c r="V33" i="61"/>
  <c r="BN8" i="61"/>
  <c r="BR8" i="61"/>
  <c r="BN10" i="61"/>
  <c r="BR10" i="61"/>
  <c r="BN12" i="61"/>
  <c r="BR12" i="61"/>
  <c r="BN13" i="61"/>
  <c r="BR13" i="61"/>
  <c r="BN14" i="61"/>
  <c r="BR14" i="61"/>
  <c r="BG7" i="61"/>
  <c r="BN7" i="61"/>
  <c r="BR7" i="61"/>
  <c r="BG8" i="61"/>
  <c r="BG9" i="61"/>
  <c r="BG10" i="61"/>
  <c r="BG11" i="61"/>
  <c r="BG12" i="61"/>
  <c r="BG13" i="61"/>
  <c r="BG14" i="61"/>
  <c r="BG15" i="61"/>
  <c r="BG16" i="61"/>
  <c r="BG17" i="61"/>
  <c r="BG18" i="61"/>
  <c r="BG19" i="61"/>
  <c r="BG20" i="61"/>
  <c r="BG21" i="61"/>
  <c r="BG22" i="61"/>
  <c r="BG23" i="61"/>
  <c r="BG24" i="61"/>
  <c r="BG25" i="61"/>
  <c r="BG26" i="61"/>
  <c r="BG27" i="61"/>
  <c r="BG28" i="61"/>
  <c r="BG29" i="61"/>
  <c r="BG30" i="61"/>
  <c r="BG31" i="61"/>
  <c r="BG32" i="61"/>
  <c r="BG33" i="61"/>
  <c r="BG34" i="61"/>
  <c r="BG35" i="61"/>
  <c r="BN9" i="61"/>
  <c r="BR9" i="61"/>
  <c r="BN11" i="61"/>
  <c r="BR11" i="61"/>
  <c r="BN6" i="61"/>
  <c r="BR6" i="61"/>
  <c r="BI7" i="61"/>
  <c r="BI8" i="61"/>
  <c r="BI9" i="61"/>
  <c r="BI10" i="61"/>
  <c r="BI11" i="61"/>
  <c r="BI12" i="61"/>
  <c r="BI13" i="61"/>
  <c r="BI14" i="61"/>
  <c r="BI15" i="61"/>
  <c r="BI16" i="61"/>
  <c r="BI17" i="61"/>
  <c r="BI18" i="61"/>
  <c r="BI19" i="61"/>
  <c r="BI20" i="61"/>
  <c r="BI21" i="61"/>
  <c r="BI22" i="61"/>
  <c r="BI23" i="61"/>
  <c r="BI24" i="61"/>
  <c r="BI25" i="61"/>
  <c r="BI26" i="61"/>
  <c r="BI27" i="61"/>
  <c r="BI28" i="61"/>
  <c r="BI29" i="61"/>
  <c r="BI30" i="61"/>
  <c r="BI31" i="61"/>
  <c r="BI32" i="61"/>
  <c r="BI33" i="61"/>
  <c r="BI34" i="61"/>
  <c r="BI35" i="61"/>
  <c r="W38" i="61"/>
  <c r="AC36" i="61"/>
  <c r="AD36" i="61"/>
  <c r="AE36" i="61"/>
  <c r="AF36" i="61"/>
  <c r="AG36" i="61"/>
  <c r="AH36" i="61"/>
  <c r="AI36" i="61"/>
  <c r="AJ36" i="61"/>
  <c r="AK36" i="61"/>
  <c r="AL36" i="61"/>
  <c r="AM36" i="61"/>
  <c r="AN36" i="61"/>
  <c r="AO36" i="61"/>
  <c r="AP36" i="61"/>
  <c r="BE7" i="61"/>
  <c r="BE8" i="61"/>
  <c r="BE9" i="61"/>
  <c r="BE10" i="61"/>
  <c r="BE11" i="61"/>
  <c r="BE12" i="61"/>
  <c r="BE13" i="61"/>
  <c r="BE14" i="61"/>
  <c r="BE15" i="61"/>
  <c r="BE16" i="61"/>
  <c r="BE17" i="61"/>
  <c r="BE18" i="61"/>
  <c r="BE19" i="61"/>
  <c r="BE20" i="61"/>
  <c r="BE21" i="61"/>
  <c r="BE22" i="61"/>
  <c r="BE23" i="61"/>
  <c r="BE24" i="61"/>
  <c r="BE25" i="61"/>
  <c r="BE26" i="61"/>
  <c r="BE27" i="61"/>
  <c r="BE28" i="61"/>
  <c r="BE29" i="61"/>
  <c r="BE30" i="61"/>
  <c r="BE31" i="61"/>
  <c r="BE32" i="61"/>
  <c r="BE33" i="61"/>
  <c r="BE34" i="61"/>
  <c r="BE35" i="61"/>
  <c r="BC7" i="61"/>
  <c r="BC8" i="61"/>
  <c r="BC9" i="61"/>
  <c r="BC10" i="61"/>
  <c r="BC11" i="61"/>
  <c r="BC12" i="61"/>
  <c r="BC13" i="61"/>
  <c r="BC14" i="61"/>
  <c r="BC15" i="61"/>
  <c r="BC16" i="61"/>
  <c r="BC17" i="61"/>
  <c r="BC18" i="61"/>
  <c r="BC19" i="61"/>
  <c r="BC20" i="61"/>
  <c r="BC21" i="61"/>
  <c r="BC22" i="61"/>
  <c r="BC23" i="61"/>
  <c r="BC24" i="61"/>
  <c r="BC25" i="61"/>
  <c r="BC26" i="61"/>
  <c r="BC27" i="61"/>
  <c r="BC28" i="61"/>
  <c r="BC29" i="61"/>
  <c r="BC30" i="61"/>
  <c r="BC31" i="61"/>
  <c r="BC32" i="61"/>
  <c r="BC33" i="61"/>
  <c r="BC34" i="61"/>
  <c r="BC35" i="61"/>
  <c r="BA7" i="61"/>
  <c r="BA8" i="61"/>
  <c r="BA9" i="61"/>
  <c r="BA10" i="61"/>
  <c r="BA11" i="61"/>
  <c r="BA12" i="61"/>
  <c r="BA13" i="61"/>
  <c r="BA14" i="61"/>
  <c r="BA15" i="61"/>
  <c r="BA16" i="61"/>
  <c r="BA17" i="61"/>
  <c r="BA18" i="61"/>
  <c r="BA19" i="61"/>
  <c r="BA20" i="61"/>
  <c r="BA21" i="61"/>
  <c r="BA22" i="61"/>
  <c r="BA23" i="61"/>
  <c r="BA24" i="61"/>
  <c r="BA25" i="61"/>
  <c r="BA26" i="61"/>
  <c r="BA27" i="61"/>
  <c r="BA28" i="61"/>
  <c r="BA29" i="61"/>
  <c r="BA30" i="61"/>
  <c r="BA31" i="61"/>
  <c r="BA32" i="61"/>
  <c r="BA33" i="61"/>
  <c r="BA34" i="61"/>
  <c r="BA35" i="61"/>
  <c r="AY7" i="61"/>
  <c r="AY8" i="61"/>
  <c r="AY9" i="61"/>
  <c r="AY10" i="61"/>
  <c r="AY11" i="61"/>
  <c r="AY12" i="61"/>
  <c r="AY13" i="61"/>
  <c r="AY14" i="61"/>
  <c r="AY15" i="61"/>
  <c r="AY16" i="61"/>
  <c r="AY17" i="61"/>
  <c r="AY18" i="61"/>
  <c r="AY19" i="61"/>
  <c r="AY20" i="61"/>
  <c r="AY21" i="61"/>
  <c r="AY22" i="61"/>
  <c r="AY23" i="61"/>
  <c r="AY24" i="61"/>
  <c r="AY25" i="61"/>
  <c r="AY26" i="61"/>
  <c r="AY27" i="61"/>
  <c r="AY28" i="61"/>
  <c r="AY29" i="61"/>
  <c r="AY30" i="61"/>
  <c r="AY31" i="61"/>
  <c r="AY32" i="61"/>
  <c r="AY33" i="61"/>
  <c r="AY34" i="61"/>
  <c r="AY35" i="61"/>
  <c r="AW7" i="61"/>
  <c r="AW8" i="61"/>
  <c r="AW9" i="61"/>
  <c r="AW10" i="61"/>
  <c r="AW11" i="61"/>
  <c r="AW12" i="61"/>
  <c r="AW13" i="61"/>
  <c r="AW14" i="61"/>
  <c r="AW15" i="61"/>
  <c r="AW16" i="61"/>
  <c r="AW17" i="61"/>
  <c r="AW18" i="61"/>
  <c r="AW19" i="61"/>
  <c r="AW20" i="61"/>
  <c r="AW21" i="61"/>
  <c r="AW22" i="61"/>
  <c r="AW23" i="61"/>
  <c r="AW24" i="61"/>
  <c r="AW25" i="61"/>
  <c r="AW26" i="61"/>
  <c r="AW27" i="61"/>
  <c r="AW28" i="61"/>
  <c r="AW29" i="61"/>
  <c r="AW30" i="61"/>
  <c r="AW31" i="61"/>
  <c r="AW32" i="61"/>
  <c r="AW33" i="61"/>
  <c r="AW34" i="61"/>
  <c r="AW35" i="61"/>
  <c r="AU7" i="61"/>
  <c r="AU8" i="61"/>
  <c r="AU9" i="61"/>
  <c r="AU10" i="61"/>
  <c r="AU11" i="61"/>
  <c r="AU12" i="61"/>
  <c r="AU13" i="61"/>
  <c r="AU14" i="61"/>
  <c r="AU15" i="61"/>
  <c r="AU16" i="61"/>
  <c r="AU17" i="61"/>
  <c r="AU18" i="61"/>
  <c r="AU19" i="61"/>
  <c r="AU20" i="61"/>
  <c r="AU21" i="61"/>
  <c r="AU22" i="61"/>
  <c r="AU23" i="61"/>
  <c r="AU24" i="61"/>
  <c r="AU25" i="61"/>
  <c r="AU26" i="61"/>
  <c r="AU27" i="61"/>
  <c r="AU28" i="61"/>
  <c r="AU29" i="61"/>
  <c r="AU30" i="61"/>
  <c r="AU31" i="61"/>
  <c r="AU32" i="61"/>
  <c r="AU33" i="61"/>
  <c r="AU34" i="61"/>
  <c r="AU35" i="61"/>
  <c r="AS7" i="61"/>
  <c r="AS8" i="61"/>
  <c r="AS9" i="61"/>
  <c r="AS10" i="61"/>
  <c r="AS11" i="61"/>
  <c r="AS12" i="61"/>
  <c r="AS13" i="61"/>
  <c r="AS14" i="61"/>
  <c r="AS15" i="61"/>
  <c r="AS16" i="61"/>
  <c r="AS17" i="61"/>
  <c r="AS18" i="61"/>
  <c r="AS19" i="61"/>
  <c r="AS20" i="61"/>
  <c r="AS21" i="61"/>
  <c r="AS22" i="61"/>
  <c r="AS23" i="61"/>
  <c r="AS24" i="61"/>
  <c r="AS25" i="61"/>
  <c r="AS26" i="61"/>
  <c r="AS27" i="61"/>
  <c r="AS28" i="61"/>
  <c r="AS29" i="61"/>
  <c r="AS30" i="61"/>
  <c r="AS31" i="61"/>
  <c r="AS32" i="61"/>
  <c r="AS33" i="61"/>
  <c r="AS34" i="61"/>
  <c r="AS35" i="61"/>
  <c r="AQ7" i="61"/>
  <c r="AQ8" i="61"/>
  <c r="AQ9" i="61"/>
  <c r="AQ10" i="61"/>
  <c r="AQ11" i="61"/>
  <c r="AQ12" i="61"/>
  <c r="AQ13" i="61"/>
  <c r="AQ14" i="61"/>
  <c r="AQ15" i="61"/>
  <c r="AQ16" i="61"/>
  <c r="AQ17" i="61"/>
  <c r="AQ18" i="61"/>
  <c r="AQ19" i="61"/>
  <c r="AQ20" i="61"/>
  <c r="AQ21" i="61"/>
  <c r="AQ22" i="61"/>
  <c r="AQ23" i="61"/>
  <c r="AQ24" i="61"/>
  <c r="AQ25" i="61"/>
  <c r="AQ26" i="61"/>
  <c r="AQ27" i="61"/>
  <c r="AQ28" i="61"/>
  <c r="AQ29" i="61"/>
  <c r="AQ30" i="61"/>
  <c r="AQ31" i="61"/>
  <c r="AQ32" i="61"/>
  <c r="AQ33" i="61"/>
  <c r="AQ34" i="61"/>
  <c r="AQ35" i="61"/>
  <c r="AO7" i="61"/>
  <c r="AO8" i="61"/>
  <c r="AO9" i="61"/>
  <c r="AO10" i="61"/>
  <c r="AO11" i="61"/>
  <c r="AO12" i="61"/>
  <c r="AO13" i="61"/>
  <c r="AO14" i="61"/>
  <c r="AO15" i="61"/>
  <c r="AO16" i="61"/>
  <c r="AO17" i="61"/>
  <c r="AO18" i="61"/>
  <c r="AO19" i="61"/>
  <c r="AO20" i="61"/>
  <c r="AO21" i="61"/>
  <c r="AO22" i="61"/>
  <c r="AO23" i="61"/>
  <c r="AO24" i="61"/>
  <c r="AO25" i="61"/>
  <c r="AO26" i="61"/>
  <c r="AO27" i="61"/>
  <c r="AO28" i="61"/>
  <c r="AO29" i="61"/>
  <c r="AO30" i="61"/>
  <c r="AO31" i="61"/>
  <c r="AO32" i="61"/>
  <c r="AO33" i="61"/>
  <c r="AO34" i="61"/>
  <c r="AO35" i="61"/>
  <c r="AM7" i="61"/>
  <c r="AM8" i="61"/>
  <c r="AM9" i="61"/>
  <c r="AM10" i="61"/>
  <c r="AM11" i="61"/>
  <c r="AM12" i="61"/>
  <c r="AM13" i="61"/>
  <c r="AM14" i="61"/>
  <c r="AM15" i="61"/>
  <c r="AM16" i="61"/>
  <c r="AM17" i="61"/>
  <c r="AM18" i="61"/>
  <c r="AM19" i="61"/>
  <c r="AM20" i="61"/>
  <c r="AM21" i="61"/>
  <c r="AM22" i="61"/>
  <c r="AM23" i="61"/>
  <c r="AM24" i="61"/>
  <c r="AM25" i="61"/>
  <c r="AM26" i="61"/>
  <c r="AM27" i="61"/>
  <c r="AM28" i="61"/>
  <c r="AM29" i="61"/>
  <c r="AM30" i="61"/>
  <c r="AM31" i="61"/>
  <c r="AM32" i="61"/>
  <c r="AM33" i="61"/>
  <c r="AM34" i="61"/>
  <c r="AM35" i="61"/>
  <c r="AK7" i="61"/>
  <c r="AK8" i="61"/>
  <c r="AK9" i="61"/>
  <c r="AK10" i="61"/>
  <c r="AK11" i="61"/>
  <c r="AK12" i="61"/>
  <c r="AK13" i="61"/>
  <c r="AK14" i="61"/>
  <c r="AK15" i="61"/>
  <c r="AK16" i="61"/>
  <c r="AK17" i="61"/>
  <c r="AK18" i="61"/>
  <c r="AK19" i="61"/>
  <c r="AK20" i="61"/>
  <c r="AK21" i="61"/>
  <c r="AK22" i="61"/>
  <c r="AK23" i="61"/>
  <c r="AK24" i="61"/>
  <c r="AK25" i="61"/>
  <c r="AK26" i="61"/>
  <c r="AK27" i="61"/>
  <c r="AK28" i="61"/>
  <c r="AK29" i="61"/>
  <c r="AK30" i="61"/>
  <c r="AK31" i="61"/>
  <c r="AK32" i="61"/>
  <c r="AK33" i="61"/>
  <c r="AK34" i="61"/>
  <c r="AK35" i="61"/>
  <c r="AI7" i="61"/>
  <c r="AI8" i="61"/>
  <c r="AI9" i="61"/>
  <c r="AI10" i="61"/>
  <c r="AI11" i="61"/>
  <c r="AI12" i="61"/>
  <c r="AI13" i="61"/>
  <c r="AI14" i="61"/>
  <c r="AI15" i="61"/>
  <c r="AI16" i="61"/>
  <c r="AI17" i="61"/>
  <c r="AI18" i="61"/>
  <c r="AI19" i="61"/>
  <c r="AI20" i="61"/>
  <c r="AI21" i="61"/>
  <c r="AI22" i="61"/>
  <c r="AI23" i="61"/>
  <c r="AI24" i="61"/>
  <c r="AI25" i="61"/>
  <c r="AI26" i="61"/>
  <c r="AI27" i="61"/>
  <c r="AI28" i="61"/>
  <c r="AI29" i="61"/>
  <c r="AI30" i="61"/>
  <c r="AI31" i="61"/>
  <c r="AI32" i="61"/>
  <c r="AI33" i="61"/>
  <c r="AI34" i="61"/>
  <c r="AI35" i="61"/>
  <c r="AG7" i="61"/>
  <c r="AG8" i="61"/>
  <c r="AG9" i="61"/>
  <c r="AG10" i="61"/>
  <c r="AG11" i="61"/>
  <c r="AG12" i="61"/>
  <c r="AG13" i="61"/>
  <c r="AG14" i="61"/>
  <c r="AG15" i="61"/>
  <c r="AG16" i="61"/>
  <c r="AG17" i="61"/>
  <c r="AG18" i="61"/>
  <c r="AG19" i="61"/>
  <c r="AG20" i="61"/>
  <c r="AG21" i="61"/>
  <c r="AG22" i="61"/>
  <c r="AG23" i="61"/>
  <c r="AG24" i="61"/>
  <c r="AG25" i="61"/>
  <c r="AG26" i="61"/>
  <c r="AG27" i="61"/>
  <c r="AG28" i="61"/>
  <c r="AG29" i="61"/>
  <c r="AG30" i="61"/>
  <c r="AG31" i="61"/>
  <c r="AG32" i="61"/>
  <c r="AG33" i="61"/>
  <c r="AG34" i="61"/>
  <c r="AG35" i="61"/>
  <c r="AD7" i="61"/>
  <c r="AD8" i="61"/>
  <c r="AD9" i="61"/>
  <c r="AD10" i="61"/>
  <c r="AD11" i="61"/>
  <c r="AD12" i="61"/>
  <c r="AD13" i="61"/>
  <c r="AD14" i="61"/>
  <c r="AD15" i="61"/>
  <c r="AD16" i="61"/>
  <c r="AD17" i="61"/>
  <c r="AD18" i="61"/>
  <c r="AD19" i="61"/>
  <c r="AD20" i="61"/>
  <c r="AD21" i="61"/>
  <c r="AD22" i="61"/>
  <c r="AD23" i="61"/>
  <c r="AD24" i="61"/>
  <c r="AD25" i="61"/>
  <c r="AD26" i="61"/>
  <c r="AD27" i="61"/>
  <c r="AD28" i="61"/>
  <c r="AD29" i="61"/>
  <c r="AD30" i="61"/>
  <c r="AD31" i="61"/>
  <c r="AD32" i="61"/>
  <c r="AD33" i="61"/>
  <c r="AD34" i="61"/>
  <c r="AD35" i="61"/>
  <c r="Y36" i="61"/>
  <c r="Z36" i="61"/>
  <c r="AA36" i="61"/>
  <c r="AB7" i="61"/>
  <c r="AB8" i="61"/>
  <c r="AB9" i="61"/>
  <c r="AB10" i="61"/>
  <c r="AB11" i="61"/>
  <c r="AB12" i="61"/>
  <c r="AB13" i="61"/>
  <c r="AB14" i="61"/>
  <c r="AB15" i="61"/>
  <c r="AB16" i="61"/>
  <c r="AB17" i="61"/>
  <c r="AB18" i="61"/>
  <c r="AB19" i="61"/>
  <c r="AB20" i="61"/>
  <c r="AB21" i="61"/>
  <c r="AB22" i="61"/>
  <c r="AB23" i="61"/>
  <c r="AB24" i="61"/>
  <c r="AB25" i="61"/>
  <c r="AB26" i="61"/>
  <c r="AB27" i="61"/>
  <c r="AB28" i="61"/>
  <c r="AB29" i="61"/>
  <c r="AB30" i="61"/>
  <c r="AB31" i="61"/>
  <c r="AB32" i="61"/>
  <c r="AB33" i="61"/>
  <c r="AB34" i="61"/>
  <c r="AB35" i="61"/>
  <c r="Z7" i="61"/>
  <c r="Z8" i="61"/>
  <c r="Z9" i="61"/>
  <c r="Z10" i="61"/>
  <c r="Z11" i="61"/>
  <c r="Z12" i="61"/>
  <c r="Z13" i="61"/>
  <c r="Z14" i="61"/>
  <c r="Z15" i="61"/>
  <c r="Z16" i="61"/>
  <c r="Z17" i="61"/>
  <c r="Z18" i="61"/>
  <c r="Z19" i="61"/>
  <c r="Z20" i="61"/>
  <c r="Z21" i="61"/>
  <c r="Z22" i="61"/>
  <c r="Z23" i="61"/>
  <c r="Z24" i="61"/>
  <c r="Z25" i="61"/>
  <c r="Z26" i="61"/>
  <c r="Z27" i="61"/>
  <c r="Z28" i="61"/>
  <c r="Z29" i="61"/>
  <c r="Z30" i="61"/>
  <c r="Z31" i="61"/>
  <c r="Z32" i="61"/>
  <c r="Z33" i="61"/>
  <c r="Z34" i="61"/>
  <c r="Z35" i="61"/>
  <c r="X7" i="61"/>
  <c r="X8" i="61"/>
  <c r="X9" i="61"/>
  <c r="X10" i="61"/>
  <c r="X11" i="61"/>
  <c r="X12" i="61"/>
  <c r="X13" i="61"/>
  <c r="X14" i="61"/>
  <c r="X15" i="61"/>
  <c r="X16" i="61"/>
  <c r="X17" i="61"/>
  <c r="X18" i="61"/>
  <c r="X19" i="61"/>
  <c r="X20" i="61"/>
  <c r="X21" i="61"/>
  <c r="X22" i="61"/>
  <c r="X23" i="61"/>
  <c r="X24" i="61"/>
  <c r="X25" i="61"/>
  <c r="X26" i="61"/>
  <c r="X27" i="61"/>
  <c r="X28" i="61"/>
  <c r="X29" i="61"/>
  <c r="X30" i="61"/>
  <c r="X31" i="61"/>
  <c r="X32" i="61"/>
  <c r="X33" i="61"/>
  <c r="X34" i="61"/>
  <c r="X35" i="61"/>
  <c r="K9" i="60"/>
  <c r="AG10" i="30"/>
  <c r="AG12" i="30"/>
  <c r="AG13" i="30"/>
  <c r="AG14" i="30"/>
  <c r="AG15" i="30"/>
  <c r="AG16" i="30"/>
  <c r="AG17" i="30"/>
  <c r="AG18" i="30"/>
  <c r="AG19" i="30"/>
  <c r="AG20" i="30"/>
  <c r="AG21" i="30"/>
  <c r="AG22" i="30"/>
  <c r="AG23" i="30"/>
  <c r="AG24" i="30"/>
  <c r="AG25" i="30"/>
  <c r="AG26" i="30"/>
  <c r="AG27" i="30"/>
  <c r="AG28" i="30"/>
  <c r="AG29" i="30"/>
  <c r="AG30" i="30"/>
  <c r="AG31" i="30"/>
  <c r="AG32" i="30"/>
  <c r="AG33" i="30"/>
  <c r="AG34" i="30"/>
  <c r="AG35" i="30"/>
  <c r="AG36" i="30"/>
  <c r="AG37" i="30"/>
  <c r="R22" i="60"/>
  <c r="R30" i="60"/>
  <c r="R36" i="60"/>
  <c r="BF38" i="60"/>
  <c r="BD38" i="60"/>
  <c r="BB38" i="60"/>
  <c r="AZ38" i="60"/>
  <c r="AX38" i="60"/>
  <c r="AV38" i="60"/>
  <c r="AT38" i="60"/>
  <c r="AR38" i="60"/>
  <c r="AP38" i="60"/>
  <c r="AN38" i="60"/>
  <c r="AL38" i="60"/>
  <c r="AH38" i="60"/>
  <c r="AF38" i="60"/>
  <c r="AD38" i="60"/>
  <c r="AA38" i="60"/>
  <c r="Y38" i="60"/>
  <c r="U38" i="60"/>
  <c r="R38" i="60"/>
  <c r="BF37" i="60"/>
  <c r="BD37" i="60"/>
  <c r="BB37" i="60"/>
  <c r="AZ37" i="60"/>
  <c r="AX37" i="60"/>
  <c r="AV37" i="60"/>
  <c r="AT37" i="60"/>
  <c r="AR37" i="60"/>
  <c r="AP37" i="60"/>
  <c r="AN37" i="60"/>
  <c r="AL37" i="60"/>
  <c r="AH37" i="60"/>
  <c r="AF37" i="60"/>
  <c r="AD37" i="60"/>
  <c r="AA37" i="60"/>
  <c r="Y37" i="60"/>
  <c r="U37" i="60"/>
  <c r="R37" i="60"/>
  <c r="BF36" i="60"/>
  <c r="BD36" i="60"/>
  <c r="BB36" i="60"/>
  <c r="AZ36" i="60"/>
  <c r="AX36" i="60"/>
  <c r="AV36" i="60"/>
  <c r="AT36" i="60"/>
  <c r="AR36" i="60"/>
  <c r="AP36" i="60"/>
  <c r="AN36" i="60"/>
  <c r="AL36" i="60"/>
  <c r="AH36" i="60"/>
  <c r="AF36" i="60"/>
  <c r="AD36" i="60"/>
  <c r="AA36" i="60"/>
  <c r="Y36" i="60"/>
  <c r="U36" i="60"/>
  <c r="BF35" i="60"/>
  <c r="BD35" i="60"/>
  <c r="BB35" i="60"/>
  <c r="AZ35" i="60"/>
  <c r="AX35" i="60"/>
  <c r="AV35" i="60"/>
  <c r="AT35" i="60"/>
  <c r="AR35" i="60"/>
  <c r="AP35" i="60"/>
  <c r="AN35" i="60"/>
  <c r="AL35" i="60"/>
  <c r="AH35" i="60"/>
  <c r="AF35" i="60"/>
  <c r="AD35" i="60"/>
  <c r="AA35" i="60"/>
  <c r="Y35" i="60"/>
  <c r="U35" i="60"/>
  <c r="R35" i="60"/>
  <c r="BF34" i="60"/>
  <c r="BD34" i="60"/>
  <c r="BB34" i="60"/>
  <c r="AZ34" i="60"/>
  <c r="AX34" i="60"/>
  <c r="AV34" i="60"/>
  <c r="AT34" i="60"/>
  <c r="AR34" i="60"/>
  <c r="AP34" i="60"/>
  <c r="AN34" i="60"/>
  <c r="AL34" i="60"/>
  <c r="AH34" i="60"/>
  <c r="AF34" i="60"/>
  <c r="AD34" i="60"/>
  <c r="AA34" i="60"/>
  <c r="Y34" i="60"/>
  <c r="U34" i="60"/>
  <c r="R34" i="60"/>
  <c r="BF33" i="60"/>
  <c r="BD33" i="60"/>
  <c r="BB33" i="60"/>
  <c r="AZ33" i="60"/>
  <c r="AX33" i="60"/>
  <c r="AV33" i="60"/>
  <c r="AT33" i="60"/>
  <c r="AR33" i="60"/>
  <c r="AP33" i="60"/>
  <c r="AN33" i="60"/>
  <c r="AL33" i="60"/>
  <c r="AH33" i="60"/>
  <c r="AF33" i="60"/>
  <c r="AD33" i="60"/>
  <c r="AA33" i="60"/>
  <c r="Y33" i="60"/>
  <c r="U33" i="60"/>
  <c r="R33" i="60"/>
  <c r="BF32" i="60"/>
  <c r="BD32" i="60"/>
  <c r="BB32" i="60"/>
  <c r="AZ32" i="60"/>
  <c r="AX32" i="60"/>
  <c r="AV32" i="60"/>
  <c r="AT32" i="60"/>
  <c r="AR32" i="60"/>
  <c r="AP32" i="60"/>
  <c r="AN32" i="60"/>
  <c r="AL32" i="60"/>
  <c r="AH32" i="60"/>
  <c r="AF32" i="60"/>
  <c r="AD32" i="60"/>
  <c r="AA32" i="60"/>
  <c r="Y32" i="60"/>
  <c r="U32" i="60"/>
  <c r="R32" i="60"/>
  <c r="BF31" i="60"/>
  <c r="BD31" i="60"/>
  <c r="BB31" i="60"/>
  <c r="AZ31" i="60"/>
  <c r="AX31" i="60"/>
  <c r="AV31" i="60"/>
  <c r="AT31" i="60"/>
  <c r="AR31" i="60"/>
  <c r="AP31" i="60"/>
  <c r="AN31" i="60"/>
  <c r="AL31" i="60"/>
  <c r="AH31" i="60"/>
  <c r="AF31" i="60"/>
  <c r="AD31" i="60"/>
  <c r="AA31" i="60"/>
  <c r="Y31" i="60"/>
  <c r="U31" i="60"/>
  <c r="R31" i="60"/>
  <c r="BF30" i="60"/>
  <c r="BD30" i="60"/>
  <c r="BB30" i="60"/>
  <c r="AZ30" i="60"/>
  <c r="AX30" i="60"/>
  <c r="AV30" i="60"/>
  <c r="AT30" i="60"/>
  <c r="AR30" i="60"/>
  <c r="AP30" i="60"/>
  <c r="AN30" i="60"/>
  <c r="AL30" i="60"/>
  <c r="AH30" i="60"/>
  <c r="AF30" i="60"/>
  <c r="AD30" i="60"/>
  <c r="AA30" i="60"/>
  <c r="Y30" i="60"/>
  <c r="U30" i="60"/>
  <c r="BF29" i="60"/>
  <c r="BD29" i="60"/>
  <c r="BB29" i="60"/>
  <c r="AZ29" i="60"/>
  <c r="AX29" i="60"/>
  <c r="AV29" i="60"/>
  <c r="AT29" i="60"/>
  <c r="AR29" i="60"/>
  <c r="AP29" i="60"/>
  <c r="AN29" i="60"/>
  <c r="AL29" i="60"/>
  <c r="AH29" i="60"/>
  <c r="AF29" i="60"/>
  <c r="AD29" i="60"/>
  <c r="AA29" i="60"/>
  <c r="Y29" i="60"/>
  <c r="U29" i="60"/>
  <c r="R29" i="60"/>
  <c r="BF28" i="60"/>
  <c r="BD28" i="60"/>
  <c r="BB28" i="60"/>
  <c r="AZ28" i="60"/>
  <c r="AX28" i="60"/>
  <c r="AV28" i="60"/>
  <c r="AT28" i="60"/>
  <c r="AR28" i="60"/>
  <c r="AP28" i="60"/>
  <c r="AN28" i="60"/>
  <c r="AL28" i="60"/>
  <c r="AH28" i="60"/>
  <c r="AF28" i="60"/>
  <c r="AD28" i="60"/>
  <c r="AA28" i="60"/>
  <c r="Y28" i="60"/>
  <c r="U28" i="60"/>
  <c r="R28" i="60"/>
  <c r="BF27" i="60"/>
  <c r="BD27" i="60"/>
  <c r="BB27" i="60"/>
  <c r="AZ27" i="60"/>
  <c r="AX27" i="60"/>
  <c r="AV27" i="60"/>
  <c r="AT27" i="60"/>
  <c r="AR27" i="60"/>
  <c r="AP27" i="60"/>
  <c r="AN27" i="60"/>
  <c r="AL27" i="60"/>
  <c r="AH27" i="60"/>
  <c r="AF27" i="60"/>
  <c r="AD27" i="60"/>
  <c r="AA27" i="60"/>
  <c r="Y27" i="60"/>
  <c r="U27" i="60"/>
  <c r="R27" i="60"/>
  <c r="BF26" i="60"/>
  <c r="BD26" i="60"/>
  <c r="BB26" i="60"/>
  <c r="AZ26" i="60"/>
  <c r="AX26" i="60"/>
  <c r="AV26" i="60"/>
  <c r="AT26" i="60"/>
  <c r="AR26" i="60"/>
  <c r="AP26" i="60"/>
  <c r="AN26" i="60"/>
  <c r="AL26" i="60"/>
  <c r="AH26" i="60"/>
  <c r="AF26" i="60"/>
  <c r="AD26" i="60"/>
  <c r="AA26" i="60"/>
  <c r="Y26" i="60"/>
  <c r="U26" i="60"/>
  <c r="R26" i="60"/>
  <c r="BF25" i="60"/>
  <c r="BD25" i="60"/>
  <c r="BB25" i="60"/>
  <c r="AZ25" i="60"/>
  <c r="AX25" i="60"/>
  <c r="AV25" i="60"/>
  <c r="AT25" i="60"/>
  <c r="AR25" i="60"/>
  <c r="AP25" i="60"/>
  <c r="AN25" i="60"/>
  <c r="AL25" i="60"/>
  <c r="AH25" i="60"/>
  <c r="AF25" i="60"/>
  <c r="AD25" i="60"/>
  <c r="AA25" i="60"/>
  <c r="Y25" i="60"/>
  <c r="U25" i="60"/>
  <c r="R25" i="60"/>
  <c r="BF24" i="60"/>
  <c r="BD24" i="60"/>
  <c r="BB24" i="60"/>
  <c r="AZ24" i="60"/>
  <c r="AX24" i="60"/>
  <c r="AV24" i="60"/>
  <c r="AT24" i="60"/>
  <c r="AR24" i="60"/>
  <c r="AP24" i="60"/>
  <c r="AN24" i="60"/>
  <c r="AL24" i="60"/>
  <c r="AH24" i="60"/>
  <c r="AF24" i="60"/>
  <c r="AD24" i="60"/>
  <c r="AA24" i="60"/>
  <c r="Y24" i="60"/>
  <c r="U24" i="60"/>
  <c r="R24" i="60"/>
  <c r="R23" i="60"/>
  <c r="BF23" i="60"/>
  <c r="BD23" i="60"/>
  <c r="BB23" i="60"/>
  <c r="AZ23" i="60"/>
  <c r="AX23" i="60"/>
  <c r="AV23" i="60"/>
  <c r="AT23" i="60"/>
  <c r="AR23" i="60"/>
  <c r="AP23" i="60"/>
  <c r="AN23" i="60"/>
  <c r="AL23" i="60"/>
  <c r="AH23" i="60"/>
  <c r="AF23" i="60"/>
  <c r="AD23" i="60"/>
  <c r="AA23" i="60"/>
  <c r="Y23" i="60"/>
  <c r="U23" i="60"/>
  <c r="BF22" i="60"/>
  <c r="BD22" i="60"/>
  <c r="BB22" i="60"/>
  <c r="AZ22" i="60"/>
  <c r="AX22" i="60"/>
  <c r="AV22" i="60"/>
  <c r="AT22" i="60"/>
  <c r="AR22" i="60"/>
  <c r="AP22" i="60"/>
  <c r="AN22" i="60"/>
  <c r="AL22" i="60"/>
  <c r="AH22" i="60"/>
  <c r="AF22" i="60"/>
  <c r="AD22" i="60"/>
  <c r="AA22" i="60"/>
  <c r="Y22" i="60"/>
  <c r="U22" i="60"/>
  <c r="BF21" i="60"/>
  <c r="BD21" i="60"/>
  <c r="BB21" i="60"/>
  <c r="AZ21" i="60"/>
  <c r="AX21" i="60"/>
  <c r="AV21" i="60"/>
  <c r="AT21" i="60"/>
  <c r="AR21" i="60"/>
  <c r="AP21" i="60"/>
  <c r="AN21" i="60"/>
  <c r="AL21" i="60"/>
  <c r="AH21" i="60"/>
  <c r="AF21" i="60"/>
  <c r="AD21" i="60"/>
  <c r="AA21" i="60"/>
  <c r="Y21" i="60"/>
  <c r="U21" i="60"/>
  <c r="R21" i="60"/>
  <c r="BF20" i="60"/>
  <c r="BD20" i="60"/>
  <c r="BB20" i="60"/>
  <c r="AZ20" i="60"/>
  <c r="AX20" i="60"/>
  <c r="AV20" i="60"/>
  <c r="AT20" i="60"/>
  <c r="AR20" i="60"/>
  <c r="AP20" i="60"/>
  <c r="AN20" i="60"/>
  <c r="AL20" i="60"/>
  <c r="AH20" i="60"/>
  <c r="AF20" i="60"/>
  <c r="AD20" i="60"/>
  <c r="AA20" i="60"/>
  <c r="Y20" i="60"/>
  <c r="U20" i="60"/>
  <c r="R20" i="60"/>
  <c r="BF19" i="60"/>
  <c r="BD19" i="60"/>
  <c r="BB19" i="60"/>
  <c r="AZ19" i="60"/>
  <c r="AX19" i="60"/>
  <c r="AV19" i="60"/>
  <c r="AT19" i="60"/>
  <c r="AR19" i="60"/>
  <c r="AP19" i="60"/>
  <c r="AN19" i="60"/>
  <c r="AL19" i="60"/>
  <c r="AH19" i="60"/>
  <c r="AF19" i="60"/>
  <c r="AD19" i="60"/>
  <c r="AA19" i="60"/>
  <c r="Y19" i="60"/>
  <c r="U19" i="60"/>
  <c r="R19" i="60"/>
  <c r="BF18" i="60"/>
  <c r="BD18" i="60"/>
  <c r="BB18" i="60"/>
  <c r="AZ18" i="60"/>
  <c r="AX18" i="60"/>
  <c r="AV18" i="60"/>
  <c r="AT18" i="60"/>
  <c r="AR18" i="60"/>
  <c r="AP18" i="60"/>
  <c r="AN18" i="60"/>
  <c r="AL18" i="60"/>
  <c r="AH18" i="60"/>
  <c r="AF18" i="60"/>
  <c r="AD18" i="60"/>
  <c r="AA18" i="60"/>
  <c r="Y18" i="60"/>
  <c r="U18" i="60"/>
  <c r="R18" i="60"/>
  <c r="BF17" i="60"/>
  <c r="BD17" i="60"/>
  <c r="BB17" i="60"/>
  <c r="AZ17" i="60"/>
  <c r="AX17" i="60"/>
  <c r="AV17" i="60"/>
  <c r="AT17" i="60"/>
  <c r="AR17" i="60"/>
  <c r="AP17" i="60"/>
  <c r="AN17" i="60"/>
  <c r="AL17" i="60"/>
  <c r="AH17" i="60"/>
  <c r="AF17" i="60"/>
  <c r="AD17" i="60"/>
  <c r="AA17" i="60"/>
  <c r="Y17" i="60"/>
  <c r="U17" i="60"/>
  <c r="R17" i="60"/>
  <c r="BF16" i="60"/>
  <c r="BD16" i="60"/>
  <c r="BB16" i="60"/>
  <c r="AZ16" i="60"/>
  <c r="AX16" i="60"/>
  <c r="AV16" i="60"/>
  <c r="AT16" i="60"/>
  <c r="AR16" i="60"/>
  <c r="AP16" i="60"/>
  <c r="AN16" i="60"/>
  <c r="AL16" i="60"/>
  <c r="AH16" i="60"/>
  <c r="AF16" i="60"/>
  <c r="AD16" i="60"/>
  <c r="AA16" i="60"/>
  <c r="Y16" i="60"/>
  <c r="U16" i="60"/>
  <c r="BF15" i="60"/>
  <c r="BD15" i="60"/>
  <c r="BB15" i="60"/>
  <c r="AZ15" i="60"/>
  <c r="AX15" i="60"/>
  <c r="AV15" i="60"/>
  <c r="AT15" i="60"/>
  <c r="AR15" i="60"/>
  <c r="AP15" i="60"/>
  <c r="AN15" i="60"/>
  <c r="AL15" i="60"/>
  <c r="AH15" i="60"/>
  <c r="AF15" i="60"/>
  <c r="AD15" i="60"/>
  <c r="AA15" i="60"/>
  <c r="Y15" i="60"/>
  <c r="U15" i="60"/>
  <c r="BF14" i="60"/>
  <c r="BD14" i="60"/>
  <c r="BB14" i="60"/>
  <c r="AZ14" i="60"/>
  <c r="AX14" i="60"/>
  <c r="AV14" i="60"/>
  <c r="AT14" i="60"/>
  <c r="AR14" i="60"/>
  <c r="AP14" i="60"/>
  <c r="AN14" i="60"/>
  <c r="AL14" i="60"/>
  <c r="AH14" i="60"/>
  <c r="AF14" i="60"/>
  <c r="AD14" i="60"/>
  <c r="AA14" i="60"/>
  <c r="Y14" i="60"/>
  <c r="U14" i="60"/>
  <c r="BF13" i="60"/>
  <c r="BD13" i="60"/>
  <c r="BB13" i="60"/>
  <c r="AZ13" i="60"/>
  <c r="AX13" i="60"/>
  <c r="AV13" i="60"/>
  <c r="AT13" i="60"/>
  <c r="AR13" i="60"/>
  <c r="AP13" i="60"/>
  <c r="AN13" i="60"/>
  <c r="AL13" i="60"/>
  <c r="AH13" i="60"/>
  <c r="AF13" i="60"/>
  <c r="AD13" i="60"/>
  <c r="AA13" i="60"/>
  <c r="Y13" i="60"/>
  <c r="U13" i="60"/>
  <c r="BF12" i="60"/>
  <c r="BD12" i="60"/>
  <c r="BB12" i="60"/>
  <c r="AZ12" i="60"/>
  <c r="AX12" i="60"/>
  <c r="AV12" i="60"/>
  <c r="AT12" i="60"/>
  <c r="AR12" i="60"/>
  <c r="AP12" i="60"/>
  <c r="AN12" i="60"/>
  <c r="AL12" i="60"/>
  <c r="AH12" i="60"/>
  <c r="AF12" i="60"/>
  <c r="AD12" i="60"/>
  <c r="AA12" i="60"/>
  <c r="Y12" i="60"/>
  <c r="U12" i="60"/>
  <c r="BF11" i="60"/>
  <c r="BD11" i="60"/>
  <c r="BB11" i="60"/>
  <c r="AZ11" i="60"/>
  <c r="AX11" i="60"/>
  <c r="AV11" i="60"/>
  <c r="AT11" i="60"/>
  <c r="AR11" i="60"/>
  <c r="AP11" i="60"/>
  <c r="AN11" i="60"/>
  <c r="AL11" i="60"/>
  <c r="AH11" i="60"/>
  <c r="AF11" i="60"/>
  <c r="AD11" i="60"/>
  <c r="AA11" i="60"/>
  <c r="Y11" i="60"/>
  <c r="U11" i="60"/>
  <c r="BF10" i="60"/>
  <c r="BD10" i="60"/>
  <c r="BB10" i="60"/>
  <c r="AZ10" i="60"/>
  <c r="AX10" i="60"/>
  <c r="AV10" i="60"/>
  <c r="AT10" i="60"/>
  <c r="AR10" i="60"/>
  <c r="AP10" i="60"/>
  <c r="AN10" i="60"/>
  <c r="AL10" i="60"/>
  <c r="AH10" i="60"/>
  <c r="AF10" i="60"/>
  <c r="AD10" i="60"/>
  <c r="AA10" i="60"/>
  <c r="Y10" i="60"/>
  <c r="U10" i="60"/>
  <c r="G10" i="60"/>
  <c r="H10" i="60"/>
  <c r="I10" i="60"/>
  <c r="C9" i="60"/>
  <c r="W38" i="6"/>
  <c r="AJ36" i="6"/>
  <c r="AK36" i="6"/>
  <c r="AL36" i="6"/>
  <c r="AM36" i="6"/>
  <c r="AN36" i="6"/>
  <c r="AO36" i="6"/>
  <c r="AP36" i="6"/>
  <c r="X7" i="6"/>
  <c r="X8" i="6"/>
  <c r="X9" i="6"/>
  <c r="X10" i="6"/>
  <c r="X11" i="6"/>
  <c r="X12" i="6"/>
  <c r="X13" i="6"/>
  <c r="X14" i="6"/>
  <c r="X15" i="6"/>
  <c r="X16" i="6"/>
  <c r="X17" i="6"/>
  <c r="X18" i="6"/>
  <c r="X19" i="6"/>
  <c r="X20" i="6"/>
  <c r="X21" i="6"/>
  <c r="X22" i="6"/>
  <c r="X23" i="6"/>
  <c r="X24" i="6"/>
  <c r="X25" i="6"/>
  <c r="X26" i="6"/>
  <c r="X27" i="6"/>
  <c r="X28" i="6"/>
  <c r="X29" i="6"/>
  <c r="X30" i="6"/>
  <c r="X31" i="6"/>
  <c r="X32" i="6"/>
  <c r="X33" i="6"/>
  <c r="X34" i="6"/>
  <c r="X35" i="6"/>
  <c r="Z7" i="6"/>
  <c r="Z8" i="6"/>
  <c r="Z9" i="6"/>
  <c r="Z10" i="6"/>
  <c r="Z11" i="6"/>
  <c r="Z12" i="6"/>
  <c r="Z13" i="6"/>
  <c r="Z14" i="6"/>
  <c r="Z15" i="6"/>
  <c r="Z16" i="6"/>
  <c r="Z17" i="6"/>
  <c r="Z18" i="6"/>
  <c r="Z19" i="6"/>
  <c r="Z20" i="6"/>
  <c r="Z21" i="6"/>
  <c r="Z22" i="6"/>
  <c r="Z23" i="6"/>
  <c r="Z24" i="6"/>
  <c r="Z25" i="6"/>
  <c r="Z26" i="6"/>
  <c r="Z27" i="6"/>
  <c r="Z28" i="6"/>
  <c r="Z29" i="6"/>
  <c r="Z30" i="6"/>
  <c r="Z31" i="6"/>
  <c r="Z32" i="6"/>
  <c r="Z33" i="6"/>
  <c r="Z34" i="6"/>
  <c r="Z35" i="6"/>
  <c r="AB7" i="6"/>
  <c r="AB8" i="6"/>
  <c r="AB9" i="6"/>
  <c r="AB10" i="6"/>
  <c r="AB11" i="6"/>
  <c r="AB12" i="6"/>
  <c r="AB13" i="6"/>
  <c r="AB14" i="6"/>
  <c r="AB15" i="6"/>
  <c r="AB16" i="6"/>
  <c r="AB17" i="6"/>
  <c r="AB18" i="6"/>
  <c r="AB19" i="6"/>
  <c r="AB20" i="6"/>
  <c r="AB21" i="6"/>
  <c r="AB22" i="6"/>
  <c r="AB23" i="6"/>
  <c r="AB24" i="6"/>
  <c r="AB25" i="6"/>
  <c r="AB26" i="6"/>
  <c r="AB27" i="6"/>
  <c r="AB28" i="6"/>
  <c r="AB29" i="6"/>
  <c r="AB30" i="6"/>
  <c r="AB31" i="6"/>
  <c r="AB32" i="6"/>
  <c r="AB33" i="6"/>
  <c r="AB34" i="6"/>
  <c r="AB35" i="6"/>
  <c r="AD7" i="6"/>
  <c r="AD8" i="6"/>
  <c r="AD9" i="6"/>
  <c r="AD10" i="6"/>
  <c r="AD11" i="6"/>
  <c r="AD12" i="6"/>
  <c r="AD13" i="6"/>
  <c r="AD14" i="6"/>
  <c r="AD15" i="6"/>
  <c r="AD16" i="6"/>
  <c r="AD17" i="6"/>
  <c r="AD18" i="6"/>
  <c r="AD19" i="6"/>
  <c r="AD20" i="6"/>
  <c r="AD21" i="6"/>
  <c r="AD22" i="6"/>
  <c r="AD23" i="6"/>
  <c r="AD24" i="6"/>
  <c r="AD25" i="6"/>
  <c r="AD26" i="6"/>
  <c r="AD27" i="6"/>
  <c r="AD28" i="6"/>
  <c r="AD29" i="6"/>
  <c r="AD30" i="6"/>
  <c r="AD31" i="6"/>
  <c r="AD32" i="6"/>
  <c r="AD33" i="6"/>
  <c r="AD34" i="6"/>
  <c r="AD35" i="6"/>
  <c r="BG7" i="6"/>
  <c r="BG8" i="6"/>
  <c r="BG9" i="6"/>
  <c r="BG10" i="6"/>
  <c r="BG11" i="6"/>
  <c r="BG12" i="6"/>
  <c r="BG13" i="6"/>
  <c r="BG14" i="6"/>
  <c r="BG15" i="6"/>
  <c r="BG16" i="6"/>
  <c r="BG17" i="6"/>
  <c r="BG18" i="6"/>
  <c r="BG19" i="6"/>
  <c r="BG20" i="6"/>
  <c r="BG21" i="6"/>
  <c r="BG22" i="6"/>
  <c r="BG23" i="6"/>
  <c r="BG24" i="6"/>
  <c r="BG25" i="6"/>
  <c r="BG26" i="6"/>
  <c r="BG27" i="6"/>
  <c r="BG28" i="6"/>
  <c r="BG29" i="6"/>
  <c r="BG30" i="6"/>
  <c r="BG31" i="6"/>
  <c r="BG32" i="6"/>
  <c r="BG33" i="6"/>
  <c r="BG34" i="6"/>
  <c r="BG35" i="6"/>
  <c r="BI7" i="6"/>
  <c r="BI8" i="6"/>
  <c r="BI9" i="6"/>
  <c r="BI10" i="6"/>
  <c r="BI11" i="6"/>
  <c r="BI12" i="6"/>
  <c r="BI13" i="6"/>
  <c r="BI14" i="6"/>
  <c r="BI15" i="6"/>
  <c r="BI16" i="6"/>
  <c r="BI17" i="6"/>
  <c r="BI18" i="6"/>
  <c r="BI19" i="6"/>
  <c r="BI20" i="6"/>
  <c r="BI21" i="6"/>
  <c r="BI22" i="6"/>
  <c r="BI23" i="6"/>
  <c r="BI24" i="6"/>
  <c r="BI25" i="6"/>
  <c r="BI26" i="6"/>
  <c r="BI27" i="6"/>
  <c r="BI28" i="6"/>
  <c r="BI29" i="6"/>
  <c r="BI30" i="6"/>
  <c r="BI31" i="6"/>
  <c r="BI32" i="6"/>
  <c r="BI33" i="6"/>
  <c r="BI34" i="6"/>
  <c r="BI35" i="6"/>
  <c r="C8" i="59"/>
  <c r="C36" i="59"/>
  <c r="C35" i="59"/>
  <c r="C34" i="59"/>
  <c r="C33" i="59"/>
  <c r="C32" i="59"/>
  <c r="C30" i="59"/>
  <c r="C29" i="59"/>
  <c r="C28" i="59"/>
  <c r="C27" i="59"/>
  <c r="C26" i="59"/>
  <c r="C25" i="59"/>
  <c r="C24" i="59"/>
  <c r="C23" i="59"/>
  <c r="C22" i="59"/>
  <c r="C21" i="59"/>
  <c r="C20" i="59"/>
  <c r="C19" i="59"/>
  <c r="C18" i="59"/>
  <c r="C17" i="59"/>
  <c r="C16" i="59"/>
  <c r="C15" i="59"/>
  <c r="C14" i="59"/>
  <c r="C13" i="59"/>
  <c r="C12" i="59"/>
  <c r="C11" i="59"/>
  <c r="C10" i="59"/>
  <c r="C9" i="59"/>
  <c r="C8" i="58"/>
  <c r="C37" i="58"/>
  <c r="C35" i="58"/>
  <c r="C34" i="58"/>
  <c r="C33" i="58"/>
  <c r="C32" i="58"/>
  <c r="C30" i="58"/>
  <c r="C29" i="58"/>
  <c r="C28" i="58"/>
  <c r="C27" i="58"/>
  <c r="C26" i="58"/>
  <c r="C25" i="58"/>
  <c r="C24" i="58"/>
  <c r="C23" i="58"/>
  <c r="C22" i="58"/>
  <c r="C21" i="58"/>
  <c r="C20" i="58"/>
  <c r="C19" i="58"/>
  <c r="C18" i="58"/>
  <c r="C17" i="58"/>
  <c r="C16" i="58"/>
  <c r="C15" i="58"/>
  <c r="C14" i="58"/>
  <c r="C13" i="58"/>
  <c r="C12" i="58"/>
  <c r="C11" i="58"/>
  <c r="C10" i="58"/>
  <c r="C9" i="58"/>
  <c r="C8" i="57"/>
  <c r="C37" i="57"/>
  <c r="C36" i="57"/>
  <c r="C34" i="57"/>
  <c r="C33" i="57"/>
  <c r="C32" i="57"/>
  <c r="C30" i="57"/>
  <c r="C29" i="57"/>
  <c r="C28" i="57"/>
  <c r="C27" i="57"/>
  <c r="C26" i="57"/>
  <c r="C25" i="57"/>
  <c r="C24" i="57"/>
  <c r="C23" i="57"/>
  <c r="C22" i="57"/>
  <c r="C21" i="57"/>
  <c r="C20" i="57"/>
  <c r="C19" i="57"/>
  <c r="C18" i="57"/>
  <c r="C17" i="57"/>
  <c r="C16" i="57"/>
  <c r="C15" i="57"/>
  <c r="C14" i="57"/>
  <c r="C13" i="57"/>
  <c r="C12" i="57"/>
  <c r="C11" i="57"/>
  <c r="C10" i="57"/>
  <c r="C9" i="57"/>
  <c r="C8" i="56"/>
  <c r="C37" i="56"/>
  <c r="C36" i="56"/>
  <c r="C35" i="56"/>
  <c r="C33" i="56"/>
  <c r="C32" i="56"/>
  <c r="C30" i="56"/>
  <c r="C29" i="56"/>
  <c r="C28" i="56"/>
  <c r="C27" i="56"/>
  <c r="C26" i="56"/>
  <c r="C25" i="56"/>
  <c r="C24" i="56"/>
  <c r="C23" i="56"/>
  <c r="C22" i="56"/>
  <c r="C21" i="56"/>
  <c r="C20" i="56"/>
  <c r="C19" i="56"/>
  <c r="C18" i="56"/>
  <c r="C17" i="56"/>
  <c r="C16" i="56"/>
  <c r="C15" i="56"/>
  <c r="C14" i="56"/>
  <c r="C13" i="56"/>
  <c r="C12" i="56"/>
  <c r="C11" i="56"/>
  <c r="C10" i="56"/>
  <c r="C9" i="56"/>
  <c r="C8" i="55"/>
  <c r="C37" i="55"/>
  <c r="C36" i="55"/>
  <c r="C35" i="55"/>
  <c r="C34" i="55"/>
  <c r="C32" i="55"/>
  <c r="C30" i="55"/>
  <c r="C29" i="55"/>
  <c r="C28" i="55"/>
  <c r="C27" i="55"/>
  <c r="C26" i="55"/>
  <c r="C25" i="55"/>
  <c r="C24" i="55"/>
  <c r="C23" i="55"/>
  <c r="C22" i="55"/>
  <c r="C21" i="55"/>
  <c r="C20" i="55"/>
  <c r="C19" i="55"/>
  <c r="C18" i="55"/>
  <c r="C17" i="55"/>
  <c r="C16" i="55"/>
  <c r="C15" i="55"/>
  <c r="C14" i="55"/>
  <c r="C13" i="55"/>
  <c r="C12" i="55"/>
  <c r="C11" i="55"/>
  <c r="C10" i="55"/>
  <c r="C9" i="55"/>
  <c r="C8" i="54"/>
  <c r="C37" i="54"/>
  <c r="C36" i="54"/>
  <c r="C35" i="54"/>
  <c r="C34" i="54"/>
  <c r="C33" i="54"/>
  <c r="C30" i="54"/>
  <c r="C29" i="54"/>
  <c r="C28" i="54"/>
  <c r="C27" i="54"/>
  <c r="C26" i="54"/>
  <c r="C25" i="54"/>
  <c r="C24" i="54"/>
  <c r="C23" i="54"/>
  <c r="C22" i="54"/>
  <c r="C21" i="54"/>
  <c r="C20" i="54"/>
  <c r="C19" i="54"/>
  <c r="C18" i="54"/>
  <c r="C17" i="54"/>
  <c r="C16" i="54"/>
  <c r="C15" i="54"/>
  <c r="C14" i="54"/>
  <c r="C13" i="54"/>
  <c r="C12" i="54"/>
  <c r="C11" i="54"/>
  <c r="C10" i="54"/>
  <c r="C9" i="54"/>
  <c r="C8" i="53"/>
  <c r="C37" i="53"/>
  <c r="C36" i="53"/>
  <c r="C35" i="53"/>
  <c r="C34" i="53"/>
  <c r="C33" i="53"/>
  <c r="C32" i="53"/>
  <c r="C30" i="53"/>
  <c r="C29" i="53"/>
  <c r="C28" i="53"/>
  <c r="C27" i="53"/>
  <c r="C26" i="53"/>
  <c r="C25" i="53"/>
  <c r="C24" i="53"/>
  <c r="C23" i="53"/>
  <c r="C22" i="53"/>
  <c r="C21" i="53"/>
  <c r="C20" i="53"/>
  <c r="C19" i="53"/>
  <c r="C18" i="53"/>
  <c r="C17" i="53"/>
  <c r="C16" i="53"/>
  <c r="C15" i="53"/>
  <c r="C14" i="53"/>
  <c r="C13" i="53"/>
  <c r="C12" i="53"/>
  <c r="C11" i="53"/>
  <c r="C10" i="53"/>
  <c r="C9" i="53"/>
  <c r="C8" i="52"/>
  <c r="C37" i="52"/>
  <c r="C36" i="52"/>
  <c r="C35" i="52"/>
  <c r="C34" i="52"/>
  <c r="C33" i="52"/>
  <c r="C32" i="52"/>
  <c r="C29" i="52"/>
  <c r="C28" i="52"/>
  <c r="C27" i="52"/>
  <c r="C26" i="52"/>
  <c r="C25" i="52"/>
  <c r="C24" i="52"/>
  <c r="C23" i="52"/>
  <c r="C22" i="52"/>
  <c r="C21" i="52"/>
  <c r="C20" i="52"/>
  <c r="C19" i="52"/>
  <c r="C18" i="52"/>
  <c r="C17" i="52"/>
  <c r="C16" i="52"/>
  <c r="C15" i="52"/>
  <c r="C14" i="52"/>
  <c r="C13" i="52"/>
  <c r="C12" i="52"/>
  <c r="C11" i="52"/>
  <c r="C10" i="52"/>
  <c r="C9" i="52"/>
  <c r="C8" i="51"/>
  <c r="C37" i="51"/>
  <c r="C36" i="51"/>
  <c r="C35" i="51"/>
  <c r="C34" i="51"/>
  <c r="C33" i="51"/>
  <c r="C32" i="51"/>
  <c r="C30" i="51"/>
  <c r="C28" i="51"/>
  <c r="C27" i="51"/>
  <c r="C26" i="51"/>
  <c r="C25" i="51"/>
  <c r="C24" i="51"/>
  <c r="C23" i="51"/>
  <c r="C22" i="51"/>
  <c r="C21" i="51"/>
  <c r="C20" i="51"/>
  <c r="C19" i="51"/>
  <c r="C18" i="51"/>
  <c r="C17" i="51"/>
  <c r="C16" i="51"/>
  <c r="C15" i="51"/>
  <c r="C14" i="51"/>
  <c r="C13" i="51"/>
  <c r="C12" i="51"/>
  <c r="C11" i="51"/>
  <c r="C10" i="51"/>
  <c r="C9" i="51"/>
  <c r="C8" i="50"/>
  <c r="C37" i="50"/>
  <c r="C36" i="50"/>
  <c r="C35" i="50"/>
  <c r="C34" i="50"/>
  <c r="C33" i="50"/>
  <c r="C32" i="50"/>
  <c r="C30" i="50"/>
  <c r="C29" i="50"/>
  <c r="C27" i="50"/>
  <c r="C26" i="50"/>
  <c r="C25" i="50"/>
  <c r="C24" i="50"/>
  <c r="C23" i="50"/>
  <c r="C22" i="50"/>
  <c r="C21" i="50"/>
  <c r="C20" i="50"/>
  <c r="C19" i="50"/>
  <c r="C18" i="50"/>
  <c r="C17" i="50"/>
  <c r="C16" i="50"/>
  <c r="C15" i="50"/>
  <c r="C14" i="50"/>
  <c r="C13" i="50"/>
  <c r="C12" i="50"/>
  <c r="C11" i="50"/>
  <c r="C10" i="50"/>
  <c r="C9" i="50"/>
  <c r="C8" i="49"/>
  <c r="C37" i="49"/>
  <c r="C36" i="49"/>
  <c r="C35" i="49"/>
  <c r="C34" i="49"/>
  <c r="C33" i="49"/>
  <c r="C32" i="49"/>
  <c r="C30" i="49"/>
  <c r="C29" i="49"/>
  <c r="C28" i="49"/>
  <c r="C26" i="49"/>
  <c r="C25" i="49"/>
  <c r="C24" i="49"/>
  <c r="C23" i="49"/>
  <c r="C22" i="49"/>
  <c r="C21" i="49"/>
  <c r="C20" i="49"/>
  <c r="C19" i="49"/>
  <c r="C18" i="49"/>
  <c r="C17" i="49"/>
  <c r="C16" i="49"/>
  <c r="C15" i="49"/>
  <c r="C14" i="49"/>
  <c r="C13" i="49"/>
  <c r="C12" i="49"/>
  <c r="C11" i="49"/>
  <c r="C10" i="49"/>
  <c r="C9" i="49"/>
  <c r="C8" i="48"/>
  <c r="C37" i="48"/>
  <c r="C36" i="48"/>
  <c r="C35" i="48"/>
  <c r="C34" i="48"/>
  <c r="C33" i="48"/>
  <c r="C32" i="48"/>
  <c r="C30" i="48"/>
  <c r="C29" i="48"/>
  <c r="C28" i="48"/>
  <c r="C27" i="48"/>
  <c r="C25" i="48"/>
  <c r="C24" i="48"/>
  <c r="C23" i="48"/>
  <c r="C22" i="48"/>
  <c r="C21" i="48"/>
  <c r="C20" i="48"/>
  <c r="C19" i="48"/>
  <c r="C18" i="48"/>
  <c r="C17" i="48"/>
  <c r="C16" i="48"/>
  <c r="C15" i="48"/>
  <c r="C14" i="48"/>
  <c r="C13" i="48"/>
  <c r="C12" i="48"/>
  <c r="C11" i="48"/>
  <c r="C10" i="48"/>
  <c r="C9" i="48"/>
  <c r="C8" i="47"/>
  <c r="C37" i="47"/>
  <c r="C36" i="47"/>
  <c r="C35" i="47"/>
  <c r="C34" i="47"/>
  <c r="C33" i="47"/>
  <c r="C32" i="47"/>
  <c r="C30" i="47"/>
  <c r="C29" i="47"/>
  <c r="C28" i="47"/>
  <c r="C27" i="47"/>
  <c r="C26" i="47"/>
  <c r="C24" i="47"/>
  <c r="C23" i="47"/>
  <c r="C22" i="47"/>
  <c r="C21" i="47"/>
  <c r="C20" i="47"/>
  <c r="C19" i="47"/>
  <c r="C18" i="47"/>
  <c r="C17" i="47"/>
  <c r="C16" i="47"/>
  <c r="C15" i="47"/>
  <c r="C14" i="47"/>
  <c r="C13" i="47"/>
  <c r="C12" i="47"/>
  <c r="C11" i="47"/>
  <c r="C10" i="47"/>
  <c r="C9" i="47"/>
  <c r="C8" i="46"/>
  <c r="C37" i="46"/>
  <c r="C36" i="46"/>
  <c r="C35" i="46"/>
  <c r="C34" i="46"/>
  <c r="C33" i="46"/>
  <c r="C32" i="46"/>
  <c r="C30" i="46"/>
  <c r="C29" i="46"/>
  <c r="C28" i="46"/>
  <c r="C27" i="46"/>
  <c r="C26" i="46"/>
  <c r="C25" i="46"/>
  <c r="C23" i="46"/>
  <c r="C22" i="46"/>
  <c r="C21" i="46"/>
  <c r="C20" i="46"/>
  <c r="C19" i="46"/>
  <c r="C18" i="46"/>
  <c r="C17" i="46"/>
  <c r="C16" i="46"/>
  <c r="C15" i="46"/>
  <c r="C14" i="46"/>
  <c r="C13" i="46"/>
  <c r="C12" i="46"/>
  <c r="C11" i="46"/>
  <c r="C10" i="46"/>
  <c r="C9" i="46"/>
  <c r="C8" i="45"/>
  <c r="C37" i="45"/>
  <c r="C36" i="45"/>
  <c r="C35" i="45"/>
  <c r="C34" i="45"/>
  <c r="C33" i="45"/>
  <c r="C32" i="45"/>
  <c r="C30" i="45"/>
  <c r="C29" i="45"/>
  <c r="C28" i="45"/>
  <c r="C27" i="45"/>
  <c r="C26" i="45"/>
  <c r="C25" i="45"/>
  <c r="C24" i="45"/>
  <c r="C22" i="45"/>
  <c r="C21" i="45"/>
  <c r="C20" i="45"/>
  <c r="C19" i="45"/>
  <c r="C18" i="45"/>
  <c r="C17" i="45"/>
  <c r="C16" i="45"/>
  <c r="C15" i="45"/>
  <c r="C14" i="45"/>
  <c r="C13" i="45"/>
  <c r="C12" i="45"/>
  <c r="C11" i="45"/>
  <c r="C10" i="45"/>
  <c r="C9" i="45"/>
  <c r="C8" i="44"/>
  <c r="C37" i="44"/>
  <c r="C36" i="44"/>
  <c r="C35" i="44"/>
  <c r="C34" i="44"/>
  <c r="C33" i="44"/>
  <c r="C32" i="44"/>
  <c r="C30" i="44"/>
  <c r="C29" i="44"/>
  <c r="C28" i="44"/>
  <c r="C27" i="44"/>
  <c r="C26" i="44"/>
  <c r="C25" i="44"/>
  <c r="C24" i="44"/>
  <c r="C23" i="44"/>
  <c r="C21" i="44"/>
  <c r="C20" i="44"/>
  <c r="C19" i="44"/>
  <c r="C18" i="44"/>
  <c r="C17" i="44"/>
  <c r="C16" i="44"/>
  <c r="C15" i="44"/>
  <c r="C14" i="44"/>
  <c r="C13" i="44"/>
  <c r="C12" i="44"/>
  <c r="C11" i="44"/>
  <c r="C10" i="44"/>
  <c r="C9" i="44"/>
  <c r="C8" i="43"/>
  <c r="C37" i="43"/>
  <c r="C36" i="43"/>
  <c r="C35" i="43"/>
  <c r="C34" i="43"/>
  <c r="C33" i="43"/>
  <c r="C32" i="43"/>
  <c r="C30" i="43"/>
  <c r="C29" i="43"/>
  <c r="C28" i="43"/>
  <c r="C27" i="43"/>
  <c r="C26" i="43"/>
  <c r="C25" i="43"/>
  <c r="C24" i="43"/>
  <c r="C23" i="43"/>
  <c r="C22" i="43"/>
  <c r="C20" i="43"/>
  <c r="C19" i="43"/>
  <c r="C18" i="43"/>
  <c r="C17" i="43"/>
  <c r="C16" i="43"/>
  <c r="C15" i="43"/>
  <c r="C14" i="43"/>
  <c r="C13" i="43"/>
  <c r="C12" i="43"/>
  <c r="C11" i="43"/>
  <c r="C10" i="43"/>
  <c r="C9" i="43"/>
  <c r="C8" i="42"/>
  <c r="C37" i="42"/>
  <c r="C36" i="42"/>
  <c r="C35" i="42"/>
  <c r="C34" i="42"/>
  <c r="C33" i="42"/>
  <c r="C32" i="42"/>
  <c r="C30" i="42"/>
  <c r="C29" i="42"/>
  <c r="C28" i="42"/>
  <c r="C27" i="42"/>
  <c r="C26" i="42"/>
  <c r="C25" i="42"/>
  <c r="C24" i="42"/>
  <c r="C23" i="42"/>
  <c r="C22" i="42"/>
  <c r="C21" i="42"/>
  <c r="C19" i="42"/>
  <c r="C18" i="42"/>
  <c r="C17" i="42"/>
  <c r="C16" i="42"/>
  <c r="C15" i="42"/>
  <c r="C14" i="42"/>
  <c r="C13" i="42"/>
  <c r="C12" i="42"/>
  <c r="C11" i="42"/>
  <c r="C10" i="42"/>
  <c r="C9" i="42"/>
  <c r="C8" i="41"/>
  <c r="C37" i="41"/>
  <c r="C36" i="41"/>
  <c r="C35" i="41"/>
  <c r="C34" i="41"/>
  <c r="C33" i="41"/>
  <c r="C32" i="41"/>
  <c r="C30" i="41"/>
  <c r="C29" i="41"/>
  <c r="C28" i="41"/>
  <c r="C27" i="41"/>
  <c r="C26" i="41"/>
  <c r="C25" i="41"/>
  <c r="C24" i="41"/>
  <c r="C23" i="41"/>
  <c r="C22" i="41"/>
  <c r="C21" i="41"/>
  <c r="C20" i="41"/>
  <c r="C18" i="41"/>
  <c r="C17" i="41"/>
  <c r="C16" i="41"/>
  <c r="C15" i="41"/>
  <c r="C14" i="41"/>
  <c r="C13" i="41"/>
  <c r="C12" i="41"/>
  <c r="C11" i="41"/>
  <c r="C10" i="41"/>
  <c r="C9" i="41"/>
  <c r="C8" i="40"/>
  <c r="C37" i="40"/>
  <c r="C36" i="40"/>
  <c r="C35" i="40"/>
  <c r="C34" i="40"/>
  <c r="C33" i="40"/>
  <c r="C32" i="40"/>
  <c r="C30" i="40"/>
  <c r="C29" i="40"/>
  <c r="C28" i="40"/>
  <c r="C27" i="40"/>
  <c r="C26" i="40"/>
  <c r="C25" i="40"/>
  <c r="C24" i="40"/>
  <c r="C23" i="40"/>
  <c r="C22" i="40"/>
  <c r="C21" i="40"/>
  <c r="C20" i="40"/>
  <c r="C19" i="40"/>
  <c r="C17" i="40"/>
  <c r="C16" i="40"/>
  <c r="C15" i="40"/>
  <c r="C14" i="40"/>
  <c r="C13" i="40"/>
  <c r="C12" i="40"/>
  <c r="C11" i="40"/>
  <c r="C10" i="40"/>
  <c r="C9" i="40"/>
  <c r="C8" i="39"/>
  <c r="C37" i="39"/>
  <c r="C36" i="39"/>
  <c r="C35" i="39"/>
  <c r="C34" i="39"/>
  <c r="C33" i="39"/>
  <c r="C32" i="39"/>
  <c r="C30" i="39"/>
  <c r="C29" i="39"/>
  <c r="C28" i="39"/>
  <c r="C27" i="39"/>
  <c r="C26" i="39"/>
  <c r="C25" i="39"/>
  <c r="C24" i="39"/>
  <c r="C23" i="39"/>
  <c r="C22" i="39"/>
  <c r="C21" i="39"/>
  <c r="C20" i="39"/>
  <c r="C19" i="39"/>
  <c r="C18" i="39"/>
  <c r="C16" i="39"/>
  <c r="C15" i="39"/>
  <c r="C14" i="39"/>
  <c r="C13" i="39"/>
  <c r="C12" i="39"/>
  <c r="C11" i="39"/>
  <c r="C10" i="39"/>
  <c r="C9" i="39"/>
  <c r="C8" i="38"/>
  <c r="C37" i="38"/>
  <c r="C36" i="38"/>
  <c r="C35" i="38"/>
  <c r="C34" i="38"/>
  <c r="C33" i="38"/>
  <c r="C32" i="38"/>
  <c r="C30" i="38"/>
  <c r="C29" i="38"/>
  <c r="C28" i="38"/>
  <c r="C27" i="38"/>
  <c r="C26" i="38"/>
  <c r="C25" i="38"/>
  <c r="C24" i="38"/>
  <c r="C23" i="38"/>
  <c r="C22" i="38"/>
  <c r="C21" i="38"/>
  <c r="C20" i="38"/>
  <c r="C19" i="38"/>
  <c r="C18" i="38"/>
  <c r="C17" i="38"/>
  <c r="C15" i="38"/>
  <c r="C14" i="38"/>
  <c r="C13" i="38"/>
  <c r="C12" i="38"/>
  <c r="C11" i="38"/>
  <c r="C10" i="38"/>
  <c r="C9" i="38"/>
  <c r="C8" i="37"/>
  <c r="C37" i="37"/>
  <c r="C36" i="37"/>
  <c r="C35" i="37"/>
  <c r="C34" i="37"/>
  <c r="C33" i="37"/>
  <c r="C32" i="37"/>
  <c r="C30" i="37"/>
  <c r="C29" i="37"/>
  <c r="C28" i="37"/>
  <c r="C27" i="37"/>
  <c r="C26" i="37"/>
  <c r="C25" i="37"/>
  <c r="C24" i="37"/>
  <c r="C23" i="37"/>
  <c r="C22" i="37"/>
  <c r="C21" i="37"/>
  <c r="C20" i="37"/>
  <c r="C19" i="37"/>
  <c r="C18" i="37"/>
  <c r="C17" i="37"/>
  <c r="C16" i="37"/>
  <c r="C14" i="37"/>
  <c r="C13" i="37"/>
  <c r="C12" i="37"/>
  <c r="C11" i="37"/>
  <c r="C10" i="37"/>
  <c r="C9" i="37"/>
  <c r="C8" i="36"/>
  <c r="C37" i="36"/>
  <c r="C36" i="36"/>
  <c r="C35" i="36"/>
  <c r="C34" i="36"/>
  <c r="C33" i="36"/>
  <c r="C32" i="36"/>
  <c r="C30" i="36"/>
  <c r="C29" i="36"/>
  <c r="C28" i="36"/>
  <c r="C27" i="36"/>
  <c r="C26" i="36"/>
  <c r="C25" i="36"/>
  <c r="C24" i="36"/>
  <c r="C23" i="36"/>
  <c r="C22" i="36"/>
  <c r="C21" i="36"/>
  <c r="C20" i="36"/>
  <c r="C19" i="36"/>
  <c r="C18" i="36"/>
  <c r="C17" i="36"/>
  <c r="C16" i="36"/>
  <c r="C15" i="36"/>
  <c r="C13" i="36"/>
  <c r="C12" i="36"/>
  <c r="C11" i="36"/>
  <c r="C10" i="36"/>
  <c r="C9" i="36"/>
  <c r="C8" i="35"/>
  <c r="C37" i="35"/>
  <c r="C36" i="35"/>
  <c r="C35" i="35"/>
  <c r="C34" i="35"/>
  <c r="C33" i="35"/>
  <c r="C32" i="35"/>
  <c r="C30" i="35"/>
  <c r="C29" i="35"/>
  <c r="C28" i="35"/>
  <c r="C27" i="35"/>
  <c r="C26" i="35"/>
  <c r="C25" i="35"/>
  <c r="C24" i="35"/>
  <c r="C23" i="35"/>
  <c r="C22" i="35"/>
  <c r="C21" i="35"/>
  <c r="C20" i="35"/>
  <c r="C19" i="35"/>
  <c r="C18" i="35"/>
  <c r="C17" i="35"/>
  <c r="C16" i="35"/>
  <c r="C15" i="35"/>
  <c r="C14" i="35"/>
  <c r="C12" i="35"/>
  <c r="C11" i="35"/>
  <c r="C10" i="35"/>
  <c r="C9" i="35"/>
  <c r="C8" i="34"/>
  <c r="C37" i="34"/>
  <c r="C36" i="34"/>
  <c r="C35" i="34"/>
  <c r="C34" i="34"/>
  <c r="C33" i="34"/>
  <c r="C32" i="34"/>
  <c r="C30" i="34"/>
  <c r="C29" i="34"/>
  <c r="C28" i="34"/>
  <c r="C27" i="34"/>
  <c r="C26" i="34"/>
  <c r="C25" i="34"/>
  <c r="C24" i="34"/>
  <c r="C23" i="34"/>
  <c r="C22" i="34"/>
  <c r="C21" i="34"/>
  <c r="C20" i="34"/>
  <c r="C19" i="34"/>
  <c r="C18" i="34"/>
  <c r="C17" i="34"/>
  <c r="C16" i="34"/>
  <c r="C15" i="34"/>
  <c r="C14" i="34"/>
  <c r="C13" i="34"/>
  <c r="C11" i="34"/>
  <c r="C10" i="34"/>
  <c r="C9" i="34"/>
  <c r="C8" i="33"/>
  <c r="C37" i="33"/>
  <c r="C36" i="33"/>
  <c r="C35" i="33"/>
  <c r="C34" i="33"/>
  <c r="C33" i="33"/>
  <c r="C32" i="33"/>
  <c r="C30" i="33"/>
  <c r="C29" i="33"/>
  <c r="C28" i="33"/>
  <c r="C27" i="33"/>
  <c r="C26" i="33"/>
  <c r="C25" i="33"/>
  <c r="C24" i="33"/>
  <c r="C23" i="33"/>
  <c r="C22" i="33"/>
  <c r="C21" i="33"/>
  <c r="C20" i="33"/>
  <c r="C19" i="33"/>
  <c r="C18" i="33"/>
  <c r="C17" i="33"/>
  <c r="C16" i="33"/>
  <c r="C15" i="33"/>
  <c r="C14" i="33"/>
  <c r="C13" i="33"/>
  <c r="C12" i="33"/>
  <c r="C10" i="33"/>
  <c r="C9" i="33"/>
  <c r="C8" i="32"/>
  <c r="C37" i="32"/>
  <c r="C36" i="32"/>
  <c r="C35" i="32"/>
  <c r="C34" i="32"/>
  <c r="C33" i="32"/>
  <c r="C32" i="32"/>
  <c r="C30" i="32"/>
  <c r="C29" i="32"/>
  <c r="C28" i="32"/>
  <c r="C27" i="32"/>
  <c r="C26" i="32"/>
  <c r="C25" i="32"/>
  <c r="C24" i="32"/>
  <c r="C23" i="32"/>
  <c r="C22" i="32"/>
  <c r="C21" i="32"/>
  <c r="C20" i="32"/>
  <c r="C19" i="32"/>
  <c r="C18" i="32"/>
  <c r="C17" i="32"/>
  <c r="C16" i="32"/>
  <c r="C15" i="32"/>
  <c r="C14" i="32"/>
  <c r="C13" i="32"/>
  <c r="C12" i="32"/>
  <c r="C11" i="32"/>
  <c r="C9" i="32"/>
  <c r="C8" i="31"/>
  <c r="C37" i="31"/>
  <c r="C36" i="31"/>
  <c r="C35" i="31"/>
  <c r="C34" i="31"/>
  <c r="C33" i="31"/>
  <c r="C32" i="31"/>
  <c r="C30" i="31"/>
  <c r="C29" i="31"/>
  <c r="C28" i="31"/>
  <c r="C27" i="31"/>
  <c r="C26" i="31"/>
  <c r="C25" i="31"/>
  <c r="C24" i="31"/>
  <c r="C23" i="31"/>
  <c r="C22" i="31"/>
  <c r="C21" i="31"/>
  <c r="C20" i="31"/>
  <c r="C19" i="31"/>
  <c r="C18" i="31"/>
  <c r="C17" i="31"/>
  <c r="C16" i="31"/>
  <c r="C15" i="31"/>
  <c r="C14" i="31"/>
  <c r="C13" i="31"/>
  <c r="C12" i="31"/>
  <c r="C11" i="31"/>
  <c r="C10" i="31"/>
  <c r="U8" i="6"/>
  <c r="BN8" i="6"/>
  <c r="BQ8" i="6"/>
  <c r="U10" i="6"/>
  <c r="BN10" i="6"/>
  <c r="BQ10" i="6"/>
  <c r="U12" i="6"/>
  <c r="BN12" i="6"/>
  <c r="BQ12" i="6"/>
  <c r="V13" i="61"/>
  <c r="U16" i="6"/>
  <c r="BN16" i="6"/>
  <c r="BQ16" i="6"/>
  <c r="U20" i="6"/>
  <c r="BN20" i="6"/>
  <c r="BQ20" i="6"/>
  <c r="V21" i="61"/>
  <c r="U24" i="6"/>
  <c r="BN24" i="6"/>
  <c r="BQ24" i="6"/>
  <c r="U27" i="6"/>
  <c r="BN27" i="6"/>
  <c r="BQ27" i="6"/>
  <c r="U28" i="6"/>
  <c r="BN28" i="6"/>
  <c r="BQ28" i="6"/>
  <c r="V29" i="61"/>
  <c r="U32" i="6"/>
  <c r="BN32" i="6"/>
  <c r="BQ32" i="6"/>
  <c r="C37" i="4"/>
  <c r="C36" i="4"/>
  <c r="C35" i="4"/>
  <c r="C34" i="4"/>
  <c r="C33" i="4"/>
  <c r="C32" i="4"/>
  <c r="C30" i="4"/>
  <c r="C29" i="4"/>
  <c r="C28" i="4"/>
  <c r="C27" i="4"/>
  <c r="C26" i="4"/>
  <c r="C25" i="4"/>
  <c r="C24" i="4"/>
  <c r="C23" i="4"/>
  <c r="C22" i="4"/>
  <c r="C21" i="4"/>
  <c r="C20" i="4"/>
  <c r="C19" i="4"/>
  <c r="C18" i="4"/>
  <c r="C17" i="4"/>
  <c r="C16" i="4"/>
  <c r="C15" i="4"/>
  <c r="C14" i="4"/>
  <c r="C13" i="4"/>
  <c r="C12" i="4"/>
  <c r="C11" i="4"/>
  <c r="C10" i="4"/>
  <c r="C9" i="4"/>
  <c r="L6" i="29"/>
  <c r="I20" i="8"/>
  <c r="D20" i="8"/>
  <c r="E20" i="8"/>
  <c r="H20" i="8"/>
  <c r="G20" i="8"/>
  <c r="F20" i="8"/>
  <c r="L20" i="8"/>
  <c r="K20" i="8"/>
  <c r="J20" i="8"/>
  <c r="C60" i="10"/>
  <c r="C61" i="10"/>
  <c r="C62" i="10"/>
  <c r="C63" i="10"/>
  <c r="C64" i="10"/>
  <c r="C65" i="10"/>
  <c r="C66" i="10"/>
  <c r="C67" i="10"/>
  <c r="C68" i="10"/>
  <c r="C69" i="10"/>
  <c r="C70" i="10"/>
  <c r="C71" i="10"/>
  <c r="C72" i="10"/>
  <c r="C73" i="10"/>
  <c r="C59" i="10"/>
  <c r="C7" i="10"/>
  <c r="E10" i="62"/>
  <c r="AC8" i="32"/>
  <c r="AC9" i="32"/>
  <c r="V6" i="61"/>
  <c r="U33" i="6"/>
  <c r="BN33" i="6"/>
  <c r="BQ33" i="6"/>
  <c r="U25" i="6"/>
  <c r="BN25" i="6"/>
  <c r="BQ25" i="6"/>
  <c r="U17" i="6"/>
  <c r="BN17" i="6"/>
  <c r="BQ17" i="6"/>
  <c r="U29" i="6"/>
  <c r="BN29" i="6"/>
  <c r="BQ29" i="6"/>
  <c r="U21" i="6"/>
  <c r="BN21" i="6"/>
  <c r="BQ21" i="6"/>
  <c r="U13" i="6"/>
  <c r="BN13" i="6"/>
  <c r="BQ13" i="6"/>
  <c r="V35" i="61"/>
  <c r="V31" i="61"/>
  <c r="V23" i="61"/>
  <c r="V19" i="61"/>
  <c r="V15" i="61"/>
  <c r="V11" i="61"/>
  <c r="U31" i="6"/>
  <c r="BN31" i="6"/>
  <c r="BQ31" i="6"/>
  <c r="U23" i="6"/>
  <c r="BN23" i="6"/>
  <c r="BQ23" i="6"/>
  <c r="U15" i="6"/>
  <c r="BN15" i="6"/>
  <c r="BQ15" i="6"/>
  <c r="V5" i="7"/>
  <c r="U34" i="6"/>
  <c r="BN34" i="6"/>
  <c r="BQ34" i="6"/>
  <c r="U30" i="6"/>
  <c r="BN30" i="6"/>
  <c r="BQ30" i="6"/>
  <c r="U22" i="6"/>
  <c r="BN22" i="6"/>
  <c r="BQ22" i="6"/>
  <c r="U18" i="6"/>
  <c r="BN18" i="6"/>
  <c r="BQ18" i="6"/>
  <c r="U14" i="6"/>
  <c r="BN14" i="6"/>
  <c r="BQ14" i="6"/>
  <c r="AC5" i="7"/>
  <c r="U5" i="7"/>
  <c r="V9" i="61"/>
  <c r="AG8" i="30"/>
  <c r="V32" i="61"/>
  <c r="V24" i="61"/>
  <c r="V16" i="61"/>
  <c r="AD5" i="7"/>
  <c r="U35" i="6"/>
  <c r="BN35" i="6"/>
  <c r="BQ35" i="6"/>
  <c r="U19" i="6"/>
  <c r="BN19" i="6"/>
  <c r="BQ19" i="6"/>
  <c r="U11" i="6"/>
  <c r="BN11" i="6"/>
  <c r="BQ11" i="6"/>
  <c r="U26" i="6"/>
  <c r="BN26" i="6"/>
  <c r="BQ26" i="6"/>
  <c r="U9" i="6"/>
  <c r="BN9" i="6"/>
  <c r="BQ9" i="6"/>
  <c r="AL5" i="7"/>
  <c r="U6" i="6"/>
  <c r="BN6" i="6"/>
  <c r="BQ6" i="6"/>
  <c r="E8" i="62"/>
  <c r="E11" i="62"/>
  <c r="M11" i="62"/>
  <c r="D11" i="62"/>
  <c r="AC9" i="39"/>
  <c r="AC8" i="39"/>
  <c r="AC9" i="44"/>
  <c r="AC8" i="55"/>
  <c r="AC10" i="31"/>
  <c r="AC8" i="47"/>
  <c r="AC8" i="34"/>
  <c r="AC8" i="4"/>
  <c r="AB10" i="4"/>
  <c r="AC9" i="47"/>
  <c r="AC10" i="47"/>
  <c r="AC8" i="48"/>
  <c r="AC8" i="49"/>
  <c r="AC8" i="37"/>
  <c r="AC9" i="36"/>
  <c r="AC10" i="53"/>
  <c r="AC9" i="53"/>
  <c r="AC8" i="51"/>
  <c r="AC8" i="45"/>
  <c r="AC8" i="36"/>
  <c r="AC8" i="38"/>
  <c r="AC8" i="53"/>
  <c r="AC8" i="35"/>
  <c r="AC9" i="34"/>
  <c r="AC9" i="35"/>
  <c r="AC9" i="31"/>
  <c r="AC8" i="56"/>
  <c r="AC8" i="44"/>
  <c r="M14" i="9"/>
  <c r="M5" i="7"/>
  <c r="V8" i="61"/>
  <c r="U7" i="6"/>
  <c r="BN7" i="6"/>
  <c r="BQ7" i="6"/>
  <c r="I14" i="9"/>
  <c r="L5" i="7"/>
  <c r="I15" i="9"/>
  <c r="E27" i="62"/>
  <c r="D27" i="62"/>
  <c r="V7" i="61"/>
  <c r="E36" i="62"/>
  <c r="D36" i="62"/>
  <c r="E28" i="62"/>
  <c r="D28" i="62"/>
  <c r="E20" i="62"/>
  <c r="D20" i="62"/>
  <c r="E24" i="62"/>
  <c r="D24" i="62"/>
  <c r="AG9" i="30"/>
  <c r="K5" i="7"/>
  <c r="I12" i="9"/>
  <c r="M12" i="9"/>
  <c r="E33" i="62"/>
  <c r="D33" i="62"/>
  <c r="E25" i="62"/>
  <c r="D25" i="62"/>
  <c r="E17" i="62"/>
  <c r="D17" i="62"/>
  <c r="I13" i="9"/>
  <c r="M13" i="9"/>
  <c r="E34" i="62"/>
  <c r="D34" i="62"/>
  <c r="E26" i="62"/>
  <c r="D26" i="62"/>
  <c r="E18" i="62"/>
  <c r="D18" i="62"/>
  <c r="E14" i="62"/>
  <c r="E30" i="62"/>
  <c r="D30" i="62"/>
  <c r="E13" i="62"/>
  <c r="E29" i="62"/>
  <c r="D29" i="62"/>
  <c r="E19" i="62"/>
  <c r="D19" i="62"/>
  <c r="E15" i="62"/>
  <c r="E31" i="62"/>
  <c r="D31" i="62"/>
  <c r="E32" i="62"/>
  <c r="D32" i="62"/>
  <c r="E9" i="62"/>
  <c r="E22" i="62"/>
  <c r="D22" i="62"/>
  <c r="E21" i="62"/>
  <c r="D21" i="62"/>
  <c r="E35" i="62"/>
  <c r="D35" i="62"/>
  <c r="E23" i="62"/>
  <c r="D23" i="62"/>
  <c r="AC9" i="33"/>
  <c r="M8" i="62"/>
  <c r="E13" i="9"/>
  <c r="V28" i="61"/>
  <c r="V12" i="61"/>
  <c r="V20" i="61"/>
  <c r="AK5" i="7"/>
  <c r="V26" i="61"/>
  <c r="AH5" i="7"/>
  <c r="AN5" i="7"/>
  <c r="N5" i="7"/>
  <c r="V18" i="61"/>
  <c r="V30" i="61"/>
  <c r="T5" i="7"/>
  <c r="AB5" i="7"/>
  <c r="R5" i="7"/>
  <c r="V27" i="61"/>
  <c r="AJ5" i="7"/>
  <c r="Z5" i="7"/>
  <c r="M9" i="62"/>
  <c r="V14" i="61"/>
  <c r="V22" i="61"/>
  <c r="V34" i="61"/>
  <c r="P5" i="7"/>
  <c r="X5" i="7"/>
  <c r="E12" i="9"/>
  <c r="AC10" i="55"/>
  <c r="AC9" i="55"/>
  <c r="AC10" i="36"/>
  <c r="AC10" i="34"/>
  <c r="AC9" i="4"/>
  <c r="AC8" i="46"/>
  <c r="AC9" i="46"/>
  <c r="AC9" i="48"/>
  <c r="AC9" i="45"/>
  <c r="AC10" i="45"/>
  <c r="AC10" i="33"/>
  <c r="AC11" i="49"/>
  <c r="AC9" i="49"/>
  <c r="AC9" i="37"/>
  <c r="AC10" i="38"/>
  <c r="AC9" i="38"/>
  <c r="AC8" i="54"/>
  <c r="AC8" i="50"/>
  <c r="AC12" i="50"/>
  <c r="D19" i="9"/>
  <c r="AC9" i="51"/>
  <c r="AC12" i="32"/>
  <c r="AC10" i="32"/>
  <c r="AC11" i="43"/>
  <c r="AC8" i="43"/>
  <c r="C20" i="9"/>
  <c r="AC11" i="47"/>
  <c r="AC10" i="52"/>
  <c r="AC9" i="52"/>
  <c r="AC9" i="56"/>
  <c r="AC8" i="40"/>
  <c r="AC11" i="36"/>
  <c r="AC15" i="36"/>
  <c r="AC11" i="53"/>
  <c r="AC14" i="53"/>
  <c r="AC10" i="39"/>
  <c r="AC13" i="39"/>
  <c r="AC10" i="35"/>
  <c r="AC11" i="35"/>
  <c r="V10" i="61"/>
  <c r="Y5" i="7"/>
  <c r="AG5" i="7"/>
  <c r="Q5" i="7"/>
  <c r="AM5" i="7"/>
  <c r="S5" i="7"/>
  <c r="AI5" i="7"/>
  <c r="AA5" i="7"/>
  <c r="AF5" i="7"/>
  <c r="AE5" i="7"/>
  <c r="W5" i="7"/>
  <c r="AC12" i="34"/>
  <c r="AC11" i="34"/>
  <c r="AC11" i="55"/>
  <c r="AC11" i="32"/>
  <c r="AC9" i="50"/>
  <c r="AC11" i="38"/>
  <c r="AC12" i="45"/>
  <c r="AC10" i="46"/>
  <c r="AC11" i="51"/>
  <c r="AC10" i="51"/>
  <c r="AC11" i="37"/>
  <c r="AC10" i="37"/>
  <c r="AC11" i="48"/>
  <c r="AC10" i="48"/>
  <c r="AC10" i="49"/>
  <c r="AC9" i="43"/>
  <c r="AC11" i="39"/>
  <c r="AC12" i="53"/>
  <c r="AC12" i="36"/>
  <c r="AC10" i="56"/>
  <c r="AC11" i="56"/>
  <c r="AC9" i="40"/>
  <c r="AC10" i="40"/>
  <c r="AC12" i="47"/>
  <c r="AC14" i="35"/>
  <c r="O5" i="7"/>
  <c r="AC13" i="55"/>
  <c r="AC13" i="34"/>
  <c r="AC13" i="51"/>
  <c r="AC13" i="32"/>
  <c r="AC11" i="45"/>
  <c r="AC13" i="38"/>
  <c r="AC12" i="48"/>
  <c r="AC12" i="37"/>
  <c r="AC10" i="50"/>
  <c r="AC13" i="49"/>
  <c r="AC12" i="46"/>
  <c r="AC13" i="36"/>
  <c r="AC12" i="39"/>
  <c r="AC12" i="35"/>
  <c r="AC12" i="56"/>
  <c r="C21" i="9"/>
  <c r="AC13" i="47"/>
  <c r="AC13" i="53"/>
  <c r="AC10" i="43"/>
  <c r="D20" i="9"/>
  <c r="D22" i="9"/>
  <c r="AC12" i="55"/>
  <c r="AC11" i="46"/>
  <c r="AC13" i="37"/>
  <c r="AC11" i="50"/>
  <c r="AC14" i="45"/>
  <c r="AC13" i="48"/>
  <c r="AC12" i="51"/>
  <c r="C22" i="9"/>
  <c r="D21" i="9"/>
  <c r="AC13" i="35"/>
  <c r="AC14" i="36"/>
  <c r="AC13" i="43"/>
  <c r="AC15" i="47"/>
  <c r="AC14" i="47"/>
  <c r="AC13" i="56"/>
  <c r="AC11" i="40"/>
  <c r="AC14" i="39"/>
  <c r="AC14" i="32"/>
  <c r="AC15" i="38"/>
  <c r="AC13" i="50"/>
  <c r="AC14" i="46"/>
  <c r="AC15" i="48"/>
  <c r="AC13" i="45"/>
  <c r="AC12" i="40"/>
  <c r="AC16" i="36"/>
  <c r="AC15" i="53"/>
  <c r="AC15" i="39"/>
  <c r="AC16" i="47"/>
  <c r="AC12" i="43"/>
  <c r="AC14" i="55"/>
  <c r="AC13" i="46"/>
  <c r="AC14" i="38"/>
  <c r="AC15" i="45"/>
  <c r="AC15" i="32"/>
  <c r="AC14" i="48"/>
  <c r="AC15" i="50"/>
  <c r="AC14" i="56"/>
  <c r="AC15" i="35"/>
  <c r="AC13" i="40"/>
  <c r="AC15" i="55"/>
  <c r="AC15" i="51"/>
  <c r="AC17" i="53"/>
  <c r="AC14" i="40"/>
  <c r="AC15" i="56"/>
  <c r="AC17" i="47"/>
  <c r="AC16" i="35"/>
  <c r="AC16" i="39"/>
  <c r="AC14" i="43"/>
  <c r="AC16" i="55"/>
  <c r="AC17" i="55"/>
  <c r="AC16" i="50"/>
  <c r="AC17" i="32"/>
  <c r="AC15" i="46"/>
  <c r="AC16" i="48"/>
  <c r="AC16" i="45"/>
  <c r="AC16" i="51"/>
  <c r="AC18" i="47"/>
  <c r="AC18" i="53"/>
  <c r="AC15" i="40"/>
  <c r="AC15" i="43"/>
  <c r="AC18" i="45"/>
  <c r="AC17" i="45"/>
  <c r="AC19" i="32"/>
  <c r="AC18" i="32"/>
  <c r="AC19" i="53"/>
  <c r="AC16" i="40"/>
  <c r="AC18" i="55"/>
  <c r="AC19" i="45"/>
  <c r="AC17" i="50"/>
  <c r="AC20" i="32"/>
  <c r="AC20" i="53"/>
  <c r="AC21" i="53"/>
  <c r="AC20" i="45"/>
  <c r="AC21" i="32"/>
  <c r="AC23" i="53"/>
  <c r="AC22" i="53"/>
  <c r="AH26" i="9"/>
  <c r="J39" i="9"/>
  <c r="AC26" i="9"/>
  <c r="E39" i="9"/>
  <c r="AD13" i="9"/>
  <c r="F26" i="9"/>
  <c r="N31" i="9"/>
  <c r="AE17" i="9"/>
  <c r="G30" i="9"/>
  <c r="AE28" i="9"/>
  <c r="G41" i="9"/>
  <c r="AF16" i="9"/>
  <c r="H29" i="9"/>
  <c r="AC7" i="9"/>
  <c r="E20" i="9"/>
  <c r="AF14" i="9"/>
  <c r="H27" i="9"/>
  <c r="AH28" i="9"/>
  <c r="J41" i="9"/>
  <c r="AG20" i="9"/>
  <c r="I33" i="9"/>
  <c r="AG32" i="9"/>
  <c r="I45" i="9"/>
  <c r="N25" i="9"/>
  <c r="N32" i="9"/>
  <c r="AJ11" i="9"/>
  <c r="O24" i="9"/>
  <c r="AE12" i="9"/>
  <c r="G25" i="9"/>
  <c r="AG23" i="9"/>
  <c r="I36" i="9"/>
  <c r="N43" i="9"/>
  <c r="AC27" i="9"/>
  <c r="E40" i="9"/>
  <c r="AD36" i="9"/>
  <c r="F49" i="9"/>
  <c r="AJ15" i="9"/>
  <c r="L28" i="9"/>
  <c r="N19" i="9"/>
  <c r="AH30" i="9"/>
  <c r="J43" i="9"/>
  <c r="AH32" i="9"/>
  <c r="K45" i="9"/>
  <c r="AG27" i="9"/>
  <c r="I40" i="9"/>
  <c r="AJ14" i="9"/>
  <c r="O27" i="9"/>
  <c r="AF31" i="9"/>
  <c r="H44" i="9"/>
  <c r="AI25" i="9"/>
  <c r="M38" i="9"/>
  <c r="AD22" i="9"/>
  <c r="F35" i="9"/>
  <c r="AD21" i="9"/>
  <c r="F34" i="9"/>
  <c r="O28" i="9"/>
  <c r="AE31" i="9"/>
  <c r="G44" i="9"/>
  <c r="AH15" i="9"/>
  <c r="K28" i="9"/>
  <c r="N49" i="9"/>
  <c r="AF12" i="9"/>
  <c r="H25" i="9"/>
  <c r="AG29" i="9"/>
  <c r="I42" i="9"/>
  <c r="N28" i="9"/>
  <c r="AJ9" i="9"/>
  <c r="O22" i="9"/>
  <c r="AC11" i="9"/>
  <c r="E24" i="9"/>
  <c r="N33" i="9"/>
  <c r="N30" i="9"/>
  <c r="AC17" i="9"/>
  <c r="E30" i="9"/>
  <c r="AI8" i="9"/>
  <c r="M21" i="9"/>
  <c r="AC36" i="9"/>
  <c r="E49" i="9"/>
  <c r="AE19" i="9"/>
  <c r="G32" i="9"/>
  <c r="AE21" i="9"/>
  <c r="G34" i="9"/>
  <c r="AI19" i="9"/>
  <c r="M32" i="9"/>
  <c r="AH18" i="9"/>
  <c r="K31" i="9"/>
  <c r="N44" i="9"/>
  <c r="AD27" i="9"/>
  <c r="F40" i="9"/>
  <c r="AF19" i="9"/>
  <c r="H32" i="9"/>
  <c r="AG33" i="9"/>
  <c r="I46" i="9"/>
  <c r="N24" i="9"/>
  <c r="AC13" i="9"/>
  <c r="E26" i="9"/>
  <c r="AC20" i="9"/>
  <c r="E33" i="9"/>
  <c r="AD15" i="9"/>
  <c r="F28" i="9"/>
  <c r="AG12" i="9"/>
  <c r="I25" i="9"/>
  <c r="AC12" i="9"/>
  <c r="E25" i="9"/>
  <c r="AH21" i="9"/>
  <c r="J34" i="9"/>
  <c r="AH14" i="9"/>
  <c r="J27" i="9"/>
  <c r="AD25" i="9"/>
  <c r="F38" i="9"/>
  <c r="AC22" i="9"/>
  <c r="E35" i="9"/>
  <c r="AI15" i="9"/>
  <c r="M28" i="9"/>
  <c r="AF22" i="9"/>
  <c r="H35" i="9"/>
  <c r="AE20" i="9"/>
  <c r="G33" i="9"/>
  <c r="AH16" i="9"/>
  <c r="K29" i="9"/>
  <c r="AG8" i="9"/>
  <c r="I21" i="9"/>
  <c r="AD29" i="9"/>
  <c r="F42" i="9"/>
  <c r="N35" i="9"/>
  <c r="AH29" i="9"/>
  <c r="K42" i="9"/>
  <c r="AG13" i="9"/>
  <c r="I26" i="9"/>
  <c r="AH11" i="9"/>
  <c r="K24" i="9"/>
  <c r="AH33" i="9"/>
  <c r="K46" i="9"/>
  <c r="AE22" i="9"/>
  <c r="G35" i="9"/>
  <c r="AI7" i="9"/>
  <c r="M20" i="9"/>
  <c r="AC9" i="9"/>
  <c r="E22" i="9"/>
  <c r="AD30" i="9"/>
  <c r="F43" i="9"/>
  <c r="AD7" i="9"/>
  <c r="F20" i="9"/>
  <c r="AG26" i="9"/>
  <c r="I39" i="9"/>
  <c r="AH17" i="9"/>
  <c r="J30" i="9"/>
  <c r="AE7" i="9"/>
  <c r="G20" i="9"/>
  <c r="AG24" i="9"/>
  <c r="I37" i="9"/>
  <c r="AC19" i="9"/>
  <c r="E32" i="9"/>
  <c r="AF27" i="9"/>
  <c r="H40" i="9"/>
  <c r="AD8" i="9"/>
  <c r="F21" i="9"/>
  <c r="AG25" i="9"/>
  <c r="I38" i="9"/>
  <c r="J29" i="9"/>
  <c r="AE29" i="9"/>
  <c r="G42" i="9"/>
  <c r="AF23" i="9"/>
  <c r="H36" i="9"/>
  <c r="AE6" i="9"/>
  <c r="G19" i="9"/>
  <c r="AG21" i="9"/>
  <c r="I34" i="9"/>
  <c r="AE24" i="9"/>
  <c r="G37" i="9"/>
  <c r="AG15" i="9"/>
  <c r="I28" i="9"/>
  <c r="AC31" i="9"/>
  <c r="E44" i="9"/>
  <c r="AD20" i="9"/>
  <c r="F33" i="9"/>
  <c r="AF25" i="9"/>
  <c r="H38" i="9"/>
  <c r="AI17" i="9"/>
  <c r="M30" i="9"/>
  <c r="AD32" i="9"/>
  <c r="F45" i="9"/>
  <c r="K34" i="9"/>
  <c r="AD14" i="9"/>
  <c r="F27" i="9"/>
  <c r="AH22" i="9"/>
  <c r="J35" i="9"/>
  <c r="AE30" i="9"/>
  <c r="G43" i="9"/>
  <c r="N29" i="9"/>
  <c r="AH12" i="9"/>
  <c r="K25" i="9"/>
  <c r="AG16" i="9"/>
  <c r="I29" i="9"/>
  <c r="AJ6" i="9"/>
  <c r="O19" i="9"/>
  <c r="AF32" i="9"/>
  <c r="H45" i="9"/>
  <c r="AD28" i="9"/>
  <c r="F41" i="9"/>
  <c r="AC16" i="9"/>
  <c r="E29" i="9"/>
  <c r="AJ10" i="9"/>
  <c r="O23" i="9"/>
  <c r="AH24" i="9"/>
  <c r="J37" i="9"/>
  <c r="AJ13" i="9"/>
  <c r="L26" i="9"/>
  <c r="AG19" i="9"/>
  <c r="I32" i="9"/>
  <c r="AF20" i="9"/>
  <c r="H33" i="9"/>
  <c r="AF8" i="9"/>
  <c r="H21" i="9"/>
  <c r="AH10" i="9"/>
  <c r="K23" i="9"/>
  <c r="AD10" i="9"/>
  <c r="F23" i="9"/>
  <c r="AH7" i="9"/>
  <c r="K20" i="9"/>
  <c r="AE32" i="9"/>
  <c r="G45" i="9"/>
  <c r="AC21" i="9"/>
  <c r="E34" i="9"/>
  <c r="N40" i="9"/>
  <c r="K37" i="9"/>
  <c r="AI10" i="9"/>
  <c r="M23" i="9"/>
  <c r="N22" i="9"/>
  <c r="AC14" i="9"/>
  <c r="E27" i="9"/>
  <c r="AE14" i="9"/>
  <c r="G27" i="9"/>
  <c r="K35" i="9"/>
  <c r="N36" i="9"/>
  <c r="K41" i="9"/>
  <c r="AI6" i="9"/>
  <c r="M19" i="9"/>
  <c r="AE13" i="9"/>
  <c r="G26" i="9"/>
  <c r="AD24" i="9"/>
  <c r="F37" i="9"/>
  <c r="N38" i="9"/>
  <c r="N41" i="9"/>
  <c r="AF9" i="9"/>
  <c r="H22" i="9"/>
  <c r="N21" i="9"/>
  <c r="AF15" i="9"/>
  <c r="H28" i="9"/>
  <c r="J31" i="9"/>
  <c r="AI14" i="9"/>
  <c r="M27" i="9"/>
  <c r="L24" i="9"/>
  <c r="J45" i="9"/>
  <c r="AI11" i="9"/>
  <c r="M24" i="9"/>
  <c r="AH8" i="9"/>
  <c r="K21" i="9"/>
  <c r="AI18" i="9"/>
  <c r="M31" i="9"/>
  <c r="AC8" i="9"/>
  <c r="E21" i="9"/>
  <c r="AE9" i="9"/>
  <c r="G22" i="9"/>
  <c r="AE10" i="9"/>
  <c r="G23" i="9"/>
  <c r="AJ17" i="9"/>
  <c r="O30" i="9"/>
  <c r="AC28" i="9"/>
  <c r="E41" i="9"/>
  <c r="AF28" i="9"/>
  <c r="H41" i="9"/>
  <c r="AI30" i="9"/>
  <c r="M43" i="9"/>
  <c r="AJ18" i="9"/>
  <c r="O31" i="9"/>
  <c r="AI16" i="9"/>
  <c r="M29" i="9"/>
  <c r="AJ8" i="9"/>
  <c r="L21" i="9"/>
  <c r="J20" i="9"/>
  <c r="AE27" i="9"/>
  <c r="G40" i="9"/>
  <c r="AG17" i="9"/>
  <c r="I30" i="9"/>
  <c r="AC33" i="9"/>
  <c r="E46" i="9"/>
  <c r="J28" i="9"/>
  <c r="AE33" i="9"/>
  <c r="G46" i="9"/>
  <c r="AF36" i="9"/>
  <c r="H49" i="9"/>
  <c r="AH13" i="9"/>
  <c r="J26" i="9"/>
  <c r="AF24" i="9"/>
  <c r="H37" i="9"/>
  <c r="N20" i="9"/>
  <c r="AC32" i="9"/>
  <c r="E45" i="9"/>
  <c r="AJ16" i="9"/>
  <c r="L29" i="9"/>
  <c r="AC15" i="9"/>
  <c r="E28" i="9"/>
  <c r="N34" i="9"/>
  <c r="AF26" i="9"/>
  <c r="H39" i="9"/>
  <c r="J25" i="9"/>
  <c r="AI13" i="9"/>
  <c r="M26" i="9"/>
  <c r="AH6" i="9"/>
  <c r="J19" i="9"/>
  <c r="AF18" i="9"/>
  <c r="H31" i="9"/>
  <c r="AH19" i="9"/>
  <c r="J32" i="9"/>
  <c r="AH20" i="9"/>
  <c r="K33" i="9"/>
  <c r="K19" i="9"/>
  <c r="AE15" i="9"/>
  <c r="G28" i="9"/>
  <c r="O21" i="9"/>
  <c r="L27" i="9"/>
  <c r="AH23" i="9"/>
  <c r="J36" i="9"/>
  <c r="AH27" i="9"/>
  <c r="K40" i="9"/>
  <c r="AF17" i="9"/>
  <c r="H30" i="9"/>
  <c r="AD26" i="9"/>
  <c r="F39" i="9"/>
  <c r="AD9" i="9"/>
  <c r="F22" i="9"/>
  <c r="AH31" i="9"/>
  <c r="K44" i="9"/>
  <c r="L22" i="9"/>
  <c r="AJ12" i="9"/>
  <c r="O25" i="9"/>
  <c r="AG28" i="9"/>
  <c r="I41" i="9"/>
  <c r="AI31" i="9"/>
  <c r="M44" i="9"/>
  <c r="K26" i="9"/>
  <c r="L31" i="9"/>
  <c r="AG30" i="9"/>
  <c r="I43" i="9"/>
  <c r="J33" i="9"/>
  <c r="AD19" i="9"/>
  <c r="F32" i="9"/>
  <c r="O26" i="9"/>
  <c r="L30" i="9"/>
  <c r="AI24" i="9"/>
  <c r="M37" i="9"/>
  <c r="J44" i="9"/>
  <c r="N27" i="9"/>
  <c r="AF33" i="9"/>
  <c r="H46" i="9"/>
  <c r="AC23" i="9"/>
  <c r="E36" i="9"/>
  <c r="AC25" i="9"/>
  <c r="E38" i="9"/>
  <c r="O29" i="9"/>
  <c r="AG36" i="9"/>
  <c r="I49" i="9"/>
  <c r="AC6" i="9"/>
  <c r="E19" i="9"/>
  <c r="AJ7" i="9"/>
  <c r="O20" i="9"/>
  <c r="AI9" i="9"/>
  <c r="M22" i="9"/>
  <c r="AG22" i="9"/>
  <c r="I35" i="9"/>
  <c r="AE16" i="9"/>
  <c r="G29" i="9"/>
  <c r="K27" i="9"/>
  <c r="AE11" i="9"/>
  <c r="G24" i="9"/>
  <c r="AC18" i="9"/>
  <c r="E31" i="9"/>
  <c r="N42" i="9"/>
  <c r="AG11" i="9"/>
  <c r="I24" i="9"/>
  <c r="K39" i="9"/>
  <c r="AD16" i="9"/>
  <c r="F29" i="9"/>
  <c r="K43" i="9"/>
  <c r="L23" i="9"/>
  <c r="AE26" i="9"/>
  <c r="G39" i="9"/>
  <c r="K32" i="9"/>
  <c r="AH25" i="9"/>
  <c r="K38" i="9"/>
  <c r="AF11" i="9"/>
  <c r="H24" i="9"/>
  <c r="N46" i="9"/>
  <c r="AD11" i="9"/>
  <c r="F24" i="9"/>
  <c r="AE8" i="9"/>
  <c r="G21" i="9"/>
  <c r="N26" i="9"/>
  <c r="AF6" i="9"/>
  <c r="H19" i="9"/>
  <c r="AI32" i="9"/>
  <c r="M45" i="9"/>
  <c r="AD33" i="9"/>
  <c r="F46" i="9"/>
  <c r="AH9" i="9"/>
  <c r="J22" i="9"/>
  <c r="AC29" i="9"/>
  <c r="E42" i="9"/>
  <c r="K36" i="9"/>
  <c r="AD18" i="9"/>
  <c r="F31" i="9"/>
  <c r="AG31" i="9"/>
  <c r="I44" i="9"/>
  <c r="AD12" i="9"/>
  <c r="F25" i="9"/>
  <c r="AG10" i="9"/>
  <c r="I23" i="9"/>
  <c r="AD17" i="9"/>
  <c r="F30" i="9"/>
  <c r="J40" i="9"/>
  <c r="N45" i="9"/>
  <c r="N23" i="9"/>
  <c r="N39" i="9"/>
  <c r="AC30" i="9"/>
  <c r="E43" i="9"/>
  <c r="AF30" i="9"/>
  <c r="H43" i="9"/>
  <c r="AH36" i="9"/>
  <c r="J49" i="9"/>
  <c r="N37" i="9"/>
  <c r="AG7" i="9"/>
  <c r="I20" i="9"/>
  <c r="J46" i="9"/>
  <c r="AG14" i="9"/>
  <c r="I27" i="9"/>
  <c r="AF7" i="9"/>
  <c r="H20" i="9"/>
  <c r="AD6" i="9"/>
  <c r="F19" i="9"/>
  <c r="AC10" i="9"/>
  <c r="E23" i="9"/>
  <c r="L25" i="9"/>
  <c r="J38" i="9"/>
  <c r="AF10" i="9"/>
  <c r="H23" i="9"/>
  <c r="J21" i="9"/>
  <c r="AF29" i="9"/>
  <c r="H42" i="9"/>
  <c r="K49" i="9"/>
  <c r="AE25" i="9"/>
  <c r="G38" i="9"/>
  <c r="K30" i="9"/>
  <c r="L19" i="9"/>
  <c r="AD23" i="9"/>
  <c r="F36" i="9"/>
  <c r="AE36" i="9"/>
  <c r="G49" i="9"/>
  <c r="AF21" i="9"/>
  <c r="H34" i="9"/>
  <c r="L20" i="9"/>
  <c r="AC24" i="9"/>
  <c r="E37" i="9"/>
  <c r="J23" i="9"/>
  <c r="AG9" i="9"/>
  <c r="I22" i="9"/>
  <c r="AI12" i="9"/>
  <c r="M25" i="9"/>
  <c r="AE18" i="9"/>
  <c r="G31" i="9"/>
  <c r="J42" i="9"/>
  <c r="AG18" i="9"/>
  <c r="I31" i="9"/>
  <c r="AD31" i="9"/>
  <c r="F44" i="9"/>
  <c r="AE23" i="9"/>
  <c r="G36" i="9"/>
  <c r="AG6" i="9"/>
  <c r="I19" i="9"/>
  <c r="J24" i="9"/>
  <c r="AF13" i="9"/>
  <c r="H26" i="9"/>
  <c r="K22" i="9"/>
  <c r="AC24" i="53"/>
  <c r="AC25" i="53"/>
  <c r="AJ19" i="9"/>
  <c r="O32" i="9"/>
  <c r="L32" i="9"/>
  <c r="AI20" i="9"/>
  <c r="M33" i="9"/>
  <c r="AJ20" i="9"/>
  <c r="L33" i="9"/>
  <c r="O33" i="9"/>
  <c r="AI21" i="9"/>
  <c r="M34" i="9"/>
  <c r="AC26" i="53"/>
  <c r="AJ21" i="9"/>
  <c r="L34" i="9"/>
  <c r="O34" i="9"/>
  <c r="AI22" i="9"/>
  <c r="M35" i="9"/>
  <c r="AJ22" i="9"/>
  <c r="O35" i="9"/>
  <c r="L35" i="9"/>
  <c r="AI23" i="9"/>
  <c r="M36" i="9"/>
  <c r="AJ23" i="9"/>
  <c r="O36" i="9"/>
  <c r="L36" i="9"/>
  <c r="AJ24" i="9"/>
  <c r="O37" i="9"/>
  <c r="L37" i="9"/>
  <c r="AI26" i="9"/>
  <c r="M39" i="9"/>
  <c r="AJ25" i="9"/>
  <c r="L38" i="9"/>
  <c r="O38" i="9"/>
  <c r="AI27" i="9"/>
  <c r="M40" i="9"/>
  <c r="AJ26" i="9"/>
  <c r="O39" i="9"/>
  <c r="L39" i="9"/>
  <c r="AI28" i="9"/>
  <c r="M41" i="9"/>
  <c r="AJ27" i="9"/>
  <c r="L40" i="9"/>
  <c r="O40" i="9"/>
  <c r="AJ28" i="9"/>
  <c r="L41" i="9"/>
  <c r="O41" i="9"/>
  <c r="AI29" i="9"/>
  <c r="M42" i="9"/>
  <c r="AJ29" i="9"/>
  <c r="L42" i="9"/>
  <c r="O42" i="9"/>
  <c r="AJ30" i="9"/>
  <c r="L43" i="9"/>
  <c r="O43" i="9"/>
  <c r="AJ31" i="9"/>
  <c r="L44" i="9"/>
  <c r="O44" i="9"/>
  <c r="AJ32" i="9"/>
  <c r="L45" i="9"/>
  <c r="O45" i="9"/>
  <c r="AI33" i="9"/>
  <c r="M46" i="9"/>
  <c r="AJ33" i="9"/>
  <c r="L46" i="9"/>
  <c r="O46" i="9"/>
  <c r="AI36" i="9"/>
  <c r="M49" i="9"/>
  <c r="AJ36" i="9"/>
  <c r="O49" i="9"/>
  <c r="L49" i="9"/>
  <c r="I50" i="9"/>
  <c r="M10" i="62"/>
  <c r="D9" i="62"/>
  <c r="E16" i="62"/>
  <c r="U41" i="8"/>
  <c r="AT46" i="8"/>
  <c r="U46" i="8"/>
  <c r="AR49" i="8"/>
  <c r="AR46" i="8"/>
  <c r="AV39" i="8"/>
  <c r="AR43" i="8"/>
  <c r="AV40" i="8"/>
  <c r="AT45" i="8"/>
  <c r="AT43" i="8"/>
  <c r="AT44" i="8"/>
  <c r="U48" i="8"/>
  <c r="U43" i="8"/>
  <c r="AH8" i="45"/>
  <c r="AX30" i="61"/>
  <c r="AX35" i="61"/>
  <c r="Y28" i="61"/>
  <c r="U42" i="8"/>
  <c r="AT47" i="8"/>
  <c r="AT40" i="8"/>
  <c r="U39" i="8"/>
  <c r="AR48" i="8"/>
  <c r="U50" i="8"/>
  <c r="AR40" i="8"/>
  <c r="AR47" i="8"/>
  <c r="AT42" i="8"/>
  <c r="Y39" i="8"/>
  <c r="AT41" i="8"/>
  <c r="U45" i="8"/>
  <c r="U49" i="8"/>
  <c r="AW12" i="60"/>
  <c r="AH11" i="45"/>
  <c r="AZ22" i="61"/>
  <c r="AM8" i="46"/>
  <c r="AH10" i="48"/>
  <c r="V22" i="60"/>
  <c r="Y12" i="6"/>
  <c r="AM11" i="53"/>
  <c r="AC16" i="6"/>
  <c r="AW14" i="60"/>
  <c r="AM11" i="55"/>
  <c r="V36" i="60"/>
  <c r="AM10" i="48"/>
  <c r="AH9" i="45"/>
  <c r="AH9" i="50"/>
  <c r="AW15" i="60"/>
  <c r="V31" i="60"/>
  <c r="AM11" i="59"/>
  <c r="AU28" i="60"/>
  <c r="AM9" i="44"/>
  <c r="V11" i="60"/>
  <c r="Y29" i="61"/>
  <c r="AM9" i="45"/>
  <c r="V38" i="60"/>
  <c r="AH9" i="47"/>
  <c r="Y25" i="6"/>
  <c r="V26" i="60"/>
  <c r="AW17" i="60"/>
  <c r="AU30" i="60"/>
  <c r="AX29" i="61"/>
  <c r="Y26" i="61"/>
  <c r="AX27" i="61"/>
  <c r="AV23" i="61"/>
  <c r="AH8" i="52"/>
  <c r="AM8" i="47"/>
  <c r="Y21" i="6"/>
  <c r="AC20" i="6"/>
  <c r="AS37" i="60"/>
  <c r="AX19" i="61"/>
  <c r="AX34" i="61"/>
  <c r="AT39" i="8"/>
  <c r="AR42" i="8"/>
  <c r="AR39" i="8"/>
  <c r="U40" i="8"/>
  <c r="AT48" i="8"/>
  <c r="AR45" i="8"/>
  <c r="AR50" i="8"/>
  <c r="Y41" i="8"/>
  <c r="AS21" i="60"/>
  <c r="AU26" i="60"/>
  <c r="V30" i="60"/>
  <c r="AV22" i="61"/>
  <c r="Y23" i="6"/>
  <c r="AU22" i="60"/>
  <c r="AH8" i="56"/>
  <c r="AM9" i="39"/>
  <c r="AM9" i="49"/>
  <c r="AM10" i="49"/>
  <c r="AH8" i="55"/>
  <c r="AW20" i="60"/>
  <c r="Y14" i="61"/>
  <c r="AH8" i="37"/>
  <c r="V35" i="60"/>
  <c r="AH8" i="34"/>
  <c r="AH11" i="53"/>
  <c r="AU24" i="60"/>
  <c r="AV24" i="61"/>
  <c r="U10" i="7"/>
  <c r="AH8" i="31"/>
  <c r="AW16" i="60"/>
  <c r="AH10" i="42"/>
  <c r="AH10" i="4"/>
  <c r="AM8" i="54"/>
  <c r="V9" i="60"/>
  <c r="AH9" i="37"/>
  <c r="AZ17" i="61"/>
  <c r="AW21" i="60"/>
  <c r="AL10" i="7"/>
  <c r="AM10" i="53"/>
  <c r="AX26" i="61"/>
  <c r="AH9" i="40"/>
  <c r="AH9" i="38"/>
  <c r="AZ13" i="61"/>
  <c r="AW18" i="60"/>
  <c r="AM9" i="56"/>
  <c r="AH10" i="52"/>
  <c r="AH10" i="55"/>
  <c r="AZ19" i="61"/>
  <c r="AH11" i="42"/>
  <c r="AU21" i="60"/>
  <c r="AZ16" i="61"/>
  <c r="Y35" i="6"/>
  <c r="AE11" i="61"/>
  <c r="AH10" i="49"/>
  <c r="AW25" i="60"/>
  <c r="AC24" i="61"/>
  <c r="AV21" i="61"/>
  <c r="AM10" i="59"/>
  <c r="AC26" i="61"/>
  <c r="Y8" i="6"/>
  <c r="AH8" i="43"/>
  <c r="AU38" i="60"/>
  <c r="V18" i="60"/>
  <c r="AM8" i="58"/>
  <c r="AV19" i="61"/>
  <c r="AM11" i="51"/>
  <c r="AM9" i="46"/>
  <c r="AH11" i="37"/>
  <c r="Y17" i="6"/>
  <c r="AH8" i="41"/>
  <c r="AH9" i="56"/>
  <c r="AW22" i="60"/>
  <c r="V27" i="60"/>
  <c r="AM10" i="54"/>
  <c r="Y8" i="61"/>
  <c r="Y25" i="61"/>
  <c r="AH9" i="42"/>
  <c r="AH11" i="32"/>
  <c r="AH9" i="41"/>
  <c r="V29" i="60"/>
  <c r="V17" i="60"/>
  <c r="AC20" i="61"/>
  <c r="AH11" i="55"/>
  <c r="AV18" i="61"/>
  <c r="AZ20" i="61"/>
  <c r="AB15" i="60"/>
  <c r="AV25" i="61"/>
  <c r="AS33" i="60"/>
  <c r="AM11" i="47"/>
  <c r="AH11" i="41"/>
  <c r="AH10" i="44"/>
  <c r="AH9" i="55"/>
  <c r="AU31" i="60"/>
  <c r="AH9" i="35"/>
  <c r="AS31" i="60"/>
  <c r="AZ14" i="61"/>
  <c r="Z25" i="60"/>
  <c r="Z29" i="60"/>
  <c r="AX23" i="61"/>
  <c r="AZ11" i="61"/>
  <c r="AH10" i="58"/>
  <c r="AU23" i="60"/>
  <c r="AV34" i="61"/>
  <c r="AE16" i="61"/>
  <c r="AU32" i="60"/>
  <c r="AM8" i="59"/>
  <c r="AV26" i="61"/>
  <c r="AH8" i="49"/>
  <c r="AH11" i="43"/>
  <c r="V25" i="60"/>
  <c r="AH8" i="47"/>
  <c r="AH10" i="31"/>
  <c r="AC22" i="61"/>
  <c r="AC16" i="61"/>
  <c r="AW13" i="60"/>
  <c r="AS26" i="60"/>
  <c r="AN10" i="7"/>
  <c r="AH10" i="38"/>
  <c r="Y20" i="61"/>
  <c r="Y9" i="61"/>
  <c r="AB19" i="60"/>
  <c r="AM9" i="50"/>
  <c r="AM9" i="58"/>
  <c r="AV20" i="61"/>
  <c r="Y30" i="6"/>
  <c r="AS30" i="60"/>
  <c r="AM11" i="43"/>
  <c r="AH8" i="33"/>
  <c r="AV32" i="61"/>
  <c r="AX25" i="61"/>
  <c r="AU37" i="60"/>
  <c r="AS29" i="60"/>
  <c r="AU20" i="60"/>
  <c r="AH8" i="35"/>
  <c r="AH8" i="53"/>
  <c r="AC24" i="6"/>
  <c r="AV35" i="61"/>
  <c r="AS32" i="60"/>
  <c r="AB12" i="60"/>
  <c r="AV27" i="61"/>
  <c r="AW27" i="60"/>
  <c r="AM8" i="50"/>
  <c r="AM10" i="51"/>
  <c r="Y29" i="6"/>
  <c r="AH9" i="52"/>
  <c r="AD10" i="7"/>
  <c r="AH11" i="47"/>
  <c r="AB11" i="60"/>
  <c r="AB38" i="60"/>
  <c r="AH11" i="36"/>
  <c r="AZ10" i="61"/>
  <c r="AX32" i="61"/>
  <c r="AE23" i="6"/>
  <c r="AB22" i="60"/>
  <c r="AM9" i="59"/>
  <c r="AM10" i="58"/>
  <c r="X10" i="7"/>
  <c r="Y20" i="6"/>
  <c r="AE26" i="61"/>
  <c r="AZ12" i="61"/>
  <c r="AU36" i="60"/>
  <c r="V20" i="60"/>
  <c r="AH9" i="4"/>
  <c r="Z19" i="60"/>
  <c r="AH10" i="32"/>
  <c r="V14" i="60"/>
  <c r="Y21" i="61"/>
  <c r="AH10" i="50"/>
  <c r="AH10" i="41"/>
  <c r="AM10" i="46"/>
  <c r="AX21" i="61"/>
  <c r="AM9" i="51"/>
  <c r="AI10" i="7"/>
  <c r="V12" i="60"/>
  <c r="AH8" i="32"/>
  <c r="AE8" i="61"/>
  <c r="AH10" i="57"/>
  <c r="AH8" i="36"/>
  <c r="AZ25" i="61"/>
  <c r="AV28" i="61"/>
  <c r="AH10" i="39"/>
  <c r="Y13" i="61"/>
  <c r="V24" i="60"/>
  <c r="AS27" i="60"/>
  <c r="AH9" i="54"/>
  <c r="AH10" i="47"/>
  <c r="AH10" i="7"/>
  <c r="Y17" i="61"/>
  <c r="AU35" i="60"/>
  <c r="AE19" i="6"/>
  <c r="AH9" i="46"/>
  <c r="AE13" i="61"/>
  <c r="AU29" i="60"/>
  <c r="AE16" i="6"/>
  <c r="Y26" i="6"/>
  <c r="AV29" i="61"/>
  <c r="AH10" i="36"/>
  <c r="AZ15" i="61"/>
  <c r="AB13" i="60"/>
  <c r="Y33" i="61"/>
  <c r="Y10" i="6"/>
  <c r="U47" i="8"/>
  <c r="AR41" i="8"/>
  <c r="U44" i="8"/>
  <c r="AT50" i="8"/>
  <c r="AT49" i="8"/>
  <c r="AR44" i="8"/>
  <c r="AH9" i="59"/>
  <c r="AM8" i="49"/>
  <c r="AH8" i="42"/>
  <c r="AZ21" i="61"/>
  <c r="AS20" i="60"/>
  <c r="AM10" i="44"/>
  <c r="AX18" i="61"/>
  <c r="AX17" i="61"/>
  <c r="Y24" i="61"/>
  <c r="AH11" i="51"/>
  <c r="AZ9" i="61"/>
  <c r="Z27" i="60"/>
  <c r="AU25" i="60"/>
  <c r="AS36" i="60"/>
  <c r="AX20" i="61"/>
  <c r="AZ23" i="61"/>
  <c r="AH9" i="58"/>
  <c r="Y22" i="6"/>
  <c r="AH11" i="49"/>
  <c r="Y16" i="6"/>
  <c r="AM8" i="53"/>
  <c r="AZ24" i="61"/>
  <c r="AM8" i="45"/>
  <c r="AS23" i="60"/>
  <c r="AF10" i="7"/>
  <c r="AH10" i="45"/>
  <c r="AS35" i="60"/>
  <c r="AM10" i="43"/>
  <c r="V23" i="60"/>
  <c r="AH8" i="58"/>
  <c r="AG10" i="7"/>
  <c r="Y32" i="61"/>
  <c r="AH8" i="4"/>
  <c r="AE22" i="61"/>
  <c r="AM9" i="47"/>
  <c r="AX31" i="61"/>
  <c r="AM9" i="57"/>
  <c r="V19" i="60"/>
  <c r="Y10" i="61"/>
  <c r="Y18" i="61"/>
  <c r="AM9" i="54"/>
  <c r="Y33" i="6"/>
  <c r="AW28" i="60"/>
  <c r="Y19" i="6"/>
  <c r="AM10" i="45"/>
  <c r="Y18" i="6"/>
  <c r="Y19" i="61"/>
  <c r="AM8" i="52"/>
  <c r="AJ10" i="7"/>
  <c r="Y13" i="6"/>
  <c r="AM8" i="57"/>
  <c r="Y32" i="6"/>
  <c r="AU33" i="60"/>
  <c r="AS38" i="60"/>
  <c r="AB35" i="60"/>
  <c r="Y34" i="61"/>
  <c r="AU27" i="60"/>
  <c r="Z10" i="7"/>
  <c r="AE17" i="6"/>
  <c r="AE10" i="7"/>
  <c r="AH8" i="46"/>
  <c r="AH10" i="51"/>
  <c r="AE32" i="61"/>
  <c r="AE12" i="61"/>
  <c r="Y31" i="6"/>
  <c r="AX22" i="61"/>
  <c r="AH10" i="54"/>
  <c r="AK10" i="7"/>
  <c r="AH10" i="35"/>
  <c r="AM10" i="50"/>
  <c r="AX33" i="61"/>
  <c r="AH9" i="44"/>
  <c r="AE13" i="6"/>
  <c r="AV33" i="61"/>
  <c r="Y31" i="61"/>
  <c r="Y27" i="61"/>
  <c r="Y10" i="7"/>
  <c r="Y23" i="61"/>
  <c r="AH10" i="53"/>
  <c r="AX28" i="61"/>
  <c r="AM10" i="57"/>
  <c r="AM9" i="48"/>
  <c r="AW24" i="60"/>
  <c r="Y14" i="6"/>
  <c r="AM10" i="55"/>
  <c r="V13" i="60"/>
  <c r="AS24" i="60"/>
  <c r="AM11" i="49"/>
  <c r="AS25" i="60"/>
  <c r="AE8" i="6"/>
  <c r="AM9" i="52"/>
  <c r="AW19" i="60"/>
  <c r="V32" i="60"/>
  <c r="AM10" i="47"/>
  <c r="Y15" i="6"/>
  <c r="AM9" i="41"/>
  <c r="AH9" i="36"/>
  <c r="AM11" i="45"/>
  <c r="AM9" i="43"/>
  <c r="AH9" i="39"/>
  <c r="AB29" i="60"/>
  <c r="AH8" i="59"/>
  <c r="AX16" i="61"/>
  <c r="AW23" i="60"/>
  <c r="Y35" i="61"/>
  <c r="AV31" i="61"/>
  <c r="AU19" i="60"/>
  <c r="AB17" i="60"/>
  <c r="AH8" i="38"/>
  <c r="AC18" i="6"/>
  <c r="AS22" i="60"/>
  <c r="Y34" i="6"/>
  <c r="AZ18" i="61"/>
  <c r="AU34" i="60"/>
  <c r="AV17" i="61"/>
  <c r="AH8" i="44"/>
  <c r="V16" i="60"/>
  <c r="AH10" i="43"/>
  <c r="AC10" i="7"/>
  <c r="Y28" i="6"/>
  <c r="AE34" i="61"/>
  <c r="AS28" i="60"/>
  <c r="AH10" i="56"/>
  <c r="AA41" i="8"/>
  <c r="V28" i="60"/>
  <c r="AE17" i="61"/>
  <c r="Y15" i="61"/>
  <c r="AM8" i="51"/>
  <c r="AM8" i="48"/>
  <c r="Y11" i="61"/>
  <c r="AB9" i="60"/>
  <c r="AH9" i="48"/>
  <c r="Z23" i="60"/>
  <c r="AS19" i="60"/>
  <c r="AS34" i="60"/>
  <c r="AH11" i="59"/>
  <c r="Y16" i="61"/>
  <c r="Z21" i="60"/>
  <c r="V10" i="7"/>
  <c r="AE6" i="61"/>
  <c r="Y27" i="6"/>
  <c r="AW26" i="60"/>
  <c r="AH8" i="50"/>
  <c r="Y9" i="6"/>
  <c r="AH10" i="59"/>
  <c r="AE15" i="6"/>
  <c r="AM9" i="42"/>
  <c r="AX24" i="61"/>
  <c r="AH9" i="49"/>
  <c r="AM9" i="53"/>
  <c r="AH9" i="53"/>
  <c r="AE19" i="61"/>
  <c r="AH8" i="40"/>
  <c r="AH10" i="46"/>
  <c r="Y6" i="61"/>
  <c r="AE35" i="61"/>
  <c r="AM10" i="52"/>
  <c r="V33" i="60"/>
  <c r="AH9" i="51"/>
  <c r="V21" i="60"/>
  <c r="AC26" i="6"/>
  <c r="AE11" i="6"/>
  <c r="AC22" i="6"/>
  <c r="AM11" i="44"/>
  <c r="AE25" i="61"/>
  <c r="W10" i="7"/>
  <c r="AE14" i="6"/>
  <c r="AE18" i="6"/>
  <c r="AE6" i="6"/>
  <c r="AE18" i="61"/>
  <c r="Y11" i="6"/>
  <c r="AB16" i="60"/>
  <c r="AH8" i="54"/>
  <c r="V37" i="60"/>
  <c r="AH11" i="44"/>
  <c r="AV16" i="61"/>
  <c r="AM8" i="56"/>
  <c r="AE14" i="61"/>
  <c r="Y24" i="6"/>
  <c r="AV30" i="61"/>
  <c r="AH10" i="37"/>
  <c r="Y22" i="61"/>
  <c r="AH9" i="31"/>
  <c r="AH9" i="43"/>
  <c r="AH9" i="57"/>
  <c r="AA48" i="8"/>
  <c r="AM9" i="55"/>
  <c r="AE12" i="6"/>
  <c r="AB20" i="60"/>
  <c r="AE24" i="61"/>
  <c r="AM8" i="55"/>
  <c r="AH11" i="35"/>
  <c r="AH8" i="51"/>
  <c r="AB24" i="60"/>
  <c r="AE31" i="61"/>
  <c r="AE22" i="6"/>
  <c r="V34" i="60"/>
  <c r="AE23" i="61"/>
  <c r="AE26" i="6"/>
  <c r="AH9" i="32"/>
  <c r="Y6" i="6"/>
  <c r="AB10" i="7"/>
  <c r="AH8" i="57"/>
  <c r="AM10" i="56"/>
  <c r="AA10" i="7"/>
  <c r="AH8" i="48"/>
  <c r="AH10" i="40"/>
  <c r="AM10" i="7"/>
  <c r="AB14" i="60"/>
  <c r="AE31" i="6"/>
  <c r="AE28" i="6"/>
  <c r="AB25" i="60"/>
  <c r="AH8" i="39"/>
  <c r="Y30" i="61"/>
  <c r="AB23" i="60"/>
  <c r="Y12" i="61"/>
  <c r="AC18" i="61"/>
  <c r="AE20" i="61"/>
  <c r="AA50" i="8"/>
  <c r="V15" i="60"/>
  <c r="AB32" i="60"/>
  <c r="AA44" i="8"/>
  <c r="AB10" i="60"/>
  <c r="AB31" i="60"/>
  <c r="AE30" i="6"/>
  <c r="AE7" i="61"/>
  <c r="AB26" i="60"/>
  <c r="AE9" i="6"/>
  <c r="AE28" i="61"/>
  <c r="AE21" i="6"/>
  <c r="AE29" i="61"/>
  <c r="AW9" i="60"/>
  <c r="AB33" i="60"/>
  <c r="AE7" i="6"/>
  <c r="AE20" i="6"/>
  <c r="AA43" i="8"/>
  <c r="AE35" i="6"/>
  <c r="AE9" i="61"/>
  <c r="AE21" i="61"/>
  <c r="AE29" i="6"/>
  <c r="AZ6" i="61"/>
  <c r="AE10" i="61"/>
  <c r="AE10" i="6"/>
  <c r="AB36" i="60"/>
  <c r="AE33" i="6"/>
  <c r="AE33" i="61"/>
  <c r="AA49" i="8"/>
  <c r="AB37" i="60"/>
  <c r="AE34" i="6"/>
  <c r="AA39" i="8"/>
  <c r="AE24" i="6"/>
  <c r="AB27" i="60"/>
  <c r="AA47" i="8"/>
  <c r="AE32" i="6"/>
  <c r="AA46" i="8"/>
  <c r="AB34" i="60"/>
  <c r="AA40" i="8"/>
  <c r="AE25" i="6"/>
  <c r="AB28" i="60"/>
  <c r="AB21" i="60"/>
  <c r="AA45" i="8"/>
  <c r="AE30" i="61"/>
  <c r="AB30" i="60"/>
  <c r="AA42" i="8"/>
  <c r="AE27" i="6"/>
  <c r="AE27" i="61"/>
  <c r="AB18" i="60"/>
  <c r="AE15" i="61"/>
  <c r="D22" i="8"/>
  <c r="D21" i="8"/>
  <c r="E9" i="60"/>
  <c r="D9" i="60"/>
  <c r="D10" i="62"/>
  <c r="C53" i="9"/>
  <c r="E53" i="9"/>
  <c r="K10" i="7"/>
  <c r="D14" i="7"/>
  <c r="E14" i="7"/>
  <c r="S23" i="4"/>
  <c r="K9" i="7"/>
  <c r="D12" i="7"/>
  <c r="E12" i="7"/>
  <c r="K44" i="8"/>
  <c r="AE5" i="6"/>
  <c r="F13" i="62"/>
  <c r="F14" i="62"/>
  <c r="AE5" i="61"/>
  <c r="AA38" i="61"/>
  <c r="I9" i="60"/>
  <c r="F15" i="62"/>
  <c r="F16" i="62"/>
  <c r="F9" i="62"/>
  <c r="F9" i="5"/>
  <c r="F7" i="62"/>
  <c r="F10" i="62"/>
  <c r="F12" i="62"/>
  <c r="F11" i="62"/>
  <c r="F32" i="62"/>
  <c r="F35" i="62"/>
  <c r="F24" i="62"/>
  <c r="F23" i="62"/>
  <c r="F17" i="62"/>
  <c r="F21" i="62"/>
  <c r="F29" i="62"/>
  <c r="F19" i="62"/>
  <c r="F30" i="62"/>
  <c r="F31" i="62"/>
  <c r="F26" i="62"/>
  <c r="F34" i="62"/>
  <c r="F22" i="62"/>
  <c r="F20" i="62"/>
  <c r="F28" i="62"/>
  <c r="F36" i="62"/>
  <c r="F25" i="62"/>
  <c r="F33" i="62"/>
  <c r="F18" i="62"/>
  <c r="F27" i="62"/>
  <c r="O31" i="62"/>
  <c r="O18" i="62"/>
  <c r="O32" i="62"/>
  <c r="O23" i="62"/>
  <c r="O25" i="62"/>
  <c r="O27" i="62"/>
  <c r="O17" i="62"/>
  <c r="O24" i="62"/>
  <c r="O20" i="62"/>
  <c r="O19" i="62"/>
  <c r="O29" i="62"/>
  <c r="O35" i="62"/>
  <c r="O28" i="62"/>
  <c r="O33" i="62"/>
  <c r="O26" i="62"/>
  <c r="O22" i="62"/>
  <c r="O34" i="62"/>
  <c r="O36" i="62"/>
  <c r="O30" i="62"/>
  <c r="O21" i="62"/>
  <c r="H22" i="8"/>
  <c r="AC27" i="53"/>
  <c r="AC21" i="45"/>
  <c r="AC18" i="50"/>
  <c r="AC16" i="43"/>
  <c r="AC17" i="39"/>
  <c r="AC17" i="35"/>
  <c r="AC22" i="32"/>
  <c r="AC19" i="55"/>
  <c r="AC17" i="40"/>
  <c r="AC19" i="47"/>
  <c r="AC16" i="46"/>
  <c r="AC17" i="48"/>
  <c r="AC16" i="56"/>
  <c r="AC17" i="51"/>
  <c r="AC8" i="57"/>
  <c r="AC8" i="42"/>
  <c r="AC9" i="54"/>
  <c r="AB11" i="4"/>
  <c r="AC10" i="4"/>
  <c r="AC14" i="50"/>
  <c r="AC16" i="32"/>
  <c r="AC16" i="53"/>
  <c r="AC14" i="51"/>
  <c r="AC12" i="38"/>
  <c r="AC12" i="49"/>
  <c r="AC8" i="41"/>
  <c r="AC8" i="58"/>
  <c r="AC8" i="59"/>
  <c r="AC11" i="33"/>
  <c r="D8" i="62"/>
  <c r="AC11" i="31"/>
  <c r="AC8" i="31"/>
  <c r="M16" i="62"/>
  <c r="M12" i="62"/>
  <c r="M13" i="62"/>
  <c r="M14" i="62"/>
  <c r="M15" i="62"/>
  <c r="AC28" i="61"/>
  <c r="AC28" i="6"/>
  <c r="Z31" i="60"/>
  <c r="Y43" i="8"/>
  <c r="Z35" i="60"/>
  <c r="AC32" i="6"/>
  <c r="Y47" i="8"/>
  <c r="AC32" i="61"/>
  <c r="AC30" i="61"/>
  <c r="AC30" i="6"/>
  <c r="Z33" i="60"/>
  <c r="Y45" i="8"/>
  <c r="AC34" i="6"/>
  <c r="Z37" i="60"/>
  <c r="AC34" i="61"/>
  <c r="Y49" i="8"/>
  <c r="AA24" i="61"/>
  <c r="W39" i="8"/>
  <c r="X27" i="60"/>
  <c r="AA24" i="6"/>
  <c r="X31" i="60"/>
  <c r="AA28" i="61"/>
  <c r="W43" i="8"/>
  <c r="AA28" i="6"/>
  <c r="AZ8" i="61"/>
  <c r="AW11" i="60"/>
  <c r="AC21" i="6"/>
  <c r="Z24" i="60"/>
  <c r="AC21" i="61"/>
  <c r="Z34" i="60"/>
  <c r="AC31" i="6"/>
  <c r="AC31" i="61"/>
  <c r="Y46" i="8"/>
  <c r="Z20" i="60"/>
  <c r="AC17" i="61"/>
  <c r="AC17" i="6"/>
  <c r="Z22" i="60"/>
  <c r="AC19" i="6"/>
  <c r="AC19" i="61"/>
  <c r="Y7" i="6"/>
  <c r="V10" i="60"/>
  <c r="Y7" i="61"/>
  <c r="AC35" i="61"/>
  <c r="Z38" i="60"/>
  <c r="AC35" i="6"/>
  <c r="Y50" i="8"/>
  <c r="Z32" i="60"/>
  <c r="Y44" i="8"/>
  <c r="AC29" i="61"/>
  <c r="AC29" i="6"/>
  <c r="AC25" i="61"/>
  <c r="Y40" i="8"/>
  <c r="Z28" i="60"/>
  <c r="AC25" i="6"/>
  <c r="X19" i="60"/>
  <c r="AA16" i="6"/>
  <c r="AA16" i="61"/>
  <c r="AC23" i="6"/>
  <c r="AC23" i="61"/>
  <c r="Z26" i="60"/>
  <c r="BB39" i="8"/>
  <c r="BF24" i="61"/>
  <c r="AC33" i="6"/>
  <c r="AC33" i="61"/>
  <c r="Z36" i="60"/>
  <c r="Y48" i="8"/>
  <c r="AC27" i="6"/>
  <c r="Z30" i="60"/>
  <c r="AC27" i="61"/>
  <c r="Y42" i="8"/>
  <c r="X30" i="60"/>
  <c r="AA27" i="61"/>
  <c r="W42" i="8"/>
  <c r="AA27" i="6"/>
  <c r="AA30" i="6"/>
  <c r="W45" i="8"/>
  <c r="X33" i="60"/>
  <c r="AA30" i="61"/>
  <c r="AA19" i="6"/>
  <c r="X22" i="60"/>
  <c r="AA19" i="61"/>
  <c r="AA25" i="61"/>
  <c r="W40" i="8"/>
  <c r="X28" i="60"/>
  <c r="AA25" i="6"/>
  <c r="BB43" i="8"/>
  <c r="BF28" i="61"/>
  <c r="AA21" i="6"/>
  <c r="AA21" i="61"/>
  <c r="X24" i="60"/>
  <c r="AA34" i="6"/>
  <c r="X37" i="60"/>
  <c r="AA34" i="61"/>
  <c r="W49" i="8"/>
  <c r="BB45" i="8"/>
  <c r="BF30" i="61"/>
  <c r="AA29" i="61"/>
  <c r="X32" i="60"/>
  <c r="W44" i="8"/>
  <c r="AA29" i="6"/>
  <c r="AW10" i="60"/>
  <c r="AZ7" i="61"/>
  <c r="BF16" i="61"/>
  <c r="X34" i="60"/>
  <c r="AA31" i="61"/>
  <c r="W46" i="8"/>
  <c r="AA31" i="6"/>
  <c r="AA23" i="61"/>
  <c r="AA23" i="6"/>
  <c r="X26" i="60"/>
  <c r="AA32" i="6"/>
  <c r="W47" i="8"/>
  <c r="X35" i="60"/>
  <c r="AA32" i="61"/>
  <c r="BF32" i="61"/>
  <c r="BB47" i="8"/>
  <c r="AA20" i="61"/>
  <c r="AA20" i="6"/>
  <c r="X23" i="60"/>
  <c r="X20" i="60"/>
  <c r="AA17" i="6"/>
  <c r="AA17" i="61"/>
  <c r="AA33" i="6"/>
  <c r="AA33" i="61"/>
  <c r="W48" i="8"/>
  <c r="X36" i="60"/>
  <c r="BF26" i="61"/>
  <c r="BB41" i="8"/>
  <c r="X25" i="60"/>
  <c r="AA22" i="6"/>
  <c r="AA22" i="61"/>
  <c r="X21" i="60"/>
  <c r="AA18" i="61"/>
  <c r="AA18" i="6"/>
  <c r="AA35" i="6"/>
  <c r="W50" i="8"/>
  <c r="X38" i="60"/>
  <c r="AA35" i="61"/>
  <c r="AA26" i="6"/>
  <c r="X29" i="60"/>
  <c r="W41" i="8"/>
  <c r="AA26" i="61"/>
  <c r="AZ32" i="61"/>
  <c r="AW35" i="60"/>
  <c r="AV47" i="8"/>
  <c r="AW31" i="60"/>
  <c r="AZ28" i="61"/>
  <c r="AV43" i="8"/>
  <c r="AW38" i="60"/>
  <c r="AZ35" i="61"/>
  <c r="AV50" i="8"/>
  <c r="AV46" i="8"/>
  <c r="AZ31" i="61"/>
  <c r="AW34" i="60"/>
  <c r="AZ27" i="61"/>
  <c r="AW30" i="60"/>
  <c r="AV42" i="8"/>
  <c r="AZ34" i="61"/>
  <c r="AW37" i="60"/>
  <c r="AV49" i="8"/>
  <c r="AW33" i="60"/>
  <c r="AZ30" i="61"/>
  <c r="AV45" i="8"/>
  <c r="AW36" i="60"/>
  <c r="AZ33" i="61"/>
  <c r="AV48" i="8"/>
  <c r="AZ29" i="61"/>
  <c r="AW32" i="60"/>
  <c r="AV44" i="8"/>
  <c r="AZ26" i="61"/>
  <c r="AW29" i="60"/>
  <c r="AV41" i="8"/>
  <c r="S23" i="40"/>
  <c r="BP28" i="6"/>
  <c r="BO28" i="6"/>
  <c r="BP24" i="6"/>
  <c r="BO24" i="6"/>
  <c r="S23" i="44"/>
  <c r="Y5" i="61"/>
  <c r="X38" i="61"/>
  <c r="F9" i="60"/>
  <c r="Y5" i="6"/>
  <c r="F8" i="62"/>
  <c r="E21" i="8"/>
  <c r="BO27" i="6"/>
  <c r="BP27" i="6"/>
  <c r="BP16" i="6"/>
  <c r="BO16" i="6"/>
  <c r="S23" i="57"/>
  <c r="S23" i="43"/>
  <c r="BO25" i="6"/>
  <c r="BP25" i="6"/>
  <c r="BO19" i="6"/>
  <c r="BP19" i="6"/>
  <c r="BO30" i="6"/>
  <c r="BP30" i="6"/>
  <c r="BO29" i="6"/>
  <c r="BP29" i="6"/>
  <c r="BO34" i="6"/>
  <c r="BP34" i="6"/>
  <c r="BO21" i="6"/>
  <c r="BP21" i="6"/>
  <c r="BP32" i="6"/>
  <c r="BO32" i="6"/>
  <c r="BP23" i="6"/>
  <c r="BO23" i="6"/>
  <c r="BP31" i="6"/>
  <c r="BO31" i="6"/>
  <c r="S23" i="47"/>
  <c r="S23" i="45"/>
  <c r="S23" i="41"/>
  <c r="BO26" i="6"/>
  <c r="BP26" i="6"/>
  <c r="BP35" i="6"/>
  <c r="BO35" i="6"/>
  <c r="BP18" i="6"/>
  <c r="BO18" i="6"/>
  <c r="BO22" i="6"/>
  <c r="BP22" i="6"/>
  <c r="BO33" i="6"/>
  <c r="BP33" i="6"/>
  <c r="AA6" i="61"/>
  <c r="AA7" i="61"/>
  <c r="AA8" i="61"/>
  <c r="AA9" i="61"/>
  <c r="AA10" i="61"/>
  <c r="AA11" i="61"/>
  <c r="AA12" i="61"/>
  <c r="AA13" i="61"/>
  <c r="AA14" i="61"/>
  <c r="AA15" i="61"/>
  <c r="BQ13" i="61"/>
  <c r="BP13" i="61"/>
  <c r="BQ11" i="61"/>
  <c r="BP11" i="61"/>
  <c r="BQ14" i="61"/>
  <c r="BP14" i="61"/>
  <c r="BQ12" i="61"/>
  <c r="BP12" i="61"/>
  <c r="BO17" i="6"/>
  <c r="BP17" i="6"/>
  <c r="BO20" i="6"/>
  <c r="BP20" i="6"/>
  <c r="S23" i="46"/>
  <c r="S23" i="42"/>
  <c r="S23" i="49"/>
  <c r="K31" i="8"/>
  <c r="AK38" i="6"/>
  <c r="K16" i="60"/>
  <c r="K32" i="60"/>
  <c r="AZ5" i="61"/>
  <c r="AK38" i="61"/>
  <c r="D14" i="62"/>
  <c r="D12" i="62"/>
  <c r="S23" i="56"/>
  <c r="S23" i="59"/>
  <c r="S23" i="48"/>
  <c r="AC9" i="59"/>
  <c r="AC9" i="58"/>
  <c r="AC11" i="52"/>
  <c r="AC14" i="34"/>
  <c r="AC14" i="49"/>
  <c r="AC17" i="36"/>
  <c r="AB12" i="4"/>
  <c r="AC11" i="4"/>
  <c r="AC9" i="42"/>
  <c r="AC18" i="51"/>
  <c r="AC17" i="56"/>
  <c r="AC20" i="47"/>
  <c r="AC18" i="40"/>
  <c r="AC23" i="32"/>
  <c r="AC18" i="35"/>
  <c r="AC18" i="39"/>
  <c r="AC19" i="50"/>
  <c r="AC22" i="45"/>
  <c r="AC28" i="53"/>
  <c r="S23" i="50"/>
  <c r="S23" i="51"/>
  <c r="S23" i="52"/>
  <c r="S23" i="54"/>
  <c r="S23" i="55"/>
  <c r="S23" i="58"/>
  <c r="D15" i="62"/>
  <c r="D13" i="62"/>
  <c r="D16" i="62"/>
  <c r="AC10" i="44"/>
  <c r="AC12" i="31"/>
  <c r="AC12" i="33"/>
  <c r="AC9" i="41"/>
  <c r="AC14" i="37"/>
  <c r="AC16" i="38"/>
  <c r="AC10" i="54"/>
  <c r="AC9" i="57"/>
  <c r="AC18" i="48"/>
  <c r="AC17" i="46"/>
  <c r="AC20" i="55"/>
  <c r="AC17" i="43"/>
  <c r="S23" i="53"/>
  <c r="AA38" i="6"/>
  <c r="BB44" i="8"/>
  <c r="BF29" i="61"/>
  <c r="U9" i="7"/>
  <c r="Y9" i="7"/>
  <c r="BF34" i="61"/>
  <c r="BB49" i="8"/>
  <c r="AL9" i="7"/>
  <c r="X9" i="7"/>
  <c r="BF21" i="61"/>
  <c r="AB9" i="7"/>
  <c r="V9" i="7"/>
  <c r="Z9" i="7"/>
  <c r="BF23" i="61"/>
  <c r="BF18" i="61"/>
  <c r="W9" i="7"/>
  <c r="BF17" i="61"/>
  <c r="BB50" i="8"/>
  <c r="BF35" i="61"/>
  <c r="AA9" i="7"/>
  <c r="BF22" i="61"/>
  <c r="BF33" i="61"/>
  <c r="BB48" i="8"/>
  <c r="BF20" i="61"/>
  <c r="AD9" i="7"/>
  <c r="AK9" i="7"/>
  <c r="AN9" i="7"/>
  <c r="AE9" i="7"/>
  <c r="AJ9" i="7"/>
  <c r="AM9" i="7"/>
  <c r="AH11" i="4"/>
  <c r="AH9" i="7"/>
  <c r="AC9" i="7"/>
  <c r="AF9" i="7"/>
  <c r="AG9" i="7"/>
  <c r="AI9" i="7"/>
  <c r="X38" i="6"/>
  <c r="AC18" i="43"/>
  <c r="AC21" i="55"/>
  <c r="AC18" i="46"/>
  <c r="AC19" i="48"/>
  <c r="AC11" i="54"/>
  <c r="AC17" i="38"/>
  <c r="AC13" i="31"/>
  <c r="AC19" i="39"/>
  <c r="AC19" i="35"/>
  <c r="AC24" i="32"/>
  <c r="AC19" i="40"/>
  <c r="AC21" i="47"/>
  <c r="AC18" i="56"/>
  <c r="AC19" i="51"/>
  <c r="AC15" i="34"/>
  <c r="AC12" i="52"/>
  <c r="AC10" i="58"/>
  <c r="AC10" i="57"/>
  <c r="AC15" i="37"/>
  <c r="AC10" i="41"/>
  <c r="AC13" i="33"/>
  <c r="AC11" i="44"/>
  <c r="AC29" i="53"/>
  <c r="AC23" i="45"/>
  <c r="AC20" i="50"/>
  <c r="AC10" i="42"/>
  <c r="AB13" i="4"/>
  <c r="AC12" i="4"/>
  <c r="AC18" i="36"/>
  <c r="AC15" i="49"/>
  <c r="C23" i="9"/>
  <c r="AC10" i="59"/>
  <c r="BB42" i="8"/>
  <c r="BF27" i="61"/>
  <c r="BF19" i="61"/>
  <c r="BB40" i="8"/>
  <c r="BF25" i="61"/>
  <c r="BF31" i="61"/>
  <c r="BB46" i="8"/>
  <c r="AH12" i="40"/>
  <c r="AM12" i="52"/>
  <c r="AH12" i="56"/>
  <c r="AH12" i="42"/>
  <c r="AH11" i="31"/>
  <c r="AM11" i="46"/>
  <c r="AM11" i="58"/>
  <c r="AH11" i="48"/>
  <c r="AH12" i="4"/>
  <c r="AH12" i="31"/>
  <c r="AH12" i="50"/>
  <c r="AH12" i="48"/>
  <c r="AM12" i="48"/>
  <c r="AM12" i="58"/>
  <c r="AM12" i="57"/>
  <c r="AH11" i="50"/>
  <c r="AH11" i="54"/>
  <c r="AM11" i="54"/>
  <c r="AM11" i="56"/>
  <c r="AH11" i="52"/>
  <c r="AH12" i="39"/>
  <c r="AH12" i="54"/>
  <c r="AM12" i="54"/>
  <c r="AH12" i="52"/>
  <c r="AM12" i="56"/>
  <c r="AH11" i="40"/>
  <c r="AM11" i="57"/>
  <c r="AH11" i="57"/>
  <c r="AH11" i="46"/>
  <c r="AH11" i="58"/>
  <c r="AM11" i="48"/>
  <c r="AM12" i="50"/>
  <c r="AM12" i="46"/>
  <c r="AH12" i="46"/>
  <c r="AH12" i="58"/>
  <c r="AH12" i="57"/>
  <c r="AM11" i="50"/>
  <c r="AH11" i="39"/>
  <c r="AH11" i="56"/>
  <c r="AM11" i="52"/>
  <c r="AC11" i="59"/>
  <c r="D23" i="9"/>
  <c r="C24" i="9"/>
  <c r="AC19" i="36"/>
  <c r="AB14" i="4"/>
  <c r="AC13" i="4"/>
  <c r="AC11" i="42"/>
  <c r="AC12" i="44"/>
  <c r="AC14" i="33"/>
  <c r="AC11" i="58"/>
  <c r="AC20" i="51"/>
  <c r="AC19" i="56"/>
  <c r="AC20" i="40"/>
  <c r="AC20" i="35"/>
  <c r="AC20" i="39"/>
  <c r="AC12" i="54"/>
  <c r="AC19" i="43"/>
  <c r="AC16" i="49"/>
  <c r="AC21" i="50"/>
  <c r="AC24" i="45"/>
  <c r="AC30" i="53"/>
  <c r="AC11" i="41"/>
  <c r="AC16" i="37"/>
  <c r="AC11" i="57"/>
  <c r="AC13" i="52"/>
  <c r="AC16" i="34"/>
  <c r="AC22" i="47"/>
  <c r="AC25" i="32"/>
  <c r="AC14" i="31"/>
  <c r="AC18" i="38"/>
  <c r="AC20" i="48"/>
  <c r="AC19" i="46"/>
  <c r="AC22" i="55"/>
  <c r="AM12" i="59"/>
  <c r="AM13" i="47"/>
  <c r="AH13" i="41"/>
  <c r="AH13" i="56"/>
  <c r="AH13" i="44"/>
  <c r="AM13" i="45"/>
  <c r="AH13" i="36"/>
  <c r="AH13" i="55"/>
  <c r="AH13" i="52"/>
  <c r="AH12" i="32"/>
  <c r="AM12" i="47"/>
  <c r="AM12" i="49"/>
  <c r="AH12" i="44"/>
  <c r="AH12" i="41"/>
  <c r="AH12" i="45"/>
  <c r="AM13" i="43"/>
  <c r="AH13" i="32"/>
  <c r="AM13" i="51"/>
  <c r="AH13" i="53"/>
  <c r="AM13" i="53"/>
  <c r="AH13" i="37"/>
  <c r="AM13" i="54"/>
  <c r="AH13" i="50"/>
  <c r="AH12" i="59"/>
  <c r="AH13" i="4"/>
  <c r="AH13" i="47"/>
  <c r="AH13" i="49"/>
  <c r="AM13" i="49"/>
  <c r="AM13" i="41"/>
  <c r="AM13" i="56"/>
  <c r="AM13" i="44"/>
  <c r="AH13" i="45"/>
  <c r="AM13" i="55"/>
  <c r="AM13" i="52"/>
  <c r="AH13" i="35"/>
  <c r="AH12" i="43"/>
  <c r="AH12" i="47"/>
  <c r="AM12" i="55"/>
  <c r="AH12" i="55"/>
  <c r="AH12" i="49"/>
  <c r="AH12" i="36"/>
  <c r="AM12" i="44"/>
  <c r="AH12" i="35"/>
  <c r="AH12" i="37"/>
  <c r="AH12" i="51"/>
  <c r="AM12" i="51"/>
  <c r="AM12" i="45"/>
  <c r="AH12" i="53"/>
  <c r="AM12" i="53"/>
  <c r="AH13" i="39"/>
  <c r="AH13" i="42"/>
  <c r="AH13" i="43"/>
  <c r="AH13" i="51"/>
  <c r="AH13" i="54"/>
  <c r="AM13" i="50"/>
  <c r="AC20" i="46"/>
  <c r="AC21" i="48"/>
  <c r="AC19" i="38"/>
  <c r="AC14" i="52"/>
  <c r="AC12" i="57"/>
  <c r="AC17" i="49"/>
  <c r="AC23" i="55"/>
  <c r="AC15" i="31"/>
  <c r="AC26" i="32"/>
  <c r="AC23" i="47"/>
  <c r="AC17" i="34"/>
  <c r="AC17" i="37"/>
  <c r="AC12" i="41"/>
  <c r="AC31" i="53"/>
  <c r="AC25" i="45"/>
  <c r="AC22" i="50"/>
  <c r="AC13" i="54"/>
  <c r="AC21" i="51"/>
  <c r="AC12" i="42"/>
  <c r="AC20" i="43"/>
  <c r="AC21" i="39"/>
  <c r="AC21" i="35"/>
  <c r="AC21" i="40"/>
  <c r="AC20" i="56"/>
  <c r="AC12" i="58"/>
  <c r="AC15" i="33"/>
  <c r="AC13" i="44"/>
  <c r="AC14" i="4"/>
  <c r="AB15" i="4"/>
  <c r="AC20" i="36"/>
  <c r="C25" i="9"/>
  <c r="D24" i="9"/>
  <c r="AC12" i="59"/>
  <c r="AM13" i="46"/>
  <c r="AM14" i="57"/>
  <c r="AH14" i="48"/>
  <c r="AM14" i="44"/>
  <c r="AM14" i="54"/>
  <c r="AH14" i="54"/>
  <c r="AH14" i="46"/>
  <c r="AH14" i="55"/>
  <c r="AH14" i="43"/>
  <c r="AH14" i="4"/>
  <c r="AH14" i="40"/>
  <c r="AH14" i="56"/>
  <c r="AH14" i="52"/>
  <c r="AM14" i="52"/>
  <c r="AH14" i="32"/>
  <c r="AM14" i="58"/>
  <c r="AM14" i="50"/>
  <c r="AH14" i="50"/>
  <c r="AM14" i="49"/>
  <c r="AH14" i="47"/>
  <c r="AH14" i="35"/>
  <c r="AH14" i="37"/>
  <c r="AM13" i="48"/>
  <c r="AH13" i="48"/>
  <c r="AH13" i="46"/>
  <c r="AH13" i="58"/>
  <c r="AM13" i="58"/>
  <c r="AH13" i="31"/>
  <c r="AH13" i="40"/>
  <c r="AH14" i="57"/>
  <c r="AM14" i="48"/>
  <c r="AH14" i="44"/>
  <c r="AH14" i="39"/>
  <c r="AH14" i="42"/>
  <c r="AM14" i="46"/>
  <c r="AM14" i="55"/>
  <c r="AM14" i="43"/>
  <c r="AH14" i="31"/>
  <c r="AM14" i="56"/>
  <c r="AH14" i="36"/>
  <c r="AH14" i="58"/>
  <c r="AH14" i="49"/>
  <c r="AM14" i="47"/>
  <c r="AH14" i="41"/>
  <c r="AM14" i="41"/>
  <c r="AM14" i="37"/>
  <c r="AM13" i="57"/>
  <c r="AH13" i="57"/>
  <c r="AM13" i="59"/>
  <c r="AH13" i="59"/>
  <c r="AC13" i="59"/>
  <c r="AC14" i="44"/>
  <c r="AC16" i="33"/>
  <c r="AC21" i="56"/>
  <c r="AC21" i="43"/>
  <c r="AC13" i="42"/>
  <c r="AC22" i="51"/>
  <c r="AC14" i="54"/>
  <c r="AC23" i="50"/>
  <c r="AC32" i="53"/>
  <c r="AC18" i="37"/>
  <c r="AC18" i="34"/>
  <c r="AC24" i="47"/>
  <c r="AC27" i="32"/>
  <c r="AC16" i="31"/>
  <c r="AC24" i="55"/>
  <c r="AC18" i="49"/>
  <c r="AC13" i="57"/>
  <c r="AC15" i="52"/>
  <c r="AC20" i="38"/>
  <c r="D25" i="9"/>
  <c r="C26" i="9"/>
  <c r="AC21" i="36"/>
  <c r="AB16" i="4"/>
  <c r="AC15" i="4"/>
  <c r="AC13" i="58"/>
  <c r="AC22" i="40"/>
  <c r="AC22" i="35"/>
  <c r="AC22" i="39"/>
  <c r="AC26" i="45"/>
  <c r="AC13" i="41"/>
  <c r="AC22" i="48"/>
  <c r="AC21" i="46"/>
  <c r="AH15" i="57"/>
  <c r="AH15" i="51"/>
  <c r="AM15" i="51"/>
  <c r="AM15" i="48"/>
  <c r="AH15" i="42"/>
  <c r="AH14" i="51"/>
  <c r="AM14" i="51"/>
  <c r="AH14" i="53"/>
  <c r="AH14" i="45"/>
  <c r="AM14" i="45"/>
  <c r="AH14" i="59"/>
  <c r="AH15" i="4"/>
  <c r="AM15" i="53"/>
  <c r="AH15" i="53"/>
  <c r="AM15" i="57"/>
  <c r="AH15" i="48"/>
  <c r="AM14" i="53"/>
  <c r="AM14" i="59"/>
  <c r="AM15" i="45"/>
  <c r="AH15" i="45"/>
  <c r="AC14" i="41"/>
  <c r="AC22" i="46"/>
  <c r="AC27" i="45"/>
  <c r="AC23" i="35"/>
  <c r="AC23" i="40"/>
  <c r="AC16" i="4"/>
  <c r="AB17" i="4"/>
  <c r="AC22" i="36"/>
  <c r="C27" i="9"/>
  <c r="AC16" i="52"/>
  <c r="AC14" i="57"/>
  <c r="AC19" i="37"/>
  <c r="AC14" i="42"/>
  <c r="AC22" i="43"/>
  <c r="AC23" i="48"/>
  <c r="AC23" i="39"/>
  <c r="AC14" i="58"/>
  <c r="D26" i="9"/>
  <c r="AC21" i="38"/>
  <c r="AC19" i="49"/>
  <c r="AC25" i="55"/>
  <c r="AC17" i="31"/>
  <c r="AC28" i="32"/>
  <c r="AC25" i="47"/>
  <c r="AC19" i="34"/>
  <c r="AC33" i="53"/>
  <c r="AC24" i="50"/>
  <c r="AC15" i="54"/>
  <c r="AC23" i="51"/>
  <c r="AC22" i="56"/>
  <c r="AC17" i="33"/>
  <c r="AC15" i="44"/>
  <c r="AC14" i="59"/>
  <c r="AH15" i="41"/>
  <c r="AH15" i="55"/>
  <c r="AH15" i="39"/>
  <c r="AH15" i="35"/>
  <c r="AH15" i="37"/>
  <c r="AH16" i="58"/>
  <c r="AM16" i="53"/>
  <c r="AH16" i="51"/>
  <c r="AH16" i="41"/>
  <c r="AH16" i="40"/>
  <c r="AM16" i="50"/>
  <c r="AH16" i="50"/>
  <c r="AM16" i="52"/>
  <c r="AM16" i="48"/>
  <c r="AH16" i="48"/>
  <c r="AH16" i="44"/>
  <c r="AM16" i="55"/>
  <c r="AH15" i="46"/>
  <c r="AH15" i="40"/>
  <c r="AH15" i="49"/>
  <c r="AM16" i="56"/>
  <c r="AH16" i="35"/>
  <c r="AM16" i="54"/>
  <c r="AH16" i="45"/>
  <c r="AH16" i="47"/>
  <c r="AH16" i="37"/>
  <c r="AH16" i="46"/>
  <c r="AH16" i="49"/>
  <c r="AM16" i="49"/>
  <c r="AH16" i="43"/>
  <c r="AM16" i="43"/>
  <c r="AH15" i="50"/>
  <c r="AH15" i="58"/>
  <c r="AH15" i="54"/>
  <c r="AM15" i="43"/>
  <c r="AM15" i="41"/>
  <c r="AM15" i="47"/>
  <c r="AH15" i="47"/>
  <c r="AM15" i="55"/>
  <c r="AH15" i="52"/>
  <c r="AM15" i="52"/>
  <c r="AH15" i="32"/>
  <c r="AH16" i="4"/>
  <c r="AM16" i="58"/>
  <c r="AH16" i="53"/>
  <c r="AM16" i="51"/>
  <c r="AM16" i="41"/>
  <c r="AH16" i="52"/>
  <c r="AM16" i="44"/>
  <c r="AH16" i="55"/>
  <c r="AH16" i="39"/>
  <c r="AH16" i="32"/>
  <c r="AM15" i="44"/>
  <c r="AH15" i="44"/>
  <c r="AM15" i="46"/>
  <c r="AM15" i="49"/>
  <c r="AM15" i="59"/>
  <c r="AH15" i="59"/>
  <c r="AH16" i="56"/>
  <c r="AH16" i="54"/>
  <c r="AM16" i="45"/>
  <c r="AM16" i="47"/>
  <c r="AH16" i="31"/>
  <c r="AM16" i="46"/>
  <c r="AH16" i="42"/>
  <c r="AH16" i="57"/>
  <c r="AM16" i="57"/>
  <c r="AH16" i="36"/>
  <c r="AM15" i="50"/>
  <c r="AM15" i="58"/>
  <c r="AM15" i="54"/>
  <c r="AH15" i="31"/>
  <c r="AH15" i="36"/>
  <c r="AH15" i="43"/>
  <c r="AH15" i="56"/>
  <c r="AM15" i="56"/>
  <c r="AC15" i="59"/>
  <c r="AC18" i="33"/>
  <c r="AC24" i="51"/>
  <c r="AC16" i="54"/>
  <c r="AC20" i="34"/>
  <c r="AC18" i="31"/>
  <c r="AC26" i="55"/>
  <c r="AC20" i="49"/>
  <c r="AC22" i="38"/>
  <c r="AC24" i="48"/>
  <c r="AC20" i="37"/>
  <c r="AC15" i="57"/>
  <c r="AC17" i="4"/>
  <c r="AB18" i="4"/>
  <c r="AC24" i="40"/>
  <c r="AC24" i="35"/>
  <c r="AC28" i="45"/>
  <c r="AC23" i="46"/>
  <c r="AC15" i="41"/>
  <c r="AC16" i="44"/>
  <c r="AC23" i="56"/>
  <c r="AC25" i="50"/>
  <c r="AC34" i="53"/>
  <c r="AC26" i="47"/>
  <c r="AC29" i="32"/>
  <c r="AC15" i="58"/>
  <c r="AC24" i="39"/>
  <c r="AC23" i="43"/>
  <c r="AC15" i="42"/>
  <c r="AC17" i="52"/>
  <c r="D27" i="9"/>
  <c r="C28" i="9"/>
  <c r="AC23" i="36"/>
  <c r="AH17" i="57"/>
  <c r="AM17" i="49"/>
  <c r="AH17" i="4"/>
  <c r="AH17" i="31"/>
  <c r="AV6" i="61"/>
  <c r="AS9" i="60"/>
  <c r="AM16" i="59"/>
  <c r="AM17" i="56"/>
  <c r="AM17" i="57"/>
  <c r="AH17" i="36"/>
  <c r="AH17" i="49"/>
  <c r="AH17" i="40"/>
  <c r="AH17" i="43"/>
  <c r="AM17" i="43"/>
  <c r="AH17" i="42"/>
  <c r="AH16" i="59"/>
  <c r="AH17" i="54"/>
  <c r="AM17" i="54"/>
  <c r="AH17" i="58"/>
  <c r="AM17" i="58"/>
  <c r="AH17" i="56"/>
  <c r="AH17" i="50"/>
  <c r="AM17" i="50"/>
  <c r="AH17" i="46"/>
  <c r="AM17" i="46"/>
  <c r="K40" i="8"/>
  <c r="AC24" i="36"/>
  <c r="AC24" i="43"/>
  <c r="AC16" i="58"/>
  <c r="AC30" i="32"/>
  <c r="AC35" i="53"/>
  <c r="AC17" i="44"/>
  <c r="AC16" i="41"/>
  <c r="C29" i="9"/>
  <c r="AC21" i="37"/>
  <c r="AC27" i="55"/>
  <c r="AC21" i="34"/>
  <c r="D28" i="9"/>
  <c r="AC18" i="52"/>
  <c r="AC16" i="42"/>
  <c r="AC25" i="39"/>
  <c r="AC27" i="47"/>
  <c r="AC26" i="50"/>
  <c r="AC24" i="56"/>
  <c r="AC24" i="46"/>
  <c r="AC29" i="45"/>
  <c r="AC25" i="35"/>
  <c r="AC25" i="40"/>
  <c r="AB19" i="4"/>
  <c r="AC18" i="4"/>
  <c r="AC16" i="57"/>
  <c r="AC25" i="48"/>
  <c r="AC23" i="38"/>
  <c r="AC21" i="49"/>
  <c r="AC19" i="31"/>
  <c r="AC17" i="54"/>
  <c r="AC25" i="51"/>
  <c r="AC19" i="33"/>
  <c r="AC16" i="59"/>
  <c r="AV15" i="61"/>
  <c r="AS18" i="60"/>
  <c r="AM17" i="44"/>
  <c r="AH17" i="44"/>
  <c r="AH17" i="32"/>
  <c r="AH18" i="50"/>
  <c r="AM18" i="55"/>
  <c r="AH18" i="45"/>
  <c r="AM18" i="51"/>
  <c r="AS14" i="60"/>
  <c r="AV11" i="61"/>
  <c r="AS12" i="60"/>
  <c r="AV9" i="61"/>
  <c r="AV10" i="61"/>
  <c r="AS13" i="60"/>
  <c r="AS17" i="60"/>
  <c r="AV14" i="61"/>
  <c r="AH17" i="35"/>
  <c r="AH17" i="59"/>
  <c r="AM17" i="59"/>
  <c r="AH17" i="45"/>
  <c r="AM17" i="53"/>
  <c r="AH17" i="55"/>
  <c r="AH18" i="54"/>
  <c r="AM18" i="53"/>
  <c r="AH18" i="41"/>
  <c r="AM18" i="48"/>
  <c r="AH18" i="44"/>
  <c r="AM18" i="47"/>
  <c r="AH18" i="39"/>
  <c r="AM17" i="48"/>
  <c r="AH17" i="47"/>
  <c r="AV8" i="61"/>
  <c r="AS11" i="60"/>
  <c r="AV12" i="61"/>
  <c r="AS15" i="60"/>
  <c r="AM18" i="44"/>
  <c r="AH18" i="47"/>
  <c r="AH17" i="51"/>
  <c r="AM17" i="51"/>
  <c r="AM17" i="52"/>
  <c r="AV13" i="61"/>
  <c r="AS16" i="60"/>
  <c r="AH17" i="41"/>
  <c r="AH17" i="37"/>
  <c r="AH18" i="4"/>
  <c r="AM18" i="50"/>
  <c r="AH18" i="55"/>
  <c r="AM18" i="52"/>
  <c r="AH18" i="52"/>
  <c r="AM18" i="45"/>
  <c r="AH18" i="51"/>
  <c r="AV7" i="61"/>
  <c r="AS10" i="60"/>
  <c r="AH17" i="39"/>
  <c r="AM17" i="45"/>
  <c r="AH17" i="53"/>
  <c r="AM17" i="55"/>
  <c r="AM18" i="54"/>
  <c r="AH18" i="57"/>
  <c r="AM18" i="57"/>
  <c r="AH18" i="53"/>
  <c r="AH18" i="35"/>
  <c r="AH18" i="32"/>
  <c r="AM18" i="56"/>
  <c r="AH18" i="56"/>
  <c r="AH18" i="42"/>
  <c r="AH18" i="48"/>
  <c r="AH18" i="37"/>
  <c r="AH17" i="48"/>
  <c r="AH17" i="52"/>
  <c r="AM17" i="47"/>
  <c r="K12" i="60"/>
  <c r="K28" i="60"/>
  <c r="AV5" i="61"/>
  <c r="AI38" i="61"/>
  <c r="K25" i="8"/>
  <c r="AC26" i="40"/>
  <c r="AC25" i="46"/>
  <c r="AC25" i="56"/>
  <c r="AC27" i="50"/>
  <c r="AC28" i="47"/>
  <c r="AC22" i="34"/>
  <c r="AC28" i="55"/>
  <c r="C30" i="9"/>
  <c r="AC17" i="41"/>
  <c r="AC18" i="44"/>
  <c r="AC36" i="53"/>
  <c r="AC25" i="36"/>
  <c r="AC26" i="51"/>
  <c r="AC18" i="54"/>
  <c r="AC17" i="57"/>
  <c r="AC17" i="59"/>
  <c r="AC20" i="33"/>
  <c r="AC20" i="31"/>
  <c r="AC22" i="49"/>
  <c r="AC24" i="38"/>
  <c r="AC26" i="48"/>
  <c r="AC19" i="4"/>
  <c r="AB20" i="4"/>
  <c r="AC26" i="35"/>
  <c r="AC30" i="45"/>
  <c r="AC26" i="39"/>
  <c r="AC17" i="42"/>
  <c r="AC19" i="52"/>
  <c r="AC22" i="37"/>
  <c r="D29" i="9"/>
  <c r="AC31" i="32"/>
  <c r="AC17" i="58"/>
  <c r="AC25" i="43"/>
  <c r="AH19" i="40"/>
  <c r="AH19" i="57"/>
  <c r="AH19" i="39"/>
  <c r="AM19" i="54"/>
  <c r="AH19" i="49"/>
  <c r="AM19" i="47"/>
  <c r="AH19" i="43"/>
  <c r="AM18" i="49"/>
  <c r="AH18" i="40"/>
  <c r="AH18" i="43"/>
  <c r="AH18" i="46"/>
  <c r="AM18" i="58"/>
  <c r="AH18" i="59"/>
  <c r="AH19" i="48"/>
  <c r="AM19" i="50"/>
  <c r="AH19" i="56"/>
  <c r="AM19" i="51"/>
  <c r="AH19" i="58"/>
  <c r="AH19" i="36"/>
  <c r="AM19" i="52"/>
  <c r="AH19" i="52"/>
  <c r="AM19" i="57"/>
  <c r="AH19" i="54"/>
  <c r="AM19" i="49"/>
  <c r="AH19" i="4"/>
  <c r="AH19" i="47"/>
  <c r="AH18" i="36"/>
  <c r="AH18" i="31"/>
  <c r="AH18" i="49"/>
  <c r="AM18" i="43"/>
  <c r="AM18" i="46"/>
  <c r="AH18" i="58"/>
  <c r="AM18" i="59"/>
  <c r="AM19" i="48"/>
  <c r="AM19" i="46"/>
  <c r="AH19" i="46"/>
  <c r="AH19" i="50"/>
  <c r="AM19" i="56"/>
  <c r="AH19" i="51"/>
  <c r="AH19" i="31"/>
  <c r="AM19" i="58"/>
  <c r="AH19" i="42"/>
  <c r="AC18" i="58"/>
  <c r="AC32" i="32"/>
  <c r="AC23" i="37"/>
  <c r="AC20" i="52"/>
  <c r="AC18" i="42"/>
  <c r="AC27" i="48"/>
  <c r="AC25" i="38"/>
  <c r="AC21" i="31"/>
  <c r="AC18" i="59"/>
  <c r="AC19" i="54"/>
  <c r="AC27" i="51"/>
  <c r="AC26" i="36"/>
  <c r="AC29" i="55"/>
  <c r="AC23" i="34"/>
  <c r="AC26" i="56"/>
  <c r="AC27" i="40"/>
  <c r="AI38" i="6"/>
  <c r="AC26" i="43"/>
  <c r="C31" i="9"/>
  <c r="AC27" i="39"/>
  <c r="AC31" i="45"/>
  <c r="AC27" i="35"/>
  <c r="AC20" i="4"/>
  <c r="AB21" i="4"/>
  <c r="AC23" i="49"/>
  <c r="AC21" i="33"/>
  <c r="AC18" i="57"/>
  <c r="AC37" i="53"/>
  <c r="AC19" i="44"/>
  <c r="AC18" i="41"/>
  <c r="D30" i="9"/>
  <c r="AC29" i="47"/>
  <c r="AC28" i="50"/>
  <c r="AC26" i="46"/>
  <c r="AH19" i="41"/>
  <c r="AM20" i="58"/>
  <c r="AH20" i="58"/>
  <c r="AM20" i="57"/>
  <c r="AH20" i="36"/>
  <c r="AH20" i="35"/>
  <c r="AH20" i="31"/>
  <c r="AM20" i="48"/>
  <c r="AM20" i="53"/>
  <c r="AH20" i="45"/>
  <c r="AM20" i="45"/>
  <c r="AH20" i="47"/>
  <c r="AH20" i="56"/>
  <c r="AM20" i="54"/>
  <c r="AM20" i="44"/>
  <c r="AH20" i="44"/>
  <c r="AM20" i="55"/>
  <c r="AH20" i="41"/>
  <c r="AM20" i="41"/>
  <c r="AH20" i="40"/>
  <c r="AH20" i="4"/>
  <c r="AM20" i="52"/>
  <c r="AH20" i="49"/>
  <c r="AH20" i="51"/>
  <c r="AM19" i="53"/>
  <c r="AM19" i="55"/>
  <c r="AH19" i="45"/>
  <c r="AH19" i="32"/>
  <c r="AH19" i="35"/>
  <c r="AM19" i="41"/>
  <c r="AM20" i="46"/>
  <c r="AH20" i="46"/>
  <c r="AH20" i="50"/>
  <c r="AM20" i="50"/>
  <c r="AH20" i="57"/>
  <c r="AH20" i="43"/>
  <c r="AM20" i="43"/>
  <c r="AH20" i="48"/>
  <c r="AH20" i="53"/>
  <c r="AM20" i="47"/>
  <c r="AM20" i="56"/>
  <c r="AH20" i="54"/>
  <c r="AH20" i="42"/>
  <c r="AH20" i="55"/>
  <c r="AH20" i="39"/>
  <c r="AH20" i="37"/>
  <c r="AH20" i="32"/>
  <c r="AH20" i="52"/>
  <c r="AM20" i="49"/>
  <c r="AM20" i="51"/>
  <c r="AH19" i="53"/>
  <c r="AH19" i="55"/>
  <c r="AH19" i="37"/>
  <c r="AM19" i="45"/>
  <c r="AM19" i="59"/>
  <c r="AH19" i="59"/>
  <c r="AM19" i="44"/>
  <c r="AH19" i="44"/>
  <c r="AC29" i="50"/>
  <c r="AC30" i="47"/>
  <c r="AC19" i="57"/>
  <c r="AC24" i="49"/>
  <c r="AB22" i="4"/>
  <c r="AC21" i="4"/>
  <c r="AC28" i="35"/>
  <c r="D31" i="9"/>
  <c r="C32" i="9"/>
  <c r="AC27" i="43"/>
  <c r="AC30" i="55"/>
  <c r="AC20" i="54"/>
  <c r="AC19" i="59"/>
  <c r="AC22" i="31"/>
  <c r="AC26" i="38"/>
  <c r="AC21" i="52"/>
  <c r="AC24" i="37"/>
  <c r="AC33" i="32"/>
  <c r="AC19" i="58"/>
  <c r="AC27" i="46"/>
  <c r="AC19" i="41"/>
  <c r="AC20" i="44"/>
  <c r="AC22" i="33"/>
  <c r="AC32" i="45"/>
  <c r="AC28" i="39"/>
  <c r="AC28" i="40"/>
  <c r="AC27" i="56"/>
  <c r="AC24" i="34"/>
  <c r="AC27" i="36"/>
  <c r="AC28" i="51"/>
  <c r="AC28" i="48"/>
  <c r="AC19" i="42"/>
  <c r="AH20" i="59"/>
  <c r="AM21" i="57"/>
  <c r="AH21" i="55"/>
  <c r="AH21" i="52"/>
  <c r="AH21" i="49"/>
  <c r="AH21" i="42"/>
  <c r="AM21" i="56"/>
  <c r="AM21" i="51"/>
  <c r="AM21" i="44"/>
  <c r="AH21" i="41"/>
  <c r="AM21" i="43"/>
  <c r="AH21" i="36"/>
  <c r="AH21" i="58"/>
  <c r="AM21" i="58"/>
  <c r="AM21" i="54"/>
  <c r="AM21" i="50"/>
  <c r="AH21" i="46"/>
  <c r="AM21" i="53"/>
  <c r="AM21" i="45"/>
  <c r="AH21" i="32"/>
  <c r="AH21" i="31"/>
  <c r="AM20" i="59"/>
  <c r="AH21" i="57"/>
  <c r="AM21" i="55"/>
  <c r="AM21" i="52"/>
  <c r="AM21" i="48"/>
  <c r="AH21" i="48"/>
  <c r="AH21" i="39"/>
  <c r="AM21" i="49"/>
  <c r="AH21" i="56"/>
  <c r="AH21" i="51"/>
  <c r="AH21" i="44"/>
  <c r="AM21" i="41"/>
  <c r="AH21" i="43"/>
  <c r="AH21" i="54"/>
  <c r="AH21" i="50"/>
  <c r="AM21" i="46"/>
  <c r="AH21" i="53"/>
  <c r="AH21" i="45"/>
  <c r="AH21" i="35"/>
  <c r="AH21" i="4"/>
  <c r="AH21" i="37"/>
  <c r="AM21" i="47"/>
  <c r="AH21" i="47"/>
  <c r="AH21" i="40"/>
  <c r="AC29" i="48"/>
  <c r="AC29" i="51"/>
  <c r="AC28" i="56"/>
  <c r="AC29" i="40"/>
  <c r="C33" i="9"/>
  <c r="AC33" i="45"/>
  <c r="AC23" i="33"/>
  <c r="AC21" i="44"/>
  <c r="AC20" i="41"/>
  <c r="AC28" i="46"/>
  <c r="AC20" i="58"/>
  <c r="AC34" i="32"/>
  <c r="AC25" i="37"/>
  <c r="AC23" i="31"/>
  <c r="AC20" i="59"/>
  <c r="AC21" i="54"/>
  <c r="AC31" i="55"/>
  <c r="D32" i="9"/>
  <c r="AB23" i="4"/>
  <c r="AC22" i="4"/>
  <c r="AC20" i="57"/>
  <c r="AC31" i="47"/>
  <c r="AC30" i="50"/>
  <c r="AC20" i="42"/>
  <c r="AC28" i="36"/>
  <c r="AC25" i="34"/>
  <c r="AC29" i="39"/>
  <c r="AC22" i="52"/>
  <c r="AC27" i="38"/>
  <c r="AC28" i="43"/>
  <c r="AC29" i="35"/>
  <c r="AC25" i="49"/>
  <c r="AH22" i="54"/>
  <c r="AM22" i="57"/>
  <c r="AM22" i="45"/>
  <c r="AM22" i="42"/>
  <c r="AH22" i="52"/>
  <c r="AH22" i="46"/>
  <c r="AH22" i="49"/>
  <c r="AM22" i="44"/>
  <c r="AH22" i="55"/>
  <c r="AH22" i="31"/>
  <c r="AH22" i="50"/>
  <c r="AH22" i="51"/>
  <c r="AH22" i="35"/>
  <c r="AM22" i="56"/>
  <c r="AM22" i="58"/>
  <c r="AH22" i="48"/>
  <c r="AM22" i="53"/>
  <c r="AM22" i="47"/>
  <c r="AM22" i="41"/>
  <c r="AH22" i="40"/>
  <c r="AM22" i="54"/>
  <c r="AH22" i="57"/>
  <c r="AH22" i="45"/>
  <c r="AH22" i="43"/>
  <c r="AM22" i="43"/>
  <c r="AH22" i="36"/>
  <c r="AH22" i="42"/>
  <c r="AM22" i="52"/>
  <c r="AM22" i="46"/>
  <c r="AM22" i="49"/>
  <c r="AH22" i="44"/>
  <c r="AH22" i="39"/>
  <c r="AM21" i="59"/>
  <c r="AH21" i="59"/>
  <c r="AH22" i="4"/>
  <c r="AM22" i="55"/>
  <c r="AM22" i="50"/>
  <c r="AM22" i="51"/>
  <c r="AH22" i="32"/>
  <c r="AH22" i="56"/>
  <c r="AH22" i="58"/>
  <c r="AM22" i="48"/>
  <c r="AH22" i="53"/>
  <c r="AH22" i="47"/>
  <c r="AH22" i="41"/>
  <c r="AH22" i="37"/>
  <c r="AC26" i="49"/>
  <c r="AC28" i="38"/>
  <c r="AC26" i="34"/>
  <c r="AC31" i="50"/>
  <c r="AC21" i="57"/>
  <c r="AC23" i="4"/>
  <c r="AB24" i="4"/>
  <c r="AC32" i="55"/>
  <c r="AC22" i="54"/>
  <c r="AC21" i="59"/>
  <c r="AC35" i="32"/>
  <c r="AC29" i="46"/>
  <c r="AC24" i="33"/>
  <c r="C34" i="9"/>
  <c r="AC30" i="40"/>
  <c r="AC29" i="56"/>
  <c r="AC30" i="48"/>
  <c r="AC30" i="35"/>
  <c r="AC29" i="43"/>
  <c r="AC23" i="52"/>
  <c r="AC30" i="39"/>
  <c r="AC29" i="36"/>
  <c r="AC21" i="42"/>
  <c r="AC32" i="47"/>
  <c r="AC24" i="31"/>
  <c r="AC26" i="37"/>
  <c r="AC21" i="58"/>
  <c r="AC21" i="41"/>
  <c r="AC22" i="44"/>
  <c r="AC34" i="45"/>
  <c r="D33" i="9"/>
  <c r="AC30" i="51"/>
  <c r="AM23" i="44"/>
  <c r="AM23" i="42"/>
  <c r="AH23" i="54"/>
  <c r="AH23" i="58"/>
  <c r="AM23" i="47"/>
  <c r="AH23" i="57"/>
  <c r="AM23" i="57"/>
  <c r="AH23" i="46"/>
  <c r="AM23" i="49"/>
  <c r="AM23" i="43"/>
  <c r="AM23" i="41"/>
  <c r="AM22" i="59"/>
  <c r="AM23" i="52"/>
  <c r="AH23" i="52"/>
  <c r="AH23" i="51"/>
  <c r="AM23" i="51"/>
  <c r="AH23" i="48"/>
  <c r="AH23" i="40"/>
  <c r="AH23" i="55"/>
  <c r="AH23" i="53"/>
  <c r="AM23" i="45"/>
  <c r="AH23" i="31"/>
  <c r="AH23" i="32"/>
  <c r="AH23" i="36"/>
  <c r="AH23" i="44"/>
  <c r="AM23" i="56"/>
  <c r="AH23" i="56"/>
  <c r="AH23" i="42"/>
  <c r="AM23" i="54"/>
  <c r="AM23" i="58"/>
  <c r="AH23" i="47"/>
  <c r="AM23" i="46"/>
  <c r="AH23" i="49"/>
  <c r="AH23" i="43"/>
  <c r="AH23" i="41"/>
  <c r="AH23" i="35"/>
  <c r="AH22" i="59"/>
  <c r="AH23" i="50"/>
  <c r="AM23" i="50"/>
  <c r="AM23" i="48"/>
  <c r="AH23" i="39"/>
  <c r="AH23" i="4"/>
  <c r="AM23" i="55"/>
  <c r="AM23" i="53"/>
  <c r="AH23" i="45"/>
  <c r="AH23" i="37"/>
  <c r="AC31" i="51"/>
  <c r="AC22" i="41"/>
  <c r="AC22" i="58"/>
  <c r="AC27" i="37"/>
  <c r="AC25" i="31"/>
  <c r="AC22" i="42"/>
  <c r="AC30" i="43"/>
  <c r="AC31" i="35"/>
  <c r="AC31" i="48"/>
  <c r="AC31" i="40"/>
  <c r="D34" i="9"/>
  <c r="C35" i="9"/>
  <c r="AC25" i="33"/>
  <c r="AC30" i="46"/>
  <c r="AC36" i="32"/>
  <c r="AC22" i="59"/>
  <c r="AC33" i="55"/>
  <c r="AB25" i="4"/>
  <c r="AC24" i="4"/>
  <c r="AC32" i="50"/>
  <c r="AC29" i="38"/>
  <c r="AC35" i="45"/>
  <c r="AC23" i="44"/>
  <c r="AC33" i="47"/>
  <c r="AC30" i="36"/>
  <c r="AC31" i="39"/>
  <c r="AC24" i="52"/>
  <c r="AC30" i="56"/>
  <c r="AC23" i="54"/>
  <c r="AC22" i="57"/>
  <c r="AC27" i="34"/>
  <c r="AC27" i="49"/>
  <c r="AM23" i="59"/>
  <c r="AM24" i="56"/>
  <c r="AH24" i="46"/>
  <c r="AM24" i="51"/>
  <c r="AM24" i="43"/>
  <c r="AH24" i="43"/>
  <c r="AM24" i="44"/>
  <c r="AH24" i="42"/>
  <c r="AM24" i="42"/>
  <c r="AH24" i="54"/>
  <c r="AM24" i="54"/>
  <c r="AH24" i="49"/>
  <c r="AH24" i="36"/>
  <c r="AH24" i="4"/>
  <c r="AH24" i="50"/>
  <c r="AM24" i="55"/>
  <c r="AH24" i="47"/>
  <c r="AM24" i="41"/>
  <c r="AH24" i="52"/>
  <c r="AM24" i="48"/>
  <c r="AH24" i="58"/>
  <c r="AM24" i="58"/>
  <c r="AH24" i="57"/>
  <c r="AH24" i="53"/>
  <c r="AH24" i="31"/>
  <c r="AH23" i="59"/>
  <c r="AH24" i="56"/>
  <c r="AM24" i="46"/>
  <c r="AH24" i="51"/>
  <c r="AH24" i="44"/>
  <c r="AH24" i="40"/>
  <c r="AM24" i="49"/>
  <c r="AH24" i="32"/>
  <c r="AH24" i="39"/>
  <c r="AM24" i="50"/>
  <c r="AH24" i="55"/>
  <c r="AM24" i="47"/>
  <c r="AH24" i="41"/>
  <c r="AM24" i="52"/>
  <c r="AH24" i="48"/>
  <c r="AM24" i="57"/>
  <c r="AM24" i="53"/>
  <c r="AM24" i="45"/>
  <c r="AH24" i="45"/>
  <c r="AH24" i="35"/>
  <c r="AH24" i="37"/>
  <c r="AC28" i="49"/>
  <c r="AC32" i="39"/>
  <c r="AC31" i="36"/>
  <c r="AC36" i="45"/>
  <c r="AC37" i="32"/>
  <c r="AC26" i="33"/>
  <c r="C36" i="9"/>
  <c r="AC32" i="40"/>
  <c r="AC32" i="48"/>
  <c r="AC32" i="35"/>
  <c r="AC31" i="43"/>
  <c r="AC23" i="58"/>
  <c r="AC23" i="41"/>
  <c r="AC32" i="51"/>
  <c r="AC28" i="34"/>
  <c r="AC23" i="57"/>
  <c r="AC24" i="54"/>
  <c r="AC31" i="56"/>
  <c r="AC25" i="52"/>
  <c r="AC34" i="47"/>
  <c r="AC24" i="44"/>
  <c r="AC30" i="38"/>
  <c r="AC33" i="50"/>
  <c r="AC25" i="4"/>
  <c r="AB26" i="4"/>
  <c r="AC34" i="55"/>
  <c r="AC23" i="59"/>
  <c r="AC31" i="46"/>
  <c r="D35" i="9"/>
  <c r="AC23" i="42"/>
  <c r="AC26" i="31"/>
  <c r="AC28" i="37"/>
  <c r="AH25" i="32"/>
  <c r="AH25" i="57"/>
  <c r="AM25" i="58"/>
  <c r="AM25" i="50"/>
  <c r="AM25" i="46"/>
  <c r="AH25" i="46"/>
  <c r="AH25" i="51"/>
  <c r="AM25" i="45"/>
  <c r="AH25" i="40"/>
  <c r="AH25" i="55"/>
  <c r="AM25" i="43"/>
  <c r="AM25" i="54"/>
  <c r="AM25" i="52"/>
  <c r="AM25" i="44"/>
  <c r="AH25" i="44"/>
  <c r="AH25" i="47"/>
  <c r="AM25" i="47"/>
  <c r="AM25" i="49"/>
  <c r="AH25" i="31"/>
  <c r="AM25" i="57"/>
  <c r="AH25" i="58"/>
  <c r="AM25" i="56"/>
  <c r="AH25" i="56"/>
  <c r="AH25" i="50"/>
  <c r="AM25" i="51"/>
  <c r="AH25" i="53"/>
  <c r="AM25" i="53"/>
  <c r="AH25" i="45"/>
  <c r="AH25" i="39"/>
  <c r="AH25" i="36"/>
  <c r="AH25" i="37"/>
  <c r="AM25" i="55"/>
  <c r="AH25" i="43"/>
  <c r="AH25" i="54"/>
  <c r="AH25" i="4"/>
  <c r="AH25" i="52"/>
  <c r="AM25" i="48"/>
  <c r="AH25" i="48"/>
  <c r="AH25" i="49"/>
  <c r="AH25" i="42"/>
  <c r="AH25" i="41"/>
  <c r="AM25" i="41"/>
  <c r="AM24" i="59"/>
  <c r="AH25" i="35"/>
  <c r="AH24" i="59"/>
  <c r="AC29" i="37"/>
  <c r="AC24" i="42"/>
  <c r="AC27" i="31"/>
  <c r="AC32" i="46"/>
  <c r="AB27" i="4"/>
  <c r="AC26" i="4"/>
  <c r="AC31" i="38"/>
  <c r="AC26" i="52"/>
  <c r="AC25" i="54"/>
  <c r="AC24" i="57"/>
  <c r="AC24" i="41"/>
  <c r="AC24" i="58"/>
  <c r="AC33" i="35"/>
  <c r="D36" i="9"/>
  <c r="AC37" i="45"/>
  <c r="AC29" i="49"/>
  <c r="C37" i="9"/>
  <c r="AC24" i="59"/>
  <c r="AC35" i="55"/>
  <c r="AC34" i="50"/>
  <c r="AC25" i="44"/>
  <c r="AC35" i="47"/>
  <c r="AC32" i="56"/>
  <c r="AC29" i="34"/>
  <c r="AC33" i="51"/>
  <c r="AC32" i="43"/>
  <c r="AC33" i="48"/>
  <c r="AC33" i="40"/>
  <c r="AC27" i="33"/>
  <c r="AC32" i="36"/>
  <c r="AC33" i="39"/>
  <c r="AH26" i="40"/>
  <c r="AH26" i="54"/>
  <c r="AH26" i="58"/>
  <c r="AH26" i="4"/>
  <c r="AM26" i="52"/>
  <c r="AH26" i="48"/>
  <c r="AM26" i="44"/>
  <c r="AM26" i="55"/>
  <c r="AH26" i="41"/>
  <c r="AH26" i="39"/>
  <c r="AH25" i="59"/>
  <c r="AM26" i="45"/>
  <c r="AM26" i="54"/>
  <c r="AM26" i="58"/>
  <c r="AH26" i="32"/>
  <c r="AH26" i="52"/>
  <c r="AM26" i="48"/>
  <c r="AH26" i="44"/>
  <c r="AM26" i="49"/>
  <c r="AH26" i="49"/>
  <c r="AH26" i="55"/>
  <c r="AM26" i="47"/>
  <c r="AH26" i="47"/>
  <c r="AM26" i="41"/>
  <c r="AH26" i="36"/>
  <c r="AM25" i="59"/>
  <c r="AH26" i="42"/>
  <c r="AH26" i="31"/>
  <c r="AM26" i="57"/>
  <c r="AM26" i="50"/>
  <c r="AH26" i="46"/>
  <c r="AH26" i="53"/>
  <c r="AM26" i="51"/>
  <c r="AH26" i="43"/>
  <c r="AH26" i="35"/>
  <c r="AH26" i="37"/>
  <c r="AM26" i="56"/>
  <c r="AH26" i="56"/>
  <c r="AH26" i="57"/>
  <c r="AH26" i="50"/>
  <c r="AM26" i="46"/>
  <c r="AM26" i="53"/>
  <c r="AH26" i="45"/>
  <c r="AH26" i="51"/>
  <c r="AC34" i="40"/>
  <c r="AC33" i="43"/>
  <c r="D37" i="9"/>
  <c r="AC30" i="49"/>
  <c r="AC34" i="39"/>
  <c r="AC33" i="36"/>
  <c r="AC28" i="33"/>
  <c r="AC34" i="51"/>
  <c r="AC30" i="34"/>
  <c r="AC33" i="56"/>
  <c r="AC26" i="44"/>
  <c r="AC35" i="50"/>
  <c r="AC36" i="55"/>
  <c r="AC34" i="35"/>
  <c r="AC25" i="41"/>
  <c r="AC27" i="52"/>
  <c r="AC32" i="38"/>
  <c r="AB28" i="4"/>
  <c r="AC27" i="4"/>
  <c r="AC33" i="46"/>
  <c r="C38" i="9"/>
  <c r="AC28" i="31"/>
  <c r="AC30" i="37"/>
  <c r="AC34" i="48"/>
  <c r="AC36" i="47"/>
  <c r="AC25" i="59"/>
  <c r="AC25" i="58"/>
  <c r="AC25" i="57"/>
  <c r="AC26" i="54"/>
  <c r="AC25" i="42"/>
  <c r="AM27" i="57"/>
  <c r="AM27" i="52"/>
  <c r="AH27" i="44"/>
  <c r="AM27" i="44"/>
  <c r="AM27" i="51"/>
  <c r="AH27" i="43"/>
  <c r="AH27" i="40"/>
  <c r="AH27" i="41"/>
  <c r="AH27" i="35"/>
  <c r="AM27" i="46"/>
  <c r="AH27" i="48"/>
  <c r="AM27" i="54"/>
  <c r="AM27" i="47"/>
  <c r="AH27" i="42"/>
  <c r="AM27" i="53"/>
  <c r="AM27" i="45"/>
  <c r="AH27" i="36"/>
  <c r="AH26" i="59"/>
  <c r="AM26" i="59"/>
  <c r="AM27" i="58"/>
  <c r="AH27" i="58"/>
  <c r="AH27" i="57"/>
  <c r="AH27" i="32"/>
  <c r="AH27" i="52"/>
  <c r="AM27" i="55"/>
  <c r="AH27" i="55"/>
  <c r="AH27" i="51"/>
  <c r="AM27" i="43"/>
  <c r="AH27" i="49"/>
  <c r="AM27" i="49"/>
  <c r="AM27" i="41"/>
  <c r="AH27" i="46"/>
  <c r="AH27" i="50"/>
  <c r="AM27" i="50"/>
  <c r="AH27" i="31"/>
  <c r="AM27" i="48"/>
  <c r="AH27" i="56"/>
  <c r="AM27" i="56"/>
  <c r="AH27" i="54"/>
  <c r="AH27" i="47"/>
  <c r="AH27" i="53"/>
  <c r="AH27" i="45"/>
  <c r="AH27" i="39"/>
  <c r="AH27" i="37"/>
  <c r="AC26" i="42"/>
  <c r="AC27" i="54"/>
  <c r="AC26" i="57"/>
  <c r="AC26" i="59"/>
  <c r="AC37" i="47"/>
  <c r="AC35" i="48"/>
  <c r="AC31" i="37"/>
  <c r="C39" i="9"/>
  <c r="AC34" i="46"/>
  <c r="AB29" i="4"/>
  <c r="AC28" i="4"/>
  <c r="AC33" i="38"/>
  <c r="AC26" i="41"/>
  <c r="AC27" i="44"/>
  <c r="AC34" i="56"/>
  <c r="AC31" i="34"/>
  <c r="AC35" i="51"/>
  <c r="AC31" i="49"/>
  <c r="AC34" i="43"/>
  <c r="AC35" i="40"/>
  <c r="AC26" i="58"/>
  <c r="AC29" i="31"/>
  <c r="D38" i="9"/>
  <c r="AC28" i="52"/>
  <c r="AC35" i="35"/>
  <c r="AC37" i="55"/>
  <c r="AC36" i="50"/>
  <c r="AC29" i="33"/>
  <c r="AC34" i="36"/>
  <c r="AC35" i="39"/>
  <c r="AM28" i="50"/>
  <c r="AM28" i="49"/>
  <c r="AH28" i="55"/>
  <c r="AM28" i="47"/>
  <c r="AM28" i="56"/>
  <c r="AM28" i="48"/>
  <c r="AH28" i="48"/>
  <c r="AM28" i="44"/>
  <c r="AM28" i="46"/>
  <c r="AM28" i="53"/>
  <c r="AH28" i="53"/>
  <c r="AH28" i="51"/>
  <c r="AM28" i="51"/>
  <c r="AM28" i="43"/>
  <c r="AM28" i="54"/>
  <c r="AH28" i="54"/>
  <c r="AH28" i="52"/>
  <c r="AM28" i="57"/>
  <c r="AH28" i="57"/>
  <c r="AH28" i="41"/>
  <c r="AM28" i="41"/>
  <c r="AH28" i="32"/>
  <c r="AH28" i="36"/>
  <c r="AH28" i="50"/>
  <c r="AH28" i="40"/>
  <c r="AH28" i="49"/>
  <c r="AM28" i="55"/>
  <c r="AH28" i="47"/>
  <c r="AH28" i="56"/>
  <c r="AH28" i="44"/>
  <c r="AM28" i="58"/>
  <c r="AH28" i="58"/>
  <c r="AH28" i="42"/>
  <c r="AH28" i="31"/>
  <c r="AH28" i="35"/>
  <c r="AH28" i="37"/>
  <c r="AH28" i="46"/>
  <c r="AM28" i="45"/>
  <c r="AH28" i="45"/>
  <c r="AH28" i="43"/>
  <c r="AM28" i="52"/>
  <c r="AM27" i="59"/>
  <c r="AH28" i="39"/>
  <c r="AH27" i="59"/>
  <c r="AC35" i="36"/>
  <c r="AC36" i="35"/>
  <c r="AC29" i="52"/>
  <c r="AC30" i="31"/>
  <c r="AC35" i="43"/>
  <c r="AC32" i="49"/>
  <c r="AC36" i="51"/>
  <c r="AC28" i="44"/>
  <c r="AC29" i="4"/>
  <c r="AB30" i="4"/>
  <c r="D39" i="9"/>
  <c r="AC32" i="37"/>
  <c r="AC36" i="48"/>
  <c r="AC27" i="57"/>
  <c r="AC36" i="39"/>
  <c r="AC30" i="33"/>
  <c r="AC37" i="50"/>
  <c r="C40" i="9"/>
  <c r="AC27" i="58"/>
  <c r="AC36" i="40"/>
  <c r="AC32" i="34"/>
  <c r="AC35" i="56"/>
  <c r="AC27" i="41"/>
  <c r="AC34" i="38"/>
  <c r="AC35" i="46"/>
  <c r="AC27" i="59"/>
  <c r="AC28" i="54"/>
  <c r="AC27" i="42"/>
  <c r="AH29" i="43"/>
  <c r="AM29" i="58"/>
  <c r="AM29" i="49"/>
  <c r="AH29" i="42"/>
  <c r="AM29" i="41"/>
  <c r="AM29" i="55"/>
  <c r="AH29" i="52"/>
  <c r="AM29" i="48"/>
  <c r="AM29" i="44"/>
  <c r="AH29" i="47"/>
  <c r="AH29" i="39"/>
  <c r="AM28" i="59"/>
  <c r="AM29" i="57"/>
  <c r="AM29" i="53"/>
  <c r="AH29" i="32"/>
  <c r="AH29" i="31"/>
  <c r="AM29" i="54"/>
  <c r="AH29" i="50"/>
  <c r="AM29" i="46"/>
  <c r="AM29" i="38"/>
  <c r="AM29" i="43"/>
  <c r="AH29" i="58"/>
  <c r="AH29" i="49"/>
  <c r="AH29" i="41"/>
  <c r="AH29" i="55"/>
  <c r="AM29" i="52"/>
  <c r="AH29" i="48"/>
  <c r="AH29" i="44"/>
  <c r="AM29" i="47"/>
  <c r="AH29" i="36"/>
  <c r="AH29" i="37"/>
  <c r="AH28" i="59"/>
  <c r="AH29" i="57"/>
  <c r="AH29" i="53"/>
  <c r="AH29" i="45"/>
  <c r="AM29" i="45"/>
  <c r="AH29" i="40"/>
  <c r="AM29" i="56"/>
  <c r="AH29" i="56"/>
  <c r="AH29" i="54"/>
  <c r="AM29" i="50"/>
  <c r="AH29" i="46"/>
  <c r="AM29" i="51"/>
  <c r="AH29" i="51"/>
  <c r="AH29" i="38"/>
  <c r="AH29" i="35"/>
  <c r="AC28" i="42"/>
  <c r="AC36" i="46"/>
  <c r="AC28" i="41"/>
  <c r="AC31" i="33"/>
  <c r="AC37" i="39"/>
  <c r="AC37" i="48"/>
  <c r="AC33" i="37"/>
  <c r="AB31" i="4"/>
  <c r="AC30" i="4"/>
  <c r="AC37" i="51"/>
  <c r="AC33" i="49"/>
  <c r="AC36" i="43"/>
  <c r="AC37" i="35"/>
  <c r="AC36" i="36"/>
  <c r="AC29" i="54"/>
  <c r="AC28" i="59"/>
  <c r="AC35" i="38"/>
  <c r="AC36" i="56"/>
  <c r="AC33" i="34"/>
  <c r="AC37" i="40"/>
  <c r="AC28" i="58"/>
  <c r="C41" i="9"/>
  <c r="D40" i="9"/>
  <c r="AC28" i="57"/>
  <c r="AC29" i="44"/>
  <c r="AC31" i="31"/>
  <c r="AC30" i="52"/>
  <c r="AM30" i="43"/>
  <c r="AH30" i="57"/>
  <c r="AM30" i="55"/>
  <c r="AM30" i="52"/>
  <c r="AH30" i="58"/>
  <c r="AH30" i="47"/>
  <c r="AM30" i="50"/>
  <c r="AH30" i="50"/>
  <c r="AH30" i="53"/>
  <c r="AH30" i="51"/>
  <c r="AM30" i="51"/>
  <c r="AH30" i="49"/>
  <c r="AM30" i="49"/>
  <c r="AH30" i="41"/>
  <c r="AM30" i="41"/>
  <c r="AM30" i="44"/>
  <c r="AH30" i="48"/>
  <c r="AM30" i="48"/>
  <c r="AH30" i="32"/>
  <c r="AM30" i="46"/>
  <c r="AH30" i="46"/>
  <c r="AH30" i="37"/>
  <c r="AM29" i="59"/>
  <c r="AH30" i="31"/>
  <c r="AH30" i="56"/>
  <c r="AH30" i="44"/>
  <c r="AH30" i="54"/>
  <c r="AH30" i="35"/>
  <c r="AH30" i="43"/>
  <c r="AM30" i="57"/>
  <c r="AH30" i="55"/>
  <c r="AM30" i="45"/>
  <c r="AH30" i="45"/>
  <c r="AH30" i="52"/>
  <c r="AM30" i="58"/>
  <c r="AH30" i="40"/>
  <c r="AM30" i="47"/>
  <c r="AH30" i="42"/>
  <c r="AM30" i="53"/>
  <c r="AH30" i="36"/>
  <c r="AH30" i="39"/>
  <c r="AM30" i="56"/>
  <c r="AM30" i="54"/>
  <c r="AH30" i="38"/>
  <c r="AH29" i="59"/>
  <c r="AC29" i="58"/>
  <c r="AC34" i="34"/>
  <c r="AC36" i="38"/>
  <c r="AC29" i="41"/>
  <c r="AC31" i="52"/>
  <c r="AC32" i="31"/>
  <c r="AC37" i="56"/>
  <c r="AC37" i="36"/>
  <c r="AC37" i="43"/>
  <c r="AC31" i="4"/>
  <c r="AB32" i="4"/>
  <c r="C42" i="9"/>
  <c r="AC30" i="44"/>
  <c r="AC29" i="57"/>
  <c r="D41" i="9"/>
  <c r="AC29" i="59"/>
  <c r="AC30" i="54"/>
  <c r="AC34" i="49"/>
  <c r="AC34" i="37"/>
  <c r="AC32" i="33"/>
  <c r="AC37" i="46"/>
  <c r="AC29" i="42"/>
  <c r="AH31" i="32"/>
  <c r="AM31" i="41"/>
  <c r="AM31" i="55"/>
  <c r="AM31" i="51"/>
  <c r="AM31" i="47"/>
  <c r="AM31" i="50"/>
  <c r="AH31" i="38"/>
  <c r="AH31" i="44"/>
  <c r="AH30" i="59"/>
  <c r="AM31" i="58"/>
  <c r="AH31" i="57"/>
  <c r="AM31" i="56"/>
  <c r="AM31" i="52"/>
  <c r="AH31" i="40"/>
  <c r="AM31" i="53"/>
  <c r="AM31" i="49"/>
  <c r="AH31" i="49"/>
  <c r="AH31" i="45"/>
  <c r="AM31" i="54"/>
  <c r="AH31" i="39"/>
  <c r="AH31" i="37"/>
  <c r="AH31" i="43"/>
  <c r="AH31" i="48"/>
  <c r="AH31" i="54"/>
  <c r="AH31" i="41"/>
  <c r="AH31" i="55"/>
  <c r="AH31" i="31"/>
  <c r="AH31" i="51"/>
  <c r="AH31" i="47"/>
  <c r="AH31" i="50"/>
  <c r="AH31" i="46"/>
  <c r="AM31" i="46"/>
  <c r="AH31" i="35"/>
  <c r="AM31" i="44"/>
  <c r="AM30" i="59"/>
  <c r="AH31" i="58"/>
  <c r="AM31" i="57"/>
  <c r="AH31" i="42"/>
  <c r="AH31" i="56"/>
  <c r="AH31" i="52"/>
  <c r="AM31" i="43"/>
  <c r="AH31" i="53"/>
  <c r="AM31" i="45"/>
  <c r="AM31" i="48"/>
  <c r="AH31" i="36"/>
  <c r="AC35" i="37"/>
  <c r="AC35" i="49"/>
  <c r="AC31" i="54"/>
  <c r="AC30" i="59"/>
  <c r="AC32" i="52"/>
  <c r="AC35" i="34"/>
  <c r="AC30" i="42"/>
  <c r="AC33" i="33"/>
  <c r="AC30" i="57"/>
  <c r="AC31" i="44"/>
  <c r="D42" i="9"/>
  <c r="AB33" i="4"/>
  <c r="AC32" i="4"/>
  <c r="AC33" i="31"/>
  <c r="AC30" i="41"/>
  <c r="C43" i="9"/>
  <c r="AC37" i="38"/>
  <c r="AC30" i="58"/>
  <c r="AM32" i="58"/>
  <c r="AH32" i="40"/>
  <c r="AM32" i="46"/>
  <c r="AM32" i="53"/>
  <c r="AH32" i="43"/>
  <c r="AM32" i="43"/>
  <c r="AH32" i="52"/>
  <c r="AH31" i="59"/>
  <c r="AM32" i="57"/>
  <c r="AM32" i="49"/>
  <c r="AM32" i="56"/>
  <c r="AM32" i="44"/>
  <c r="AH32" i="35"/>
  <c r="AH32" i="42"/>
  <c r="AH32" i="58"/>
  <c r="AH32" i="46"/>
  <c r="AH32" i="53"/>
  <c r="AH32" i="45"/>
  <c r="AM32" i="45"/>
  <c r="AH32" i="51"/>
  <c r="AM32" i="51"/>
  <c r="AM32" i="52"/>
  <c r="AH32" i="32"/>
  <c r="AH32" i="36"/>
  <c r="AH32" i="39"/>
  <c r="AM31" i="59"/>
  <c r="AH32" i="50"/>
  <c r="AM32" i="50"/>
  <c r="AM32" i="48"/>
  <c r="AH32" i="49"/>
  <c r="AH32" i="55"/>
  <c r="AH32" i="31"/>
  <c r="AH32" i="56"/>
  <c r="AH32" i="44"/>
  <c r="AH32" i="38"/>
  <c r="AH32" i="37"/>
  <c r="AH32" i="48"/>
  <c r="AH32" i="54"/>
  <c r="AM32" i="54"/>
  <c r="AH32" i="57"/>
  <c r="AM32" i="41"/>
  <c r="AH32" i="41"/>
  <c r="AM32" i="55"/>
  <c r="AH32" i="47"/>
  <c r="AM32" i="47"/>
  <c r="AC31" i="58"/>
  <c r="D43" i="9"/>
  <c r="AC31" i="41"/>
  <c r="AC34" i="31"/>
  <c r="AC32" i="44"/>
  <c r="AC31" i="57"/>
  <c r="AC31" i="42"/>
  <c r="AC33" i="52"/>
  <c r="AC31" i="59"/>
  <c r="AC32" i="54"/>
  <c r="AC36" i="49"/>
  <c r="AB34" i="4"/>
  <c r="AC33" i="4"/>
  <c r="AC34" i="33"/>
  <c r="AC36" i="34"/>
  <c r="C44" i="9"/>
  <c r="AC36" i="37"/>
  <c r="AH32" i="59"/>
  <c r="AM33" i="43"/>
  <c r="AH33" i="56"/>
  <c r="AM33" i="50"/>
  <c r="AH33" i="50"/>
  <c r="AM33" i="55"/>
  <c r="AH33" i="41"/>
  <c r="AM33" i="41"/>
  <c r="AH33" i="47"/>
  <c r="AH33" i="58"/>
  <c r="AH33" i="38"/>
  <c r="AH33" i="32"/>
  <c r="AM33" i="32"/>
  <c r="AM33" i="46"/>
  <c r="AM33" i="51"/>
  <c r="AH33" i="45"/>
  <c r="AH33" i="53"/>
  <c r="AM33" i="57"/>
  <c r="AH33" i="57"/>
  <c r="AM33" i="48"/>
  <c r="AH33" i="39"/>
  <c r="AM32" i="59"/>
  <c r="AH33" i="43"/>
  <c r="AM33" i="56"/>
  <c r="AH33" i="42"/>
  <c r="AH33" i="55"/>
  <c r="AM33" i="49"/>
  <c r="AH33" i="49"/>
  <c r="AM33" i="47"/>
  <c r="AM33" i="58"/>
  <c r="AH33" i="31"/>
  <c r="AH33" i="44"/>
  <c r="AM33" i="44"/>
  <c r="AH33" i="35"/>
  <c r="AM33" i="52"/>
  <c r="AH33" i="52"/>
  <c r="AH33" i="46"/>
  <c r="AH33" i="51"/>
  <c r="AM33" i="45"/>
  <c r="AM33" i="53"/>
  <c r="AH33" i="54"/>
  <c r="AM33" i="54"/>
  <c r="AH33" i="48"/>
  <c r="AH33" i="40"/>
  <c r="AH33" i="36"/>
  <c r="AH33" i="37"/>
  <c r="AC37" i="37"/>
  <c r="D44" i="9"/>
  <c r="AC37" i="34"/>
  <c r="AC37" i="49"/>
  <c r="AC32" i="59"/>
  <c r="AC32" i="42"/>
  <c r="AC33" i="44"/>
  <c r="AC32" i="58"/>
  <c r="AC35" i="33"/>
  <c r="AC34" i="4"/>
  <c r="AB35" i="4"/>
  <c r="AC33" i="54"/>
  <c r="AC34" i="52"/>
  <c r="C45" i="9"/>
  <c r="AC32" i="57"/>
  <c r="AC35" i="31"/>
  <c r="AC32" i="41"/>
  <c r="AH33" i="59"/>
  <c r="AH34" i="55"/>
  <c r="AM34" i="55"/>
  <c r="AM34" i="44"/>
  <c r="AM34" i="43"/>
  <c r="AH34" i="53"/>
  <c r="AM34" i="50"/>
  <c r="AH34" i="42"/>
  <c r="AH34" i="49"/>
  <c r="AM34" i="49"/>
  <c r="AM34" i="41"/>
  <c r="AM34" i="54"/>
  <c r="AH34" i="52"/>
  <c r="AH34" i="35"/>
  <c r="AH34" i="38"/>
  <c r="AH34" i="37"/>
  <c r="AM34" i="48"/>
  <c r="AH34" i="48"/>
  <c r="AH34" i="40"/>
  <c r="AM34" i="47"/>
  <c r="AH34" i="47"/>
  <c r="AH34" i="57"/>
  <c r="AM34" i="46"/>
  <c r="AH34" i="46"/>
  <c r="AH34" i="58"/>
  <c r="AM34" i="56"/>
  <c r="AM34" i="39"/>
  <c r="AM33" i="59"/>
  <c r="AH34" i="31"/>
  <c r="AH34" i="44"/>
  <c r="AH34" i="43"/>
  <c r="AM34" i="53"/>
  <c r="AH34" i="50"/>
  <c r="AH34" i="41"/>
  <c r="AH34" i="54"/>
  <c r="AM34" i="52"/>
  <c r="AM34" i="51"/>
  <c r="AH34" i="51"/>
  <c r="AM34" i="57"/>
  <c r="AH34" i="32"/>
  <c r="AM34" i="45"/>
  <c r="AH34" i="45"/>
  <c r="AM34" i="58"/>
  <c r="AH34" i="56"/>
  <c r="AH34" i="36"/>
  <c r="AH34" i="39"/>
  <c r="AC33" i="41"/>
  <c r="AC33" i="57"/>
  <c r="D45" i="9"/>
  <c r="AC34" i="44"/>
  <c r="AC33" i="59"/>
  <c r="AC36" i="31"/>
  <c r="C46" i="9"/>
  <c r="AC35" i="52"/>
  <c r="AC34" i="54"/>
  <c r="AC35" i="4"/>
  <c r="AB36" i="4"/>
  <c r="AC36" i="33"/>
  <c r="AC33" i="58"/>
  <c r="AC33" i="42"/>
  <c r="AH35" i="57"/>
  <c r="AM35" i="48"/>
  <c r="AM35" i="53"/>
  <c r="AH35" i="41"/>
  <c r="AM35" i="55"/>
  <c r="AH35" i="55"/>
  <c r="AH35" i="31"/>
  <c r="AH35" i="43"/>
  <c r="AM35" i="54"/>
  <c r="AM35" i="46"/>
  <c r="AM35" i="56"/>
  <c r="AH35" i="35"/>
  <c r="AM34" i="59"/>
  <c r="AH35" i="32"/>
  <c r="AM35" i="44"/>
  <c r="AH35" i="49"/>
  <c r="AH35" i="51"/>
  <c r="AM35" i="47"/>
  <c r="AM35" i="58"/>
  <c r="AH35" i="58"/>
  <c r="AM35" i="50"/>
  <c r="AM35" i="57"/>
  <c r="AM35" i="45"/>
  <c r="AH35" i="45"/>
  <c r="AH35" i="48"/>
  <c r="AH35" i="40"/>
  <c r="AH35" i="53"/>
  <c r="AM35" i="41"/>
  <c r="AM35" i="43"/>
  <c r="AH35" i="54"/>
  <c r="AH35" i="46"/>
  <c r="AH35" i="56"/>
  <c r="AH35" i="38"/>
  <c r="AH34" i="59"/>
  <c r="AH35" i="44"/>
  <c r="AM35" i="49"/>
  <c r="AM35" i="51"/>
  <c r="AH35" i="47"/>
  <c r="AH35" i="50"/>
  <c r="AH35" i="52"/>
  <c r="AH35" i="39"/>
  <c r="AH35" i="36"/>
  <c r="AH35" i="42"/>
  <c r="AM35" i="52"/>
  <c r="AH35" i="37"/>
  <c r="AC36" i="52"/>
  <c r="AC34" i="42"/>
  <c r="AC34" i="58"/>
  <c r="AC37" i="33"/>
  <c r="AC36" i="4"/>
  <c r="AB37" i="4"/>
  <c r="AC37" i="31"/>
  <c r="AC34" i="59"/>
  <c r="AC35" i="44"/>
  <c r="AC34" i="57"/>
  <c r="AC34" i="41"/>
  <c r="AC35" i="54"/>
  <c r="D46" i="9"/>
  <c r="AM36" i="52"/>
  <c r="AH36" i="42"/>
  <c r="AM36" i="48"/>
  <c r="AM36" i="54"/>
  <c r="AM36" i="47"/>
  <c r="AH36" i="53"/>
  <c r="AM36" i="56"/>
  <c r="AH36" i="41"/>
  <c r="AM36" i="39"/>
  <c r="AU13" i="60"/>
  <c r="AX10" i="61"/>
  <c r="AH35" i="59"/>
  <c r="AH36" i="46"/>
  <c r="AM36" i="51"/>
  <c r="AH36" i="51"/>
  <c r="AM36" i="44"/>
  <c r="AM36" i="58"/>
  <c r="AH36" i="58"/>
  <c r="AM36" i="57"/>
  <c r="AM36" i="49"/>
  <c r="AH36" i="35"/>
  <c r="AX7" i="61"/>
  <c r="AU10" i="60"/>
  <c r="AH36" i="52"/>
  <c r="AM36" i="42"/>
  <c r="AM36" i="55"/>
  <c r="AH36" i="55"/>
  <c r="AH36" i="48"/>
  <c r="AH36" i="40"/>
  <c r="AH36" i="54"/>
  <c r="AH36" i="47"/>
  <c r="AH36" i="31"/>
  <c r="AM36" i="53"/>
  <c r="AH36" i="56"/>
  <c r="AM36" i="41"/>
  <c r="AH36" i="36"/>
  <c r="AH36" i="39"/>
  <c r="AX6" i="61"/>
  <c r="AU9" i="60"/>
  <c r="AX12" i="61"/>
  <c r="AU15" i="60"/>
  <c r="AM35" i="59"/>
  <c r="AM36" i="45"/>
  <c r="AH36" i="45"/>
  <c r="AM36" i="46"/>
  <c r="AH36" i="44"/>
  <c r="AM36" i="50"/>
  <c r="AH36" i="50"/>
  <c r="AM36" i="43"/>
  <c r="AH36" i="43"/>
  <c r="AH36" i="57"/>
  <c r="AH36" i="49"/>
  <c r="AM36" i="38"/>
  <c r="AH36" i="38"/>
  <c r="AU14" i="60"/>
  <c r="AX11" i="61"/>
  <c r="AU12" i="60"/>
  <c r="AX9" i="61"/>
  <c r="AX14" i="61"/>
  <c r="AU17" i="60"/>
  <c r="AX15" i="61"/>
  <c r="AU18" i="60"/>
  <c r="AH36" i="32"/>
  <c r="AH36" i="37"/>
  <c r="AX13" i="61"/>
  <c r="AU16" i="60"/>
  <c r="AX8" i="61"/>
  <c r="AU11" i="60"/>
  <c r="K14" i="60"/>
  <c r="K30" i="60"/>
  <c r="AX5" i="61"/>
  <c r="AJ38" i="61"/>
  <c r="AJ38" i="6"/>
  <c r="K42" i="8"/>
  <c r="K27" i="8"/>
  <c r="AB38" i="4"/>
  <c r="AC38" i="4"/>
  <c r="AC37" i="4"/>
  <c r="AC35" i="58"/>
  <c r="AC35" i="42"/>
  <c r="AC37" i="52"/>
  <c r="AC36" i="54"/>
  <c r="AC35" i="41"/>
  <c r="AC35" i="57"/>
  <c r="AC36" i="44"/>
  <c r="AC35" i="59"/>
  <c r="AC14" i="61"/>
  <c r="Z17" i="60"/>
  <c r="AC14" i="6"/>
  <c r="AC11" i="61"/>
  <c r="AC11" i="6"/>
  <c r="Z14" i="60"/>
  <c r="AC15" i="6"/>
  <c r="AC15" i="61"/>
  <c r="Z18" i="60"/>
  <c r="AH37" i="35"/>
  <c r="AH37" i="49"/>
  <c r="AH37" i="56"/>
  <c r="AH37" i="48"/>
  <c r="AH37" i="53"/>
  <c r="AH37" i="39"/>
  <c r="Z13" i="60"/>
  <c r="AC10" i="61"/>
  <c r="AC10" i="6"/>
  <c r="AC13" i="61"/>
  <c r="Z16" i="60"/>
  <c r="AC13" i="6"/>
  <c r="AC8" i="61"/>
  <c r="Z11" i="60"/>
  <c r="AC8" i="6"/>
  <c r="AC6" i="6"/>
  <c r="AC6" i="61"/>
  <c r="Z9" i="60"/>
  <c r="AC9" i="6"/>
  <c r="Z12" i="60"/>
  <c r="AC9" i="61"/>
  <c r="Z15" i="60"/>
  <c r="AC12" i="61"/>
  <c r="AC12" i="6"/>
  <c r="AH37" i="54"/>
  <c r="AM37" i="46"/>
  <c r="AM37" i="52"/>
  <c r="AH37" i="51"/>
  <c r="AM37" i="43"/>
  <c r="AM37" i="57"/>
  <c r="AH37" i="57"/>
  <c r="AH37" i="45"/>
  <c r="AH37" i="50"/>
  <c r="AH37" i="42"/>
  <c r="AM37" i="56"/>
  <c r="AM37" i="55"/>
  <c r="AH37" i="47"/>
  <c r="AH37" i="31"/>
  <c r="AM37" i="53"/>
  <c r="AM37" i="41"/>
  <c r="AH37" i="37"/>
  <c r="AC7" i="6"/>
  <c r="AC7" i="61"/>
  <c r="Z10" i="60"/>
  <c r="AM37" i="54"/>
  <c r="AH37" i="46"/>
  <c r="AH37" i="32"/>
  <c r="AH37" i="52"/>
  <c r="AM37" i="44"/>
  <c r="AH37" i="44"/>
  <c r="AM37" i="51"/>
  <c r="AH37" i="43"/>
  <c r="AM37" i="45"/>
  <c r="AH37" i="38"/>
  <c r="AM37" i="49"/>
  <c r="AH37" i="58"/>
  <c r="AM37" i="58"/>
  <c r="AM37" i="50"/>
  <c r="AM37" i="42"/>
  <c r="AM37" i="48"/>
  <c r="AH37" i="40"/>
  <c r="AH37" i="55"/>
  <c r="AM37" i="47"/>
  <c r="AH37" i="41"/>
  <c r="AM37" i="39"/>
  <c r="AH37" i="36"/>
  <c r="AH36" i="59"/>
  <c r="AM36" i="59"/>
  <c r="O8" i="62"/>
  <c r="O13" i="62"/>
  <c r="O10" i="62"/>
  <c r="O7" i="62"/>
  <c r="G21" i="8"/>
  <c r="H9" i="60"/>
  <c r="M9" i="60"/>
  <c r="AC5" i="61"/>
  <c r="Z38" i="61"/>
  <c r="AC5" i="6"/>
  <c r="O9" i="62"/>
  <c r="O14" i="62"/>
  <c r="O11" i="62"/>
  <c r="O16" i="62"/>
  <c r="O12" i="62"/>
  <c r="O15" i="62"/>
  <c r="AC37" i="44"/>
  <c r="AC36" i="41"/>
  <c r="AC37" i="54"/>
  <c r="AC36" i="57"/>
  <c r="AC36" i="42"/>
  <c r="AC36" i="58"/>
  <c r="AC36" i="59"/>
  <c r="C49" i="9"/>
  <c r="AQ9" i="60"/>
  <c r="AT6" i="61"/>
  <c r="AH6" i="61"/>
  <c r="AE9" i="60"/>
  <c r="P10" i="7"/>
  <c r="T10" i="7"/>
  <c r="AO14" i="60"/>
  <c r="AR11" i="61"/>
  <c r="X14" i="60"/>
  <c r="AA11" i="6"/>
  <c r="L10" i="7"/>
  <c r="O10" i="7"/>
  <c r="Q10" i="7"/>
  <c r="S10" i="7"/>
  <c r="R10" i="7"/>
  <c r="AA7" i="6"/>
  <c r="X10" i="60"/>
  <c r="AQ15" i="60"/>
  <c r="AT12" i="61"/>
  <c r="AA15" i="6"/>
  <c r="X18" i="60"/>
  <c r="BF12" i="61"/>
  <c r="AP8" i="61"/>
  <c r="AM11" i="60"/>
  <c r="X11" i="60"/>
  <c r="AA8" i="6"/>
  <c r="AP18" i="61"/>
  <c r="AM21" i="60"/>
  <c r="AH37" i="59"/>
  <c r="AN6" i="61"/>
  <c r="X13" i="60"/>
  <c r="AA10" i="6"/>
  <c r="BF15" i="61"/>
  <c r="AM12" i="60"/>
  <c r="AP9" i="61"/>
  <c r="AA9" i="6"/>
  <c r="X12" i="60"/>
  <c r="BF11" i="61"/>
  <c r="BF14" i="61"/>
  <c r="M10" i="7"/>
  <c r="AR6" i="61"/>
  <c r="AO9" i="60"/>
  <c r="AL6" i="61"/>
  <c r="AI9" i="60"/>
  <c r="AP11" i="61"/>
  <c r="AM14" i="60"/>
  <c r="AO10" i="60"/>
  <c r="AR7" i="61"/>
  <c r="AR12" i="61"/>
  <c r="AO15" i="60"/>
  <c r="X15" i="60"/>
  <c r="AA12" i="6"/>
  <c r="AT15" i="61"/>
  <c r="AQ18" i="60"/>
  <c r="AT18" i="61"/>
  <c r="AQ21" i="60"/>
  <c r="AI21" i="60"/>
  <c r="AL18" i="61"/>
  <c r="AR18" i="61"/>
  <c r="AO21" i="60"/>
  <c r="AE21" i="60"/>
  <c r="AH18" i="61"/>
  <c r="AG21" i="60"/>
  <c r="AJ18" i="61"/>
  <c r="AN18" i="61"/>
  <c r="N10" i="7"/>
  <c r="AM37" i="59"/>
  <c r="AG9" i="60"/>
  <c r="AJ6" i="61"/>
  <c r="AM9" i="60"/>
  <c r="AP6" i="61"/>
  <c r="AT10" i="61"/>
  <c r="AQ13" i="60"/>
  <c r="AO17" i="60"/>
  <c r="AR14" i="61"/>
  <c r="X17" i="60"/>
  <c r="AA14" i="6"/>
  <c r="AP13" i="61"/>
  <c r="AM16" i="60"/>
  <c r="X9" i="60"/>
  <c r="AA6" i="6"/>
  <c r="AR10" i="61"/>
  <c r="AO13" i="60"/>
  <c r="AA13" i="6"/>
  <c r="X16" i="60"/>
  <c r="BF7" i="61"/>
  <c r="BF10" i="61"/>
  <c r="BO13" i="6"/>
  <c r="BP13" i="6"/>
  <c r="F21" i="8"/>
  <c r="H21" i="8"/>
  <c r="BP6" i="6"/>
  <c r="BO6" i="6"/>
  <c r="AA5" i="6"/>
  <c r="BQ8" i="61"/>
  <c r="BP8" i="61"/>
  <c r="AA5" i="61"/>
  <c r="Y38" i="61"/>
  <c r="G9" i="60"/>
  <c r="J9" i="60"/>
  <c r="BO14" i="6"/>
  <c r="BP14" i="6"/>
  <c r="BQ9" i="61"/>
  <c r="BP9" i="61"/>
  <c r="F48" i="8"/>
  <c r="F42" i="8"/>
  <c r="BO12" i="6"/>
  <c r="BP12" i="6"/>
  <c r="F44" i="8"/>
  <c r="F50" i="8"/>
  <c r="BO9" i="6"/>
  <c r="BP9" i="6"/>
  <c r="BO10" i="6"/>
  <c r="BP10" i="6"/>
  <c r="F46" i="8"/>
  <c r="BP8" i="6"/>
  <c r="BO8" i="6"/>
  <c r="BQ6" i="61"/>
  <c r="BP6" i="61"/>
  <c r="BO15" i="6"/>
  <c r="BP15" i="6"/>
  <c r="BQ7" i="61"/>
  <c r="BP7" i="61"/>
  <c r="BP7" i="6"/>
  <c r="BO7" i="6"/>
  <c r="G7" i="7"/>
  <c r="D7" i="7"/>
  <c r="BQ10" i="61"/>
  <c r="BP10" i="61"/>
  <c r="BP11" i="6"/>
  <c r="BO11" i="6"/>
  <c r="F40" i="8"/>
  <c r="F52" i="8"/>
  <c r="S23" i="37"/>
  <c r="S23" i="34"/>
  <c r="S23" i="33"/>
  <c r="AC37" i="59"/>
  <c r="S23" i="32"/>
  <c r="S23" i="39"/>
  <c r="S23" i="35"/>
  <c r="S23" i="38"/>
  <c r="S23" i="36"/>
  <c r="S23" i="31"/>
  <c r="AC37" i="58"/>
  <c r="AC37" i="42"/>
  <c r="AC37" i="57"/>
  <c r="AC37" i="41"/>
  <c r="Z38" i="6"/>
  <c r="M21" i="8"/>
  <c r="I21" i="8"/>
  <c r="BB18" i="61"/>
  <c r="AY21" i="60"/>
  <c r="BB6" i="61"/>
  <c r="AY9" i="60"/>
  <c r="T9" i="7"/>
  <c r="AG16" i="60"/>
  <c r="AJ13" i="61"/>
  <c r="AL13" i="61"/>
  <c r="AI16" i="60"/>
  <c r="AR13" i="61"/>
  <c r="AO16" i="60"/>
  <c r="AH14" i="61"/>
  <c r="AE17" i="60"/>
  <c r="AL14" i="61"/>
  <c r="AI17" i="60"/>
  <c r="AN14" i="61"/>
  <c r="AP14" i="61"/>
  <c r="AM17" i="60"/>
  <c r="AE15" i="60"/>
  <c r="AH12" i="61"/>
  <c r="AL12" i="61"/>
  <c r="AI15" i="60"/>
  <c r="AP16" i="61"/>
  <c r="AM19" i="60"/>
  <c r="AG19" i="60"/>
  <c r="AJ16" i="61"/>
  <c r="AO19" i="60"/>
  <c r="AR16" i="61"/>
  <c r="AT16" i="61"/>
  <c r="AQ19" i="60"/>
  <c r="AH21" i="61"/>
  <c r="AE24" i="60"/>
  <c r="AG13" i="60"/>
  <c r="AJ10" i="61"/>
  <c r="AE13" i="60"/>
  <c r="AH10" i="61"/>
  <c r="AI13" i="60"/>
  <c r="AL10" i="61"/>
  <c r="AN10" i="61"/>
  <c r="AJ28" i="61"/>
  <c r="AF43" i="8"/>
  <c r="AG31" i="60"/>
  <c r="AR28" i="61"/>
  <c r="AN43" i="8"/>
  <c r="AO31" i="60"/>
  <c r="AL28" i="61"/>
  <c r="AI31" i="60"/>
  <c r="AH43" i="8"/>
  <c r="AJ7" i="61"/>
  <c r="AG10" i="60"/>
  <c r="AH7" i="61"/>
  <c r="AE10" i="60"/>
  <c r="AQ10" i="60"/>
  <c r="AT7" i="61"/>
  <c r="AM10" i="60"/>
  <c r="AP7" i="61"/>
  <c r="AJ40" i="8"/>
  <c r="AN25" i="61"/>
  <c r="AO28" i="60"/>
  <c r="AR25" i="61"/>
  <c r="AN40" i="8"/>
  <c r="AJ48" i="8"/>
  <c r="AN33" i="61"/>
  <c r="AR33" i="61"/>
  <c r="AN48" i="8"/>
  <c r="AO36" i="60"/>
  <c r="AE36" i="60"/>
  <c r="AH33" i="61"/>
  <c r="AD48" i="8"/>
  <c r="AG36" i="60"/>
  <c r="AJ33" i="61"/>
  <c r="AF48" i="8"/>
  <c r="AL49" i="8"/>
  <c r="AP34" i="61"/>
  <c r="AM37" i="60"/>
  <c r="AR34" i="61"/>
  <c r="AO37" i="60"/>
  <c r="AN49" i="8"/>
  <c r="AQ37" i="60"/>
  <c r="AT34" i="61"/>
  <c r="AP49" i="8"/>
  <c r="AN31" i="61"/>
  <c r="AJ46" i="8"/>
  <c r="AO34" i="60"/>
  <c r="AR31" i="61"/>
  <c r="AN46" i="8"/>
  <c r="AH22" i="61"/>
  <c r="AE25" i="60"/>
  <c r="AI25" i="60"/>
  <c r="AL22" i="61"/>
  <c r="AE35" i="60"/>
  <c r="AD47" i="8"/>
  <c r="AH32" i="61"/>
  <c r="AH47" i="8"/>
  <c r="AI35" i="60"/>
  <c r="AL32" i="61"/>
  <c r="AO35" i="60"/>
  <c r="AR32" i="61"/>
  <c r="AN47" i="8"/>
  <c r="AN32" i="61"/>
  <c r="AJ47" i="8"/>
  <c r="AL47" i="8"/>
  <c r="AP32" i="61"/>
  <c r="AM35" i="60"/>
  <c r="AD41" i="8"/>
  <c r="AE29" i="60"/>
  <c r="AH26" i="61"/>
  <c r="AR26" i="61"/>
  <c r="AN41" i="8"/>
  <c r="AO29" i="60"/>
  <c r="AF41" i="8"/>
  <c r="AG29" i="60"/>
  <c r="AJ26" i="61"/>
  <c r="AI29" i="60"/>
  <c r="AL26" i="61"/>
  <c r="AH41" i="8"/>
  <c r="AR15" i="61"/>
  <c r="AO18" i="60"/>
  <c r="AJ15" i="61"/>
  <c r="AG18" i="60"/>
  <c r="AE14" i="60"/>
  <c r="AH11" i="61"/>
  <c r="AJ11" i="61"/>
  <c r="AG14" i="60"/>
  <c r="AT11" i="61"/>
  <c r="AQ14" i="60"/>
  <c r="AR29" i="61"/>
  <c r="AO32" i="60"/>
  <c r="AN44" i="8"/>
  <c r="AP29" i="61"/>
  <c r="AL44" i="8"/>
  <c r="AM32" i="60"/>
  <c r="AD44" i="8"/>
  <c r="AE32" i="60"/>
  <c r="AH29" i="61"/>
  <c r="AL29" i="61"/>
  <c r="AI32" i="60"/>
  <c r="AH44" i="8"/>
  <c r="AE27" i="60"/>
  <c r="AH24" i="61"/>
  <c r="AD39" i="8"/>
  <c r="AN24" i="61"/>
  <c r="AJ39" i="8"/>
  <c r="AM27" i="60"/>
  <c r="AP24" i="61"/>
  <c r="AL39" i="8"/>
  <c r="AJ27" i="61"/>
  <c r="AG30" i="60"/>
  <c r="AF42" i="8"/>
  <c r="AQ30" i="60"/>
  <c r="AP42" i="8"/>
  <c r="AT27" i="61"/>
  <c r="AJ42" i="8"/>
  <c r="AN27" i="61"/>
  <c r="S9" i="7"/>
  <c r="AN19" i="61"/>
  <c r="AE22" i="60"/>
  <c r="AH19" i="61"/>
  <c r="AI22" i="60"/>
  <c r="AL19" i="61"/>
  <c r="AM22" i="60"/>
  <c r="AP19" i="61"/>
  <c r="AI33" i="60"/>
  <c r="AH45" i="8"/>
  <c r="AL30" i="61"/>
  <c r="AF45" i="8"/>
  <c r="AG33" i="60"/>
  <c r="AJ30" i="61"/>
  <c r="AN30" i="61"/>
  <c r="AJ45" i="8"/>
  <c r="AP45" i="8"/>
  <c r="AT30" i="61"/>
  <c r="AQ33" i="60"/>
  <c r="AE12" i="60"/>
  <c r="AH9" i="61"/>
  <c r="AN9" i="61"/>
  <c r="AO12" i="60"/>
  <c r="AR9" i="61"/>
  <c r="AR20" i="61"/>
  <c r="AO23" i="60"/>
  <c r="AH20" i="61"/>
  <c r="AE23" i="60"/>
  <c r="AM23" i="60"/>
  <c r="AP20" i="61"/>
  <c r="AJ20" i="61"/>
  <c r="AG23" i="60"/>
  <c r="AH50" i="8"/>
  <c r="AL35" i="61"/>
  <c r="AI38" i="60"/>
  <c r="AN50" i="8"/>
  <c r="AO38" i="60"/>
  <c r="AR35" i="61"/>
  <c r="AE38" i="60"/>
  <c r="AD50" i="8"/>
  <c r="AH35" i="61"/>
  <c r="BF13" i="61"/>
  <c r="L9" i="7"/>
  <c r="AH8" i="61"/>
  <c r="AE11" i="60"/>
  <c r="AQ26" i="60"/>
  <c r="AT23" i="61"/>
  <c r="AN23" i="61"/>
  <c r="AL23" i="61"/>
  <c r="AI26" i="60"/>
  <c r="R9" i="7"/>
  <c r="O9" i="7"/>
  <c r="AQ12" i="60"/>
  <c r="AT9" i="61"/>
  <c r="N9" i="7"/>
  <c r="M9" i="7"/>
  <c r="AN13" i="61"/>
  <c r="AH13" i="61"/>
  <c r="AE16" i="60"/>
  <c r="AT13" i="61"/>
  <c r="AQ16" i="60"/>
  <c r="AG17" i="60"/>
  <c r="AJ14" i="61"/>
  <c r="AQ17" i="60"/>
  <c r="AT14" i="61"/>
  <c r="AJ12" i="61"/>
  <c r="AG15" i="60"/>
  <c r="AN12" i="61"/>
  <c r="AP12" i="61"/>
  <c r="AM15" i="60"/>
  <c r="AI19" i="60"/>
  <c r="AL16" i="61"/>
  <c r="AE19" i="60"/>
  <c r="AH16" i="61"/>
  <c r="AN16" i="61"/>
  <c r="AT21" i="61"/>
  <c r="AQ24" i="60"/>
  <c r="AR21" i="61"/>
  <c r="AO24" i="60"/>
  <c r="AI24" i="60"/>
  <c r="AL21" i="61"/>
  <c r="AN21" i="61"/>
  <c r="AJ21" i="61"/>
  <c r="AG24" i="60"/>
  <c r="AM24" i="60"/>
  <c r="AP21" i="61"/>
  <c r="AM13" i="60"/>
  <c r="AP10" i="61"/>
  <c r="AJ43" i="8"/>
  <c r="AN28" i="61"/>
  <c r="AT28" i="61"/>
  <c r="AP43" i="8"/>
  <c r="AQ31" i="60"/>
  <c r="AM31" i="60"/>
  <c r="AL43" i="8"/>
  <c r="AP28" i="61"/>
  <c r="AH28" i="61"/>
  <c r="AE31" i="60"/>
  <c r="AD43" i="8"/>
  <c r="AL7" i="61"/>
  <c r="AI10" i="60"/>
  <c r="AN7" i="61"/>
  <c r="AJ25" i="61"/>
  <c r="AF40" i="8"/>
  <c r="AG28" i="60"/>
  <c r="AH40" i="8"/>
  <c r="AI28" i="60"/>
  <c r="AL25" i="61"/>
  <c r="AT25" i="61"/>
  <c r="AP40" i="8"/>
  <c r="AQ28" i="60"/>
  <c r="AL40" i="8"/>
  <c r="AM28" i="60"/>
  <c r="AP25" i="61"/>
  <c r="AH25" i="61"/>
  <c r="AD40" i="8"/>
  <c r="AE28" i="60"/>
  <c r="AL33" i="61"/>
  <c r="AI36" i="60"/>
  <c r="AH48" i="8"/>
  <c r="AM36" i="60"/>
  <c r="AL48" i="8"/>
  <c r="AP33" i="61"/>
  <c r="AQ36" i="60"/>
  <c r="AP48" i="8"/>
  <c r="AT33" i="61"/>
  <c r="AF49" i="8"/>
  <c r="AJ34" i="61"/>
  <c r="AG37" i="60"/>
  <c r="AJ49" i="8"/>
  <c r="AN34" i="61"/>
  <c r="AI37" i="60"/>
  <c r="AH49" i="8"/>
  <c r="AL34" i="61"/>
  <c r="AE37" i="60"/>
  <c r="AD49" i="8"/>
  <c r="AH34" i="61"/>
  <c r="AI34" i="60"/>
  <c r="AH46" i="8"/>
  <c r="AL31" i="61"/>
  <c r="AM34" i="60"/>
  <c r="AP31" i="61"/>
  <c r="AL46" i="8"/>
  <c r="AP46" i="8"/>
  <c r="AQ34" i="60"/>
  <c r="AT31" i="61"/>
  <c r="AJ31" i="61"/>
  <c r="AG34" i="60"/>
  <c r="AF46" i="8"/>
  <c r="AD46" i="8"/>
  <c r="AH31" i="61"/>
  <c r="AE34" i="60"/>
  <c r="AO25" i="60"/>
  <c r="AR22" i="61"/>
  <c r="AJ22" i="61"/>
  <c r="AG25" i="60"/>
  <c r="AT22" i="61"/>
  <c r="AQ25" i="60"/>
  <c r="AP22" i="61"/>
  <c r="AM25" i="60"/>
  <c r="AN22" i="61"/>
  <c r="AJ32" i="61"/>
  <c r="AG35" i="60"/>
  <c r="AF47" i="8"/>
  <c r="AQ35" i="60"/>
  <c r="AP47" i="8"/>
  <c r="AT32" i="61"/>
  <c r="AP26" i="61"/>
  <c r="AM29" i="60"/>
  <c r="AL41" i="8"/>
  <c r="AT26" i="61"/>
  <c r="AQ29" i="60"/>
  <c r="AP41" i="8"/>
  <c r="AN26" i="61"/>
  <c r="AJ41" i="8"/>
  <c r="P9" i="7"/>
  <c r="AL15" i="61"/>
  <c r="AI18" i="60"/>
  <c r="AE18" i="60"/>
  <c r="AH15" i="61"/>
  <c r="AN15" i="61"/>
  <c r="AP15" i="61"/>
  <c r="AM18" i="60"/>
  <c r="AN11" i="61"/>
  <c r="AL11" i="61"/>
  <c r="AI14" i="60"/>
  <c r="AF44" i="8"/>
  <c r="AG32" i="60"/>
  <c r="AJ29" i="61"/>
  <c r="AQ32" i="60"/>
  <c r="AT29" i="61"/>
  <c r="AP44" i="8"/>
  <c r="AN29" i="61"/>
  <c r="AJ44" i="8"/>
  <c r="AI27" i="60"/>
  <c r="AH39" i="8"/>
  <c r="AL24" i="61"/>
  <c r="AO27" i="60"/>
  <c r="AR24" i="61"/>
  <c r="AN39" i="8"/>
  <c r="AF39" i="8"/>
  <c r="AG27" i="60"/>
  <c r="AJ24" i="61"/>
  <c r="AT24" i="61"/>
  <c r="AP39" i="8"/>
  <c r="AQ27" i="60"/>
  <c r="AP27" i="61"/>
  <c r="AL42" i="8"/>
  <c r="AM30" i="60"/>
  <c r="AE30" i="60"/>
  <c r="AH27" i="61"/>
  <c r="AD42" i="8"/>
  <c r="AH42" i="8"/>
  <c r="AI30" i="60"/>
  <c r="AL27" i="61"/>
  <c r="AR27" i="61"/>
  <c r="AN42" i="8"/>
  <c r="AO30" i="60"/>
  <c r="AR19" i="61"/>
  <c r="AO22" i="60"/>
  <c r="AJ19" i="61"/>
  <c r="AG22" i="60"/>
  <c r="AT19" i="61"/>
  <c r="AQ22" i="60"/>
  <c r="AO33" i="60"/>
  <c r="AR30" i="61"/>
  <c r="AN45" i="8"/>
  <c r="AD45" i="8"/>
  <c r="AE33" i="60"/>
  <c r="AH30" i="61"/>
  <c r="AP30" i="61"/>
  <c r="AM33" i="60"/>
  <c r="AL45" i="8"/>
  <c r="AG12" i="60"/>
  <c r="AJ9" i="61"/>
  <c r="AL9" i="61"/>
  <c r="AI12" i="60"/>
  <c r="AL20" i="61"/>
  <c r="AI23" i="60"/>
  <c r="AT20" i="61"/>
  <c r="AQ23" i="60"/>
  <c r="AN20" i="61"/>
  <c r="AM38" i="60"/>
  <c r="AL50" i="8"/>
  <c r="AP35" i="61"/>
  <c r="AQ38" i="60"/>
  <c r="AP50" i="8"/>
  <c r="AT35" i="61"/>
  <c r="AJ35" i="61"/>
  <c r="AF50" i="8"/>
  <c r="AG38" i="60"/>
  <c r="AJ50" i="8"/>
  <c r="AN35" i="61"/>
  <c r="BF8" i="61"/>
  <c r="BF9" i="61"/>
  <c r="Q9" i="7"/>
  <c r="AI11" i="60"/>
  <c r="AL8" i="61"/>
  <c r="AJ8" i="61"/>
  <c r="AG11" i="60"/>
  <c r="AN8" i="61"/>
  <c r="AO11" i="60"/>
  <c r="AR8" i="61"/>
  <c r="AT8" i="61"/>
  <c r="AQ11" i="60"/>
  <c r="AG26" i="60"/>
  <c r="AJ23" i="61"/>
  <c r="AH23" i="61"/>
  <c r="AE26" i="60"/>
  <c r="AM26" i="60"/>
  <c r="AP23" i="61"/>
  <c r="AO26" i="60"/>
  <c r="AR23" i="61"/>
  <c r="AH17" i="61"/>
  <c r="AE20" i="60"/>
  <c r="AI20" i="60"/>
  <c r="AL17" i="61"/>
  <c r="AN17" i="61"/>
  <c r="AR17" i="61"/>
  <c r="AO20" i="60"/>
  <c r="AG20" i="60"/>
  <c r="AJ17" i="61"/>
  <c r="AP17" i="61"/>
  <c r="AM20" i="60"/>
  <c r="AT17" i="61"/>
  <c r="AQ20" i="60"/>
  <c r="AR5" i="61"/>
  <c r="AG38" i="61"/>
  <c r="F35" i="8"/>
  <c r="F22" i="60"/>
  <c r="F38" i="60"/>
  <c r="G5" i="7"/>
  <c r="D5" i="7"/>
  <c r="AN5" i="61"/>
  <c r="AE38" i="61"/>
  <c r="F31" i="8"/>
  <c r="F34" i="60"/>
  <c r="F16" i="60"/>
  <c r="F32" i="60"/>
  <c r="AL5" i="61"/>
  <c r="AD38" i="61"/>
  <c r="F29" i="8"/>
  <c r="F33" i="8"/>
  <c r="AP5" i="61"/>
  <c r="AF38" i="61"/>
  <c r="F20" i="60"/>
  <c r="F36" i="60"/>
  <c r="F37" i="8"/>
  <c r="AT5" i="61"/>
  <c r="AH38" i="61"/>
  <c r="F24" i="60"/>
  <c r="F40" i="60"/>
  <c r="F25" i="8"/>
  <c r="F12" i="60"/>
  <c r="F28" i="60"/>
  <c r="AH5" i="61"/>
  <c r="AB38" i="61"/>
  <c r="F27" i="8"/>
  <c r="F14" i="60"/>
  <c r="F30" i="60"/>
  <c r="AJ5" i="61"/>
  <c r="AC38" i="61"/>
  <c r="K46" i="8"/>
  <c r="E7" i="7"/>
  <c r="D16" i="8"/>
  <c r="C16" i="8"/>
  <c r="Z46" i="61"/>
  <c r="Z48" i="61"/>
  <c r="Z41" i="61"/>
  <c r="Y41" i="61"/>
  <c r="Z42" i="61"/>
  <c r="Y47" i="61"/>
  <c r="Z43" i="61"/>
  <c r="Y43" i="61"/>
  <c r="Z45" i="61"/>
  <c r="Z44" i="61"/>
  <c r="Z40" i="61"/>
  <c r="Y42" i="61"/>
  <c r="Y48" i="61"/>
  <c r="Y46" i="61"/>
  <c r="Y45" i="61"/>
  <c r="Y40" i="61"/>
  <c r="Y44" i="61"/>
  <c r="Z47" i="61"/>
  <c r="Y47" i="6"/>
  <c r="Z47" i="6"/>
  <c r="Y43" i="6"/>
  <c r="Y42" i="6"/>
  <c r="Z45" i="6"/>
  <c r="Z46" i="6"/>
  <c r="Z40" i="6"/>
  <c r="Y41" i="6"/>
  <c r="Y45" i="6"/>
  <c r="Y48" i="6"/>
  <c r="Y44" i="6"/>
  <c r="Z43" i="6"/>
  <c r="Y49" i="6"/>
  <c r="Z42" i="6"/>
  <c r="Z44" i="6"/>
  <c r="Z48" i="6"/>
  <c r="Y46" i="6"/>
  <c r="Z41" i="6"/>
  <c r="Y40" i="6"/>
  <c r="Z49" i="6"/>
  <c r="Y38" i="6"/>
  <c r="BB8" i="61"/>
  <c r="AY11" i="60"/>
  <c r="AY23" i="60"/>
  <c r="BB20" i="61"/>
  <c r="BB9" i="61"/>
  <c r="AY12" i="60"/>
  <c r="AX46" i="8"/>
  <c r="BB31" i="61"/>
  <c r="AY34" i="60"/>
  <c r="BB33" i="61"/>
  <c r="AY36" i="60"/>
  <c r="AX48" i="8"/>
  <c r="BB16" i="61"/>
  <c r="AY19" i="60"/>
  <c r="BB14" i="61"/>
  <c r="AY17" i="60"/>
  <c r="BB23" i="61"/>
  <c r="AY26" i="60"/>
  <c r="AY33" i="60"/>
  <c r="AX45" i="8"/>
  <c r="BB30" i="61"/>
  <c r="BB27" i="61"/>
  <c r="AY30" i="60"/>
  <c r="AX42" i="8"/>
  <c r="BB29" i="61"/>
  <c r="AX44" i="8"/>
  <c r="AY32" i="60"/>
  <c r="BB11" i="61"/>
  <c r="AY14" i="60"/>
  <c r="AY37" i="60"/>
  <c r="AX49" i="8"/>
  <c r="BB34" i="61"/>
  <c r="BB10" i="61"/>
  <c r="AY13" i="60"/>
  <c r="AY15" i="60"/>
  <c r="BB12" i="61"/>
  <c r="BD6" i="61"/>
  <c r="BA9" i="60"/>
  <c r="AY20" i="60"/>
  <c r="BB17" i="61"/>
  <c r="BB19" i="61"/>
  <c r="AY22" i="60"/>
  <c r="AY29" i="60"/>
  <c r="AX41" i="8"/>
  <c r="BB26" i="61"/>
  <c r="BB22" i="61"/>
  <c r="AY25" i="60"/>
  <c r="BB25" i="61"/>
  <c r="AX40" i="8"/>
  <c r="AY28" i="60"/>
  <c r="AY10" i="60"/>
  <c r="BB7" i="61"/>
  <c r="AX50" i="8"/>
  <c r="AY38" i="60"/>
  <c r="BB35" i="61"/>
  <c r="AX39" i="8"/>
  <c r="AY27" i="60"/>
  <c r="BB24" i="61"/>
  <c r="BB15" i="61"/>
  <c r="AY18" i="60"/>
  <c r="BB32" i="61"/>
  <c r="AY35" i="60"/>
  <c r="AX47" i="8"/>
  <c r="BB28" i="61"/>
  <c r="AY31" i="60"/>
  <c r="AX43" i="8"/>
  <c r="BB21" i="61"/>
  <c r="AY24" i="60"/>
  <c r="AY16" i="60"/>
  <c r="BB13" i="61"/>
  <c r="BA21" i="60"/>
  <c r="BD18" i="61"/>
  <c r="Y50" i="6"/>
  <c r="BB5" i="61"/>
  <c r="AL38" i="61"/>
  <c r="K18" i="60"/>
  <c r="K34" i="60"/>
  <c r="AL38" i="6"/>
  <c r="K29" i="8"/>
  <c r="AH38" i="6"/>
  <c r="AF38" i="6"/>
  <c r="AG38" i="6"/>
  <c r="AC38" i="6"/>
  <c r="AB38" i="6"/>
  <c r="AD38" i="6"/>
  <c r="AE38" i="6"/>
  <c r="E5" i="7"/>
  <c r="D14" i="8"/>
  <c r="C14" i="8"/>
  <c r="BD33" i="61"/>
  <c r="BA36" i="60"/>
  <c r="AZ48" i="8"/>
  <c r="BD34" i="61"/>
  <c r="BA37" i="60"/>
  <c r="AZ49" i="8"/>
  <c r="BA22" i="60"/>
  <c r="BD19" i="61"/>
  <c r="BA33" i="60"/>
  <c r="AZ45" i="8"/>
  <c r="BD30" i="61"/>
  <c r="BA26" i="60"/>
  <c r="BD23" i="61"/>
  <c r="BA15" i="60"/>
  <c r="BD12" i="61"/>
  <c r="BD10" i="61"/>
  <c r="BA13" i="60"/>
  <c r="BA34" i="60"/>
  <c r="AZ46" i="8"/>
  <c r="BD31" i="61"/>
  <c r="BA38" i="60"/>
  <c r="BD35" i="61"/>
  <c r="AZ50" i="8"/>
  <c r="BA28" i="60"/>
  <c r="BD25" i="61"/>
  <c r="AZ40" i="8"/>
  <c r="AZ47" i="8"/>
  <c r="BD32" i="61"/>
  <c r="BA35" i="60"/>
  <c r="BA29" i="60"/>
  <c r="AZ41" i="8"/>
  <c r="BD26" i="61"/>
  <c r="BA23" i="60"/>
  <c r="BD20" i="61"/>
  <c r="BD13" i="61"/>
  <c r="BA16" i="60"/>
  <c r="BD28" i="61"/>
  <c r="BA31" i="60"/>
  <c r="AZ43" i="8"/>
  <c r="BD7" i="61"/>
  <c r="BA10" i="60"/>
  <c r="BA27" i="60"/>
  <c r="BD24" i="61"/>
  <c r="AZ39" i="8"/>
  <c r="BD22" i="61"/>
  <c r="BA25" i="60"/>
  <c r="BD15" i="61"/>
  <c r="BA18" i="60"/>
  <c r="BA19" i="60"/>
  <c r="BD16" i="61"/>
  <c r="BD11" i="61"/>
  <c r="BA14" i="60"/>
  <c r="BA11" i="60"/>
  <c r="BD8" i="61"/>
  <c r="BD14" i="61"/>
  <c r="BA17" i="60"/>
  <c r="BA32" i="60"/>
  <c r="AZ44" i="8"/>
  <c r="BD29" i="61"/>
  <c r="BA30" i="60"/>
  <c r="AZ42" i="8"/>
  <c r="BD27" i="61"/>
  <c r="BD9" i="61"/>
  <c r="BA12" i="60"/>
  <c r="BH18" i="6"/>
  <c r="BH18" i="61"/>
  <c r="BA24" i="60"/>
  <c r="BD21" i="61"/>
  <c r="BD17" i="61"/>
  <c r="BA20" i="60"/>
  <c r="BK18" i="6"/>
  <c r="BM18" i="6"/>
  <c r="AM38" i="6"/>
  <c r="BD5" i="61"/>
  <c r="AM38" i="61"/>
  <c r="BH15" i="61"/>
  <c r="BH15" i="6"/>
  <c r="BH27" i="6"/>
  <c r="BD42" i="8"/>
  <c r="BH27" i="61"/>
  <c r="BH11" i="61"/>
  <c r="BH11" i="6"/>
  <c r="BJ18" i="6"/>
  <c r="BJ18" i="61"/>
  <c r="BG21" i="60"/>
  <c r="BJ6" i="6"/>
  <c r="BG9" i="60"/>
  <c r="BJ6" i="61"/>
  <c r="BH22" i="61"/>
  <c r="BH22" i="6"/>
  <c r="BH21" i="6"/>
  <c r="BH21" i="61"/>
  <c r="BH9" i="6"/>
  <c r="BH9" i="61"/>
  <c r="BH29" i="6"/>
  <c r="BH29" i="61"/>
  <c r="BD44" i="8"/>
  <c r="BH14" i="6"/>
  <c r="BH14" i="61"/>
  <c r="BH8" i="61"/>
  <c r="BH8" i="6"/>
  <c r="BH16" i="61"/>
  <c r="BH16" i="6"/>
  <c r="BH17" i="6"/>
  <c r="BH17" i="61"/>
  <c r="BH13" i="6"/>
  <c r="BH13" i="61"/>
  <c r="BH23" i="6"/>
  <c r="BH23" i="61"/>
  <c r="BH24" i="6"/>
  <c r="BH24" i="61"/>
  <c r="BD39" i="8"/>
  <c r="BD43" i="8"/>
  <c r="BH28" i="61"/>
  <c r="BH28" i="6"/>
  <c r="BH20" i="61"/>
  <c r="BH20" i="6"/>
  <c r="BD47" i="8"/>
  <c r="BH32" i="6"/>
  <c r="BH32" i="61"/>
  <c r="BH10" i="6"/>
  <c r="BH10" i="61"/>
  <c r="BH19" i="6"/>
  <c r="BH19" i="61"/>
  <c r="BD49" i="8"/>
  <c r="BH34" i="61"/>
  <c r="BH34" i="6"/>
  <c r="BH7" i="6"/>
  <c r="BH7" i="61"/>
  <c r="BH26" i="6"/>
  <c r="BD41" i="8"/>
  <c r="BH26" i="61"/>
  <c r="BH25" i="61"/>
  <c r="BH25" i="6"/>
  <c r="BD40" i="8"/>
  <c r="BD50" i="8"/>
  <c r="BH35" i="61"/>
  <c r="BH35" i="6"/>
  <c r="BH31" i="6"/>
  <c r="BD46" i="8"/>
  <c r="BH31" i="61"/>
  <c r="BH12" i="61"/>
  <c r="BH12" i="6"/>
  <c r="BH30" i="61"/>
  <c r="BH30" i="6"/>
  <c r="BD45" i="8"/>
  <c r="BH33" i="61"/>
  <c r="BH33" i="6"/>
  <c r="BD48" i="8"/>
  <c r="BK33" i="6"/>
  <c r="BM33" i="6"/>
  <c r="BK30" i="6"/>
  <c r="BM30" i="6"/>
  <c r="BK12" i="6"/>
  <c r="BM12" i="6"/>
  <c r="N13" i="62"/>
  <c r="P13" i="62"/>
  <c r="BK31" i="6"/>
  <c r="BM31" i="6"/>
  <c r="BK35" i="6"/>
  <c r="BM35" i="6"/>
  <c r="BK25" i="6"/>
  <c r="BM25" i="6"/>
  <c r="BK26" i="6"/>
  <c r="BM26" i="6"/>
  <c r="N8" i="62"/>
  <c r="P8" i="62"/>
  <c r="BH6" i="61"/>
  <c r="BL7" i="61"/>
  <c r="BK7" i="61"/>
  <c r="BK7" i="6"/>
  <c r="BM7" i="6"/>
  <c r="BK34" i="6"/>
  <c r="BM34" i="6"/>
  <c r="BK19" i="6"/>
  <c r="BM19" i="6"/>
  <c r="BK10" i="6"/>
  <c r="BM10" i="6"/>
  <c r="N11" i="62"/>
  <c r="P11" i="62"/>
  <c r="BK32" i="6"/>
  <c r="BM32" i="6"/>
  <c r="BK20" i="6"/>
  <c r="BM20" i="6"/>
  <c r="BK28" i="6"/>
  <c r="BM28" i="6"/>
  <c r="BK24" i="6"/>
  <c r="BM24" i="6"/>
  <c r="BK23" i="6"/>
  <c r="BM23" i="6"/>
  <c r="BK13" i="6"/>
  <c r="BM13" i="6"/>
  <c r="N14" i="62"/>
  <c r="P14" i="62"/>
  <c r="BK17" i="6"/>
  <c r="BM17" i="6"/>
  <c r="BK16" i="6"/>
  <c r="BM16" i="6"/>
  <c r="N33" i="62"/>
  <c r="P33" i="62"/>
  <c r="N22" i="62"/>
  <c r="P22" i="62"/>
  <c r="N30" i="62"/>
  <c r="P30" i="62"/>
  <c r="N34" i="62"/>
  <c r="P34" i="62"/>
  <c r="N19" i="62"/>
  <c r="P19" i="62"/>
  <c r="N36" i="62"/>
  <c r="P36" i="62"/>
  <c r="N21" i="62"/>
  <c r="P21" i="62"/>
  <c r="N29" i="62"/>
  <c r="P29" i="62"/>
  <c r="N26" i="62"/>
  <c r="P26" i="62"/>
  <c r="N18" i="62"/>
  <c r="P18" i="62"/>
  <c r="N23" i="62"/>
  <c r="P23" i="62"/>
  <c r="N28" i="62"/>
  <c r="P28" i="62"/>
  <c r="N25" i="62"/>
  <c r="P25" i="62"/>
  <c r="N32" i="62"/>
  <c r="P32" i="62"/>
  <c r="N35" i="62"/>
  <c r="P35" i="62"/>
  <c r="N20" i="62"/>
  <c r="P20" i="62"/>
  <c r="N31" i="62"/>
  <c r="P31" i="62"/>
  <c r="N27" i="62"/>
  <c r="P27" i="62"/>
  <c r="N24" i="62"/>
  <c r="P24" i="62"/>
  <c r="N17" i="62"/>
  <c r="P17" i="62"/>
  <c r="BL13" i="61"/>
  <c r="BK13" i="61"/>
  <c r="BL11" i="61"/>
  <c r="BK11" i="61"/>
  <c r="BL14" i="61"/>
  <c r="BK14" i="61"/>
  <c r="BL12" i="61"/>
  <c r="BK12" i="61"/>
  <c r="N9" i="62"/>
  <c r="P9" i="62"/>
  <c r="BK8" i="6"/>
  <c r="BM8" i="6"/>
  <c r="BL9" i="61"/>
  <c r="BK9" i="61"/>
  <c r="BK14" i="6"/>
  <c r="BM14" i="6"/>
  <c r="N15" i="62"/>
  <c r="P15" i="62"/>
  <c r="BK29" i="6"/>
  <c r="BM29" i="6"/>
  <c r="N10" i="62"/>
  <c r="P10" i="62"/>
  <c r="BK9" i="6"/>
  <c r="BM9" i="6"/>
  <c r="BK21" i="6"/>
  <c r="BM21" i="6"/>
  <c r="BK22" i="6"/>
  <c r="BM22" i="6"/>
  <c r="N12" i="62"/>
  <c r="P12" i="62"/>
  <c r="BK11" i="6"/>
  <c r="BM11" i="6"/>
  <c r="BL10" i="61"/>
  <c r="BK10" i="61"/>
  <c r="BK27" i="6"/>
  <c r="BM27" i="6"/>
  <c r="BK15" i="6"/>
  <c r="BM15" i="6"/>
  <c r="N16" i="62"/>
  <c r="P16" i="62"/>
  <c r="BL8" i="61"/>
  <c r="BK8" i="61"/>
  <c r="BG14" i="60"/>
  <c r="BJ11" i="61"/>
  <c r="BJ11" i="6"/>
  <c r="BJ27" i="6"/>
  <c r="BJ27" i="61"/>
  <c r="BF42" i="8"/>
  <c r="BG30" i="60"/>
  <c r="BJ15" i="61"/>
  <c r="BJ15" i="6"/>
  <c r="BG18" i="60"/>
  <c r="BG36" i="60"/>
  <c r="BJ33" i="61"/>
  <c r="BF48" i="8"/>
  <c r="BJ33" i="6"/>
  <c r="BJ30" i="6"/>
  <c r="BJ30" i="61"/>
  <c r="BG33" i="60"/>
  <c r="BF45" i="8"/>
  <c r="BJ12" i="6"/>
  <c r="BG15" i="60"/>
  <c r="BJ12" i="61"/>
  <c r="BF46" i="8"/>
  <c r="BG34" i="60"/>
  <c r="BJ31" i="61"/>
  <c r="BJ31" i="6"/>
  <c r="BG38" i="60"/>
  <c r="BJ35" i="6"/>
  <c r="BJ35" i="61"/>
  <c r="BF50" i="8"/>
  <c r="BG28" i="60"/>
  <c r="BF40" i="8"/>
  <c r="BJ25" i="6"/>
  <c r="BJ25" i="61"/>
  <c r="BF41" i="8"/>
  <c r="BJ26" i="6"/>
  <c r="BG29" i="60"/>
  <c r="BJ26" i="61"/>
  <c r="BJ7" i="61"/>
  <c r="BG10" i="60"/>
  <c r="BJ7" i="6"/>
  <c r="BG37" i="60"/>
  <c r="BJ34" i="6"/>
  <c r="BF49" i="8"/>
  <c r="BJ34" i="61"/>
  <c r="BJ19" i="61"/>
  <c r="BG22" i="60"/>
  <c r="BJ19" i="6"/>
  <c r="BG13" i="60"/>
  <c r="BJ10" i="6"/>
  <c r="BJ10" i="61"/>
  <c r="BJ32" i="6"/>
  <c r="BG35" i="60"/>
  <c r="BF47" i="8"/>
  <c r="BJ32" i="61"/>
  <c r="BJ20" i="6"/>
  <c r="BG23" i="60"/>
  <c r="BJ20" i="61"/>
  <c r="BJ28" i="61"/>
  <c r="BJ28" i="6"/>
  <c r="BG31" i="60"/>
  <c r="BF43" i="8"/>
  <c r="BG27" i="60"/>
  <c r="BJ24" i="6"/>
  <c r="BJ24" i="61"/>
  <c r="BF39" i="8"/>
  <c r="BJ23" i="6"/>
  <c r="BG26" i="60"/>
  <c r="BJ23" i="61"/>
  <c r="BG16" i="60"/>
  <c r="BJ13" i="61"/>
  <c r="BJ13" i="6"/>
  <c r="BJ17" i="61"/>
  <c r="BG20" i="60"/>
  <c r="BJ17" i="6"/>
  <c r="BG19" i="60"/>
  <c r="BJ16" i="6"/>
  <c r="BJ16" i="61"/>
  <c r="BJ8" i="6"/>
  <c r="BJ8" i="61"/>
  <c r="BG11" i="60"/>
  <c r="BG17" i="60"/>
  <c r="BJ14" i="6"/>
  <c r="BJ14" i="61"/>
  <c r="BF44" i="8"/>
  <c r="BJ29" i="61"/>
  <c r="BJ29" i="6"/>
  <c r="BG32" i="60"/>
  <c r="BJ9" i="61"/>
  <c r="BJ9" i="6"/>
  <c r="BG12" i="60"/>
  <c r="BG24" i="60"/>
  <c r="BJ21" i="6"/>
  <c r="BJ21" i="61"/>
  <c r="BJ22" i="61"/>
  <c r="BG25" i="60"/>
  <c r="BJ22" i="6"/>
  <c r="BJ5" i="6"/>
  <c r="AP38" i="6"/>
  <c r="BJ5" i="61"/>
  <c r="AP38" i="61"/>
  <c r="J49" i="4"/>
  <c r="BE9" i="60"/>
  <c r="K22" i="60"/>
  <c r="BC9" i="60"/>
  <c r="K20" i="60"/>
  <c r="N9" i="5"/>
  <c r="BF6" i="61"/>
  <c r="BF5" i="61"/>
  <c r="AN38" i="61"/>
  <c r="BH6" i="6"/>
  <c r="BH5" i="6"/>
  <c r="AN38" i="6"/>
  <c r="BB9" i="5"/>
  <c r="K33" i="8"/>
  <c r="N7" i="62"/>
  <c r="P7" i="62"/>
  <c r="K21" i="8"/>
  <c r="L21" i="8"/>
  <c r="K35" i="8"/>
  <c r="L9" i="60"/>
  <c r="N9" i="60"/>
  <c r="BH5" i="61"/>
  <c r="AO38" i="61"/>
  <c r="BK6" i="6"/>
  <c r="AP46" i="6"/>
  <c r="AP43" i="6"/>
  <c r="AP41" i="6"/>
  <c r="AP40" i="6"/>
  <c r="AP49" i="6"/>
  <c r="AP45" i="6"/>
  <c r="AP48" i="6"/>
  <c r="AP47" i="6"/>
  <c r="AP44" i="6"/>
  <c r="AP42" i="6"/>
  <c r="BL6" i="61"/>
  <c r="BK6" i="61"/>
  <c r="AP41" i="61"/>
  <c r="AO47" i="61"/>
  <c r="AO46" i="61"/>
  <c r="AP46" i="61"/>
  <c r="AO45" i="61"/>
  <c r="AO40" i="61"/>
  <c r="AP44" i="61"/>
  <c r="AP47" i="61"/>
  <c r="AP48" i="61"/>
  <c r="AO41" i="61"/>
  <c r="AP43" i="61"/>
  <c r="AO48" i="61"/>
  <c r="AO44" i="61"/>
  <c r="AO43" i="61"/>
  <c r="AP40" i="61"/>
  <c r="AO42" i="61"/>
  <c r="AP45" i="61"/>
  <c r="AP42" i="61"/>
  <c r="AO38" i="6"/>
  <c r="BM6" i="6"/>
  <c r="AO40" i="6"/>
  <c r="AO41" i="6"/>
  <c r="AO42" i="6"/>
  <c r="AO43" i="6"/>
  <c r="AO44" i="6"/>
  <c r="AO45" i="6"/>
  <c r="AO46" i="6"/>
  <c r="AO47" i="6"/>
  <c r="AO48" i="6"/>
  <c r="AO49" i="6"/>
  <c r="AO50" i="6"/>
</calcChain>
</file>

<file path=xl/comments1.xml><?xml version="1.0" encoding="utf-8"?>
<comments xmlns="http://schemas.openxmlformats.org/spreadsheetml/2006/main">
  <authors>
    <author>Leonardo</author>
  </authors>
  <commentList>
    <comment ref="C6" authorId="0">
      <text>
        <r>
          <rPr>
            <sz val="9"/>
            <color indexed="81"/>
            <rFont val="Segoe UI"/>
            <family val="2"/>
          </rPr>
          <t>Configure o ano corrente da planilha para obter os resultados corretamente.</t>
        </r>
      </text>
    </comment>
    <comment ref="I6" authorId="0">
      <text>
        <r>
          <rPr>
            <sz val="9"/>
            <color indexed="81"/>
            <rFont val="Segoe UI"/>
            <family val="2"/>
          </rPr>
          <t>Configure o mês corrente da planilha para obter os resultados corretamente.</t>
        </r>
      </text>
    </comment>
    <comment ref="C8" authorId="0">
      <text>
        <r>
          <rPr>
            <sz val="9"/>
            <color indexed="81"/>
            <rFont val="Segoe UI"/>
            <family val="2"/>
          </rPr>
          <t>Você deve configurar o salário mínimo para que o cálculo de adicional de insalubridade seja incluído na planilha. Deixe em branco para calcular a insalubridade em cima do salário base do funcionário.
Como há divergência sobre a forma correta de calcular este percentual, a planilha contemplará as duas formas para que você possa calcular de acordo com a regulamentação específica adotada no seu negócio.</t>
        </r>
      </text>
    </comment>
    <comment ref="C10" authorId="0">
      <text>
        <r>
          <rPr>
            <sz val="9"/>
            <color indexed="81"/>
            <rFont val="Segoe UI"/>
            <family val="2"/>
          </rPr>
          <t>Se você definir como pagamento de horas através de banco de horas, a planilha não fará o cálculo para identificar o valor em R$ a ser pago ao funcionário.</t>
        </r>
      </text>
    </comment>
    <comment ref="C13" authorId="0">
      <text>
        <r>
          <rPr>
            <b/>
            <sz val="9"/>
            <color indexed="81"/>
            <rFont val="Segoe UI"/>
            <family val="2"/>
          </rPr>
          <t>Leonardo:</t>
        </r>
        <r>
          <rPr>
            <sz val="9"/>
            <color indexed="81"/>
            <rFont val="Segoe UI"/>
            <family val="2"/>
          </rPr>
          <t xml:space="preserve">
Esse é o adicional padrão para horas extras em dias de semana e em horários que não estão entre 22h e 5h.</t>
        </r>
      </text>
    </comment>
    <comment ref="E13" authorId="0">
      <text>
        <r>
          <rPr>
            <sz val="9"/>
            <color indexed="81"/>
            <rFont val="Segoe UI"/>
            <family val="2"/>
          </rPr>
          <t>Você pode definir um adicional diferenciado para sábados.</t>
        </r>
      </text>
    </comment>
    <comment ref="F13" authorId="0">
      <text>
        <r>
          <rPr>
            <sz val="9"/>
            <color indexed="81"/>
            <rFont val="Segoe UI"/>
            <family val="2"/>
          </rPr>
          <t>Você pode definir um adicional diferenciado para domingos.</t>
        </r>
      </text>
    </comment>
    <comment ref="H13" authorId="0">
      <text>
        <r>
          <rPr>
            <sz val="9"/>
            <color indexed="81"/>
            <rFont val="Segoe UI"/>
            <family val="2"/>
          </rPr>
          <t>Defina o % adicional para o Descanso Semanal Remunerado. Normalmente, ele é de 50%.</t>
        </r>
      </text>
    </comment>
    <comment ref="I13" authorId="0">
      <text>
        <r>
          <rPr>
            <sz val="9"/>
            <color indexed="81"/>
            <rFont val="Segoe UI"/>
            <family val="2"/>
          </rPr>
          <t>Feriados costumam ter 100% de adicional, mas a planilha permite que você estipule seu percentual, pois se for em escala de revesamento, o % é de apenas 50%, por exemplo.</t>
        </r>
      </text>
    </comment>
    <comment ref="K13" authorId="0">
      <text>
        <r>
          <rPr>
            <sz val="9"/>
            <color indexed="81"/>
            <rFont val="Segoe UI"/>
            <family val="2"/>
          </rPr>
          <t>Alguns tipos de trabalho possuem um % de periculosidade. Normalmente, esse valor é de 30% e será calculado diretamente sobre o salário base do funcionário.</t>
        </r>
      </text>
    </comment>
    <comment ref="L13" authorId="0">
      <text>
        <r>
          <rPr>
            <sz val="9"/>
            <color indexed="81"/>
            <rFont val="Segoe UI"/>
            <family val="2"/>
          </rPr>
          <t>Alguns tipos de trabalho possuem um % de insalubridade. O Adicional de insalubridade pode ser calculado sobre o salário mínimo ou sobre o salário base. Como não há um veredicto definitivo sobre o assunto, informe o salário mínimo para que o adicional seja calculado sobre este, ou deixe em branco para calcular o adicional em cima do salário base de cada funcionário.</t>
        </r>
      </text>
    </comment>
    <comment ref="C16" authorId="0">
      <text>
        <r>
          <rPr>
            <sz val="9"/>
            <color indexed="81"/>
            <rFont val="Segoe UI"/>
            <family val="2"/>
          </rPr>
          <t>Todo funcionário tem direito de ficar 11h de descanso entre uma jornada de trabalho e outra. Caso isso não ocorra e o funcionário tenha que iniciar uma jornada antes dessas 11h, configura a Intrajornada.</t>
        </r>
      </text>
    </comment>
    <comment ref="I16" authorId="0">
      <text>
        <r>
          <rPr>
            <sz val="9"/>
            <color indexed="81"/>
            <rFont val="Segoe UI"/>
            <family val="2"/>
          </rPr>
          <t>O funcionário que possui uma jornada de mais de 6h de trabalho tem direito a ter 1h de intervalo. Qualquer hora trabalhada nesse período configura a Interjornada. O percentual adicional médio é de 50%.</t>
        </r>
      </text>
    </comment>
    <comment ref="C19" authorId="0">
      <text>
        <r>
          <rPr>
            <sz val="12"/>
            <color indexed="81"/>
            <rFont val="Calibri"/>
            <family val="2"/>
          </rPr>
          <t>Use este campo para descrever os funcionários caso você precise dividir os funcionários em mais de uma planilha, ou seja, caso tenha mais de 30 funcionários a cadastrar.</t>
        </r>
      </text>
    </comment>
  </commentList>
</comments>
</file>

<file path=xl/comments2.xml><?xml version="1.0" encoding="utf-8"?>
<comments xmlns="http://schemas.openxmlformats.org/spreadsheetml/2006/main">
  <authors>
    <author>Leonardo</author>
  </authors>
  <commentList>
    <comment ref="C7" authorId="0">
      <text>
        <r>
          <rPr>
            <sz val="12"/>
            <color indexed="81"/>
            <rFont val="Calibri"/>
            <family val="2"/>
          </rPr>
          <t>Utilize este menu para navegar entre os funcionários.</t>
        </r>
      </text>
    </comment>
    <comment ref="G7" authorId="0">
      <text>
        <r>
          <rPr>
            <sz val="9"/>
            <color indexed="81"/>
            <rFont val="Segoe UI"/>
            <family val="2"/>
          </rPr>
          <t>Defina se este é um dia normal, feriado, Folga (DSR), Feriado ou uma Ausência Justificada (AJ). Ao definir uma AJ, a planilha não vai considerar atrasos ou ausências neste dia e fará os cálculos como se o funcionário tivesse cumprido as horas normalmente.</t>
        </r>
      </text>
    </comment>
    <comment ref="M7" authorId="0">
      <text>
        <r>
          <rPr>
            <sz val="9"/>
            <color indexed="81"/>
            <rFont val="Segoe UI"/>
            <family val="2"/>
          </rPr>
          <t>Total de horas trabalhadas no dia (horas normais + horas extras)</t>
        </r>
      </text>
    </comment>
    <comment ref="O7" authorId="0">
      <text>
        <r>
          <rPr>
            <sz val="9"/>
            <color indexed="81"/>
            <rFont val="Segoe UI"/>
            <family val="2"/>
          </rPr>
          <t>Se o funcionário saiu mais cedo ou entrou mais tarde, isso entre como horas devidas que podem ser descontadas em folha.</t>
        </r>
      </text>
    </comment>
    <comment ref="Q7" authorId="0">
      <text>
        <r>
          <rPr>
            <sz val="9"/>
            <color indexed="81"/>
            <rFont val="Segoe UI"/>
            <family val="2"/>
          </rPr>
          <t>Total de horas extras acumuladas em cada dia.</t>
        </r>
      </text>
    </comment>
    <comment ref="S8" authorId="0">
      <text>
        <r>
          <rPr>
            <sz val="9"/>
            <color indexed="81"/>
            <rFont val="Segoe UI"/>
            <family val="2"/>
          </rPr>
          <t>Total de horas trabalhadas no mês (horas normais + horas extras - horas devidas)</t>
        </r>
      </text>
    </comment>
    <comment ref="S10" authorId="0">
      <text>
        <r>
          <rPr>
            <sz val="9"/>
            <color indexed="81"/>
            <rFont val="Segoe UI"/>
            <family val="2"/>
          </rPr>
          <t>Total acumulado no banco de horas (meses anteriores + mês atual - horas devidas)</t>
        </r>
      </text>
    </comment>
  </commentList>
</comments>
</file>

<file path=xl/comments3.xml><?xml version="1.0" encoding="utf-8"?>
<comments xmlns="http://schemas.openxmlformats.org/spreadsheetml/2006/main">
  <authors>
    <author>Leonardo</author>
  </authors>
  <commentList>
    <comment ref="C7" authorId="0">
      <text>
        <r>
          <rPr>
            <sz val="12"/>
            <color indexed="81"/>
            <rFont val="Calibri"/>
            <family val="2"/>
          </rPr>
          <t>Utilize este menu para navegar entre os funcionários.</t>
        </r>
      </text>
    </comment>
    <comment ref="G7" authorId="0">
      <text>
        <r>
          <rPr>
            <sz val="9"/>
            <color indexed="81"/>
            <rFont val="Segoe UI"/>
            <family val="2"/>
          </rPr>
          <t>Defina se este é um dia normal, feriado, Folga (DSR), Feriado ou uma Ausência Justificada (AJ). Ao definir uma AJ, a planilha não vai considerar atrasos ou ausências neste dia e fará os cálculos como se o funcionário tivesse cumprido as horas normalmente.</t>
        </r>
      </text>
    </comment>
    <comment ref="M7" authorId="0">
      <text>
        <r>
          <rPr>
            <sz val="9"/>
            <color indexed="81"/>
            <rFont val="Segoe UI"/>
            <family val="2"/>
          </rPr>
          <t>Total de horas trabalhadas no dia (horas normais + horas extras)</t>
        </r>
      </text>
    </comment>
    <comment ref="O7" authorId="0">
      <text>
        <r>
          <rPr>
            <sz val="9"/>
            <color indexed="81"/>
            <rFont val="Segoe UI"/>
            <family val="2"/>
          </rPr>
          <t>Se o funcionário saiu mais cedo ou entrou mais tarde, isso entre como horas devidas que podem ser descontadas em folha.</t>
        </r>
      </text>
    </comment>
    <comment ref="Q7" authorId="0">
      <text>
        <r>
          <rPr>
            <sz val="9"/>
            <color indexed="81"/>
            <rFont val="Segoe UI"/>
            <family val="2"/>
          </rPr>
          <t>Total de horas extras acumuladas em cada dia.</t>
        </r>
      </text>
    </comment>
    <comment ref="S8" authorId="0">
      <text>
        <r>
          <rPr>
            <sz val="9"/>
            <color indexed="81"/>
            <rFont val="Segoe UI"/>
            <family val="2"/>
          </rPr>
          <t>Total de horas trabalhadas no mês (horas normais + horas extras - horas devidas)</t>
        </r>
      </text>
    </comment>
    <comment ref="S10" authorId="0">
      <text>
        <r>
          <rPr>
            <sz val="9"/>
            <color indexed="81"/>
            <rFont val="Segoe UI"/>
            <family val="2"/>
          </rPr>
          <t>Total acumulado no banco de horas (meses anteriores + mês atual - horas devidas)</t>
        </r>
      </text>
    </comment>
  </commentList>
</comments>
</file>

<file path=xl/comments4.xml><?xml version="1.0" encoding="utf-8"?>
<comments xmlns="http://schemas.openxmlformats.org/spreadsheetml/2006/main">
  <authors>
    <author>Leonardo</author>
  </authors>
  <commentList>
    <comment ref="C7" authorId="0">
      <text>
        <r>
          <rPr>
            <sz val="12"/>
            <color indexed="81"/>
            <rFont val="Calibri"/>
            <family val="2"/>
          </rPr>
          <t>Utilize este menu para navegar entre os funcionários.</t>
        </r>
      </text>
    </comment>
    <comment ref="G7" authorId="0">
      <text>
        <r>
          <rPr>
            <sz val="9"/>
            <color indexed="81"/>
            <rFont val="Segoe UI"/>
            <family val="2"/>
          </rPr>
          <t>Defina se este é um dia normal, feriado, Folga (DSR), Feriado ou uma Ausência Justificada (AJ). Ao definir uma AJ, a planilha não vai considerar atrasos ou ausências neste dia e fará os cálculos como se o funcionário tivesse cumprido as horas normalmente.</t>
        </r>
      </text>
    </comment>
    <comment ref="M7" authorId="0">
      <text>
        <r>
          <rPr>
            <sz val="9"/>
            <color indexed="81"/>
            <rFont val="Segoe UI"/>
            <family val="2"/>
          </rPr>
          <t>Total de horas trabalhadas no dia (horas normais + horas extras)</t>
        </r>
      </text>
    </comment>
    <comment ref="O7" authorId="0">
      <text>
        <r>
          <rPr>
            <sz val="9"/>
            <color indexed="81"/>
            <rFont val="Segoe UI"/>
            <family val="2"/>
          </rPr>
          <t>Se o funcionário saiu mais cedo ou entrou mais tarde, isso entre como horas devidas que podem ser descontadas em folha.</t>
        </r>
      </text>
    </comment>
    <comment ref="Q7" authorId="0">
      <text>
        <r>
          <rPr>
            <sz val="9"/>
            <color indexed="81"/>
            <rFont val="Segoe UI"/>
            <family val="2"/>
          </rPr>
          <t>Total de horas extras acumuladas em cada dia.</t>
        </r>
      </text>
    </comment>
    <comment ref="S8" authorId="0">
      <text>
        <r>
          <rPr>
            <sz val="9"/>
            <color indexed="81"/>
            <rFont val="Segoe UI"/>
            <family val="2"/>
          </rPr>
          <t>Total de horas trabalhadas no mês (horas normais + horas extras - horas devidas)</t>
        </r>
      </text>
    </comment>
    <comment ref="S10" authorId="0">
      <text>
        <r>
          <rPr>
            <sz val="9"/>
            <color indexed="81"/>
            <rFont val="Segoe UI"/>
            <family val="2"/>
          </rPr>
          <t>Total acumulado no banco de horas (meses anteriores + mês atual - horas devidas)</t>
        </r>
      </text>
    </comment>
  </commentList>
</comments>
</file>

<file path=xl/comments5.xml><?xml version="1.0" encoding="utf-8"?>
<comments xmlns="http://schemas.openxmlformats.org/spreadsheetml/2006/main">
  <authors>
    <author>Leonardo</author>
  </authors>
  <commentList>
    <comment ref="C7" authorId="0">
      <text>
        <r>
          <rPr>
            <sz val="12"/>
            <color indexed="81"/>
            <rFont val="Calibri"/>
            <family val="2"/>
          </rPr>
          <t>Utilize este menu para navegar entre os funcionários.</t>
        </r>
      </text>
    </comment>
    <comment ref="G7" authorId="0">
      <text>
        <r>
          <rPr>
            <sz val="9"/>
            <color indexed="81"/>
            <rFont val="Segoe UI"/>
            <family val="2"/>
          </rPr>
          <t>Defina se este é um dia normal, feriado, Folga (DSR), Feriado ou uma Ausência Justificada (AJ). Ao definir uma AJ, a planilha não vai considerar atrasos ou ausências neste dia e fará os cálculos como se o funcionário tivesse cumprido as horas normalmente.</t>
        </r>
      </text>
    </comment>
    <comment ref="M7" authorId="0">
      <text>
        <r>
          <rPr>
            <sz val="9"/>
            <color indexed="81"/>
            <rFont val="Segoe UI"/>
            <family val="2"/>
          </rPr>
          <t>Total de horas trabalhadas no dia (horas normais + horas extras)</t>
        </r>
      </text>
    </comment>
    <comment ref="O7" authorId="0">
      <text>
        <r>
          <rPr>
            <sz val="9"/>
            <color indexed="81"/>
            <rFont val="Segoe UI"/>
            <family val="2"/>
          </rPr>
          <t>Se o funcionário saiu mais cedo ou entrou mais tarde, isso entre como horas devidas que podem ser descontadas em folha.</t>
        </r>
      </text>
    </comment>
    <comment ref="Q7" authorId="0">
      <text>
        <r>
          <rPr>
            <sz val="9"/>
            <color indexed="81"/>
            <rFont val="Segoe UI"/>
            <family val="2"/>
          </rPr>
          <t>Total de horas extras acumuladas em cada dia.</t>
        </r>
      </text>
    </comment>
    <comment ref="S8" authorId="0">
      <text>
        <r>
          <rPr>
            <sz val="9"/>
            <color indexed="81"/>
            <rFont val="Segoe UI"/>
            <family val="2"/>
          </rPr>
          <t>Total de horas trabalhadas no mês (horas normais + horas extras - horas devidas)</t>
        </r>
      </text>
    </comment>
    <comment ref="S10" authorId="0">
      <text>
        <r>
          <rPr>
            <sz val="9"/>
            <color indexed="81"/>
            <rFont val="Segoe UI"/>
            <family val="2"/>
          </rPr>
          <t>Total acumulado no banco de horas (meses anteriores + mês atual - horas devidas)</t>
        </r>
      </text>
    </comment>
  </commentList>
</comments>
</file>

<file path=xl/comments6.xml><?xml version="1.0" encoding="utf-8"?>
<comments xmlns="http://schemas.openxmlformats.org/spreadsheetml/2006/main">
  <authors>
    <author>Leonardo</author>
  </authors>
  <commentList>
    <comment ref="C7" authorId="0">
      <text>
        <r>
          <rPr>
            <sz val="12"/>
            <color indexed="81"/>
            <rFont val="Calibri"/>
            <family val="2"/>
          </rPr>
          <t>Utilize este menu para navegar entre os funcionários.</t>
        </r>
      </text>
    </comment>
    <comment ref="G7" authorId="0">
      <text>
        <r>
          <rPr>
            <sz val="9"/>
            <color indexed="81"/>
            <rFont val="Segoe UI"/>
            <family val="2"/>
          </rPr>
          <t>Defina se este é um dia normal, feriado, Folga (DSR), Feriado ou uma Ausência Justificada (AJ). Ao definir uma AJ, a planilha não vai considerar atrasos ou ausências neste dia e fará os cálculos como se o funcionário tivesse cumprido as horas normalmente.</t>
        </r>
      </text>
    </comment>
    <comment ref="M7" authorId="0">
      <text>
        <r>
          <rPr>
            <sz val="9"/>
            <color indexed="81"/>
            <rFont val="Segoe UI"/>
            <family val="2"/>
          </rPr>
          <t>Total de horas trabalhadas no dia (horas normais + horas extras)</t>
        </r>
      </text>
    </comment>
    <comment ref="O7" authorId="0">
      <text>
        <r>
          <rPr>
            <sz val="9"/>
            <color indexed="81"/>
            <rFont val="Segoe UI"/>
            <family val="2"/>
          </rPr>
          <t>Se o funcionário saiu mais cedo ou entrou mais tarde, isso entre como horas devidas que podem ser descontadas em folha.</t>
        </r>
      </text>
    </comment>
    <comment ref="Q7" authorId="0">
      <text>
        <r>
          <rPr>
            <sz val="9"/>
            <color indexed="81"/>
            <rFont val="Segoe UI"/>
            <family val="2"/>
          </rPr>
          <t>Total de horas extras acumuladas em cada dia.</t>
        </r>
      </text>
    </comment>
    <comment ref="S8" authorId="0">
      <text>
        <r>
          <rPr>
            <sz val="9"/>
            <color indexed="81"/>
            <rFont val="Segoe UI"/>
            <family val="2"/>
          </rPr>
          <t>Total de horas trabalhadas no mês (horas normais + horas extras - horas devidas)</t>
        </r>
      </text>
    </comment>
    <comment ref="S10" authorId="0">
      <text>
        <r>
          <rPr>
            <sz val="9"/>
            <color indexed="81"/>
            <rFont val="Segoe UI"/>
            <family val="2"/>
          </rPr>
          <t>Total acumulado no banco de horas (meses anteriores + mês atual - horas devidas)</t>
        </r>
      </text>
    </comment>
  </commentList>
</comments>
</file>

<file path=xl/comments7.xml><?xml version="1.0" encoding="utf-8"?>
<comments xmlns="http://schemas.openxmlformats.org/spreadsheetml/2006/main">
  <authors>
    <author>Leonardo</author>
  </authors>
  <commentList>
    <comment ref="C7" authorId="0">
      <text>
        <r>
          <rPr>
            <sz val="12"/>
            <color indexed="81"/>
            <rFont val="Calibri"/>
            <family val="2"/>
          </rPr>
          <t>Utilize este menu para navegar entre os funcionários.</t>
        </r>
      </text>
    </comment>
    <comment ref="G7" authorId="0">
      <text>
        <r>
          <rPr>
            <sz val="9"/>
            <color indexed="81"/>
            <rFont val="Segoe UI"/>
            <family val="2"/>
          </rPr>
          <t>Defina se este é um dia normal, feriado, Folga (DSR), Feriado ou uma Ausência Justificada (AJ). Ao definir uma AJ, a planilha não vai considerar atrasos ou ausências neste dia e fará os cálculos como se o funcionário tivesse cumprido as horas normalmente.</t>
        </r>
      </text>
    </comment>
    <comment ref="M7" authorId="0">
      <text>
        <r>
          <rPr>
            <sz val="9"/>
            <color indexed="81"/>
            <rFont val="Segoe UI"/>
            <family val="2"/>
          </rPr>
          <t>Total de horas trabalhadas no dia (horas normais + horas extras)</t>
        </r>
      </text>
    </comment>
    <comment ref="O7" authorId="0">
      <text>
        <r>
          <rPr>
            <sz val="9"/>
            <color indexed="81"/>
            <rFont val="Segoe UI"/>
            <family val="2"/>
          </rPr>
          <t>Se o funcionário saiu mais cedo ou entrou mais tarde, isso entre como horas devidas que podem ser descontadas em folha.</t>
        </r>
      </text>
    </comment>
    <comment ref="Q7" authorId="0">
      <text>
        <r>
          <rPr>
            <sz val="9"/>
            <color indexed="81"/>
            <rFont val="Segoe UI"/>
            <family val="2"/>
          </rPr>
          <t>Total de horas extras acumuladas em cada dia.</t>
        </r>
      </text>
    </comment>
    <comment ref="S8" authorId="0">
      <text>
        <r>
          <rPr>
            <sz val="9"/>
            <color indexed="81"/>
            <rFont val="Segoe UI"/>
            <family val="2"/>
          </rPr>
          <t>Total de horas trabalhadas no mês (horas normais + horas extras - horas devidas)</t>
        </r>
      </text>
    </comment>
    <comment ref="S10" authorId="0">
      <text>
        <r>
          <rPr>
            <sz val="9"/>
            <color indexed="81"/>
            <rFont val="Segoe UI"/>
            <family val="2"/>
          </rPr>
          <t>Total acumulado no banco de horas (meses anteriores + mês atual - horas devidas)</t>
        </r>
      </text>
    </comment>
  </commentList>
</comments>
</file>

<file path=xl/comments8.xml><?xml version="1.0" encoding="utf-8"?>
<comments xmlns="http://schemas.openxmlformats.org/spreadsheetml/2006/main">
  <authors>
    <author>Leonardo</author>
  </authors>
  <commentList>
    <comment ref="C7" authorId="0">
      <text>
        <r>
          <rPr>
            <sz val="12"/>
            <color indexed="81"/>
            <rFont val="Calibri"/>
            <family val="2"/>
          </rPr>
          <t>Utilize este menu para navegar entre os funcionários.</t>
        </r>
      </text>
    </comment>
    <comment ref="G7" authorId="0">
      <text>
        <r>
          <rPr>
            <sz val="9"/>
            <color indexed="81"/>
            <rFont val="Segoe UI"/>
            <family val="2"/>
          </rPr>
          <t>Defina se este é um dia normal, feriado, Folga (DSR), Feriado ou uma Ausência Justificada (AJ). Ao definir uma AJ, a planilha não vai considerar atrasos ou ausências neste dia e fará os cálculos como se o funcionário tivesse cumprido as horas normalmente.</t>
        </r>
      </text>
    </comment>
    <comment ref="M7" authorId="0">
      <text>
        <r>
          <rPr>
            <sz val="9"/>
            <color indexed="81"/>
            <rFont val="Segoe UI"/>
            <family val="2"/>
          </rPr>
          <t>Total de horas trabalhadas no dia (horas normais + horas extras)</t>
        </r>
      </text>
    </comment>
    <comment ref="O7" authorId="0">
      <text>
        <r>
          <rPr>
            <sz val="9"/>
            <color indexed="81"/>
            <rFont val="Segoe UI"/>
            <family val="2"/>
          </rPr>
          <t>Se o funcionário saiu mais cedo ou entrou mais tarde, isso entre como horas devidas que podem ser descontadas em folha.</t>
        </r>
      </text>
    </comment>
    <comment ref="Q7" authorId="0">
      <text>
        <r>
          <rPr>
            <sz val="9"/>
            <color indexed="81"/>
            <rFont val="Segoe UI"/>
            <family val="2"/>
          </rPr>
          <t>Total de horas extras acumuladas em cada dia.</t>
        </r>
      </text>
    </comment>
    <comment ref="S8" authorId="0">
      <text>
        <r>
          <rPr>
            <sz val="9"/>
            <color indexed="81"/>
            <rFont val="Segoe UI"/>
            <family val="2"/>
          </rPr>
          <t>Total de horas trabalhadas no mês (horas normais + horas extras - horas devidas)</t>
        </r>
      </text>
    </comment>
    <comment ref="S10" authorId="0">
      <text>
        <r>
          <rPr>
            <sz val="9"/>
            <color indexed="81"/>
            <rFont val="Segoe UI"/>
            <family val="2"/>
          </rPr>
          <t>Total acumulado no banco de horas (meses anteriores + mês atual - horas devidas)</t>
        </r>
      </text>
    </comment>
  </commentList>
</comments>
</file>

<file path=xl/comments9.xml><?xml version="1.0" encoding="utf-8"?>
<comments xmlns="http://schemas.openxmlformats.org/spreadsheetml/2006/main">
  <authors>
    <author>Leonardo</author>
  </authors>
  <commentList>
    <comment ref="C7" authorId="0">
      <text>
        <r>
          <rPr>
            <sz val="12"/>
            <color indexed="81"/>
            <rFont val="Calibri"/>
            <family val="2"/>
          </rPr>
          <t>Utilize este menu para navegar entre os funcionários.</t>
        </r>
      </text>
    </comment>
    <comment ref="G7" authorId="0">
      <text>
        <r>
          <rPr>
            <sz val="9"/>
            <color indexed="81"/>
            <rFont val="Segoe UI"/>
            <family val="2"/>
          </rPr>
          <t>Defina se este é um dia normal, feriado, Folga (DSR), Feriado ou uma Ausência Justificada (AJ). Ao definir uma AJ, a planilha não vai considerar atrasos ou ausências neste dia e fará os cálculos como se o funcionário tivesse cumprido as horas normalmente.</t>
        </r>
      </text>
    </comment>
    <comment ref="M7" authorId="0">
      <text>
        <r>
          <rPr>
            <sz val="9"/>
            <color indexed="81"/>
            <rFont val="Segoe UI"/>
            <family val="2"/>
          </rPr>
          <t>Total de horas trabalhadas no dia (horas normais + horas extras)</t>
        </r>
      </text>
    </comment>
    <comment ref="O7" authorId="0">
      <text>
        <r>
          <rPr>
            <sz val="9"/>
            <color indexed="81"/>
            <rFont val="Segoe UI"/>
            <family val="2"/>
          </rPr>
          <t>Se o funcionário saiu mais cedo ou entrou mais tarde, isso entre como horas devidas que podem ser descontadas em folha.</t>
        </r>
      </text>
    </comment>
    <comment ref="Q7" authorId="0">
      <text>
        <r>
          <rPr>
            <sz val="9"/>
            <color indexed="81"/>
            <rFont val="Segoe UI"/>
            <family val="2"/>
          </rPr>
          <t>Total de horas extras acumuladas em cada dia.</t>
        </r>
      </text>
    </comment>
    <comment ref="S8" authorId="0">
      <text>
        <r>
          <rPr>
            <sz val="9"/>
            <color indexed="81"/>
            <rFont val="Segoe UI"/>
            <family val="2"/>
          </rPr>
          <t>Total de horas trabalhadas no mês (horas normais + horas extras - horas devidas)</t>
        </r>
      </text>
    </comment>
    <comment ref="S10" authorId="0">
      <text>
        <r>
          <rPr>
            <sz val="9"/>
            <color indexed="81"/>
            <rFont val="Segoe UI"/>
            <family val="2"/>
          </rPr>
          <t>Total acumulado no banco de horas (meses anteriores + mês atual - horas devidas)</t>
        </r>
      </text>
    </comment>
  </commentList>
</comments>
</file>

<file path=xl/comments10.xml><?xml version="1.0" encoding="utf-8"?>
<comments xmlns="http://schemas.openxmlformats.org/spreadsheetml/2006/main">
  <authors>
    <author>Leonardo</author>
  </authors>
  <commentList>
    <comment ref="C7" authorId="0">
      <text>
        <r>
          <rPr>
            <sz val="12"/>
            <color indexed="81"/>
            <rFont val="Calibri"/>
            <family val="2"/>
          </rPr>
          <t>Utilize este menu para navegar entre os funcionários.</t>
        </r>
      </text>
    </comment>
    <comment ref="G7" authorId="0">
      <text>
        <r>
          <rPr>
            <sz val="9"/>
            <color indexed="81"/>
            <rFont val="Segoe UI"/>
            <family val="2"/>
          </rPr>
          <t>Defina se este é um dia normal, feriado, Folga (DSR), Feriado ou uma Ausência Justificada (AJ). Ao definir uma AJ, a planilha não vai considerar atrasos ou ausências neste dia e fará os cálculos como se o funcionário tivesse cumprido as horas normalmente.</t>
        </r>
      </text>
    </comment>
    <comment ref="M7" authorId="0">
      <text>
        <r>
          <rPr>
            <sz val="9"/>
            <color indexed="81"/>
            <rFont val="Segoe UI"/>
            <family val="2"/>
          </rPr>
          <t>Total de horas trabalhadas no dia (horas normais + horas extras)</t>
        </r>
      </text>
    </comment>
    <comment ref="O7" authorId="0">
      <text>
        <r>
          <rPr>
            <sz val="9"/>
            <color indexed="81"/>
            <rFont val="Segoe UI"/>
            <family val="2"/>
          </rPr>
          <t>Se o funcionário saiu mais cedo ou entrou mais tarde, isso entre como horas devidas que podem ser descontadas em folha.</t>
        </r>
      </text>
    </comment>
    <comment ref="Q7" authorId="0">
      <text>
        <r>
          <rPr>
            <sz val="9"/>
            <color indexed="81"/>
            <rFont val="Segoe UI"/>
            <family val="2"/>
          </rPr>
          <t>Total de horas extras acumuladas em cada dia.</t>
        </r>
      </text>
    </comment>
    <comment ref="S8" authorId="0">
      <text>
        <r>
          <rPr>
            <sz val="9"/>
            <color indexed="81"/>
            <rFont val="Segoe UI"/>
            <family val="2"/>
          </rPr>
          <t>Total de horas trabalhadas no mês (horas normais + horas extras - horas devidas)</t>
        </r>
      </text>
    </comment>
    <comment ref="S10" authorId="0">
      <text>
        <r>
          <rPr>
            <sz val="9"/>
            <color indexed="81"/>
            <rFont val="Segoe UI"/>
            <family val="2"/>
          </rPr>
          <t>Total acumulado no banco de horas (meses anteriores + mês atual - horas devidas)</t>
        </r>
      </text>
    </comment>
  </commentList>
</comments>
</file>

<file path=xl/comments11.xml><?xml version="1.0" encoding="utf-8"?>
<comments xmlns="http://schemas.openxmlformats.org/spreadsheetml/2006/main">
  <authors>
    <author>Leonardo</author>
  </authors>
  <commentList>
    <comment ref="C7" authorId="0">
      <text>
        <r>
          <rPr>
            <sz val="12"/>
            <color indexed="81"/>
            <rFont val="Calibri"/>
            <family val="2"/>
          </rPr>
          <t>Utilize este menu para navegar entre os funcionários.</t>
        </r>
      </text>
    </comment>
    <comment ref="G7" authorId="0">
      <text>
        <r>
          <rPr>
            <sz val="9"/>
            <color indexed="81"/>
            <rFont val="Segoe UI"/>
            <family val="2"/>
          </rPr>
          <t>Defina se este é um dia normal, feriado, Folga (DSR), Feriado ou uma Ausência Justificada (AJ). Ao definir uma AJ, a planilha não vai considerar atrasos ou ausências neste dia e fará os cálculos como se o funcionário tivesse cumprido as horas normalmente.</t>
        </r>
      </text>
    </comment>
    <comment ref="M7" authorId="0">
      <text>
        <r>
          <rPr>
            <sz val="9"/>
            <color indexed="81"/>
            <rFont val="Segoe UI"/>
            <family val="2"/>
          </rPr>
          <t>Total de horas trabalhadas no dia (horas normais + horas extras)</t>
        </r>
      </text>
    </comment>
    <comment ref="O7" authorId="0">
      <text>
        <r>
          <rPr>
            <sz val="9"/>
            <color indexed="81"/>
            <rFont val="Segoe UI"/>
            <family val="2"/>
          </rPr>
          <t>Se o funcionário saiu mais cedo ou entrou mais tarde, isso entre como horas devidas que podem ser descontadas em folha.</t>
        </r>
      </text>
    </comment>
    <comment ref="Q7" authorId="0">
      <text>
        <r>
          <rPr>
            <sz val="9"/>
            <color indexed="81"/>
            <rFont val="Segoe UI"/>
            <family val="2"/>
          </rPr>
          <t>Total de horas extras acumuladas em cada dia.</t>
        </r>
      </text>
    </comment>
    <comment ref="S8" authorId="0">
      <text>
        <r>
          <rPr>
            <sz val="9"/>
            <color indexed="81"/>
            <rFont val="Segoe UI"/>
            <family val="2"/>
          </rPr>
          <t>Total de horas trabalhadas no mês (horas normais + horas extras - horas devidas)</t>
        </r>
      </text>
    </comment>
    <comment ref="S10" authorId="0">
      <text>
        <r>
          <rPr>
            <sz val="9"/>
            <color indexed="81"/>
            <rFont val="Segoe UI"/>
            <family val="2"/>
          </rPr>
          <t>Total acumulado no banco de horas (meses anteriores + mês atual - horas devidas)</t>
        </r>
      </text>
    </comment>
  </commentList>
</comments>
</file>

<file path=xl/comments12.xml><?xml version="1.0" encoding="utf-8"?>
<comments xmlns="http://schemas.openxmlformats.org/spreadsheetml/2006/main">
  <authors>
    <author>Leonardo</author>
  </authors>
  <commentList>
    <comment ref="C7" authorId="0">
      <text>
        <r>
          <rPr>
            <sz val="12"/>
            <color indexed="81"/>
            <rFont val="Calibri"/>
            <family val="2"/>
          </rPr>
          <t>Utilize este menu para navegar entre os funcionários.</t>
        </r>
      </text>
    </comment>
    <comment ref="G7" authorId="0">
      <text>
        <r>
          <rPr>
            <sz val="9"/>
            <color indexed="81"/>
            <rFont val="Segoe UI"/>
            <family val="2"/>
          </rPr>
          <t>Defina se este é um dia normal, feriado, Folga (DSR), Feriado ou uma Ausência Justificada (AJ). Ao definir uma AJ, a planilha não vai considerar atrasos ou ausências neste dia e fará os cálculos como se o funcionário tivesse cumprido as horas normalmente.</t>
        </r>
      </text>
    </comment>
    <comment ref="M7" authorId="0">
      <text>
        <r>
          <rPr>
            <sz val="9"/>
            <color indexed="81"/>
            <rFont val="Segoe UI"/>
            <family val="2"/>
          </rPr>
          <t>Total de horas trabalhadas no dia (horas normais + horas extras)</t>
        </r>
      </text>
    </comment>
    <comment ref="O7" authorId="0">
      <text>
        <r>
          <rPr>
            <sz val="9"/>
            <color indexed="81"/>
            <rFont val="Segoe UI"/>
            <family val="2"/>
          </rPr>
          <t>Se o funcionário saiu mais cedo ou entrou mais tarde, isso entre como horas devidas que podem ser descontadas em folha.</t>
        </r>
      </text>
    </comment>
    <comment ref="Q7" authorId="0">
      <text>
        <r>
          <rPr>
            <sz val="9"/>
            <color indexed="81"/>
            <rFont val="Segoe UI"/>
            <family val="2"/>
          </rPr>
          <t>Total de horas extras acumuladas em cada dia.</t>
        </r>
      </text>
    </comment>
    <comment ref="S8" authorId="0">
      <text>
        <r>
          <rPr>
            <sz val="9"/>
            <color indexed="81"/>
            <rFont val="Segoe UI"/>
            <family val="2"/>
          </rPr>
          <t>Total de horas trabalhadas no mês (horas normais + horas extras - horas devidas)</t>
        </r>
      </text>
    </comment>
    <comment ref="S10" authorId="0">
      <text>
        <r>
          <rPr>
            <sz val="9"/>
            <color indexed="81"/>
            <rFont val="Segoe UI"/>
            <family val="2"/>
          </rPr>
          <t>Total acumulado no banco de horas (meses anteriores + mês atual - horas devidas)</t>
        </r>
      </text>
    </comment>
  </commentList>
</comments>
</file>

<file path=xl/comments13.xml><?xml version="1.0" encoding="utf-8"?>
<comments xmlns="http://schemas.openxmlformats.org/spreadsheetml/2006/main">
  <authors>
    <author>Leonardo</author>
  </authors>
  <commentList>
    <comment ref="C7" authorId="0">
      <text>
        <r>
          <rPr>
            <sz val="12"/>
            <color indexed="81"/>
            <rFont val="Calibri"/>
            <family val="2"/>
          </rPr>
          <t>Utilize este menu para navegar entre os funcionários.</t>
        </r>
      </text>
    </comment>
    <comment ref="G7" authorId="0">
      <text>
        <r>
          <rPr>
            <sz val="9"/>
            <color indexed="81"/>
            <rFont val="Segoe UI"/>
            <family val="2"/>
          </rPr>
          <t>Defina se este é um dia normal, feriado, Folga (DSR), Feriado ou uma Ausência Justificada (AJ). Ao definir uma AJ, a planilha não vai considerar atrasos ou ausências neste dia e fará os cálculos como se o funcionário tivesse cumprido as horas normalmente.</t>
        </r>
      </text>
    </comment>
    <comment ref="M7" authorId="0">
      <text>
        <r>
          <rPr>
            <sz val="9"/>
            <color indexed="81"/>
            <rFont val="Segoe UI"/>
            <family val="2"/>
          </rPr>
          <t>Total de horas trabalhadas no dia (horas normais + horas extras)</t>
        </r>
      </text>
    </comment>
    <comment ref="O7" authorId="0">
      <text>
        <r>
          <rPr>
            <sz val="9"/>
            <color indexed="81"/>
            <rFont val="Segoe UI"/>
            <family val="2"/>
          </rPr>
          <t>Se o funcionário saiu mais cedo ou entrou mais tarde, isso entre como horas devidas que podem ser descontadas em folha.</t>
        </r>
      </text>
    </comment>
    <comment ref="Q7" authorId="0">
      <text>
        <r>
          <rPr>
            <sz val="9"/>
            <color indexed="81"/>
            <rFont val="Segoe UI"/>
            <family val="2"/>
          </rPr>
          <t>Total de horas extras acumuladas em cada dia.</t>
        </r>
      </text>
    </comment>
    <comment ref="S8" authorId="0">
      <text>
        <r>
          <rPr>
            <sz val="9"/>
            <color indexed="81"/>
            <rFont val="Segoe UI"/>
            <family val="2"/>
          </rPr>
          <t>Total de horas trabalhadas no mês (horas normais + horas extras - horas devidas)</t>
        </r>
      </text>
    </comment>
    <comment ref="S10" authorId="0">
      <text>
        <r>
          <rPr>
            <sz val="9"/>
            <color indexed="81"/>
            <rFont val="Segoe UI"/>
            <family val="2"/>
          </rPr>
          <t>Total acumulado no banco de horas (meses anteriores + mês atual - horas devidas)</t>
        </r>
      </text>
    </comment>
  </commentList>
</comments>
</file>

<file path=xl/comments14.xml><?xml version="1.0" encoding="utf-8"?>
<comments xmlns="http://schemas.openxmlformats.org/spreadsheetml/2006/main">
  <authors>
    <author>Leonardo</author>
    <author>Floresteca</author>
  </authors>
  <commentList>
    <comment ref="C7" authorId="0">
      <text>
        <r>
          <rPr>
            <sz val="12"/>
            <color indexed="81"/>
            <rFont val="Calibri"/>
            <family val="2"/>
          </rPr>
          <t>Utilize este menu para navegar entre os funcionários.</t>
        </r>
      </text>
    </comment>
    <comment ref="G7" authorId="0">
      <text>
        <r>
          <rPr>
            <sz val="9"/>
            <color indexed="81"/>
            <rFont val="Segoe UI"/>
            <family val="2"/>
          </rPr>
          <t>Defina se este é um dia normal, feriado, Folga (DSR), Feriado ou uma Ausência Justificada (AJ). Ao definir uma AJ, a planilha não vai considerar atrasos ou ausências neste dia e fará os cálculos como se o funcionário tivesse cumprido as horas normalmente.</t>
        </r>
      </text>
    </comment>
    <comment ref="M7" authorId="0">
      <text>
        <r>
          <rPr>
            <sz val="9"/>
            <color indexed="81"/>
            <rFont val="Segoe UI"/>
            <family val="2"/>
          </rPr>
          <t>Total de horas trabalhadas no dia (horas normais + horas extras)</t>
        </r>
      </text>
    </comment>
    <comment ref="O7" authorId="0">
      <text>
        <r>
          <rPr>
            <sz val="9"/>
            <color indexed="81"/>
            <rFont val="Segoe UI"/>
            <family val="2"/>
          </rPr>
          <t>Se o funcionário saiu mais cedo ou entrou mais tarde, isso entre como horas devidas que podem ser descontadas em folha.</t>
        </r>
      </text>
    </comment>
    <comment ref="Q7" authorId="0">
      <text>
        <r>
          <rPr>
            <sz val="9"/>
            <color indexed="81"/>
            <rFont val="Segoe UI"/>
            <family val="2"/>
          </rPr>
          <t>Total de horas extras acumuladas em cada dia.</t>
        </r>
      </text>
    </comment>
    <comment ref="S8" authorId="0">
      <text>
        <r>
          <rPr>
            <sz val="9"/>
            <color indexed="81"/>
            <rFont val="Segoe UI"/>
            <family val="2"/>
          </rPr>
          <t>Total de horas trabalhadas no mês (horas normais + horas extras - horas devidas)</t>
        </r>
      </text>
    </comment>
    <comment ref="S10" authorId="0">
      <text>
        <r>
          <rPr>
            <sz val="9"/>
            <color indexed="81"/>
            <rFont val="Segoe UI"/>
            <family val="2"/>
          </rPr>
          <t>Total acumulado no banco de horas (meses anteriores + mês atual - horas devidas)</t>
        </r>
      </text>
    </comment>
    <comment ref="G32" authorId="1">
      <text>
        <r>
          <rPr>
            <b/>
            <sz val="9"/>
            <color indexed="81"/>
            <rFont val="Tahoma"/>
            <family val="2"/>
          </rPr>
          <t>Floresteca:</t>
        </r>
        <r>
          <rPr>
            <sz val="9"/>
            <color indexed="81"/>
            <rFont val="Tahoma"/>
            <family val="2"/>
          </rPr>
          <t xml:space="preserve">
Banco de horas.</t>
        </r>
      </text>
    </comment>
  </commentList>
</comments>
</file>

<file path=xl/comments15.xml><?xml version="1.0" encoding="utf-8"?>
<comments xmlns="http://schemas.openxmlformats.org/spreadsheetml/2006/main">
  <authors>
    <author>Leonardo</author>
  </authors>
  <commentList>
    <comment ref="C7" authorId="0">
      <text>
        <r>
          <rPr>
            <sz val="12"/>
            <color indexed="81"/>
            <rFont val="Calibri"/>
            <family val="2"/>
          </rPr>
          <t>Utilize este menu para navegar entre os funcionários.</t>
        </r>
      </text>
    </comment>
    <comment ref="G7" authorId="0">
      <text>
        <r>
          <rPr>
            <sz val="9"/>
            <color indexed="81"/>
            <rFont val="Segoe UI"/>
            <family val="2"/>
          </rPr>
          <t>Defina se este é um dia normal, feriado, Folga (DSR), Feriado ou uma Ausência Justificada (AJ). Ao definir uma AJ, a planilha não vai considerar atrasos ou ausências neste dia e fará os cálculos como se o funcionário tivesse cumprido as horas normalmente.</t>
        </r>
      </text>
    </comment>
    <comment ref="M7" authorId="0">
      <text>
        <r>
          <rPr>
            <sz val="9"/>
            <color indexed="81"/>
            <rFont val="Segoe UI"/>
            <family val="2"/>
          </rPr>
          <t>Total de horas trabalhadas no dia (horas normais + horas extras)</t>
        </r>
      </text>
    </comment>
    <comment ref="O7" authorId="0">
      <text>
        <r>
          <rPr>
            <sz val="9"/>
            <color indexed="81"/>
            <rFont val="Segoe UI"/>
            <family val="2"/>
          </rPr>
          <t>Se o funcionário saiu mais cedo ou entrou mais tarde, isso entre como horas devidas que podem ser descontadas em folha.</t>
        </r>
      </text>
    </comment>
    <comment ref="Q7" authorId="0">
      <text>
        <r>
          <rPr>
            <sz val="9"/>
            <color indexed="81"/>
            <rFont val="Segoe UI"/>
            <family val="2"/>
          </rPr>
          <t>Total de horas extras acumuladas em cada dia.</t>
        </r>
      </text>
    </comment>
    <comment ref="S8" authorId="0">
      <text>
        <r>
          <rPr>
            <sz val="9"/>
            <color indexed="81"/>
            <rFont val="Segoe UI"/>
            <family val="2"/>
          </rPr>
          <t>Total de horas trabalhadas no mês (horas normais + horas extras - horas devidas)</t>
        </r>
      </text>
    </comment>
    <comment ref="S10" authorId="0">
      <text>
        <r>
          <rPr>
            <sz val="9"/>
            <color indexed="81"/>
            <rFont val="Segoe UI"/>
            <family val="2"/>
          </rPr>
          <t>Total acumulado no banco de horas (meses anteriores + mês atual - horas devidas)</t>
        </r>
      </text>
    </comment>
  </commentList>
</comments>
</file>

<file path=xl/comments16.xml><?xml version="1.0" encoding="utf-8"?>
<comments xmlns="http://schemas.openxmlformats.org/spreadsheetml/2006/main">
  <authors>
    <author>Leonardo</author>
  </authors>
  <commentList>
    <comment ref="C7" authorId="0">
      <text>
        <r>
          <rPr>
            <sz val="12"/>
            <color indexed="81"/>
            <rFont val="Calibri"/>
            <family val="2"/>
          </rPr>
          <t>Utilize este menu para navegar entre os funcionários.</t>
        </r>
      </text>
    </comment>
    <comment ref="G7" authorId="0">
      <text>
        <r>
          <rPr>
            <sz val="9"/>
            <color indexed="81"/>
            <rFont val="Segoe UI"/>
            <family val="2"/>
          </rPr>
          <t>Defina se este é um dia normal, feriado, Folga (DSR), Feriado ou uma Ausência Justificada (AJ). Ao definir uma AJ, a planilha não vai considerar atrasos ou ausências neste dia e fará os cálculos como se o funcionário tivesse cumprido as horas normalmente.</t>
        </r>
      </text>
    </comment>
    <comment ref="M7" authorId="0">
      <text>
        <r>
          <rPr>
            <sz val="9"/>
            <color indexed="81"/>
            <rFont val="Segoe UI"/>
            <family val="2"/>
          </rPr>
          <t>Total de horas trabalhadas no dia (horas normais + horas extras)</t>
        </r>
      </text>
    </comment>
    <comment ref="O7" authorId="0">
      <text>
        <r>
          <rPr>
            <sz val="9"/>
            <color indexed="81"/>
            <rFont val="Segoe UI"/>
            <family val="2"/>
          </rPr>
          <t>Se o funcionário saiu mais cedo ou entrou mais tarde, isso entre como horas devidas que podem ser descontadas em folha.</t>
        </r>
      </text>
    </comment>
    <comment ref="Q7" authorId="0">
      <text>
        <r>
          <rPr>
            <sz val="9"/>
            <color indexed="81"/>
            <rFont val="Segoe UI"/>
            <family val="2"/>
          </rPr>
          <t>Total de horas extras acumuladas em cada dia.</t>
        </r>
      </text>
    </comment>
    <comment ref="S8" authorId="0">
      <text>
        <r>
          <rPr>
            <sz val="9"/>
            <color indexed="81"/>
            <rFont val="Segoe UI"/>
            <family val="2"/>
          </rPr>
          <t>Total de horas trabalhadas no mês (horas normais + horas extras - horas devidas)</t>
        </r>
      </text>
    </comment>
    <comment ref="S10" authorId="0">
      <text>
        <r>
          <rPr>
            <sz val="9"/>
            <color indexed="81"/>
            <rFont val="Segoe UI"/>
            <family val="2"/>
          </rPr>
          <t>Total acumulado no banco de horas (meses anteriores + mês atual - horas devidas)</t>
        </r>
      </text>
    </comment>
  </commentList>
</comments>
</file>

<file path=xl/comments17.xml><?xml version="1.0" encoding="utf-8"?>
<comments xmlns="http://schemas.openxmlformats.org/spreadsheetml/2006/main">
  <authors>
    <author>Leonardo</author>
  </authors>
  <commentList>
    <comment ref="C7" authorId="0">
      <text>
        <r>
          <rPr>
            <sz val="12"/>
            <color indexed="81"/>
            <rFont val="Calibri"/>
            <family val="2"/>
          </rPr>
          <t>Utilize este menu para navegar entre os funcionários.</t>
        </r>
      </text>
    </comment>
    <comment ref="G7" authorId="0">
      <text>
        <r>
          <rPr>
            <sz val="9"/>
            <color indexed="81"/>
            <rFont val="Segoe UI"/>
            <family val="2"/>
          </rPr>
          <t>Defina se este é um dia normal, feriado, Folga (DSR), Feriado ou uma Ausência Justificada (AJ). Ao definir uma AJ, a planilha não vai considerar atrasos ou ausências neste dia e fará os cálculos como se o funcionário tivesse cumprido as horas normalmente.</t>
        </r>
      </text>
    </comment>
    <comment ref="M7" authorId="0">
      <text>
        <r>
          <rPr>
            <sz val="9"/>
            <color indexed="81"/>
            <rFont val="Segoe UI"/>
            <family val="2"/>
          </rPr>
          <t>Total de horas trabalhadas no dia (horas normais + horas extras)</t>
        </r>
      </text>
    </comment>
    <comment ref="O7" authorId="0">
      <text>
        <r>
          <rPr>
            <sz val="9"/>
            <color indexed="81"/>
            <rFont val="Segoe UI"/>
            <family val="2"/>
          </rPr>
          <t>Se o funcionário saiu mais cedo ou entrou mais tarde, isso entre como horas devidas que podem ser descontadas em folha.</t>
        </r>
      </text>
    </comment>
    <comment ref="Q7" authorId="0">
      <text>
        <r>
          <rPr>
            <sz val="9"/>
            <color indexed="81"/>
            <rFont val="Segoe UI"/>
            <family val="2"/>
          </rPr>
          <t>Total de horas extras acumuladas em cada dia.</t>
        </r>
      </text>
    </comment>
    <comment ref="S8" authorId="0">
      <text>
        <r>
          <rPr>
            <sz val="9"/>
            <color indexed="81"/>
            <rFont val="Segoe UI"/>
            <family val="2"/>
          </rPr>
          <t>Total de horas trabalhadas no mês (horas normais + horas extras - horas devidas)</t>
        </r>
      </text>
    </comment>
    <comment ref="S10" authorId="0">
      <text>
        <r>
          <rPr>
            <sz val="9"/>
            <color indexed="81"/>
            <rFont val="Segoe UI"/>
            <family val="2"/>
          </rPr>
          <t>Total acumulado no banco de horas (meses anteriores + mês atual - horas devidas)</t>
        </r>
      </text>
    </comment>
  </commentList>
</comments>
</file>

<file path=xl/comments18.xml><?xml version="1.0" encoding="utf-8"?>
<comments xmlns="http://schemas.openxmlformats.org/spreadsheetml/2006/main">
  <authors>
    <author>Leonardo</author>
  </authors>
  <commentList>
    <comment ref="C7" authorId="0">
      <text>
        <r>
          <rPr>
            <sz val="12"/>
            <color indexed="81"/>
            <rFont val="Calibri"/>
            <family val="2"/>
          </rPr>
          <t>Utilize este menu para navegar entre os funcionários.</t>
        </r>
      </text>
    </comment>
    <comment ref="G7" authorId="0">
      <text>
        <r>
          <rPr>
            <sz val="9"/>
            <color indexed="81"/>
            <rFont val="Segoe UI"/>
            <family val="2"/>
          </rPr>
          <t>Defina se este é um dia normal, feriado, Folga (DSR), Feriado ou uma Ausência Justificada (AJ). Ao definir uma AJ, a planilha não vai considerar atrasos ou ausências neste dia e fará os cálculos como se o funcionário tivesse cumprido as horas normalmente.</t>
        </r>
      </text>
    </comment>
    <comment ref="M7" authorId="0">
      <text>
        <r>
          <rPr>
            <sz val="9"/>
            <color indexed="81"/>
            <rFont val="Segoe UI"/>
            <family val="2"/>
          </rPr>
          <t>Total de horas trabalhadas no dia (horas normais + horas extras)</t>
        </r>
      </text>
    </comment>
    <comment ref="O7" authorId="0">
      <text>
        <r>
          <rPr>
            <sz val="9"/>
            <color indexed="81"/>
            <rFont val="Segoe UI"/>
            <family val="2"/>
          </rPr>
          <t>Se o funcionário saiu mais cedo ou entrou mais tarde, isso entre como horas devidas que podem ser descontadas em folha.</t>
        </r>
      </text>
    </comment>
    <comment ref="Q7" authorId="0">
      <text>
        <r>
          <rPr>
            <sz val="9"/>
            <color indexed="81"/>
            <rFont val="Segoe UI"/>
            <family val="2"/>
          </rPr>
          <t>Total de horas extras acumuladas em cada dia.</t>
        </r>
      </text>
    </comment>
    <comment ref="S8" authorId="0">
      <text>
        <r>
          <rPr>
            <sz val="9"/>
            <color indexed="81"/>
            <rFont val="Segoe UI"/>
            <family val="2"/>
          </rPr>
          <t>Total de horas trabalhadas no mês (horas normais + horas extras - horas devidas)</t>
        </r>
      </text>
    </comment>
    <comment ref="S10" authorId="0">
      <text>
        <r>
          <rPr>
            <sz val="9"/>
            <color indexed="81"/>
            <rFont val="Segoe UI"/>
            <family val="2"/>
          </rPr>
          <t>Total acumulado no banco de horas (meses anteriores + mês atual - horas devidas)</t>
        </r>
      </text>
    </comment>
  </commentList>
</comments>
</file>

<file path=xl/comments19.xml><?xml version="1.0" encoding="utf-8"?>
<comments xmlns="http://schemas.openxmlformats.org/spreadsheetml/2006/main">
  <authors>
    <author>Leonardo</author>
  </authors>
  <commentList>
    <comment ref="C7" authorId="0">
      <text>
        <r>
          <rPr>
            <sz val="12"/>
            <color indexed="81"/>
            <rFont val="Calibri"/>
            <family val="2"/>
          </rPr>
          <t>Utilize este menu para navegar entre os funcionários.</t>
        </r>
      </text>
    </comment>
    <comment ref="G7" authorId="0">
      <text>
        <r>
          <rPr>
            <sz val="9"/>
            <color indexed="81"/>
            <rFont val="Segoe UI"/>
            <family val="2"/>
          </rPr>
          <t>Defina se este é um dia normal, feriado, Folga (DSR), Feriado ou uma Ausência Justificada (AJ). Ao definir uma AJ, a planilha não vai considerar atrasos ou ausências neste dia e fará os cálculos como se o funcionário tivesse cumprido as horas normalmente.</t>
        </r>
      </text>
    </comment>
    <comment ref="M7" authorId="0">
      <text>
        <r>
          <rPr>
            <sz val="9"/>
            <color indexed="81"/>
            <rFont val="Segoe UI"/>
            <family val="2"/>
          </rPr>
          <t>Total de horas trabalhadas no dia (horas normais + horas extras)</t>
        </r>
      </text>
    </comment>
    <comment ref="O7" authorId="0">
      <text>
        <r>
          <rPr>
            <sz val="9"/>
            <color indexed="81"/>
            <rFont val="Segoe UI"/>
            <family val="2"/>
          </rPr>
          <t>Se o funcionário saiu mais cedo ou entrou mais tarde, isso entre como horas devidas que podem ser descontadas em folha.</t>
        </r>
      </text>
    </comment>
    <comment ref="Q7" authorId="0">
      <text>
        <r>
          <rPr>
            <sz val="9"/>
            <color indexed="81"/>
            <rFont val="Segoe UI"/>
            <family val="2"/>
          </rPr>
          <t>Total de horas extras acumuladas em cada dia.</t>
        </r>
      </text>
    </comment>
    <comment ref="S8" authorId="0">
      <text>
        <r>
          <rPr>
            <sz val="9"/>
            <color indexed="81"/>
            <rFont val="Segoe UI"/>
            <family val="2"/>
          </rPr>
          <t>Total de horas trabalhadas no mês (horas normais + horas extras - horas devidas)</t>
        </r>
      </text>
    </comment>
    <comment ref="S10" authorId="0">
      <text>
        <r>
          <rPr>
            <sz val="9"/>
            <color indexed="81"/>
            <rFont val="Segoe UI"/>
            <family val="2"/>
          </rPr>
          <t>Total acumulado no banco de horas (meses anteriores + mês atual - horas devidas)</t>
        </r>
      </text>
    </comment>
  </commentList>
</comments>
</file>

<file path=xl/comments20.xml><?xml version="1.0" encoding="utf-8"?>
<comments xmlns="http://schemas.openxmlformats.org/spreadsheetml/2006/main">
  <authors>
    <author>Leonardo</author>
  </authors>
  <commentList>
    <comment ref="C7" authorId="0">
      <text>
        <r>
          <rPr>
            <sz val="12"/>
            <color indexed="81"/>
            <rFont val="Calibri"/>
            <family val="2"/>
          </rPr>
          <t>Utilize este menu para navegar entre os funcionários.</t>
        </r>
      </text>
    </comment>
    <comment ref="G7" authorId="0">
      <text>
        <r>
          <rPr>
            <sz val="9"/>
            <color indexed="81"/>
            <rFont val="Segoe UI"/>
            <family val="2"/>
          </rPr>
          <t>Defina se este é um dia normal, feriado, Folga (DSR), Feriado ou uma Ausência Justificada (AJ). Ao definir uma AJ, a planilha não vai considerar atrasos ou ausências neste dia e fará os cálculos como se o funcionário tivesse cumprido as horas normalmente.</t>
        </r>
      </text>
    </comment>
    <comment ref="M7" authorId="0">
      <text>
        <r>
          <rPr>
            <sz val="9"/>
            <color indexed="81"/>
            <rFont val="Segoe UI"/>
            <family val="2"/>
          </rPr>
          <t>Total de horas trabalhadas no dia (horas normais + horas extras)</t>
        </r>
      </text>
    </comment>
    <comment ref="O7" authorId="0">
      <text>
        <r>
          <rPr>
            <sz val="9"/>
            <color indexed="81"/>
            <rFont val="Segoe UI"/>
            <family val="2"/>
          </rPr>
          <t>Se o funcionário saiu mais cedo ou entrou mais tarde, isso entre como horas devidas que podem ser descontadas em folha.</t>
        </r>
      </text>
    </comment>
    <comment ref="Q7" authorId="0">
      <text>
        <r>
          <rPr>
            <sz val="9"/>
            <color indexed="81"/>
            <rFont val="Segoe UI"/>
            <family val="2"/>
          </rPr>
          <t>Total de horas extras acumuladas em cada dia.</t>
        </r>
      </text>
    </comment>
    <comment ref="S8" authorId="0">
      <text>
        <r>
          <rPr>
            <sz val="9"/>
            <color indexed="81"/>
            <rFont val="Segoe UI"/>
            <family val="2"/>
          </rPr>
          <t>Total de horas trabalhadas no mês (horas normais + horas extras - horas devidas)</t>
        </r>
      </text>
    </comment>
    <comment ref="S10" authorId="0">
      <text>
        <r>
          <rPr>
            <sz val="9"/>
            <color indexed="81"/>
            <rFont val="Segoe UI"/>
            <family val="2"/>
          </rPr>
          <t>Total acumulado no banco de horas (meses anteriores + mês atual - horas devidas)</t>
        </r>
      </text>
    </comment>
  </commentList>
</comments>
</file>

<file path=xl/comments21.xml><?xml version="1.0" encoding="utf-8"?>
<comments xmlns="http://schemas.openxmlformats.org/spreadsheetml/2006/main">
  <authors>
    <author>Leonardo</author>
  </authors>
  <commentList>
    <comment ref="C7" authorId="0">
      <text>
        <r>
          <rPr>
            <sz val="12"/>
            <color indexed="81"/>
            <rFont val="Calibri"/>
            <family val="2"/>
          </rPr>
          <t>Utilize este menu para navegar entre os funcionários.</t>
        </r>
      </text>
    </comment>
    <comment ref="G7" authorId="0">
      <text>
        <r>
          <rPr>
            <sz val="9"/>
            <color indexed="81"/>
            <rFont val="Segoe UI"/>
            <family val="2"/>
          </rPr>
          <t>Defina se este é um dia normal, feriado, Folga (DSR), Feriado ou uma Ausência Justificada (AJ). Ao definir uma AJ, a planilha não vai considerar atrasos ou ausências neste dia e fará os cálculos como se o funcionário tivesse cumprido as horas normalmente.</t>
        </r>
      </text>
    </comment>
    <comment ref="M7" authorId="0">
      <text>
        <r>
          <rPr>
            <sz val="9"/>
            <color indexed="81"/>
            <rFont val="Segoe UI"/>
            <family val="2"/>
          </rPr>
          <t>Total de horas trabalhadas no dia (horas normais + horas extras)</t>
        </r>
      </text>
    </comment>
    <comment ref="O7" authorId="0">
      <text>
        <r>
          <rPr>
            <sz val="9"/>
            <color indexed="81"/>
            <rFont val="Segoe UI"/>
            <family val="2"/>
          </rPr>
          <t>Se o funcionário saiu mais cedo ou entrou mais tarde, isso entre como horas devidas que podem ser descontadas em folha.</t>
        </r>
      </text>
    </comment>
    <comment ref="Q7" authorId="0">
      <text>
        <r>
          <rPr>
            <sz val="9"/>
            <color indexed="81"/>
            <rFont val="Segoe UI"/>
            <family val="2"/>
          </rPr>
          <t>Total de horas extras acumuladas em cada dia.</t>
        </r>
      </text>
    </comment>
    <comment ref="S8" authorId="0">
      <text>
        <r>
          <rPr>
            <sz val="9"/>
            <color indexed="81"/>
            <rFont val="Segoe UI"/>
            <family val="2"/>
          </rPr>
          <t>Total de horas trabalhadas no mês (horas normais + horas extras - horas devidas)</t>
        </r>
      </text>
    </comment>
    <comment ref="S10" authorId="0">
      <text>
        <r>
          <rPr>
            <sz val="9"/>
            <color indexed="81"/>
            <rFont val="Segoe UI"/>
            <family val="2"/>
          </rPr>
          <t>Total acumulado no banco de horas (meses anteriores + mês atual - horas devidas)</t>
        </r>
      </text>
    </comment>
  </commentList>
</comments>
</file>

<file path=xl/comments22.xml><?xml version="1.0" encoding="utf-8"?>
<comments xmlns="http://schemas.openxmlformats.org/spreadsheetml/2006/main">
  <authors>
    <author>Leonardo</author>
  </authors>
  <commentList>
    <comment ref="C7" authorId="0">
      <text>
        <r>
          <rPr>
            <sz val="12"/>
            <color indexed="81"/>
            <rFont val="Calibri"/>
            <family val="2"/>
          </rPr>
          <t>Utilize este menu para navegar entre os funcionários.</t>
        </r>
      </text>
    </comment>
    <comment ref="G7" authorId="0">
      <text>
        <r>
          <rPr>
            <sz val="9"/>
            <color indexed="81"/>
            <rFont val="Segoe UI"/>
            <family val="2"/>
          </rPr>
          <t>Defina se este é um dia normal, feriado, Folga (DSR), Feriado ou uma Ausência Justificada (AJ). Ao definir uma AJ, a planilha não vai considerar atrasos ou ausências neste dia e fará os cálculos como se o funcionário tivesse cumprido as horas normalmente.</t>
        </r>
      </text>
    </comment>
    <comment ref="M7" authorId="0">
      <text>
        <r>
          <rPr>
            <sz val="9"/>
            <color indexed="81"/>
            <rFont val="Segoe UI"/>
            <family val="2"/>
          </rPr>
          <t>Total de horas trabalhadas no dia (horas normais + horas extras)</t>
        </r>
      </text>
    </comment>
    <comment ref="O7" authorId="0">
      <text>
        <r>
          <rPr>
            <sz val="9"/>
            <color indexed="81"/>
            <rFont val="Segoe UI"/>
            <family val="2"/>
          </rPr>
          <t>Se o funcionário saiu mais cedo ou entrou mais tarde, isso entre como horas devidas que podem ser descontadas em folha.</t>
        </r>
      </text>
    </comment>
    <comment ref="Q7" authorId="0">
      <text>
        <r>
          <rPr>
            <sz val="9"/>
            <color indexed="81"/>
            <rFont val="Segoe UI"/>
            <family val="2"/>
          </rPr>
          <t>Total de horas extras acumuladas em cada dia.</t>
        </r>
      </text>
    </comment>
    <comment ref="S8" authorId="0">
      <text>
        <r>
          <rPr>
            <sz val="9"/>
            <color indexed="81"/>
            <rFont val="Segoe UI"/>
            <family val="2"/>
          </rPr>
          <t>Total de horas trabalhadas no mês (horas normais + horas extras - horas devidas)</t>
        </r>
      </text>
    </comment>
    <comment ref="S10" authorId="0">
      <text>
        <r>
          <rPr>
            <sz val="9"/>
            <color indexed="81"/>
            <rFont val="Segoe UI"/>
            <family val="2"/>
          </rPr>
          <t>Total acumulado no banco de horas (meses anteriores + mês atual - horas devidas)</t>
        </r>
      </text>
    </comment>
  </commentList>
</comments>
</file>

<file path=xl/comments23.xml><?xml version="1.0" encoding="utf-8"?>
<comments xmlns="http://schemas.openxmlformats.org/spreadsheetml/2006/main">
  <authors>
    <author>Leonardo</author>
  </authors>
  <commentList>
    <comment ref="C7" authorId="0">
      <text>
        <r>
          <rPr>
            <sz val="12"/>
            <color indexed="81"/>
            <rFont val="Calibri"/>
            <family val="2"/>
          </rPr>
          <t>Utilize este menu para navegar entre os funcionários.</t>
        </r>
      </text>
    </comment>
    <comment ref="G7" authorId="0">
      <text>
        <r>
          <rPr>
            <sz val="9"/>
            <color indexed="81"/>
            <rFont val="Segoe UI"/>
            <family val="2"/>
          </rPr>
          <t>Defina se este é um dia normal, feriado, Folga (DSR), Feriado ou uma Ausência Justificada (AJ). Ao definir uma AJ, a planilha não vai considerar atrasos ou ausências neste dia e fará os cálculos como se o funcionário tivesse cumprido as horas normalmente.</t>
        </r>
      </text>
    </comment>
    <comment ref="M7" authorId="0">
      <text>
        <r>
          <rPr>
            <sz val="9"/>
            <color indexed="81"/>
            <rFont val="Segoe UI"/>
            <family val="2"/>
          </rPr>
          <t>Total de horas trabalhadas no dia (horas normais + horas extras)</t>
        </r>
      </text>
    </comment>
    <comment ref="O7" authorId="0">
      <text>
        <r>
          <rPr>
            <sz val="9"/>
            <color indexed="81"/>
            <rFont val="Segoe UI"/>
            <family val="2"/>
          </rPr>
          <t>Se o funcionário saiu mais cedo ou entrou mais tarde, isso entre como horas devidas que podem ser descontadas em folha.</t>
        </r>
      </text>
    </comment>
    <comment ref="Q7" authorId="0">
      <text>
        <r>
          <rPr>
            <sz val="9"/>
            <color indexed="81"/>
            <rFont val="Segoe UI"/>
            <family val="2"/>
          </rPr>
          <t>Total de horas extras acumuladas em cada dia.</t>
        </r>
      </text>
    </comment>
    <comment ref="S8" authorId="0">
      <text>
        <r>
          <rPr>
            <sz val="9"/>
            <color indexed="81"/>
            <rFont val="Segoe UI"/>
            <family val="2"/>
          </rPr>
          <t>Total de horas trabalhadas no mês (horas normais + horas extras - horas devidas)</t>
        </r>
      </text>
    </comment>
    <comment ref="S10" authorId="0">
      <text>
        <r>
          <rPr>
            <sz val="9"/>
            <color indexed="81"/>
            <rFont val="Segoe UI"/>
            <family val="2"/>
          </rPr>
          <t>Total acumulado no banco de horas (meses anteriores + mês atual - horas devidas)</t>
        </r>
      </text>
    </comment>
  </commentList>
</comments>
</file>

<file path=xl/comments24.xml><?xml version="1.0" encoding="utf-8"?>
<comments xmlns="http://schemas.openxmlformats.org/spreadsheetml/2006/main">
  <authors>
    <author>Leonardo</author>
  </authors>
  <commentList>
    <comment ref="C7" authorId="0">
      <text>
        <r>
          <rPr>
            <sz val="12"/>
            <color indexed="81"/>
            <rFont val="Calibri"/>
            <family val="2"/>
          </rPr>
          <t>Utilize este menu para navegar entre os funcionários.</t>
        </r>
      </text>
    </comment>
    <comment ref="G7" authorId="0">
      <text>
        <r>
          <rPr>
            <sz val="9"/>
            <color indexed="81"/>
            <rFont val="Segoe UI"/>
            <family val="2"/>
          </rPr>
          <t>Defina se este é um dia normal, feriado, Folga (DSR), Feriado ou uma Ausência Justificada (AJ). Ao definir uma AJ, a planilha não vai considerar atrasos ou ausências neste dia e fará os cálculos como se o funcionário tivesse cumprido as horas normalmente.</t>
        </r>
      </text>
    </comment>
    <comment ref="M7" authorId="0">
      <text>
        <r>
          <rPr>
            <sz val="9"/>
            <color indexed="81"/>
            <rFont val="Segoe UI"/>
            <family val="2"/>
          </rPr>
          <t>Total de horas trabalhadas no dia (horas normais + horas extras)</t>
        </r>
      </text>
    </comment>
    <comment ref="O7" authorId="0">
      <text>
        <r>
          <rPr>
            <sz val="9"/>
            <color indexed="81"/>
            <rFont val="Segoe UI"/>
            <family val="2"/>
          </rPr>
          <t>Se o funcionário saiu mais cedo ou entrou mais tarde, isso entre como horas devidas que podem ser descontadas em folha.</t>
        </r>
      </text>
    </comment>
    <comment ref="Q7" authorId="0">
      <text>
        <r>
          <rPr>
            <sz val="9"/>
            <color indexed="81"/>
            <rFont val="Segoe UI"/>
            <family val="2"/>
          </rPr>
          <t>Total de horas extras acumuladas em cada dia.</t>
        </r>
      </text>
    </comment>
    <comment ref="S8" authorId="0">
      <text>
        <r>
          <rPr>
            <sz val="9"/>
            <color indexed="81"/>
            <rFont val="Segoe UI"/>
            <family val="2"/>
          </rPr>
          <t>Total de horas trabalhadas no mês (horas normais + horas extras - horas devidas)</t>
        </r>
      </text>
    </comment>
    <comment ref="S10" authorId="0">
      <text>
        <r>
          <rPr>
            <sz val="9"/>
            <color indexed="81"/>
            <rFont val="Segoe UI"/>
            <family val="2"/>
          </rPr>
          <t>Total acumulado no banco de horas (meses anteriores + mês atual - horas devidas)</t>
        </r>
      </text>
    </comment>
  </commentList>
</comments>
</file>

<file path=xl/comments25.xml><?xml version="1.0" encoding="utf-8"?>
<comments xmlns="http://schemas.openxmlformats.org/spreadsheetml/2006/main">
  <authors>
    <author>Leonardo</author>
  </authors>
  <commentList>
    <comment ref="C7" authorId="0">
      <text>
        <r>
          <rPr>
            <sz val="12"/>
            <color indexed="81"/>
            <rFont val="Calibri"/>
            <family val="2"/>
          </rPr>
          <t>Utilize este menu para navegar entre os funcionários.</t>
        </r>
      </text>
    </comment>
    <comment ref="G7" authorId="0">
      <text>
        <r>
          <rPr>
            <sz val="9"/>
            <color indexed="81"/>
            <rFont val="Segoe UI"/>
            <family val="2"/>
          </rPr>
          <t>Defina se este é um dia normal, feriado, Folga (DSR), Feriado ou uma Ausência Justificada (AJ). Ao definir uma AJ, a planilha não vai considerar atrasos ou ausências neste dia e fará os cálculos como se o funcionário tivesse cumprido as horas normalmente.</t>
        </r>
      </text>
    </comment>
    <comment ref="M7" authorId="0">
      <text>
        <r>
          <rPr>
            <sz val="9"/>
            <color indexed="81"/>
            <rFont val="Segoe UI"/>
            <family val="2"/>
          </rPr>
          <t>Total de horas trabalhadas no dia (horas normais + horas extras)</t>
        </r>
      </text>
    </comment>
    <comment ref="O7" authorId="0">
      <text>
        <r>
          <rPr>
            <sz val="9"/>
            <color indexed="81"/>
            <rFont val="Segoe UI"/>
            <family val="2"/>
          </rPr>
          <t>Se o funcionário saiu mais cedo ou entrou mais tarde, isso entre como horas devidas que podem ser descontadas em folha.</t>
        </r>
      </text>
    </comment>
    <comment ref="Q7" authorId="0">
      <text>
        <r>
          <rPr>
            <sz val="9"/>
            <color indexed="81"/>
            <rFont val="Segoe UI"/>
            <family val="2"/>
          </rPr>
          <t>Total de horas extras acumuladas em cada dia.</t>
        </r>
      </text>
    </comment>
    <comment ref="S8" authorId="0">
      <text>
        <r>
          <rPr>
            <sz val="9"/>
            <color indexed="81"/>
            <rFont val="Segoe UI"/>
            <family val="2"/>
          </rPr>
          <t>Total de horas trabalhadas no mês (horas normais + horas extras - horas devidas)</t>
        </r>
      </text>
    </comment>
    <comment ref="S10" authorId="0">
      <text>
        <r>
          <rPr>
            <sz val="9"/>
            <color indexed="81"/>
            <rFont val="Segoe UI"/>
            <family val="2"/>
          </rPr>
          <t>Total acumulado no banco de horas (meses anteriores + mês atual - horas devidas)</t>
        </r>
      </text>
    </comment>
  </commentList>
</comments>
</file>

<file path=xl/comments26.xml><?xml version="1.0" encoding="utf-8"?>
<comments xmlns="http://schemas.openxmlformats.org/spreadsheetml/2006/main">
  <authors>
    <author>Leonardo</author>
  </authors>
  <commentList>
    <comment ref="C7" authorId="0">
      <text>
        <r>
          <rPr>
            <sz val="12"/>
            <color indexed="81"/>
            <rFont val="Calibri"/>
            <family val="2"/>
          </rPr>
          <t>Utilize este menu para navegar entre os funcionários.</t>
        </r>
      </text>
    </comment>
    <comment ref="G7" authorId="0">
      <text>
        <r>
          <rPr>
            <sz val="9"/>
            <color indexed="81"/>
            <rFont val="Segoe UI"/>
            <family val="2"/>
          </rPr>
          <t>Defina se este é um dia normal, feriado, Folga (DSR), Feriado ou uma Ausência Justificada (AJ). Ao definir uma AJ, a planilha não vai considerar atrasos ou ausências neste dia e fará os cálculos como se o funcionário tivesse cumprido as horas normalmente.</t>
        </r>
      </text>
    </comment>
    <comment ref="M7" authorId="0">
      <text>
        <r>
          <rPr>
            <sz val="9"/>
            <color indexed="81"/>
            <rFont val="Segoe UI"/>
            <family val="2"/>
          </rPr>
          <t>Total de horas trabalhadas no dia (horas normais + horas extras)</t>
        </r>
      </text>
    </comment>
    <comment ref="O7" authorId="0">
      <text>
        <r>
          <rPr>
            <sz val="9"/>
            <color indexed="81"/>
            <rFont val="Segoe UI"/>
            <family val="2"/>
          </rPr>
          <t>Se o funcionário saiu mais cedo ou entrou mais tarde, isso entre como horas devidas que podem ser descontadas em folha.</t>
        </r>
      </text>
    </comment>
    <comment ref="Q7" authorId="0">
      <text>
        <r>
          <rPr>
            <sz val="9"/>
            <color indexed="81"/>
            <rFont val="Segoe UI"/>
            <family val="2"/>
          </rPr>
          <t>Total de horas extras acumuladas em cada dia.</t>
        </r>
      </text>
    </comment>
    <comment ref="S8" authorId="0">
      <text>
        <r>
          <rPr>
            <sz val="9"/>
            <color indexed="81"/>
            <rFont val="Segoe UI"/>
            <family val="2"/>
          </rPr>
          <t>Total de horas trabalhadas no mês (horas normais + horas extras - horas devidas)</t>
        </r>
      </text>
    </comment>
    <comment ref="S10" authorId="0">
      <text>
        <r>
          <rPr>
            <sz val="9"/>
            <color indexed="81"/>
            <rFont val="Segoe UI"/>
            <family val="2"/>
          </rPr>
          <t>Total acumulado no banco de horas (meses anteriores + mês atual - horas devidas)</t>
        </r>
      </text>
    </comment>
  </commentList>
</comments>
</file>

<file path=xl/comments27.xml><?xml version="1.0" encoding="utf-8"?>
<comments xmlns="http://schemas.openxmlformats.org/spreadsheetml/2006/main">
  <authors>
    <author>Leonardo</author>
  </authors>
  <commentList>
    <comment ref="C7" authorId="0">
      <text>
        <r>
          <rPr>
            <sz val="12"/>
            <color indexed="81"/>
            <rFont val="Calibri"/>
            <family val="2"/>
          </rPr>
          <t>Utilize este menu para navegar entre os funcionários.</t>
        </r>
      </text>
    </comment>
    <comment ref="G7" authorId="0">
      <text>
        <r>
          <rPr>
            <sz val="9"/>
            <color indexed="81"/>
            <rFont val="Segoe UI"/>
            <family val="2"/>
          </rPr>
          <t>Defina se este é um dia normal, feriado, Folga (DSR), Feriado ou uma Ausência Justificada (AJ). Ao definir uma AJ, a planilha não vai considerar atrasos ou ausências neste dia e fará os cálculos como se o funcionário tivesse cumprido as horas normalmente.</t>
        </r>
      </text>
    </comment>
    <comment ref="M7" authorId="0">
      <text>
        <r>
          <rPr>
            <sz val="9"/>
            <color indexed="81"/>
            <rFont val="Segoe UI"/>
            <family val="2"/>
          </rPr>
          <t>Total de horas trabalhadas no dia (horas normais + horas extras)</t>
        </r>
      </text>
    </comment>
    <comment ref="O7" authorId="0">
      <text>
        <r>
          <rPr>
            <sz val="9"/>
            <color indexed="81"/>
            <rFont val="Segoe UI"/>
            <family val="2"/>
          </rPr>
          <t>Se o funcionário saiu mais cedo ou entrou mais tarde, isso entre como horas devidas que podem ser descontadas em folha.</t>
        </r>
      </text>
    </comment>
    <comment ref="Q7" authorId="0">
      <text>
        <r>
          <rPr>
            <sz val="9"/>
            <color indexed="81"/>
            <rFont val="Segoe UI"/>
            <family val="2"/>
          </rPr>
          <t>Total de horas extras acumuladas em cada dia.</t>
        </r>
      </text>
    </comment>
    <comment ref="S8" authorId="0">
      <text>
        <r>
          <rPr>
            <sz val="9"/>
            <color indexed="81"/>
            <rFont val="Segoe UI"/>
            <family val="2"/>
          </rPr>
          <t>Total de horas trabalhadas no mês (horas normais + horas extras - horas devidas)</t>
        </r>
      </text>
    </comment>
    <comment ref="S10" authorId="0">
      <text>
        <r>
          <rPr>
            <sz val="9"/>
            <color indexed="81"/>
            <rFont val="Segoe UI"/>
            <family val="2"/>
          </rPr>
          <t>Total acumulado no banco de horas (meses anteriores + mês atual - horas devidas)</t>
        </r>
      </text>
    </comment>
  </commentList>
</comments>
</file>

<file path=xl/comments28.xml><?xml version="1.0" encoding="utf-8"?>
<comments xmlns="http://schemas.openxmlformats.org/spreadsheetml/2006/main">
  <authors>
    <author>Leonardo</author>
  </authors>
  <commentList>
    <comment ref="C7" authorId="0">
      <text>
        <r>
          <rPr>
            <sz val="12"/>
            <color indexed="81"/>
            <rFont val="Calibri"/>
            <family val="2"/>
          </rPr>
          <t>Utilize este menu para navegar entre os funcionários.</t>
        </r>
      </text>
    </comment>
    <comment ref="G7" authorId="0">
      <text>
        <r>
          <rPr>
            <sz val="9"/>
            <color indexed="81"/>
            <rFont val="Segoe UI"/>
            <family val="2"/>
          </rPr>
          <t>Defina se este é um dia normal, feriado, Folga (DSR), Feriado ou uma Ausência Justificada (AJ). Ao definir uma AJ, a planilha não vai considerar atrasos ou ausências neste dia e fará os cálculos como se o funcionário tivesse cumprido as horas normalmente.</t>
        </r>
      </text>
    </comment>
    <comment ref="M7" authorId="0">
      <text>
        <r>
          <rPr>
            <sz val="9"/>
            <color indexed="81"/>
            <rFont val="Segoe UI"/>
            <family val="2"/>
          </rPr>
          <t>Total de horas trabalhadas no dia (horas normais + horas extras)</t>
        </r>
      </text>
    </comment>
    <comment ref="O7" authorId="0">
      <text>
        <r>
          <rPr>
            <sz val="9"/>
            <color indexed="81"/>
            <rFont val="Segoe UI"/>
            <family val="2"/>
          </rPr>
          <t>Se o funcionário saiu mais cedo ou entrou mais tarde, isso entre como horas devidas que podem ser descontadas em folha.</t>
        </r>
      </text>
    </comment>
    <comment ref="Q7" authorId="0">
      <text>
        <r>
          <rPr>
            <sz val="9"/>
            <color indexed="81"/>
            <rFont val="Segoe UI"/>
            <family val="2"/>
          </rPr>
          <t>Total de horas extras acumuladas em cada dia.</t>
        </r>
      </text>
    </comment>
    <comment ref="S8" authorId="0">
      <text>
        <r>
          <rPr>
            <sz val="9"/>
            <color indexed="81"/>
            <rFont val="Segoe UI"/>
            <family val="2"/>
          </rPr>
          <t>Total de horas trabalhadas no mês (horas normais + horas extras - horas devidas)</t>
        </r>
      </text>
    </comment>
    <comment ref="S10" authorId="0">
      <text>
        <r>
          <rPr>
            <sz val="9"/>
            <color indexed="81"/>
            <rFont val="Segoe UI"/>
            <family val="2"/>
          </rPr>
          <t>Total acumulado no banco de horas (meses anteriores + mês atual - horas devidas)</t>
        </r>
      </text>
    </comment>
  </commentList>
</comments>
</file>

<file path=xl/comments29.xml><?xml version="1.0" encoding="utf-8"?>
<comments xmlns="http://schemas.openxmlformats.org/spreadsheetml/2006/main">
  <authors>
    <author>Leonardo</author>
  </authors>
  <commentList>
    <comment ref="C7" authorId="0">
      <text>
        <r>
          <rPr>
            <sz val="12"/>
            <color indexed="81"/>
            <rFont val="Calibri"/>
            <family val="2"/>
          </rPr>
          <t>Utilize este menu para navegar entre os funcionários.</t>
        </r>
      </text>
    </comment>
    <comment ref="G7" authorId="0">
      <text>
        <r>
          <rPr>
            <sz val="9"/>
            <color indexed="81"/>
            <rFont val="Segoe UI"/>
            <family val="2"/>
          </rPr>
          <t>Defina se este é um dia normal, feriado, Folga (DSR), Feriado ou uma Ausência Justificada (AJ). Ao definir uma AJ, a planilha não vai considerar atrasos ou ausências neste dia e fará os cálculos como se o funcionário tivesse cumprido as horas normalmente.</t>
        </r>
      </text>
    </comment>
    <comment ref="M7" authorId="0">
      <text>
        <r>
          <rPr>
            <sz val="9"/>
            <color indexed="81"/>
            <rFont val="Segoe UI"/>
            <family val="2"/>
          </rPr>
          <t>Total de horas trabalhadas no dia (horas normais + horas extras)</t>
        </r>
      </text>
    </comment>
    <comment ref="O7" authorId="0">
      <text>
        <r>
          <rPr>
            <sz val="9"/>
            <color indexed="81"/>
            <rFont val="Segoe UI"/>
            <family val="2"/>
          </rPr>
          <t>Se o funcionário saiu mais cedo ou entrou mais tarde, isso entre como horas devidas que podem ser descontadas em folha.</t>
        </r>
      </text>
    </comment>
    <comment ref="Q7" authorId="0">
      <text>
        <r>
          <rPr>
            <sz val="9"/>
            <color indexed="81"/>
            <rFont val="Segoe UI"/>
            <family val="2"/>
          </rPr>
          <t>Total de horas extras acumuladas em cada dia.</t>
        </r>
      </text>
    </comment>
    <comment ref="S8" authorId="0">
      <text>
        <r>
          <rPr>
            <sz val="9"/>
            <color indexed="81"/>
            <rFont val="Segoe UI"/>
            <family val="2"/>
          </rPr>
          <t>Total de horas trabalhadas no mês (horas normais + horas extras - horas devidas)</t>
        </r>
      </text>
    </comment>
    <comment ref="S10" authorId="0">
      <text>
        <r>
          <rPr>
            <sz val="9"/>
            <color indexed="81"/>
            <rFont val="Segoe UI"/>
            <family val="2"/>
          </rPr>
          <t>Total acumulado no banco de horas (meses anteriores + mês atual - horas devidas)</t>
        </r>
      </text>
    </comment>
  </commentList>
</comments>
</file>

<file path=xl/comments30.xml><?xml version="1.0" encoding="utf-8"?>
<comments xmlns="http://schemas.openxmlformats.org/spreadsheetml/2006/main">
  <authors>
    <author>Leonardo</author>
  </authors>
  <commentList>
    <comment ref="C7" authorId="0">
      <text>
        <r>
          <rPr>
            <sz val="12"/>
            <color indexed="81"/>
            <rFont val="Calibri"/>
            <family val="2"/>
          </rPr>
          <t>Utilize este menu para navegar entre os funcionários.</t>
        </r>
      </text>
    </comment>
    <comment ref="G7" authorId="0">
      <text>
        <r>
          <rPr>
            <sz val="9"/>
            <color indexed="81"/>
            <rFont val="Segoe UI"/>
            <family val="2"/>
          </rPr>
          <t>Defina se este é um dia normal, feriado, Folga (DSR), Feriado ou uma Ausência Justificada (AJ). Ao definir uma AJ, a planilha não vai considerar atrasos ou ausências neste dia e fará os cálculos como se o funcionário tivesse cumprido as horas normalmente.</t>
        </r>
      </text>
    </comment>
    <comment ref="M7" authorId="0">
      <text>
        <r>
          <rPr>
            <sz val="9"/>
            <color indexed="81"/>
            <rFont val="Segoe UI"/>
            <family val="2"/>
          </rPr>
          <t>Total de horas trabalhadas no dia (horas normais + horas extras)</t>
        </r>
      </text>
    </comment>
    <comment ref="O7" authorId="0">
      <text>
        <r>
          <rPr>
            <sz val="9"/>
            <color indexed="81"/>
            <rFont val="Segoe UI"/>
            <family val="2"/>
          </rPr>
          <t>Se o funcionário saiu mais cedo ou entrou mais tarde, isso entre como horas devidas que podem ser descontadas em folha.</t>
        </r>
      </text>
    </comment>
    <comment ref="Q7" authorId="0">
      <text>
        <r>
          <rPr>
            <sz val="9"/>
            <color indexed="81"/>
            <rFont val="Segoe UI"/>
            <family val="2"/>
          </rPr>
          <t>Total de horas extras acumuladas em cada dia.</t>
        </r>
      </text>
    </comment>
    <comment ref="S8" authorId="0">
      <text>
        <r>
          <rPr>
            <sz val="9"/>
            <color indexed="81"/>
            <rFont val="Segoe UI"/>
            <family val="2"/>
          </rPr>
          <t>Total de horas trabalhadas no mês (horas normais + horas extras - horas devidas)</t>
        </r>
      </text>
    </comment>
    <comment ref="S10" authorId="0">
      <text>
        <r>
          <rPr>
            <sz val="9"/>
            <color indexed="81"/>
            <rFont val="Segoe UI"/>
            <family val="2"/>
          </rPr>
          <t>Total acumulado no banco de horas (meses anteriores + mês atual - horas devidas)</t>
        </r>
      </text>
    </comment>
  </commentList>
</comments>
</file>

<file path=xl/comments31.xml><?xml version="1.0" encoding="utf-8"?>
<comments xmlns="http://schemas.openxmlformats.org/spreadsheetml/2006/main">
  <authors>
    <author>Leonardo</author>
  </authors>
  <commentList>
    <comment ref="C7" authorId="0">
      <text>
        <r>
          <rPr>
            <sz val="12"/>
            <color indexed="81"/>
            <rFont val="Calibri"/>
            <family val="2"/>
          </rPr>
          <t>Utilize este menu para navegar entre os funcionários.</t>
        </r>
      </text>
    </comment>
    <comment ref="G7" authorId="0">
      <text>
        <r>
          <rPr>
            <sz val="9"/>
            <color indexed="81"/>
            <rFont val="Segoe UI"/>
            <family val="2"/>
          </rPr>
          <t>Defina se este é um dia normal, feriado, Folga (DSR), Feriado ou uma Ausência Justificada (AJ). Ao definir uma AJ, a planilha não vai considerar atrasos ou ausências neste dia e fará os cálculos como se o funcionário tivesse cumprido as horas normalmente.</t>
        </r>
      </text>
    </comment>
    <comment ref="M7" authorId="0">
      <text>
        <r>
          <rPr>
            <sz val="9"/>
            <color indexed="81"/>
            <rFont val="Segoe UI"/>
            <family val="2"/>
          </rPr>
          <t>Total de horas trabalhadas no dia (horas normais + horas extras)</t>
        </r>
      </text>
    </comment>
    <comment ref="O7" authorId="0">
      <text>
        <r>
          <rPr>
            <sz val="9"/>
            <color indexed="81"/>
            <rFont val="Segoe UI"/>
            <family val="2"/>
          </rPr>
          <t>Se o funcionário saiu mais cedo ou entrou mais tarde, isso entre como horas devidas que podem ser descontadas em folha.</t>
        </r>
      </text>
    </comment>
    <comment ref="Q7" authorId="0">
      <text>
        <r>
          <rPr>
            <sz val="9"/>
            <color indexed="81"/>
            <rFont val="Segoe UI"/>
            <family val="2"/>
          </rPr>
          <t>Total de horas extras acumuladas em cada dia.</t>
        </r>
      </text>
    </comment>
    <comment ref="S8" authorId="0">
      <text>
        <r>
          <rPr>
            <sz val="9"/>
            <color indexed="81"/>
            <rFont val="Segoe UI"/>
            <family val="2"/>
          </rPr>
          <t>Total de horas trabalhadas no mês (horas normais + horas extras - horas devidas)</t>
        </r>
      </text>
    </comment>
    <comment ref="S10" authorId="0">
      <text>
        <r>
          <rPr>
            <sz val="9"/>
            <color indexed="81"/>
            <rFont val="Segoe UI"/>
            <family val="2"/>
          </rPr>
          <t>Total acumulado no banco de horas (meses anteriores + mês atual - horas devidas)</t>
        </r>
      </text>
    </comment>
  </commentList>
</comments>
</file>

<file path=xl/comments32.xml><?xml version="1.0" encoding="utf-8"?>
<comments xmlns="http://schemas.openxmlformats.org/spreadsheetml/2006/main">
  <authors>
    <author>Leonardo</author>
  </authors>
  <commentList>
    <comment ref="D8" authorId="0">
      <text>
        <r>
          <rPr>
            <sz val="9"/>
            <color indexed="81"/>
            <rFont val="Segoe UI"/>
            <family val="2"/>
          </rPr>
          <t>Valor do homem-hora calculado com base no total de horas mensais e salário base correspondente no mês.</t>
        </r>
      </text>
    </comment>
    <comment ref="E8" authorId="0">
      <text>
        <r>
          <rPr>
            <sz val="9"/>
            <color indexed="81"/>
            <rFont val="Segoe UI"/>
            <family val="2"/>
          </rPr>
          <t>Cálculo do total de horas trabalhadas no mês (horas normais +horas extras - horas devidas)</t>
        </r>
      </text>
    </comment>
    <comment ref="G8" authorId="0">
      <text>
        <r>
          <rPr>
            <sz val="9"/>
            <color indexed="81"/>
            <rFont val="Segoe UI"/>
            <family val="2"/>
          </rPr>
          <t>Total de hora extra trabalhada no mês.</t>
        </r>
      </text>
    </comment>
    <comment ref="H8" authorId="0">
      <text>
        <r>
          <rPr>
            <sz val="9"/>
            <color indexed="81"/>
            <rFont val="Segoe UI"/>
            <family val="2"/>
          </rPr>
          <t>Total de horas devidas no mês.</t>
        </r>
      </text>
    </comment>
    <comment ref="I8" authorId="0">
      <text>
        <r>
          <rPr>
            <sz val="9"/>
            <color indexed="81"/>
            <rFont val="Segoe UI"/>
            <family val="2"/>
          </rPr>
          <t>Quantas horas extras o funcionário tinha ao iniciar o primeiro dia do mês? Esse é o valor desta coluna.</t>
        </r>
      </text>
    </comment>
    <comment ref="J8" authorId="0">
      <text>
        <r>
          <rPr>
            <sz val="9"/>
            <color indexed="81"/>
            <rFont val="Segoe UI"/>
            <family val="2"/>
          </rPr>
          <t>É a soma das horas extras que ele já tinha ao iniciar o mês + horas extras acumuladas no mês vigente.</t>
        </r>
      </text>
    </comment>
    <comment ref="K8" authorId="0">
      <text>
        <r>
          <rPr>
            <sz val="9"/>
            <color indexed="81"/>
            <rFont val="Segoe UI"/>
            <family val="2"/>
          </rPr>
          <t>Salário base do mês definido nas premissas gerais.</t>
        </r>
      </text>
    </comment>
  </commentList>
</comments>
</file>

<file path=xl/comments33.xml><?xml version="1.0" encoding="utf-8"?>
<comments xmlns="http://schemas.openxmlformats.org/spreadsheetml/2006/main">
  <authors>
    <author>Leonardo</author>
  </authors>
  <commentList>
    <comment ref="D8" authorId="0">
      <text>
        <r>
          <rPr>
            <sz val="9"/>
            <color indexed="81"/>
            <rFont val="Segoe UI"/>
            <family val="2"/>
          </rPr>
          <t>Valor do homem-hora calculado com base no total de horas mensais e salário base correspondente no mês.</t>
        </r>
      </text>
    </comment>
    <comment ref="E8" authorId="0">
      <text>
        <r>
          <rPr>
            <sz val="9"/>
            <color indexed="81"/>
            <rFont val="Segoe UI"/>
            <family val="2"/>
          </rPr>
          <t>Cálculo do total de horas trabalhadas no mês (horas normais +horas extras - horas devidas)</t>
        </r>
      </text>
    </comment>
    <comment ref="G8" authorId="0">
      <text>
        <r>
          <rPr>
            <sz val="9"/>
            <color indexed="81"/>
            <rFont val="Segoe UI"/>
            <family val="2"/>
          </rPr>
          <t>Total de hora extra trabalhada no mês.</t>
        </r>
      </text>
    </comment>
    <comment ref="H8" authorId="0">
      <text>
        <r>
          <rPr>
            <sz val="9"/>
            <color indexed="81"/>
            <rFont val="Segoe UI"/>
            <family val="2"/>
          </rPr>
          <t>Total de horas devidas no mês.</t>
        </r>
      </text>
    </comment>
    <comment ref="I8" authorId="0">
      <text>
        <r>
          <rPr>
            <sz val="9"/>
            <color indexed="81"/>
            <rFont val="Segoe UI"/>
            <family val="2"/>
          </rPr>
          <t>Quantas horas extras o funcionário tinha ao iniciar o primeiro dia do mês? Esse é o valor desta coluna.</t>
        </r>
      </text>
    </comment>
    <comment ref="J8" authorId="0">
      <text>
        <r>
          <rPr>
            <sz val="9"/>
            <color indexed="81"/>
            <rFont val="Segoe UI"/>
            <family val="2"/>
          </rPr>
          <t>É a soma das horas extras que ele já tinha ao iniciar o mês + horas extras acumuladas no mês vigente.</t>
        </r>
      </text>
    </comment>
    <comment ref="K8" authorId="0">
      <text>
        <r>
          <rPr>
            <sz val="9"/>
            <color indexed="81"/>
            <rFont val="Segoe UI"/>
            <family val="2"/>
          </rPr>
          <t>Salário base do mês definido nas premissas gerais.</t>
        </r>
      </text>
    </comment>
  </commentList>
</comments>
</file>

<file path=xl/comments34.xml><?xml version="1.0" encoding="utf-8"?>
<comments xmlns="http://schemas.openxmlformats.org/spreadsheetml/2006/main">
  <authors>
    <author>Leonardo</author>
  </authors>
  <commentList>
    <comment ref="C11" authorId="0">
      <text>
        <r>
          <rPr>
            <sz val="12"/>
            <color indexed="81"/>
            <rFont val="Calibri"/>
            <family val="2"/>
          </rPr>
          <t>Use este campo para descrever os funcionários caso você precise dividir os funcionários em mais de uma planilha, ou seja, caso tenha mais de 30 funcionários a cadastrar.</t>
        </r>
      </text>
    </comment>
  </commentList>
</comments>
</file>

<file path=xl/sharedStrings.xml><?xml version="1.0" encoding="utf-8"?>
<sst xmlns="http://schemas.openxmlformats.org/spreadsheetml/2006/main" count="2619" uniqueCount="303">
  <si>
    <t>Início</t>
  </si>
  <si>
    <t>Planilha de Fluxo de Caixa 3.0</t>
  </si>
  <si>
    <t>Planilha de Fluxo de Caixa com Controle de Estoque</t>
  </si>
  <si>
    <t>Planilha de Análise SWOT</t>
  </si>
  <si>
    <t>Planilha de Avaliação de Desempenho por Competências</t>
  </si>
  <si>
    <t>A revolução 3.0 também chegou ao fluxo de caixa. Compre já a sua!</t>
  </si>
  <si>
    <t>Controle seu fluxo de caixa e estoques automaticamente com uma única planilha integrada!</t>
  </si>
  <si>
    <t>Saiba exatamente quais colaboradores da sua empresa estão apresentando um bom desempenho e quais precisam melhorar.</t>
  </si>
  <si>
    <t>Planilha de Controle de Estoques</t>
  </si>
  <si>
    <t>Tenha uma ferramenta para controlar o seu estoque, saber o ponto de recompra de seus produtos e seu custo médio.</t>
  </si>
  <si>
    <t>Planilha de Fluxo de Caixa com Controle Orçamentário</t>
  </si>
  <si>
    <t>Faça previsões orçamentárias para seu financeiro e acompanhe automaticamente com um fluxo de caiax integrado em uma só planilha.</t>
  </si>
  <si>
    <t>http://luz.vc/ferramentas/planilhas-integradas/planilha-de-fluxo-de-caixa-com-controle-orcamentario/</t>
  </si>
  <si>
    <t>Se prepare da melhor maneira para o planejamento estratégico da sua empresa. Aprenda a fazer sua Análise SWOT (FOFA) agora mesmo.</t>
  </si>
  <si>
    <t>Posso adicionar mais linhas e colunas na planilha?</t>
  </si>
  <si>
    <t xml:space="preserve">Nós recomendamos fortemente que você utilize a estrutura pronta apresentada, pois existem diversas fórmulas que podem ser afetadas pela adição de linhas e colunas. Além disso, para facilitar o preenchimento mantemos a planilha desbloqueada apenas nos locais para preenchimento. </t>
  </si>
  <si>
    <t>Posso remover linhas?</t>
  </si>
  <si>
    <t>Eles são avisos sobre como a sua projeção está. A partir deles, você pode refinar suas projeções e pensar em medidas mais agressivas para tornar seu projeto mais agressivo.</t>
  </si>
  <si>
    <t>Para que servem os alertas?</t>
  </si>
  <si>
    <t>Como desbloquear a planilha?</t>
  </si>
  <si>
    <t>Basta entrar no menu superior "Revisão" e escolher o item desproteger planilha no grupo Alterações. As planilhas não possuem senhas, apenas estão bloqueadas para melhorar a usabilidade delas.</t>
  </si>
  <si>
    <t>Essa planilha pode ser apresentada para instituições financeiras?</t>
  </si>
  <si>
    <t>Sim. Porém esses dados não garantem aprovações ou reprovações por parte dessas instituições. Sendo usados como dados complementares.</t>
  </si>
  <si>
    <t>Como redimensiono uma coluna ou linha da planilha?</t>
  </si>
  <si>
    <t>Com a planilha desbloqueada(ver pergunta 5), clique sobre o número da linha com o botão diretiro e escolha a opção altura da linha no caso das linhas ou na letra da coluna com o botão direito e escolha a opção largura da coluna no caso de colunas.</t>
  </si>
  <si>
    <t>Como faço para imprimir uma planilha?</t>
  </si>
  <si>
    <t>Como mudo a moeda da planilha?</t>
  </si>
  <si>
    <t>Escolha Opção Arquivo e vá ao item imprimir no seu menu superior.</t>
  </si>
  <si>
    <t>Selecione os campos que deseja mudar a moeda. Clique com o botão direito escolha a opção formatar células. Altere o símbolo para o formato que desejar na guia Número.</t>
  </si>
  <si>
    <t>1. PREMISSAS GERAIS</t>
  </si>
  <si>
    <t>2. LANÇAMENTOS MENSAIS</t>
  </si>
  <si>
    <t>4. GRÁFICOS</t>
  </si>
  <si>
    <t>5. ALERTAS E DICAS</t>
  </si>
  <si>
    <t>6. RELATÓRIOS DE IMPRESSÃO</t>
  </si>
  <si>
    <t>7. IMPRIMIR FOLHA DE PONTO</t>
  </si>
  <si>
    <t>DÚVIDAS FREQUENTES</t>
  </si>
  <si>
    <t>SUGESTÕES PARA VOCÊ</t>
  </si>
  <si>
    <t>SOBRE A LUZ</t>
  </si>
  <si>
    <t>Clique Aqui</t>
  </si>
  <si>
    <t>http://luz.vc/ferramentas/planilhas-integradas/planilha-de-fluxo-de-caixa-com-controle-orcamentario/?utm_source=referral&amp;utm_medium=produtos&amp;utm_campaign=hoex3</t>
  </si>
  <si>
    <t>AVALIE ESTA PLANILHA E GANHE 10% DE DESCONTO &gt;</t>
  </si>
  <si>
    <t>Clique abaixo para selecionar sua dúvida:</t>
  </si>
  <si>
    <t>Veja a resposta abaixo:</t>
  </si>
  <si>
    <t>1. Posso adicionar mais linhas e colunas na planilha?</t>
  </si>
  <si>
    <t>Sábado</t>
  </si>
  <si>
    <t>Domingo</t>
  </si>
  <si>
    <t>Dia de Semana</t>
  </si>
  <si>
    <t>Feriados</t>
  </si>
  <si>
    <t>Essas horas extras estão sendo pagas ou fará banco de horas?</t>
  </si>
  <si>
    <t>Cadastro do Funcionário</t>
  </si>
  <si>
    <t>Dia</t>
  </si>
  <si>
    <t>Dom</t>
  </si>
  <si>
    <t>Seg</t>
  </si>
  <si>
    <t>Ter</t>
  </si>
  <si>
    <t>Qua</t>
  </si>
  <si>
    <t>Qui</t>
  </si>
  <si>
    <t>Sex</t>
  </si>
  <si>
    <t>Sáb</t>
  </si>
  <si>
    <t>Classificação</t>
  </si>
  <si>
    <t>Intervalo</t>
  </si>
  <si>
    <t>Término</t>
  </si>
  <si>
    <t>Horas Dia</t>
  </si>
  <si>
    <t>Horas Devidas</t>
  </si>
  <si>
    <t>Horas Extras</t>
  </si>
  <si>
    <t>Resumo do Mês</t>
  </si>
  <si>
    <t>Horas trabalhadas no mês</t>
  </si>
  <si>
    <t>Acumulado no banco de horas</t>
  </si>
  <si>
    <t>Total de horas extras</t>
  </si>
  <si>
    <t>Total de horas devidas</t>
  </si>
  <si>
    <t>Total de hora extra a pagar</t>
  </si>
  <si>
    <t>3. RESULTADOS CONSOLIDADOS</t>
  </si>
  <si>
    <t>Mês</t>
  </si>
  <si>
    <t>Salário Base
(sem hora extra)</t>
  </si>
  <si>
    <t>Banco de Horas
Final do Mês</t>
  </si>
  <si>
    <t>Banco de Horas
Início do Mês</t>
  </si>
  <si>
    <t>Horas Extras às Segundas</t>
  </si>
  <si>
    <t>Horas Extras às Terças</t>
  </si>
  <si>
    <t>Horas Extras às Quartas</t>
  </si>
  <si>
    <t>Horas Extras às Quintas</t>
  </si>
  <si>
    <t>Horas Extras às Sextas</t>
  </si>
  <si>
    <t>Horas Extras nos Feriados</t>
  </si>
  <si>
    <t>Horas Extras aos Domingos</t>
  </si>
  <si>
    <t>Horas Extras aos Sábados</t>
  </si>
  <si>
    <t>Horas Extras no DRS (Descanso Remunerado Semanal)</t>
  </si>
  <si>
    <t>Horas Extras na Intrajornada</t>
  </si>
  <si>
    <t>Horas Extras às Interjornada</t>
  </si>
  <si>
    <t>Horas Extras trabalhadas entre 22:00hs e 5:00hs
Adicional Noturno (52m e 30s = 1 hora)</t>
  </si>
  <si>
    <t>Debitadas do Banco de Horas</t>
  </si>
  <si>
    <t>Total de Horas Extras a Pagar</t>
  </si>
  <si>
    <t>Salário Base com Horas Extras</t>
  </si>
  <si>
    <t>Janeiro</t>
  </si>
  <si>
    <t>Fevereiro</t>
  </si>
  <si>
    <t>Março</t>
  </si>
  <si>
    <t>Abril</t>
  </si>
  <si>
    <t>Maio</t>
  </si>
  <si>
    <t>Junho</t>
  </si>
  <si>
    <t>Julho</t>
  </si>
  <si>
    <t>Agosto</t>
  </si>
  <si>
    <t>Setembro</t>
  </si>
  <si>
    <t>Outubro</t>
  </si>
  <si>
    <t>Novembro</t>
  </si>
  <si>
    <t>Dezembro</t>
  </si>
  <si>
    <t>Periculosidade</t>
  </si>
  <si>
    <t>RELATÓRIO IMPRESSO</t>
  </si>
  <si>
    <t>Análise Geral das Horas Extras</t>
  </si>
  <si>
    <t>e</t>
  </si>
  <si>
    <t>d</t>
  </si>
  <si>
    <t>f</t>
  </si>
  <si>
    <t>g</t>
  </si>
  <si>
    <t>h</t>
  </si>
  <si>
    <t>i</t>
  </si>
  <si>
    <t>j</t>
  </si>
  <si>
    <t>k</t>
  </si>
  <si>
    <t>l</t>
  </si>
  <si>
    <t>m</t>
  </si>
  <si>
    <t>n</t>
  </si>
  <si>
    <t>o</t>
  </si>
  <si>
    <t>Salário Base</t>
  </si>
  <si>
    <t>HORÁRIOS</t>
  </si>
  <si>
    <t>Observações</t>
  </si>
  <si>
    <t>RESUMO GERAL</t>
  </si>
  <si>
    <t>Horas Normais</t>
  </si>
  <si>
    <t>Horas DSR</t>
  </si>
  <si>
    <t>Visto</t>
  </si>
  <si>
    <t>Modelo de pagamento das horas extras</t>
  </si>
  <si>
    <t>Acréscimo por cada hora extra (%)</t>
  </si>
  <si>
    <r>
      <rPr>
        <b/>
        <sz val="18"/>
        <color indexed="10"/>
        <rFont val="Calibri"/>
        <family val="2"/>
      </rPr>
      <t xml:space="preserve">IMPORTANTE: </t>
    </r>
    <r>
      <rPr>
        <b/>
        <sz val="18"/>
        <rFont val="Calibri"/>
        <family val="2"/>
      </rPr>
      <t>LEIA OS PASSOS E ENTENDA A PLANILHA</t>
    </r>
  </si>
  <si>
    <t>Passo 1</t>
  </si>
  <si>
    <t>PREMISSAS GERAIS</t>
  </si>
  <si>
    <t>Passo 2</t>
  </si>
  <si>
    <t>Passo 3</t>
  </si>
  <si>
    <t>GRÁFICOS</t>
  </si>
  <si>
    <t>Passo 4</t>
  </si>
  <si>
    <t>ALERTAS E DICAS</t>
  </si>
  <si>
    <t>Passo 5</t>
  </si>
  <si>
    <t>RELATÓRIO PARA IMPRESSÃO</t>
  </si>
  <si>
    <t>PLANILHA DE CÁLCULO DE</t>
  </si>
  <si>
    <t xml:space="preserve">Seja bem-vindo(a). Com esta planilha você poderá analisar toda a folha de ponto do se funcionário.
Invista suas energias em idéias que você sabe que serão viáveis! </t>
  </si>
  <si>
    <t>LANÇAMENTOS</t>
  </si>
  <si>
    <t>RESULTADOS CONSOLIDADOS</t>
  </si>
  <si>
    <t>FOLHA DE PONTO</t>
  </si>
  <si>
    <t>Passo 6</t>
  </si>
  <si>
    <t>Passo 7</t>
  </si>
  <si>
    <t>DSR</t>
  </si>
  <si>
    <t>Interjornada (Iniciada antes das 11 horas de descanso)</t>
  </si>
  <si>
    <t>Intrajornada (Trabalho na hora de descanso/almoço)</t>
  </si>
  <si>
    <t>Horas Extras no DSR (Descanso Semanal Remunerado)</t>
  </si>
  <si>
    <t>Horas Extras na Interjornada</t>
  </si>
  <si>
    <t>3.0.1</t>
  </si>
  <si>
    <t>Valor Homem-Hora</t>
  </si>
  <si>
    <t>Projeção de Horas Trabalhadas</t>
  </si>
  <si>
    <t>Horas  Trabalhadas</t>
  </si>
  <si>
    <t>Valor de Horas Extras</t>
  </si>
  <si>
    <t>Valor de Descontos por Horas Devidas</t>
  </si>
  <si>
    <t>Salário com Valor das Horas Extras</t>
  </si>
  <si>
    <t>CÁLCULO DE HORAS EXTRAS COM FOLHA DE PONTO E BANCO DE HORAS 3.5</t>
  </si>
  <si>
    <t>Cadastro de departamentos</t>
  </si>
  <si>
    <t>Menu</t>
  </si>
  <si>
    <t>Cadastro de funcionários</t>
  </si>
  <si>
    <t>Funcionário</t>
  </si>
  <si>
    <t>Salário</t>
  </si>
  <si>
    <t>Área</t>
  </si>
  <si>
    <t>Fim</t>
  </si>
  <si>
    <t>Ano corrente</t>
  </si>
  <si>
    <t>Horas extras</t>
  </si>
  <si>
    <t>Mensal</t>
  </si>
  <si>
    <t>Semanal</t>
  </si>
  <si>
    <t>intervalo real</t>
  </si>
  <si>
    <t>intervalo devido</t>
  </si>
  <si>
    <t>Tempo de intervalo diário</t>
  </si>
  <si>
    <t>Segunda</t>
  </si>
  <si>
    <t>Terça</t>
  </si>
  <si>
    <t>Quarta</t>
  </si>
  <si>
    <t>Quinta</t>
  </si>
  <si>
    <t>Sexta</t>
  </si>
  <si>
    <t>Horas somados / subtraídas ao banco</t>
  </si>
  <si>
    <t>Lista de funcionários</t>
  </si>
  <si>
    <t>Lanç!$C$8</t>
  </si>
  <si>
    <t>Horas Extras em Férias</t>
  </si>
  <si>
    <t>Configuração do período da planilha</t>
  </si>
  <si>
    <t>Mês corrente</t>
  </si>
  <si>
    <t>Descrição dos funcionários</t>
  </si>
  <si>
    <t>Selecione o funcionário ao lado</t>
  </si>
  <si>
    <t>Todos</t>
  </si>
  <si>
    <t>Hora Extra Noturna Início</t>
  </si>
  <si>
    <t>'Lanç (2)'!$C$9</t>
  </si>
  <si>
    <t>'Lanç (3)'!$C$10</t>
  </si>
  <si>
    <t>'Lanç (4)'!$C$11</t>
  </si>
  <si>
    <t>'Lanç (5)'!$C$12</t>
  </si>
  <si>
    <t>'Lanç (6)'!$C$13</t>
  </si>
  <si>
    <t>'Lanç (7)'!$C$14</t>
  </si>
  <si>
    <t>'Lanç (8)'!$C$15</t>
  </si>
  <si>
    <t>'Lanç (9)'!$C$16</t>
  </si>
  <si>
    <t>'Lanç (10)'!$C$17</t>
  </si>
  <si>
    <t>'Lanç (11)'!$C$18</t>
  </si>
  <si>
    <t>'Lanç (12)'!$C$19</t>
  </si>
  <si>
    <t>'Lanç (13)'!$C$20</t>
  </si>
  <si>
    <t>'Lanç (14)'!$C$21</t>
  </si>
  <si>
    <t>'Lanç (15)'!$C$22</t>
  </si>
  <si>
    <t>'Lanç (16)'!$C$23</t>
  </si>
  <si>
    <t>'Lanç (17)'!$C$24</t>
  </si>
  <si>
    <t>'Lanç (18)'!$C$25</t>
  </si>
  <si>
    <t>'Lanç (19)'!$C$26</t>
  </si>
  <si>
    <t>'Lanç (20)'!$C$27</t>
  </si>
  <si>
    <t>'Lanç (21)'!$C$28</t>
  </si>
  <si>
    <t>'Lanç (22)'!$C$29</t>
  </si>
  <si>
    <t>'Lanç (23)'!$C$30</t>
  </si>
  <si>
    <t>'Lanç (24)'!$C$31</t>
  </si>
  <si>
    <t>'Lanç (25)'!$C$32</t>
  </si>
  <si>
    <t>'Lanç (26)'!$C$33</t>
  </si>
  <si>
    <t>'Lanç (27)'!$C$34</t>
  </si>
  <si>
    <t>'Lanç (28)'!$C$35</t>
  </si>
  <si>
    <t>'Lanç (29)'!$C$36</t>
  </si>
  <si>
    <t>'Lanç (30)'!$C$37</t>
  </si>
  <si>
    <t>Lanç!$U$8</t>
  </si>
  <si>
    <t>Horas trabalhadas</t>
  </si>
  <si>
    <t>Lanç!$U$16</t>
  </si>
  <si>
    <t>Horas devidas</t>
  </si>
  <si>
    <t>Lanç!$U$14</t>
  </si>
  <si>
    <t>Lanç!$K$5</t>
  </si>
  <si>
    <t>Banco de horas início do mês</t>
  </si>
  <si>
    <t>Lanç!$F$41</t>
  </si>
  <si>
    <t>Lanç!$F$42</t>
  </si>
  <si>
    <t>Lanç!$F$43</t>
  </si>
  <si>
    <t>Lanç!$F$44</t>
  </si>
  <si>
    <t>Lanç!$F$45</t>
  </si>
  <si>
    <t>Lanç!$F$46</t>
  </si>
  <si>
    <t>Lanç!$F$47</t>
  </si>
  <si>
    <t>Lanç!$F$48</t>
  </si>
  <si>
    <t>Lanç!$F$49</t>
  </si>
  <si>
    <t>Lanç!$F$50</t>
  </si>
  <si>
    <t>Lanç!$F$51</t>
  </si>
  <si>
    <t>Lanç!$F$52</t>
  </si>
  <si>
    <t>Lanç!$F$53</t>
  </si>
  <si>
    <t>Lanç!$F$54</t>
  </si>
  <si>
    <t>Lanç!$F$55</t>
  </si>
  <si>
    <t>Salário base com horas extras</t>
  </si>
  <si>
    <t>Detalhamento</t>
  </si>
  <si>
    <t>Horas extras por tipo</t>
  </si>
  <si>
    <t>Distribuição das Horas Extras</t>
  </si>
  <si>
    <t>Nomes</t>
  </si>
  <si>
    <t>Outros</t>
  </si>
  <si>
    <t>Top 10 Horas extras a pagar</t>
  </si>
  <si>
    <t>Selecione o funcionário a área</t>
  </si>
  <si>
    <t>Todas</t>
  </si>
  <si>
    <t>Top 10 Horas extras</t>
  </si>
  <si>
    <t>Áreas</t>
  </si>
  <si>
    <t>Top Horas extras</t>
  </si>
  <si>
    <t>Top Horas extras a pagar</t>
  </si>
  <si>
    <t>Lanç!$S$23</t>
  </si>
  <si>
    <t>Lanç!$S$26</t>
  </si>
  <si>
    <t>Lanç!$G$8</t>
  </si>
  <si>
    <t>Lista</t>
  </si>
  <si>
    <t>Relatório detalhado</t>
  </si>
  <si>
    <t>Resumo do Ano</t>
  </si>
  <si>
    <r>
      <rPr>
        <b/>
        <sz val="36"/>
        <color indexed="8"/>
        <rFont val="Calibri"/>
        <family val="2"/>
      </rPr>
      <t>1.</t>
    </r>
    <r>
      <rPr>
        <sz val="36"/>
        <color indexed="8"/>
        <rFont val="Calibri"/>
        <family val="2"/>
      </rPr>
      <t xml:space="preserve"> Alertas do Mês</t>
    </r>
  </si>
  <si>
    <r>
      <rPr>
        <b/>
        <sz val="36"/>
        <color indexed="8"/>
        <rFont val="Calibri"/>
        <family val="2"/>
      </rPr>
      <t>2.</t>
    </r>
    <r>
      <rPr>
        <sz val="36"/>
        <color indexed="8"/>
        <rFont val="Calibri"/>
        <family val="2"/>
      </rPr>
      <t xml:space="preserve"> Resultados do Mês</t>
    </r>
  </si>
  <si>
    <r>
      <rPr>
        <b/>
        <sz val="36"/>
        <color indexed="8"/>
        <rFont val="Calibri"/>
        <family val="2"/>
      </rPr>
      <t>3.</t>
    </r>
    <r>
      <rPr>
        <sz val="36"/>
        <color indexed="8"/>
        <rFont val="Calibri"/>
        <family val="2"/>
      </rPr>
      <t xml:space="preserve"> Gráficos do Mês</t>
    </r>
  </si>
  <si>
    <t>1. Alertas</t>
  </si>
  <si>
    <t>2. Resultados</t>
  </si>
  <si>
    <t>3. Gráficos</t>
  </si>
  <si>
    <t>Departamento</t>
  </si>
  <si>
    <t>Carga horária mensal</t>
  </si>
  <si>
    <t>G</t>
  </si>
  <si>
    <t>H</t>
  </si>
  <si>
    <t>I</t>
  </si>
  <si>
    <t>J</t>
  </si>
  <si>
    <t>K</t>
  </si>
  <si>
    <t>M</t>
  </si>
  <si>
    <t>O</t>
  </si>
  <si>
    <t>Q</t>
  </si>
  <si>
    <t>Extras ou Devidas</t>
  </si>
  <si>
    <t>Horas acumuladas no banco de horas</t>
  </si>
  <si>
    <t>Selecione o departamento ao lado</t>
  </si>
  <si>
    <t>Este é o começo de tudo. É a parte de definição de todas as premissas de decadastro e perfis do funcionário.Contribui com todas bases de cálculo usadas adiante.</t>
  </si>
  <si>
    <t>Os Lançamentos são os locais onde você vai preencher o dia a dia do seu funcionário durante o mês.</t>
  </si>
  <si>
    <t>A hora de retirar um relátório conciso e direto sobre os dados lançados. Nos resultados consolidados você têm um panorama de todo o mês. Uma indispensável ferramenta para tomada de decisões.</t>
  </si>
  <si>
    <t>Os gráficos são importantes para que sejam feitas avaliações sobre a situação do seu funcionário de uma forma simples e mais visual. Você poderá ver os gráficos de cada tipo de hora extra de maneira separada. Além de outras análises.</t>
  </si>
  <si>
    <t>Esta planilha avaliará todos os dados preenchidos por você e retornará com dicas importantes para o seu segmento. Avaliando seu dia a dia, será mais fácil identificar se está fluindo da maneira correta, isso servirá para alertá-lo sobre possíveis problemas.</t>
  </si>
  <si>
    <t>Imprima somente o que importa. Esta parte gera um relatório formatado para impressão em páginas tamanho A4 com seu relatório e o panorama geral. Acompanha gráficos e as dicas importantes que a planilha fornece.</t>
  </si>
  <si>
    <t>Imprima a folha de ponto mensal dos seus funcionários de maneira prática e econômica com apenas um clique. É rápido, é simples e é tudo que você precisava para adiantar seu dia a dia.</t>
  </si>
  <si>
    <t>Insalubridade</t>
  </si>
  <si>
    <t>Salário mínimo vigente para esta categoria de funcionários</t>
  </si>
  <si>
    <t>HORAS EXTRAS 3.5</t>
  </si>
  <si>
    <t>Valor monetário das horas extras</t>
  </si>
  <si>
    <t>Lanç!$m$5</t>
  </si>
  <si>
    <t>Classificação no início do mês</t>
  </si>
  <si>
    <t>Classificação no fim do mês</t>
  </si>
  <si>
    <t>Lanç!$F$58</t>
  </si>
  <si>
    <t>Comercial</t>
  </si>
  <si>
    <t>Paulo Nunes</t>
  </si>
  <si>
    <t>Normal</t>
  </si>
  <si>
    <t>Folga (DSR)</t>
  </si>
  <si>
    <t>Feriado</t>
  </si>
  <si>
    <t>Falta Justificada</t>
  </si>
  <si>
    <t>Jornada de trabalho</t>
  </si>
  <si>
    <t>insalubridade</t>
  </si>
  <si>
    <t>periculosidade</t>
  </si>
  <si>
    <t>valor p/ hora</t>
  </si>
  <si>
    <t>Total de Horas Extras</t>
  </si>
  <si>
    <t>Lanç!$H$49</t>
  </si>
  <si>
    <t>JORNADA</t>
  </si>
  <si>
    <t>a</t>
  </si>
</sst>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44" formatCode="_(&quot;R$&quot;* #,##0.00_);_(&quot;R$&quot;* \(#,##0.00\);_(&quot;R$&quot;* &quot;-&quot;??_);_(@_)"/>
    <numFmt numFmtId="164" formatCode="_-&quot;R$&quot;\ * #,##0.00_-;\-&quot;R$&quot;\ * #,##0.00_-;_-&quot;R$&quot;\ * &quot;-&quot;??_-;_-@_-"/>
    <numFmt numFmtId="165" formatCode="h:mm;@"/>
    <numFmt numFmtId="166" formatCode="&quot;R$&quot;\ #,##0.00"/>
    <numFmt numFmtId="167" formatCode="[h]:mm"/>
    <numFmt numFmtId="168" formatCode="General\ &quot;hs&quot;"/>
    <numFmt numFmtId="169" formatCode="[h]:mm:ss;@"/>
    <numFmt numFmtId="170" formatCode=";;;"/>
    <numFmt numFmtId="171" formatCode="_-[$R$-416]\ * #,##0.00_-;\-[$R$-416]\ * #,##0.00_-;_-[$R$-416]\ * &quot;-&quot;??_-;_-@_-"/>
    <numFmt numFmtId="172" formatCode="0.00000000000"/>
    <numFmt numFmtId="173" formatCode="[$-F400]h:mm:ss\ AM/PM"/>
    <numFmt numFmtId="174" formatCode="&quot;R$&quot;#,##0.00"/>
  </numFmts>
  <fonts count="57" x14ac:knownFonts="1">
    <font>
      <sz val="11"/>
      <color theme="1"/>
      <name val="Calibri"/>
      <family val="2"/>
      <scheme val="minor"/>
    </font>
    <font>
      <b/>
      <sz val="18"/>
      <color indexed="10"/>
      <name val="Calibri"/>
      <family val="2"/>
    </font>
    <font>
      <b/>
      <sz val="18"/>
      <name val="Calibri"/>
      <family val="2"/>
    </font>
    <font>
      <sz val="9"/>
      <color indexed="81"/>
      <name val="Segoe UI"/>
      <family val="2"/>
    </font>
    <font>
      <b/>
      <sz val="9"/>
      <color indexed="81"/>
      <name val="Segoe UI"/>
      <family val="2"/>
    </font>
    <font>
      <sz val="12"/>
      <color indexed="81"/>
      <name val="Calibri"/>
      <family val="2"/>
    </font>
    <font>
      <sz val="36"/>
      <color indexed="8"/>
      <name val="Calibri"/>
      <family val="2"/>
    </font>
    <font>
      <b/>
      <sz val="36"/>
      <color indexed="8"/>
      <name val="Calibri"/>
      <family val="2"/>
    </font>
    <font>
      <sz val="11"/>
      <color theme="1"/>
      <name val="Calibri"/>
      <family val="2"/>
      <scheme val="minor"/>
    </font>
    <font>
      <sz val="11"/>
      <color theme="0"/>
      <name val="Calibri"/>
      <family val="2"/>
      <scheme val="minor"/>
    </font>
    <font>
      <b/>
      <sz val="11"/>
      <color theme="0"/>
      <name val="Calibri"/>
      <family val="2"/>
      <scheme val="minor"/>
    </font>
    <font>
      <u/>
      <sz val="11"/>
      <color theme="10"/>
      <name val="Calibri"/>
      <family val="2"/>
      <scheme val="minor"/>
    </font>
    <font>
      <sz val="11"/>
      <color rgb="FFFF0000"/>
      <name val="Calibri"/>
      <family val="2"/>
      <scheme val="minor"/>
    </font>
    <font>
      <b/>
      <sz val="11"/>
      <color theme="1"/>
      <name val="Calibri"/>
      <family val="2"/>
      <scheme val="minor"/>
    </font>
    <font>
      <sz val="18"/>
      <color rgb="FF333333"/>
      <name val="Calibri"/>
      <family val="2"/>
      <scheme val="minor"/>
    </font>
    <font>
      <sz val="14"/>
      <color rgb="FF6699CC"/>
      <name val="Calibri"/>
      <family val="2"/>
      <scheme val="minor"/>
    </font>
    <font>
      <sz val="12"/>
      <color rgb="FF6699CC"/>
      <name val="Calibri"/>
      <family val="2"/>
      <scheme val="minor"/>
    </font>
    <font>
      <sz val="14"/>
      <color rgb="FF0563C1"/>
      <name val="Calibri"/>
      <family val="2"/>
      <scheme val="minor"/>
    </font>
    <font>
      <b/>
      <sz val="36"/>
      <color theme="1"/>
      <name val="Calibri"/>
      <family val="2"/>
      <scheme val="minor"/>
    </font>
    <font>
      <sz val="16"/>
      <color rgb="FF333333"/>
      <name val="Calibri"/>
      <family val="2"/>
      <scheme val="minor"/>
    </font>
    <font>
      <sz val="11"/>
      <name val="Calibri"/>
      <family val="2"/>
      <scheme val="minor"/>
    </font>
    <font>
      <sz val="36"/>
      <color theme="0" tint="-0.499984740745262"/>
      <name val="Calibri"/>
      <family val="2"/>
      <scheme val="minor"/>
    </font>
    <font>
      <sz val="20"/>
      <color rgb="FF333333"/>
      <name val="Calibri"/>
      <family val="2"/>
      <scheme val="minor"/>
    </font>
    <font>
      <sz val="28"/>
      <color rgb="FF333333"/>
      <name val="Calibri"/>
      <family val="2"/>
      <scheme val="minor"/>
    </font>
    <font>
      <sz val="14"/>
      <color rgb="FF3366CC"/>
      <name val="Calibri"/>
      <family val="2"/>
      <scheme val="minor"/>
    </font>
    <font>
      <b/>
      <sz val="18"/>
      <color theme="1"/>
      <name val="Calibri"/>
      <family val="2"/>
      <scheme val="minor"/>
    </font>
    <font>
      <sz val="14"/>
      <color theme="1"/>
      <name val="Calibri"/>
      <family val="2"/>
      <scheme val="minor"/>
    </font>
    <font>
      <b/>
      <sz val="12"/>
      <color theme="0"/>
      <name val="Calibri"/>
      <family val="2"/>
      <scheme val="minor"/>
    </font>
    <font>
      <sz val="11"/>
      <color theme="1" tint="0.24994659260841701"/>
      <name val="Calibri"/>
      <family val="2"/>
      <scheme val="minor"/>
    </font>
    <font>
      <sz val="20"/>
      <color theme="1" tint="0.249977111117893"/>
      <name val="Calibri"/>
      <family val="2"/>
      <scheme val="minor"/>
    </font>
    <font>
      <b/>
      <sz val="24"/>
      <color rgb="FF333333"/>
      <name val="Calibri"/>
      <family val="2"/>
      <scheme val="minor"/>
    </font>
    <font>
      <sz val="16"/>
      <color theme="1" tint="0.249977111117893"/>
      <name val="Calibri"/>
      <family val="2"/>
      <scheme val="minor"/>
    </font>
    <font>
      <sz val="36"/>
      <color theme="1" tint="0.249977111117893"/>
      <name val="Calibri"/>
      <family val="2"/>
      <scheme val="minor"/>
    </font>
    <font>
      <sz val="26"/>
      <color theme="1" tint="0.249977111117893"/>
      <name val="Calibri"/>
      <family val="2"/>
      <scheme val="minor"/>
    </font>
    <font>
      <sz val="36"/>
      <color theme="1"/>
      <name val="Calibri"/>
      <family val="2"/>
      <scheme val="minor"/>
    </font>
    <font>
      <b/>
      <sz val="11"/>
      <color theme="1" tint="0.249977111117893"/>
      <name val="Calibri"/>
      <family val="2"/>
      <scheme val="minor"/>
    </font>
    <font>
      <b/>
      <sz val="18"/>
      <color rgb="FF595959"/>
      <name val="Calibri"/>
      <family val="2"/>
      <scheme val="minor"/>
    </font>
    <font>
      <b/>
      <sz val="48"/>
      <color theme="1"/>
      <name val="Calibri"/>
      <family val="2"/>
      <scheme val="minor"/>
    </font>
    <font>
      <sz val="11"/>
      <color theme="0"/>
      <name val="Segoe UI"/>
      <family val="2"/>
    </font>
    <font>
      <b/>
      <sz val="11"/>
      <color rgb="FF0070C0"/>
      <name val="Calibri"/>
      <family val="2"/>
      <scheme val="minor"/>
    </font>
    <font>
      <u/>
      <sz val="11"/>
      <color rgb="FF0070C0"/>
      <name val="Calibri"/>
      <family val="2"/>
      <scheme val="minor"/>
    </font>
    <font>
      <sz val="10.5"/>
      <color rgb="FF333333"/>
      <name val="Calibri"/>
      <family val="2"/>
      <scheme val="minor"/>
    </font>
    <font>
      <b/>
      <sz val="14"/>
      <color theme="0"/>
      <name val="Calibri"/>
      <family val="2"/>
      <scheme val="minor"/>
    </font>
    <font>
      <sz val="11"/>
      <color rgb="FF333333"/>
      <name val="Arial"/>
      <family val="2"/>
    </font>
    <font>
      <sz val="14"/>
      <color rgb="FF595959"/>
      <name val="Calibri"/>
      <family val="2"/>
      <scheme val="minor"/>
    </font>
    <font>
      <sz val="12"/>
      <color theme="1"/>
      <name val="Calibri"/>
      <family val="2"/>
      <scheme val="minor"/>
    </font>
    <font>
      <b/>
      <sz val="14"/>
      <color theme="1"/>
      <name val="Calibri"/>
      <family val="2"/>
      <scheme val="minor"/>
    </font>
    <font>
      <b/>
      <sz val="14"/>
      <color rgb="FF00B050"/>
      <name val="Calibri"/>
      <family val="2"/>
      <scheme val="minor"/>
    </font>
    <font>
      <b/>
      <sz val="28"/>
      <color theme="0"/>
      <name val="Calibri"/>
      <family val="2"/>
      <scheme val="minor"/>
    </font>
    <font>
      <u/>
      <sz val="11"/>
      <color theme="11"/>
      <name val="Calibri"/>
      <family val="2"/>
      <scheme val="minor"/>
    </font>
    <font>
      <sz val="8"/>
      <name val="Calibri"/>
      <family val="2"/>
      <scheme val="minor"/>
    </font>
    <font>
      <sz val="20"/>
      <color theme="0"/>
      <name val="Calibri"/>
      <family val="2"/>
      <scheme val="minor"/>
    </font>
    <font>
      <b/>
      <sz val="9"/>
      <color indexed="81"/>
      <name val="Tahoma"/>
      <family val="2"/>
    </font>
    <font>
      <sz val="9"/>
      <color indexed="81"/>
      <name val="Tahoma"/>
      <family val="2"/>
    </font>
    <font>
      <b/>
      <sz val="11"/>
      <color rgb="FFFF0000"/>
      <name val="Calibri"/>
      <family val="2"/>
      <scheme val="minor"/>
    </font>
    <font>
      <sz val="20"/>
      <color theme="1"/>
      <name val="Calibri"/>
      <family val="2"/>
      <scheme val="minor"/>
    </font>
    <font>
      <sz val="10"/>
      <color theme="0"/>
      <name val="Calibri"/>
      <family val="2"/>
      <scheme val="minor"/>
    </font>
  </fonts>
  <fills count="11">
    <fill>
      <patternFill patternType="none"/>
    </fill>
    <fill>
      <patternFill patternType="gray125"/>
    </fill>
    <fill>
      <patternFill patternType="solid">
        <fgColor rgb="FF333333"/>
        <bgColor indexed="64"/>
      </patternFill>
    </fill>
    <fill>
      <patternFill patternType="solid">
        <fgColor rgb="FFF2F2F2"/>
        <bgColor indexed="64"/>
      </patternFill>
    </fill>
    <fill>
      <patternFill patternType="solid">
        <fgColor rgb="FF336699"/>
        <bgColor indexed="64"/>
      </patternFill>
    </fill>
    <fill>
      <patternFill patternType="solid">
        <fgColor rgb="FFFD9900"/>
        <bgColor indexed="64"/>
      </patternFill>
    </fill>
    <fill>
      <patternFill patternType="solid">
        <fgColor rgb="FF6699CC"/>
        <bgColor indexed="64"/>
      </patternFill>
    </fill>
    <fill>
      <patternFill patternType="solid">
        <fgColor rgb="FFEAEAEA"/>
        <bgColor indexed="64"/>
      </patternFill>
    </fill>
    <fill>
      <patternFill patternType="solid">
        <fgColor theme="0" tint="-4.9989318521683403E-2"/>
        <bgColor indexed="64"/>
      </patternFill>
    </fill>
    <fill>
      <patternFill patternType="solid">
        <fgColor rgb="FFFF9900"/>
        <bgColor indexed="64"/>
      </patternFill>
    </fill>
    <fill>
      <patternFill patternType="solid">
        <fgColor theme="0"/>
        <bgColor indexed="64"/>
      </patternFill>
    </fill>
  </fills>
  <borders count="63">
    <border>
      <left/>
      <right/>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ck">
        <color theme="0"/>
      </left>
      <right style="thick">
        <color theme="0"/>
      </right>
      <top style="thick">
        <color theme="0"/>
      </top>
      <bottom style="thick">
        <color theme="0"/>
      </bottom>
      <diagonal/>
    </border>
    <border>
      <left style="thin">
        <color theme="0" tint="-0.14996795556505021"/>
      </left>
      <right style="thin">
        <color theme="0" tint="-0.14996795556505021"/>
      </right>
      <top style="thick">
        <color theme="0"/>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ck">
        <color theme="0"/>
      </left>
      <right style="thick">
        <color theme="0"/>
      </right>
      <top/>
      <bottom style="thick">
        <color theme="0"/>
      </bottom>
      <diagonal/>
    </border>
    <border>
      <left style="thick">
        <color theme="0"/>
      </left>
      <right style="thick">
        <color theme="0"/>
      </right>
      <top style="thick">
        <color theme="0"/>
      </top>
      <bottom/>
      <diagonal/>
    </border>
    <border>
      <left style="thick">
        <color theme="0"/>
      </left>
      <right style="thick">
        <color theme="0"/>
      </right>
      <top/>
      <bottom/>
      <diagonal/>
    </border>
    <border>
      <left/>
      <right style="thin">
        <color theme="0" tint="-0.14999847407452621"/>
      </right>
      <top style="thin">
        <color theme="0" tint="-0.14999847407452621"/>
      </top>
      <bottom style="thin">
        <color theme="0" tint="-0.14999847407452621"/>
      </bottom>
      <diagonal/>
    </border>
    <border>
      <left/>
      <right style="thin">
        <color theme="0" tint="-0.14996795556505021"/>
      </right>
      <top style="thick">
        <color theme="0"/>
      </top>
      <bottom style="thin">
        <color theme="0" tint="-0.14996795556505021"/>
      </bottom>
      <diagonal/>
    </border>
    <border>
      <left style="thin">
        <color theme="0" tint="-0.14996795556505021"/>
      </left>
      <right style="thick">
        <color theme="0" tint="-0.14996795556505021"/>
      </right>
      <top style="thick">
        <color theme="0"/>
      </top>
      <bottom style="thin">
        <color theme="0" tint="-0.14996795556505021"/>
      </bottom>
      <diagonal/>
    </border>
    <border>
      <left style="thick">
        <color theme="0"/>
      </left>
      <right style="thin">
        <color theme="0" tint="-0.14996795556505021"/>
      </right>
      <top style="thick">
        <color theme="0"/>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ck">
        <color theme="0" tint="-0.14996795556505021"/>
      </right>
      <top style="thin">
        <color theme="0" tint="-0.14996795556505021"/>
      </top>
      <bottom style="thin">
        <color theme="0" tint="-0.14996795556505021"/>
      </bottom>
      <diagonal/>
    </border>
    <border>
      <left style="thick">
        <color theme="0"/>
      </left>
      <right style="thin">
        <color theme="0" tint="-0.14996795556505021"/>
      </right>
      <top style="thin">
        <color theme="0" tint="-0.14996795556505021"/>
      </top>
      <bottom style="thin">
        <color theme="0" tint="-0.14996795556505021"/>
      </bottom>
      <diagonal/>
    </border>
    <border>
      <left style="thin">
        <color theme="0" tint="-0.14996795556505021"/>
      </left>
      <right style="thick">
        <color theme="0" tint="-0.14996795556505021"/>
      </right>
      <top/>
      <bottom style="thin">
        <color theme="0" tint="-0.14996795556505021"/>
      </bottom>
      <diagonal/>
    </border>
    <border>
      <left/>
      <right style="thin">
        <color theme="0" tint="-0.14996795556505021"/>
      </right>
      <top/>
      <bottom style="thin">
        <color theme="0" tint="-0.14996795556505021"/>
      </bottom>
      <diagonal/>
    </border>
    <border>
      <left style="thin">
        <color theme="0" tint="-0.14999847407452621"/>
      </left>
      <right style="thin">
        <color theme="0" tint="-0.14999847407452621"/>
      </right>
      <top/>
      <bottom style="thin">
        <color theme="0" tint="-0.14999847407452621"/>
      </bottom>
      <diagonal/>
    </border>
    <border>
      <left style="thin">
        <color theme="0" tint="-0.14996795556505021"/>
      </left>
      <right/>
      <top style="thin">
        <color theme="0" tint="-0.14999847407452621"/>
      </top>
      <bottom/>
      <diagonal/>
    </border>
    <border>
      <left style="thin">
        <color theme="0" tint="-0.14996795556505021"/>
      </left>
      <right/>
      <top/>
      <bottom/>
      <diagonal/>
    </border>
    <border>
      <left/>
      <right/>
      <top/>
      <bottom style="thin">
        <color theme="0" tint="-0.14996795556505021"/>
      </bottom>
      <diagonal/>
    </border>
    <border>
      <left/>
      <right style="thin">
        <color theme="0" tint="-0.14999847407452621"/>
      </right>
      <top style="thin">
        <color theme="0" tint="-0.14999847407452621"/>
      </top>
      <bottom style="thick">
        <color theme="0"/>
      </bottom>
      <diagonal/>
    </border>
    <border>
      <left style="thin">
        <color theme="0" tint="-0.14996795556505021"/>
      </left>
      <right style="thick">
        <color theme="0"/>
      </right>
      <top style="thick">
        <color theme="0"/>
      </top>
      <bottom style="thick">
        <color theme="0"/>
      </bottom>
      <diagonal/>
    </border>
    <border>
      <left style="thin">
        <color theme="0" tint="-0.14996795556505021"/>
      </left>
      <right style="thin">
        <color theme="0" tint="-0.14993743705557422"/>
      </right>
      <top style="thick">
        <color theme="0"/>
      </top>
      <bottom style="thin">
        <color theme="0" tint="-0.14996795556505021"/>
      </bottom>
      <diagonal/>
    </border>
    <border>
      <left style="thin">
        <color theme="0" tint="-0.14993743705557422"/>
      </left>
      <right style="thick">
        <color theme="0" tint="-0.14996795556505021"/>
      </right>
      <top style="thick">
        <color theme="0"/>
      </top>
      <bottom style="thin">
        <color theme="0" tint="-0.14996795556505021"/>
      </bottom>
      <diagonal/>
    </border>
    <border>
      <left style="thin">
        <color theme="0" tint="-0.14996795556505021"/>
      </left>
      <right style="thin">
        <color theme="0" tint="-0.14993743705557422"/>
      </right>
      <top style="thin">
        <color theme="0" tint="-0.14996795556505021"/>
      </top>
      <bottom style="thin">
        <color theme="0" tint="-0.14996795556505021"/>
      </bottom>
      <diagonal/>
    </border>
    <border>
      <left style="thin">
        <color theme="0" tint="-0.14993743705557422"/>
      </left>
      <right style="thick">
        <color theme="0" tint="-0.14996795556505021"/>
      </right>
      <top style="thin">
        <color theme="0" tint="-0.14996795556505021"/>
      </top>
      <bottom style="thin">
        <color theme="0" tint="-0.14996795556505021"/>
      </bottom>
      <diagonal/>
    </border>
    <border>
      <left style="thin">
        <color theme="0" tint="-0.14999847407452621"/>
      </left>
      <right/>
      <top style="thin">
        <color theme="0" tint="-0.14999847407452621"/>
      </top>
      <bottom style="thin">
        <color theme="0" tint="-0.14999847407452621"/>
      </bottom>
      <diagonal/>
    </border>
    <border>
      <left style="thin">
        <color theme="0" tint="-0.14996795556505021"/>
      </left>
      <right/>
      <top style="thick">
        <color theme="0"/>
      </top>
      <bottom style="thin">
        <color theme="0" tint="-0.14993743705557422"/>
      </bottom>
      <diagonal/>
    </border>
    <border>
      <left/>
      <right/>
      <top style="thick">
        <color theme="0"/>
      </top>
      <bottom style="thin">
        <color theme="0" tint="-0.14993743705557422"/>
      </bottom>
      <diagonal/>
    </border>
    <border>
      <left/>
      <right style="thin">
        <color theme="0" tint="-0.14993743705557422"/>
      </right>
      <top style="thick">
        <color theme="0"/>
      </top>
      <bottom style="thin">
        <color theme="0" tint="-0.14993743705557422"/>
      </bottom>
      <diagonal/>
    </border>
    <border>
      <left style="thick">
        <color theme="0"/>
      </left>
      <right/>
      <top style="thick">
        <color theme="0"/>
      </top>
      <bottom style="thick">
        <color theme="0"/>
      </bottom>
      <diagonal/>
    </border>
    <border>
      <left/>
      <right/>
      <top style="thick">
        <color theme="0"/>
      </top>
      <bottom style="thick">
        <color theme="0"/>
      </bottom>
      <diagonal/>
    </border>
    <border>
      <left/>
      <right style="thick">
        <color theme="0"/>
      </right>
      <top style="thick">
        <color theme="0"/>
      </top>
      <bottom style="thick">
        <color theme="0"/>
      </bottom>
      <diagonal/>
    </border>
    <border>
      <left style="thick">
        <color theme="0"/>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style="thin">
        <color theme="0" tint="-0.14999847407452621"/>
      </left>
      <right/>
      <top style="thick">
        <color theme="0"/>
      </top>
      <bottom style="thin">
        <color theme="0" tint="-0.14996795556505021"/>
      </bottom>
      <diagonal/>
    </border>
    <border>
      <left/>
      <right/>
      <top style="thick">
        <color theme="0"/>
      </top>
      <bottom style="thin">
        <color theme="0" tint="-0.14996795556505021"/>
      </bottom>
      <diagonal/>
    </border>
    <border>
      <left style="thick">
        <color theme="0"/>
      </left>
      <right style="thin">
        <color theme="0" tint="-0.14999847407452621"/>
      </right>
      <top style="thick">
        <color theme="0"/>
      </top>
      <bottom style="thick">
        <color theme="0"/>
      </bottom>
      <diagonal/>
    </border>
    <border>
      <left style="thin">
        <color theme="0" tint="-0.14999847407452621"/>
      </left>
      <right style="thin">
        <color theme="0" tint="-0.14999847407452621"/>
      </right>
      <top style="thick">
        <color theme="0"/>
      </top>
      <bottom style="thick">
        <color theme="0"/>
      </bottom>
      <diagonal/>
    </border>
    <border>
      <left style="thin">
        <color theme="0" tint="-0.14999847407452621"/>
      </left>
      <right style="thick">
        <color theme="0"/>
      </right>
      <top style="thick">
        <color theme="0"/>
      </top>
      <bottom style="thick">
        <color theme="0"/>
      </bottom>
      <diagonal/>
    </border>
    <border>
      <left style="thin">
        <color theme="0" tint="-0.14999847407452621"/>
      </left>
      <right/>
      <top style="thin">
        <color theme="0" tint="-0.14999847407452621"/>
      </top>
      <bottom/>
      <diagonal/>
    </border>
    <border>
      <left style="thin">
        <color theme="0" tint="-0.14999847407452621"/>
      </left>
      <right/>
      <top style="thin">
        <color theme="0" tint="-0.14999847407452621"/>
      </top>
      <bottom style="thick">
        <color theme="0"/>
      </bottom>
      <diagonal/>
    </border>
    <border>
      <left/>
      <right/>
      <top style="thin">
        <color theme="0" tint="-0.14999847407452621"/>
      </top>
      <bottom style="thick">
        <color theme="0"/>
      </bottom>
      <diagonal/>
    </border>
    <border>
      <left style="thin">
        <color theme="0" tint="-0.14999847407452621"/>
      </left>
      <right style="thin">
        <color theme="0" tint="-0.14999847407452621"/>
      </right>
      <top style="thin">
        <color theme="0" tint="-0.1499984740745262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hair">
        <color auto="1"/>
      </left>
      <right style="thick">
        <color theme="0"/>
      </right>
      <top style="hair">
        <color auto="1"/>
      </top>
      <bottom style="thick">
        <color theme="0"/>
      </bottom>
      <diagonal/>
    </border>
    <border>
      <left style="thick">
        <color theme="0"/>
      </left>
      <right style="thick">
        <color theme="0"/>
      </right>
      <top style="hair">
        <color auto="1"/>
      </top>
      <bottom style="thick">
        <color theme="0"/>
      </bottom>
      <diagonal/>
    </border>
  </borders>
  <cellStyleXfs count="22">
    <xf numFmtId="0" fontId="0" fillId="0" borderId="0"/>
    <xf numFmtId="0" fontId="11" fillId="0" borderId="0" applyNumberFormat="0" applyFill="0" applyBorder="0" applyAlignment="0" applyProtection="0"/>
    <xf numFmtId="164" fontId="8" fillId="0" borderId="0" applyFont="0" applyFill="0" applyBorder="0" applyAlignment="0" applyProtection="0"/>
    <xf numFmtId="9" fontId="8" fillId="0" borderId="0" applyFon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cellStyleXfs>
  <cellXfs count="361">
    <xf numFmtId="0" fontId="0" fillId="0" borderId="0" xfId="0"/>
    <xf numFmtId="0" fontId="0" fillId="2" borderId="0" xfId="0" applyFill="1"/>
    <xf numFmtId="0" fontId="9" fillId="0" borderId="0" xfId="0" applyFont="1"/>
    <xf numFmtId="0" fontId="0" fillId="3" borderId="0" xfId="0" applyFill="1"/>
    <xf numFmtId="0" fontId="14" fillId="3" borderId="0" xfId="0" applyFont="1" applyFill="1"/>
    <xf numFmtId="0" fontId="0" fillId="0" borderId="0" xfId="0" applyAlignment="1">
      <alignment horizontal="left" vertical="center" wrapText="1" indent="1"/>
    </xf>
    <xf numFmtId="0" fontId="15" fillId="0" borderId="0" xfId="1" applyFont="1" applyAlignment="1">
      <alignment horizontal="left" vertical="center" indent="1"/>
    </xf>
    <xf numFmtId="0" fontId="16" fillId="0" borderId="0" xfId="1" applyFont="1" applyAlignment="1">
      <alignment horizontal="left" vertical="center" indent="1"/>
    </xf>
    <xf numFmtId="0" fontId="17" fillId="3" borderId="0" xfId="0" applyFont="1" applyFill="1" applyAlignment="1">
      <alignment vertical="top"/>
    </xf>
    <xf numFmtId="0" fontId="9" fillId="2" borderId="0" xfId="0" applyFont="1" applyFill="1"/>
    <xf numFmtId="0" fontId="0" fillId="0" borderId="0" xfId="0" applyAlignment="1">
      <alignment horizontal="center" vertical="center"/>
    </xf>
    <xf numFmtId="0" fontId="0" fillId="0" borderId="0" xfId="0" applyNumberFormat="1"/>
    <xf numFmtId="165" fontId="9" fillId="0" borderId="0" xfId="0" applyNumberFormat="1" applyFont="1"/>
    <xf numFmtId="0" fontId="0" fillId="0" borderId="0" xfId="0" applyFill="1"/>
    <xf numFmtId="0" fontId="0" fillId="0" borderId="0" xfId="0" applyFont="1"/>
    <xf numFmtId="0" fontId="9" fillId="3" borderId="0" xfId="0" applyFont="1" applyFill="1"/>
    <xf numFmtId="0" fontId="18" fillId="0" borderId="0" xfId="0" applyNumberFormat="1" applyFont="1" applyAlignment="1">
      <alignment vertical="top" wrapText="1"/>
    </xf>
    <xf numFmtId="0" fontId="19" fillId="0" borderId="0" xfId="0" applyFont="1"/>
    <xf numFmtId="0" fontId="20" fillId="0" borderId="0" xfId="0" applyFont="1" applyFill="1" applyBorder="1"/>
    <xf numFmtId="0" fontId="21" fillId="0" borderId="0" xfId="0" applyFont="1" applyAlignment="1">
      <alignment vertical="top"/>
    </xf>
    <xf numFmtId="0" fontId="22" fillId="0" borderId="0" xfId="0" applyFont="1"/>
    <xf numFmtId="0" fontId="23" fillId="0" borderId="0" xfId="0" applyFont="1"/>
    <xf numFmtId="0" fontId="0" fillId="0" borderId="1" xfId="0" applyBorder="1"/>
    <xf numFmtId="0" fontId="13" fillId="0" borderId="0" xfId="0" applyFont="1" applyBorder="1"/>
    <xf numFmtId="14" fontId="0" fillId="0" borderId="0" xfId="0" applyNumberFormat="1" applyBorder="1"/>
    <xf numFmtId="166" fontId="8" fillId="0" borderId="0" xfId="2" applyNumberFormat="1" applyFont="1" applyBorder="1" applyAlignment="1">
      <alignment horizontal="left"/>
    </xf>
    <xf numFmtId="0" fontId="0" fillId="0" borderId="0" xfId="0" applyBorder="1"/>
    <xf numFmtId="0" fontId="0" fillId="0" borderId="2" xfId="0" applyBorder="1"/>
    <xf numFmtId="0" fontId="0" fillId="0" borderId="3" xfId="0" applyBorder="1"/>
    <xf numFmtId="0" fontId="0" fillId="0" borderId="4" xfId="0" applyBorder="1"/>
    <xf numFmtId="0" fontId="24" fillId="0" borderId="0" xfId="0" applyFont="1" applyAlignment="1">
      <alignment vertical="center"/>
    </xf>
    <xf numFmtId="0" fontId="25" fillId="0" borderId="0" xfId="0" applyFont="1" applyAlignment="1">
      <alignment horizontal="left" vertical="center" indent="1"/>
    </xf>
    <xf numFmtId="0" fontId="12" fillId="0" borderId="0" xfId="0" applyFont="1"/>
    <xf numFmtId="0" fontId="12" fillId="3" borderId="0" xfId="0" applyFont="1" applyFill="1"/>
    <xf numFmtId="0" fontId="10" fillId="4" borderId="5" xfId="0" applyFont="1" applyFill="1" applyBorder="1" applyAlignment="1">
      <alignment horizontal="center" vertical="center"/>
    </xf>
    <xf numFmtId="0" fontId="10" fillId="4" borderId="5" xfId="0" applyFont="1" applyFill="1" applyBorder="1" applyAlignment="1">
      <alignment horizontal="center" vertical="center" wrapText="1"/>
    </xf>
    <xf numFmtId="166" fontId="0" fillId="3" borderId="5" xfId="0" applyNumberFormat="1" applyFill="1" applyBorder="1" applyAlignment="1">
      <alignment horizontal="center" vertical="center"/>
    </xf>
    <xf numFmtId="169" fontId="0" fillId="3" borderId="5" xfId="0" applyNumberFormat="1" applyFill="1" applyBorder="1" applyAlignment="1">
      <alignment horizontal="center" vertical="center"/>
    </xf>
    <xf numFmtId="0" fontId="0" fillId="0" borderId="5" xfId="0" applyBorder="1" applyAlignment="1" applyProtection="1">
      <alignment horizontal="left" vertical="center" indent="1"/>
      <protection locked="0"/>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13" fillId="0" borderId="9" xfId="0" applyFont="1" applyBorder="1"/>
    <xf numFmtId="0" fontId="0" fillId="0" borderId="9" xfId="0" applyBorder="1"/>
    <xf numFmtId="0" fontId="0" fillId="0" borderId="10" xfId="0" applyBorder="1"/>
    <xf numFmtId="0" fontId="13" fillId="0" borderId="11" xfId="0" applyFont="1" applyBorder="1" applyAlignment="1">
      <alignment horizontal="left" indent="1"/>
    </xf>
    <xf numFmtId="0" fontId="0" fillId="0" borderId="12" xfId="0" applyBorder="1"/>
    <xf numFmtId="0" fontId="0" fillId="0" borderId="6" xfId="0" applyBorder="1"/>
    <xf numFmtId="0" fontId="0" fillId="0" borderId="7" xfId="0" applyBorder="1"/>
    <xf numFmtId="0" fontId="0" fillId="0" borderId="8" xfId="0" applyBorder="1"/>
    <xf numFmtId="0" fontId="0" fillId="3" borderId="0" xfId="0" applyFont="1" applyFill="1"/>
    <xf numFmtId="167" fontId="0" fillId="3" borderId="5" xfId="0" applyNumberFormat="1" applyFont="1" applyFill="1" applyBorder="1" applyAlignment="1">
      <alignment horizontal="center" vertical="center"/>
    </xf>
    <xf numFmtId="166" fontId="0" fillId="3" borderId="5" xfId="0" applyNumberFormat="1" applyFont="1" applyFill="1" applyBorder="1" applyAlignment="1">
      <alignment horizontal="center" vertical="center"/>
    </xf>
    <xf numFmtId="0" fontId="26" fillId="0" borderId="0" xfId="0" applyFont="1"/>
    <xf numFmtId="0" fontId="10" fillId="5" borderId="5" xfId="0" applyFont="1" applyFill="1" applyBorder="1" applyAlignment="1">
      <alignment horizontal="center" vertical="center" wrapText="1"/>
    </xf>
    <xf numFmtId="0" fontId="10" fillId="5" borderId="0" xfId="0" applyFont="1" applyFill="1" applyAlignment="1">
      <alignment horizontal="center" vertical="center" wrapText="1"/>
    </xf>
    <xf numFmtId="170" fontId="0" fillId="2" borderId="0" xfId="0" applyNumberFormat="1" applyFill="1" applyAlignment="1" applyProtection="1">
      <alignment horizontal="center" vertical="center"/>
      <protection locked="0"/>
    </xf>
    <xf numFmtId="0" fontId="27" fillId="4" borderId="13" xfId="0" applyFont="1" applyFill="1" applyBorder="1" applyAlignment="1">
      <alignment horizontal="left" vertical="center" indent="1"/>
    </xf>
    <xf numFmtId="0" fontId="28" fillId="0" borderId="14" xfId="0" applyFont="1" applyBorder="1" applyAlignment="1" applyProtection="1">
      <alignment horizontal="left" vertical="center" wrapText="1" indent="1"/>
      <protection locked="0"/>
    </xf>
    <xf numFmtId="0" fontId="28" fillId="0" borderId="15" xfId="0" applyFont="1" applyBorder="1" applyAlignment="1" applyProtection="1">
      <alignment horizontal="left" vertical="center" wrapText="1" indent="1"/>
      <protection locked="0"/>
    </xf>
    <xf numFmtId="0" fontId="28" fillId="0" borderId="16" xfId="0" applyFont="1" applyBorder="1" applyAlignment="1" applyProtection="1">
      <alignment horizontal="left" vertical="center" wrapText="1" indent="1"/>
      <protection locked="0"/>
    </xf>
    <xf numFmtId="0" fontId="27" fillId="6" borderId="17" xfId="0" applyFont="1" applyFill="1" applyBorder="1" applyAlignment="1">
      <alignment horizontal="left" vertical="center" indent="1"/>
    </xf>
    <xf numFmtId="166" fontId="28" fillId="0" borderId="16" xfId="0" applyNumberFormat="1" applyFont="1" applyBorder="1" applyAlignment="1" applyProtection="1">
      <alignment horizontal="left" vertical="center" wrapText="1" indent="1"/>
      <protection locked="0"/>
    </xf>
    <xf numFmtId="166" fontId="28" fillId="0" borderId="15" xfId="0" applyNumberFormat="1" applyFont="1" applyBorder="1" applyAlignment="1" applyProtection="1">
      <alignment horizontal="left" vertical="center" wrapText="1" indent="1"/>
      <protection locked="0"/>
    </xf>
    <xf numFmtId="0" fontId="28" fillId="7" borderId="13" xfId="0" applyFont="1" applyFill="1" applyBorder="1" applyAlignment="1" applyProtection="1">
      <alignment horizontal="left" vertical="center" wrapText="1" indent="1"/>
    </xf>
    <xf numFmtId="0" fontId="27" fillId="6" borderId="13" xfId="0" applyFont="1" applyFill="1" applyBorder="1" applyAlignment="1">
      <alignment horizontal="center" vertical="center" wrapText="1"/>
    </xf>
    <xf numFmtId="0" fontId="27" fillId="6" borderId="13" xfId="0" applyFont="1" applyFill="1" applyBorder="1" applyAlignment="1">
      <alignment horizontal="center" vertical="center"/>
    </xf>
    <xf numFmtId="0" fontId="20" fillId="3" borderId="0" xfId="0" applyFont="1" applyFill="1"/>
    <xf numFmtId="0" fontId="20" fillId="0" borderId="0" xfId="0" applyFont="1"/>
    <xf numFmtId="165" fontId="0" fillId="0" borderId="0" xfId="0" applyNumberFormat="1"/>
    <xf numFmtId="0" fontId="20" fillId="2" borderId="0" xfId="0" applyFont="1" applyFill="1"/>
    <xf numFmtId="0" fontId="27" fillId="4" borderId="13" xfId="0" applyFont="1" applyFill="1" applyBorder="1" applyAlignment="1">
      <alignment horizontal="center" vertical="center" wrapText="1"/>
    </xf>
    <xf numFmtId="0" fontId="10" fillId="4" borderId="13" xfId="0" applyFont="1" applyFill="1" applyBorder="1" applyAlignment="1">
      <alignment horizontal="center" vertical="center"/>
    </xf>
    <xf numFmtId="0" fontId="10" fillId="4" borderId="18" xfId="0" applyFont="1" applyFill="1" applyBorder="1" applyAlignment="1">
      <alignment horizontal="center" vertical="center"/>
    </xf>
    <xf numFmtId="165" fontId="0" fillId="0" borderId="13" xfId="0" applyNumberFormat="1" applyFill="1" applyBorder="1" applyAlignment="1">
      <alignment vertical="center" wrapText="1"/>
    </xf>
    <xf numFmtId="0" fontId="29" fillId="0" borderId="19" xfId="0" applyFont="1" applyFill="1" applyBorder="1" applyAlignment="1">
      <alignment vertical="center" wrapText="1"/>
    </xf>
    <xf numFmtId="0" fontId="29" fillId="0" borderId="18" xfId="0" applyFont="1" applyFill="1" applyBorder="1" applyAlignment="1">
      <alignment vertical="top" wrapText="1"/>
    </xf>
    <xf numFmtId="0" fontId="0" fillId="3" borderId="0" xfId="0" applyFill="1" applyAlignment="1">
      <alignment horizontal="left" wrapText="1" indent="1"/>
    </xf>
    <xf numFmtId="0" fontId="0" fillId="0" borderId="0" xfId="0" applyAlignment="1">
      <alignment horizontal="left" wrapText="1" indent="1"/>
    </xf>
    <xf numFmtId="0" fontId="10" fillId="4" borderId="13" xfId="0" applyFont="1" applyFill="1" applyBorder="1" applyAlignment="1">
      <alignment horizontal="left" vertical="center" wrapText="1" indent="1"/>
    </xf>
    <xf numFmtId="0" fontId="0" fillId="0" borderId="8" xfId="0" applyBorder="1" applyAlignment="1" applyProtection="1">
      <alignment horizontal="left" vertical="center" wrapText="1" indent="1"/>
      <protection locked="0"/>
    </xf>
    <xf numFmtId="0" fontId="0" fillId="0" borderId="20" xfId="0" applyBorder="1" applyAlignment="1" applyProtection="1">
      <alignment horizontal="left" vertical="center" wrapText="1" indent="1"/>
      <protection locked="0"/>
    </xf>
    <xf numFmtId="0" fontId="10" fillId="4" borderId="13" xfId="0" applyFont="1" applyFill="1" applyBorder="1" applyAlignment="1">
      <alignment horizontal="center" vertical="center"/>
    </xf>
    <xf numFmtId="0" fontId="10" fillId="4" borderId="5" xfId="0" applyFont="1" applyFill="1" applyBorder="1" applyAlignment="1">
      <alignment horizontal="center" vertical="center"/>
    </xf>
    <xf numFmtId="166" fontId="20" fillId="3" borderId="5" xfId="0" applyNumberFormat="1" applyFont="1" applyFill="1" applyBorder="1" applyAlignment="1">
      <alignment horizontal="center" vertical="center"/>
    </xf>
    <xf numFmtId="166" fontId="20" fillId="8" borderId="5" xfId="2" applyNumberFormat="1" applyFont="1" applyFill="1" applyBorder="1" applyAlignment="1">
      <alignment horizontal="center" vertical="center"/>
    </xf>
    <xf numFmtId="166" fontId="0" fillId="0" borderId="13" xfId="0" applyNumberFormat="1" applyFill="1" applyBorder="1" applyAlignment="1"/>
    <xf numFmtId="167" fontId="28" fillId="0" borderId="21" xfId="0" applyNumberFormat="1" applyFont="1" applyBorder="1" applyAlignment="1" applyProtection="1">
      <alignment horizontal="center" vertical="center" wrapText="1"/>
      <protection locked="0"/>
    </xf>
    <xf numFmtId="167" fontId="28" fillId="0" borderId="23" xfId="0" applyNumberFormat="1" applyFont="1" applyBorder="1" applyAlignment="1" applyProtection="1">
      <alignment horizontal="center" vertical="center" wrapText="1"/>
      <protection locked="0"/>
    </xf>
    <xf numFmtId="167" fontId="28" fillId="0" borderId="24" xfId="0" applyNumberFormat="1" applyFont="1" applyBorder="1" applyAlignment="1" applyProtection="1">
      <alignment horizontal="center" vertical="center" wrapText="1"/>
      <protection locked="0"/>
    </xf>
    <xf numFmtId="167" fontId="28" fillId="0" borderId="26" xfId="0" applyNumberFormat="1" applyFont="1" applyBorder="1" applyAlignment="1" applyProtection="1">
      <alignment horizontal="center" vertical="center" wrapText="1"/>
      <protection locked="0"/>
    </xf>
    <xf numFmtId="167" fontId="28" fillId="0" borderId="28" xfId="0" applyNumberFormat="1" applyFont="1" applyBorder="1" applyAlignment="1" applyProtection="1">
      <alignment horizontal="center" vertical="center" wrapText="1"/>
      <protection locked="0"/>
    </xf>
    <xf numFmtId="167" fontId="20" fillId="0" borderId="0" xfId="0" applyNumberFormat="1" applyFont="1"/>
    <xf numFmtId="167" fontId="0" fillId="0" borderId="29" xfId="0" applyNumberFormat="1" applyBorder="1" applyAlignment="1" applyProtection="1">
      <alignment horizontal="center" vertical="center"/>
      <protection locked="0"/>
    </xf>
    <xf numFmtId="167" fontId="0" fillId="0" borderId="5" xfId="0" applyNumberFormat="1" applyBorder="1" applyAlignment="1" applyProtection="1">
      <alignment horizontal="center" vertical="center"/>
      <protection locked="0"/>
    </xf>
    <xf numFmtId="167" fontId="0" fillId="8" borderId="13" xfId="0" applyNumberFormat="1" applyFill="1" applyBorder="1" applyAlignment="1" applyProtection="1">
      <alignment horizontal="center" vertical="center"/>
    </xf>
    <xf numFmtId="167" fontId="0" fillId="0" borderId="0" xfId="0" applyNumberFormat="1" applyAlignment="1" applyProtection="1">
      <alignment horizontal="center" vertical="center"/>
    </xf>
    <xf numFmtId="167" fontId="0" fillId="3" borderId="5" xfId="0" applyNumberFormat="1" applyFill="1" applyBorder="1" applyAlignment="1">
      <alignment horizontal="center" vertical="center"/>
    </xf>
    <xf numFmtId="167" fontId="0" fillId="8" borderId="5" xfId="0" applyNumberFormat="1" applyFill="1" applyBorder="1" applyAlignment="1">
      <alignment horizontal="center" vertical="center"/>
    </xf>
    <xf numFmtId="167" fontId="0" fillId="0" borderId="0" xfId="0" applyNumberFormat="1"/>
    <xf numFmtId="167" fontId="20" fillId="3" borderId="0" xfId="0" applyNumberFormat="1" applyFont="1" applyFill="1"/>
    <xf numFmtId="167" fontId="0" fillId="0" borderId="13" xfId="0" applyNumberFormat="1" applyFill="1" applyBorder="1" applyAlignment="1"/>
    <xf numFmtId="3" fontId="0" fillId="3" borderId="5" xfId="0" applyNumberFormat="1" applyFill="1" applyBorder="1" applyAlignment="1">
      <alignment horizontal="center" vertical="center"/>
    </xf>
    <xf numFmtId="0" fontId="30" fillId="0" borderId="0" xfId="0" applyFont="1" applyFill="1" applyBorder="1" applyAlignment="1">
      <alignment horizontal="left"/>
    </xf>
    <xf numFmtId="0" fontId="31" fillId="0" borderId="0" xfId="0" applyFont="1" applyAlignment="1">
      <alignment horizontal="left"/>
    </xf>
    <xf numFmtId="0" fontId="31" fillId="0" borderId="0" xfId="0" applyFont="1" applyAlignment="1">
      <alignment horizontal="left" vertical="center"/>
    </xf>
    <xf numFmtId="167" fontId="0" fillId="8" borderId="13" xfId="0" applyNumberFormat="1" applyFill="1" applyBorder="1" applyAlignment="1">
      <alignment horizontal="center" vertical="center"/>
    </xf>
    <xf numFmtId="0" fontId="18" fillId="0" borderId="0" xfId="0" applyNumberFormat="1" applyFont="1" applyAlignment="1">
      <alignment horizontal="left" vertical="top" wrapText="1"/>
    </xf>
    <xf numFmtId="0" fontId="32" fillId="0" borderId="5" xfId="0" applyFont="1" applyBorder="1" applyAlignment="1">
      <alignment horizontal="center" vertical="center"/>
    </xf>
    <xf numFmtId="0" fontId="33" fillId="0" borderId="0" xfId="0" applyFont="1"/>
    <xf numFmtId="0" fontId="20" fillId="0" borderId="13" xfId="0" applyFont="1" applyFill="1" applyBorder="1"/>
    <xf numFmtId="0" fontId="20" fillId="0" borderId="13" xfId="0" applyFont="1" applyBorder="1"/>
    <xf numFmtId="0" fontId="6" fillId="0" borderId="0" xfId="0" applyFont="1" applyBorder="1" applyAlignment="1">
      <alignment vertical="center"/>
    </xf>
    <xf numFmtId="0" fontId="34" fillId="0" borderId="0" xfId="0" applyFont="1" applyBorder="1" applyAlignment="1">
      <alignment vertical="center"/>
    </xf>
    <xf numFmtId="0" fontId="10" fillId="4" borderId="13" xfId="0" applyFont="1" applyFill="1" applyBorder="1" applyAlignment="1">
      <alignment horizontal="center" vertical="center"/>
    </xf>
    <xf numFmtId="0" fontId="10" fillId="4" borderId="13" xfId="0" applyFont="1" applyFill="1" applyBorder="1" applyAlignment="1">
      <alignment horizontal="center" vertical="center"/>
    </xf>
    <xf numFmtId="0" fontId="13" fillId="0" borderId="30" xfId="0" applyFont="1" applyBorder="1" applyAlignment="1">
      <alignment horizontal="left" indent="1"/>
    </xf>
    <xf numFmtId="168" fontId="0" fillId="0" borderId="0" xfId="0" applyNumberFormat="1" applyBorder="1" applyAlignment="1">
      <alignment horizontal="left"/>
    </xf>
    <xf numFmtId="166" fontId="0" fillId="0" borderId="0" xfId="0" applyNumberFormat="1" applyBorder="1" applyAlignment="1">
      <alignment horizontal="left"/>
    </xf>
    <xf numFmtId="0" fontId="13" fillId="0" borderId="31" xfId="0" applyFont="1" applyBorder="1" applyAlignment="1">
      <alignment horizontal="left" indent="1"/>
    </xf>
    <xf numFmtId="0" fontId="0" fillId="0" borderId="0" xfId="0" applyNumberFormat="1" applyBorder="1"/>
    <xf numFmtId="0" fontId="10" fillId="4" borderId="13" xfId="0" applyFont="1" applyFill="1" applyBorder="1" applyAlignment="1">
      <alignment horizontal="center" vertical="center" wrapText="1"/>
    </xf>
    <xf numFmtId="0" fontId="0" fillId="0" borderId="32" xfId="0" applyNumberFormat="1" applyBorder="1"/>
    <xf numFmtId="0" fontId="13" fillId="0" borderId="0" xfId="0" applyFont="1" applyBorder="1" applyAlignment="1">
      <alignment horizontal="left" indent="7"/>
    </xf>
    <xf numFmtId="0" fontId="13" fillId="0" borderId="7" xfId="0" applyFont="1" applyBorder="1" applyAlignment="1">
      <alignment horizontal="left" indent="7"/>
    </xf>
    <xf numFmtId="0" fontId="9" fillId="6" borderId="3" xfId="0" applyFont="1" applyFill="1" applyBorder="1" applyAlignment="1">
      <alignment horizontal="center" vertical="center"/>
    </xf>
    <xf numFmtId="0" fontId="35" fillId="0" borderId="34" xfId="0" applyFont="1" applyFill="1" applyBorder="1" applyAlignment="1" applyProtection="1">
      <alignment horizontal="center" vertical="center"/>
      <protection locked="0"/>
    </xf>
    <xf numFmtId="0" fontId="10" fillId="4" borderId="5" xfId="0" applyFont="1" applyFill="1" applyBorder="1" applyAlignment="1">
      <alignment horizontal="center" vertical="center"/>
    </xf>
    <xf numFmtId="9" fontId="8" fillId="0" borderId="5" xfId="3" applyFont="1" applyBorder="1" applyAlignment="1" applyProtection="1">
      <alignment horizontal="center" vertical="center"/>
      <protection locked="0"/>
    </xf>
    <xf numFmtId="0" fontId="10" fillId="4" borderId="13" xfId="0" applyFont="1" applyFill="1" applyBorder="1" applyAlignment="1">
      <alignment horizontal="center" vertical="center"/>
    </xf>
    <xf numFmtId="0" fontId="34" fillId="0" borderId="0" xfId="0" applyFont="1" applyBorder="1" applyAlignment="1"/>
    <xf numFmtId="167" fontId="28" fillId="0" borderId="35" xfId="0" applyNumberFormat="1" applyFont="1" applyBorder="1" applyAlignment="1" applyProtection="1">
      <alignment horizontal="center" vertical="center" wrapText="1"/>
      <protection locked="0"/>
    </xf>
    <xf numFmtId="167" fontId="28" fillId="0" borderId="36" xfId="0" applyNumberFormat="1" applyFont="1" applyBorder="1" applyAlignment="1" applyProtection="1">
      <alignment horizontal="center" vertical="center" wrapText="1"/>
      <protection locked="0"/>
    </xf>
    <xf numFmtId="167" fontId="28" fillId="0" borderId="37" xfId="0" applyNumberFormat="1" applyFont="1" applyBorder="1" applyAlignment="1" applyProtection="1">
      <alignment horizontal="center" vertical="center" wrapText="1"/>
      <protection locked="0"/>
    </xf>
    <xf numFmtId="167" fontId="28" fillId="0" borderId="38" xfId="0" applyNumberFormat="1" applyFont="1" applyBorder="1" applyAlignment="1" applyProtection="1">
      <alignment horizontal="center" vertical="center" wrapText="1"/>
      <protection locked="0"/>
    </xf>
    <xf numFmtId="167" fontId="28" fillId="0" borderId="14" xfId="0" applyNumberFormat="1" applyFont="1" applyBorder="1" applyAlignment="1" applyProtection="1">
      <alignment horizontal="center" vertical="center" wrapText="1"/>
      <protection locked="0"/>
    </xf>
    <xf numFmtId="167" fontId="28" fillId="0" borderId="15" xfId="0" applyNumberFormat="1" applyFont="1" applyBorder="1" applyAlignment="1" applyProtection="1">
      <alignment horizontal="center" vertical="center" wrapText="1"/>
      <protection locked="0"/>
    </xf>
    <xf numFmtId="0" fontId="36" fillId="0" borderId="0" xfId="0" applyFont="1" applyAlignment="1">
      <alignment vertical="center"/>
    </xf>
    <xf numFmtId="0" fontId="37" fillId="0" borderId="0" xfId="0" applyFont="1" applyFill="1" applyAlignment="1"/>
    <xf numFmtId="0" fontId="10" fillId="5" borderId="13" xfId="0" applyFont="1" applyFill="1" applyBorder="1" applyAlignment="1">
      <alignment horizontal="center" vertical="center" wrapText="1"/>
    </xf>
    <xf numFmtId="0" fontId="27" fillId="6" borderId="13" xfId="0" applyFont="1" applyFill="1" applyBorder="1" applyAlignment="1">
      <alignment horizontal="left" vertical="center" indent="1"/>
    </xf>
    <xf numFmtId="166" fontId="0" fillId="3" borderId="13" xfId="0" applyNumberFormat="1" applyFill="1" applyBorder="1" applyAlignment="1">
      <alignment horizontal="center" vertical="center"/>
    </xf>
    <xf numFmtId="3" fontId="0" fillId="3" borderId="13" xfId="0" applyNumberFormat="1" applyFill="1" applyBorder="1" applyAlignment="1">
      <alignment horizontal="center" vertical="center"/>
    </xf>
    <xf numFmtId="167" fontId="0" fillId="3" borderId="13" xfId="0" applyNumberFormat="1" applyFill="1" applyBorder="1" applyAlignment="1">
      <alignment horizontal="center" vertical="center"/>
    </xf>
    <xf numFmtId="167" fontId="0" fillId="3" borderId="13" xfId="0" applyNumberFormat="1" applyFont="1" applyFill="1" applyBorder="1" applyAlignment="1">
      <alignment horizontal="center" vertical="center"/>
    </xf>
    <xf numFmtId="166" fontId="0" fillId="3" borderId="13" xfId="0" applyNumberFormat="1" applyFont="1" applyFill="1" applyBorder="1" applyAlignment="1">
      <alignment horizontal="center" vertical="center"/>
    </xf>
    <xf numFmtId="166" fontId="20" fillId="3" borderId="13" xfId="0" applyNumberFormat="1" applyFont="1" applyFill="1" applyBorder="1" applyAlignment="1">
      <alignment horizontal="center" vertical="center"/>
    </xf>
    <xf numFmtId="0" fontId="20" fillId="0" borderId="0" xfId="0" applyFont="1" applyFill="1"/>
    <xf numFmtId="165" fontId="0" fillId="0" borderId="23" xfId="0" applyNumberFormat="1" applyFill="1" applyBorder="1" applyAlignment="1">
      <alignment horizontal="center" vertical="center"/>
    </xf>
    <xf numFmtId="165" fontId="0" fillId="0" borderId="14" xfId="0" applyNumberFormat="1" applyFill="1" applyBorder="1" applyAlignment="1">
      <alignment horizontal="center" vertical="center"/>
    </xf>
    <xf numFmtId="165" fontId="0" fillId="0" borderId="26" xfId="0" applyNumberFormat="1" applyFill="1" applyBorder="1" applyAlignment="1">
      <alignment horizontal="center" vertical="center"/>
    </xf>
    <xf numFmtId="165" fontId="0" fillId="0" borderId="15" xfId="0" applyNumberFormat="1" applyFill="1" applyBorder="1" applyAlignment="1">
      <alignment horizontal="center" vertical="center"/>
    </xf>
    <xf numFmtId="0" fontId="0" fillId="0" borderId="26" xfId="0" applyFill="1" applyBorder="1" applyAlignment="1" applyProtection="1">
      <alignment horizontal="center" vertical="center" wrapText="1"/>
    </xf>
    <xf numFmtId="167" fontId="0" fillId="0" borderId="15" xfId="0" applyNumberFormat="1" applyFill="1" applyBorder="1" applyAlignment="1" applyProtection="1">
      <alignment horizontal="center" vertical="center"/>
    </xf>
    <xf numFmtId="0" fontId="0" fillId="0" borderId="15" xfId="0" applyFill="1" applyBorder="1" applyAlignment="1" applyProtection="1">
      <alignment horizontal="center" vertical="center"/>
    </xf>
    <xf numFmtId="167" fontId="9" fillId="0" borderId="0" xfId="0" applyNumberFormat="1" applyFont="1"/>
    <xf numFmtId="0" fontId="9" fillId="0" borderId="0" xfId="0" applyNumberFormat="1" applyFont="1"/>
    <xf numFmtId="167" fontId="9" fillId="0" borderId="0" xfId="0" applyNumberFormat="1" applyFont="1" applyBorder="1" applyAlignment="1" applyProtection="1">
      <alignment horizontal="center" vertical="center"/>
      <protection locked="0"/>
    </xf>
    <xf numFmtId="0" fontId="9" fillId="0" borderId="0" xfId="0" applyFont="1" applyBorder="1"/>
    <xf numFmtId="167" fontId="9" fillId="0" borderId="0" xfId="0" applyNumberFormat="1" applyFont="1" applyAlignment="1">
      <alignment horizontal="center"/>
    </xf>
    <xf numFmtId="0" fontId="38" fillId="0" borderId="0" xfId="0" quotePrefix="1" applyFont="1"/>
    <xf numFmtId="0" fontId="9" fillId="0" borderId="0" xfId="0" applyFont="1" applyFill="1" applyBorder="1"/>
    <xf numFmtId="167" fontId="9" fillId="3" borderId="0" xfId="0" applyNumberFormat="1" applyFont="1" applyFill="1"/>
    <xf numFmtId="167" fontId="9" fillId="0" borderId="13" xfId="0" applyNumberFormat="1" applyFont="1" applyFill="1" applyBorder="1" applyAlignment="1"/>
    <xf numFmtId="166" fontId="9" fillId="0" borderId="13" xfId="0" applyNumberFormat="1" applyFont="1" applyFill="1" applyBorder="1" applyAlignment="1"/>
    <xf numFmtId="0" fontId="9" fillId="0" borderId="0" xfId="0" applyFont="1" applyAlignment="1"/>
    <xf numFmtId="167" fontId="9" fillId="0" borderId="0" xfId="0" applyNumberFormat="1" applyFont="1" applyAlignment="1"/>
    <xf numFmtId="166" fontId="9" fillId="0" borderId="0" xfId="0" applyNumberFormat="1" applyFont="1"/>
    <xf numFmtId="0" fontId="10" fillId="0" borderId="0" xfId="0" applyFont="1"/>
    <xf numFmtId="166" fontId="9" fillId="0" borderId="0" xfId="0" applyNumberFormat="1" applyFont="1" applyFill="1" applyBorder="1" applyAlignment="1"/>
    <xf numFmtId="165" fontId="9" fillId="0" borderId="7" xfId="0" applyNumberFormat="1" applyFont="1" applyFill="1" applyBorder="1" applyAlignment="1">
      <alignment horizontal="center" vertical="center"/>
    </xf>
    <xf numFmtId="0" fontId="39" fillId="7" borderId="13" xfId="1" applyFont="1" applyFill="1" applyBorder="1" applyAlignment="1">
      <alignment horizontal="left" vertical="center" indent="1"/>
    </xf>
    <xf numFmtId="0" fontId="40" fillId="0" borderId="13" xfId="1" applyFont="1" applyFill="1" applyBorder="1" applyAlignment="1" applyProtection="1">
      <alignment horizontal="left" vertical="center" wrapText="1" indent="1"/>
      <protection locked="0"/>
    </xf>
    <xf numFmtId="0" fontId="10" fillId="4" borderId="13" xfId="0" applyFont="1" applyFill="1" applyBorder="1" applyAlignment="1">
      <alignment horizontal="center" vertical="center"/>
    </xf>
    <xf numFmtId="0" fontId="9" fillId="3" borderId="0" xfId="0" applyFont="1" applyFill="1" applyAlignment="1">
      <alignment horizontal="center"/>
    </xf>
    <xf numFmtId="46" fontId="9" fillId="0" borderId="0" xfId="0" applyNumberFormat="1" applyFont="1"/>
    <xf numFmtId="0" fontId="9" fillId="0" borderId="0" xfId="0" applyFont="1" applyAlignment="1">
      <alignment horizontal="center" wrapText="1"/>
    </xf>
    <xf numFmtId="14" fontId="9" fillId="0" borderId="0" xfId="0" applyNumberFormat="1" applyFont="1"/>
    <xf numFmtId="0" fontId="9" fillId="0" borderId="0" xfId="0" applyFont="1" applyAlignment="1">
      <alignment horizontal="left" wrapText="1" indent="1"/>
    </xf>
    <xf numFmtId="20" fontId="9" fillId="0" borderId="0" xfId="0" applyNumberFormat="1" applyFont="1"/>
    <xf numFmtId="166" fontId="0" fillId="8" borderId="13" xfId="0" applyNumberFormat="1" applyFill="1" applyBorder="1" applyAlignment="1">
      <alignment horizontal="center" vertical="center"/>
    </xf>
    <xf numFmtId="166" fontId="0" fillId="8" borderId="5" xfId="0" applyNumberFormat="1" applyFill="1" applyBorder="1" applyAlignment="1">
      <alignment horizontal="center" vertical="center"/>
    </xf>
    <xf numFmtId="0" fontId="0" fillId="0" borderId="0" xfId="0" applyFont="1" applyAlignment="1">
      <alignment horizontal="center"/>
    </xf>
    <xf numFmtId="167" fontId="0" fillId="0" borderId="0" xfId="0" applyNumberFormat="1" applyFont="1"/>
    <xf numFmtId="167" fontId="0" fillId="3" borderId="0" xfId="0" applyNumberFormat="1" applyFont="1" applyFill="1"/>
    <xf numFmtId="0" fontId="13" fillId="0" borderId="0" xfId="0" applyFont="1" applyFill="1" applyBorder="1" applyAlignment="1">
      <alignment horizontal="center" vertical="center" wrapText="1"/>
    </xf>
    <xf numFmtId="167" fontId="0" fillId="0" borderId="13" xfId="0" applyNumberFormat="1" applyFont="1" applyFill="1" applyBorder="1" applyAlignment="1"/>
    <xf numFmtId="0" fontId="10" fillId="4" borderId="13" xfId="0" applyFont="1" applyFill="1" applyBorder="1" applyAlignment="1">
      <alignment horizontal="center" vertical="center"/>
    </xf>
    <xf numFmtId="0" fontId="10" fillId="4" borderId="13" xfId="0" applyFont="1" applyFill="1" applyBorder="1" applyAlignment="1">
      <alignment horizontal="center" vertical="center"/>
    </xf>
    <xf numFmtId="0" fontId="10" fillId="4" borderId="13" xfId="0" applyFont="1" applyFill="1" applyBorder="1" applyAlignment="1">
      <alignment horizontal="center" vertical="center"/>
    </xf>
    <xf numFmtId="167" fontId="9" fillId="0" borderId="0" xfId="0" applyNumberFormat="1" applyFont="1" applyAlignment="1">
      <alignment horizontal="center"/>
    </xf>
    <xf numFmtId="0" fontId="10" fillId="4" borderId="61" xfId="0" applyFont="1" applyFill="1" applyBorder="1" applyAlignment="1">
      <alignment horizontal="center" vertical="center"/>
    </xf>
    <xf numFmtId="0" fontId="10" fillId="4" borderId="62" xfId="0" applyFont="1" applyFill="1" applyBorder="1" applyAlignment="1">
      <alignment horizontal="center" vertical="center"/>
    </xf>
    <xf numFmtId="167" fontId="9" fillId="0" borderId="0" xfId="0" applyNumberFormat="1" applyFont="1" applyAlignment="1">
      <alignment horizontal="center"/>
    </xf>
    <xf numFmtId="0" fontId="0" fillId="2" borderId="0" xfId="0" applyFont="1" applyFill="1"/>
    <xf numFmtId="0" fontId="0" fillId="0" borderId="0" xfId="0" applyFont="1" applyAlignment="1">
      <alignment horizontal="left" wrapText="1" indent="1"/>
    </xf>
    <xf numFmtId="167" fontId="9" fillId="0" borderId="0" xfId="0" applyNumberFormat="1" applyFont="1" applyAlignment="1" applyProtection="1">
      <alignment horizontal="center" vertical="center"/>
    </xf>
    <xf numFmtId="0" fontId="9" fillId="0" borderId="0" xfId="0" applyFont="1" applyAlignment="1">
      <alignment horizontal="center" vertical="center"/>
    </xf>
    <xf numFmtId="0" fontId="51" fillId="0" borderId="19" xfId="0" applyFont="1" applyFill="1" applyBorder="1" applyAlignment="1">
      <alignment vertical="center" wrapText="1"/>
    </xf>
    <xf numFmtId="0" fontId="10" fillId="4" borderId="5" xfId="0" applyFont="1" applyFill="1" applyBorder="1" applyAlignment="1">
      <alignment horizontal="left" vertical="center" indent="1"/>
    </xf>
    <xf numFmtId="0" fontId="10" fillId="4" borderId="39" xfId="0" applyFont="1" applyFill="1" applyBorder="1" applyAlignment="1">
      <alignment horizontal="left" vertical="center" indent="1"/>
    </xf>
    <xf numFmtId="167" fontId="9" fillId="0" borderId="0" xfId="0" applyNumberFormat="1" applyFont="1" applyAlignment="1">
      <alignment horizontal="center"/>
    </xf>
    <xf numFmtId="0" fontId="12" fillId="0" borderId="8" xfId="0" applyFont="1" applyBorder="1" applyAlignment="1" applyProtection="1">
      <alignment horizontal="left" vertical="center" wrapText="1" indent="1"/>
      <protection locked="0"/>
    </xf>
    <xf numFmtId="0" fontId="10" fillId="4" borderId="13" xfId="0" applyFont="1" applyFill="1" applyBorder="1" applyAlignment="1">
      <alignment horizontal="center" vertical="center"/>
    </xf>
    <xf numFmtId="0" fontId="9" fillId="0" borderId="0" xfId="0" applyFont="1" applyAlignment="1">
      <alignment horizontal="center"/>
    </xf>
    <xf numFmtId="0" fontId="0" fillId="0" borderId="0" xfId="0" applyFont="1" applyAlignment="1">
      <alignment horizontal="center" vertical="center"/>
    </xf>
    <xf numFmtId="167" fontId="0" fillId="8" borderId="13" xfId="0" applyNumberFormat="1" applyFont="1" applyFill="1" applyBorder="1" applyAlignment="1" applyProtection="1">
      <alignment horizontal="center" vertical="center"/>
    </xf>
    <xf numFmtId="167" fontId="0" fillId="0" borderId="0" xfId="0" applyNumberFormat="1" applyFont="1" applyAlignment="1" applyProtection="1">
      <alignment horizontal="center" vertical="center"/>
    </xf>
    <xf numFmtId="0" fontId="54" fillId="0" borderId="0" xfId="0" applyFont="1" applyFill="1" applyBorder="1" applyAlignment="1">
      <alignment horizontal="center" vertical="center" wrapText="1"/>
    </xf>
    <xf numFmtId="167" fontId="9" fillId="0" borderId="0" xfId="0" applyNumberFormat="1" applyFont="1" applyAlignment="1">
      <alignment horizontal="center"/>
    </xf>
    <xf numFmtId="0" fontId="10" fillId="4" borderId="13" xfId="0" applyFont="1" applyFill="1" applyBorder="1" applyAlignment="1">
      <alignment horizontal="center" vertical="center"/>
    </xf>
    <xf numFmtId="165" fontId="0" fillId="0" borderId="0" xfId="0" applyNumberFormat="1" applyFont="1"/>
    <xf numFmtId="0" fontId="55" fillId="0" borderId="19" xfId="0" applyFont="1" applyFill="1" applyBorder="1" applyAlignment="1">
      <alignment vertical="center" wrapText="1"/>
    </xf>
    <xf numFmtId="0" fontId="0" fillId="0" borderId="0" xfId="0" applyNumberFormat="1" applyFont="1"/>
    <xf numFmtId="0" fontId="0" fillId="0" borderId="0" xfId="0" applyFont="1" applyFill="1"/>
    <xf numFmtId="164" fontId="0" fillId="0" borderId="0" xfId="2" applyFont="1"/>
    <xf numFmtId="0" fontId="0" fillId="10" borderId="0" xfId="0" applyFill="1"/>
    <xf numFmtId="167" fontId="0" fillId="0" borderId="0" xfId="0" applyNumberFormat="1" applyFont="1" applyAlignment="1">
      <alignment horizontal="left" wrapText="1" indent="1"/>
    </xf>
    <xf numFmtId="167" fontId="0" fillId="8" borderId="13" xfId="0" applyNumberFormat="1" applyFill="1" applyBorder="1" applyAlignment="1">
      <alignment horizontal="center" vertical="center"/>
    </xf>
    <xf numFmtId="0" fontId="9" fillId="0" borderId="0" xfId="0" applyFont="1" applyAlignment="1">
      <alignment horizontal="center"/>
    </xf>
    <xf numFmtId="167" fontId="9" fillId="0" borderId="0" xfId="0" applyNumberFormat="1" applyFont="1" applyAlignment="1">
      <alignment horizontal="center"/>
    </xf>
    <xf numFmtId="0" fontId="0" fillId="0" borderId="0" xfId="0" applyFont="1" applyAlignment="1">
      <alignment horizontal="center"/>
    </xf>
    <xf numFmtId="0" fontId="9" fillId="6" borderId="54" xfId="0" applyFont="1" applyFill="1" applyBorder="1" applyAlignment="1">
      <alignment horizontal="left" vertical="center" indent="1"/>
    </xf>
    <xf numFmtId="0" fontId="0" fillId="0" borderId="0" xfId="0" applyFont="1" applyAlignment="1">
      <alignment horizontal="left" vertical="center"/>
    </xf>
    <xf numFmtId="167" fontId="0" fillId="0" borderId="0" xfId="0" applyNumberFormat="1" applyFont="1" applyAlignment="1">
      <alignment horizontal="left" vertical="center"/>
    </xf>
    <xf numFmtId="2" fontId="0" fillId="0" borderId="0" xfId="0" applyNumberFormat="1" applyFont="1"/>
    <xf numFmtId="174" fontId="0" fillId="0" borderId="0" xfId="0" applyNumberFormat="1" applyFont="1"/>
    <xf numFmtId="0" fontId="9" fillId="6" borderId="55" xfId="0" applyFont="1" applyFill="1" applyBorder="1" applyAlignment="1">
      <alignment vertical="center"/>
    </xf>
    <xf numFmtId="0" fontId="9" fillId="6" borderId="33" xfId="0" applyFont="1" applyFill="1" applyBorder="1" applyAlignment="1">
      <alignment vertical="center"/>
    </xf>
    <xf numFmtId="0" fontId="9" fillId="10" borderId="0" xfId="0" applyFont="1" applyFill="1"/>
    <xf numFmtId="165" fontId="9" fillId="0" borderId="0" xfId="0" applyNumberFormat="1" applyFont="1" applyAlignment="1">
      <alignment horizontal="center"/>
    </xf>
    <xf numFmtId="172" fontId="9" fillId="0" borderId="0" xfId="0" applyNumberFormat="1" applyFont="1" applyAlignment="1">
      <alignment horizontal="center"/>
    </xf>
    <xf numFmtId="173" fontId="9" fillId="0" borderId="0" xfId="0" applyNumberFormat="1" applyFont="1" applyAlignment="1">
      <alignment horizontal="center"/>
    </xf>
    <xf numFmtId="0" fontId="9" fillId="0" borderId="0" xfId="0" applyNumberFormat="1" applyFont="1" applyAlignment="1">
      <alignment horizontal="center"/>
    </xf>
    <xf numFmtId="0" fontId="9" fillId="0" borderId="0" xfId="0" applyFont="1" applyAlignment="1">
      <alignment horizontal="left" vertical="center"/>
    </xf>
    <xf numFmtId="0" fontId="9" fillId="2" borderId="0" xfId="0" applyFont="1" applyFill="1" applyAlignment="1">
      <alignment horizontal="left" vertical="center"/>
    </xf>
    <xf numFmtId="14" fontId="56" fillId="0" borderId="0" xfId="0" applyNumberFormat="1" applyFont="1" applyAlignment="1">
      <alignment horizontal="left" vertical="center"/>
    </xf>
    <xf numFmtId="0" fontId="9" fillId="0" borderId="0" xfId="0" applyFont="1" applyAlignment="1">
      <alignment horizontal="left" vertical="center" wrapText="1"/>
    </xf>
    <xf numFmtId="173" fontId="9" fillId="0" borderId="0" xfId="0" applyNumberFormat="1" applyFont="1" applyAlignment="1">
      <alignment horizontal="left" vertical="center"/>
    </xf>
    <xf numFmtId="0" fontId="9" fillId="0" borderId="0" xfId="0" applyFont="1" applyFill="1" applyBorder="1" applyAlignment="1">
      <alignment horizontal="left" vertical="center"/>
    </xf>
    <xf numFmtId="0" fontId="9" fillId="0" borderId="0" xfId="0" applyNumberFormat="1" applyFont="1" applyFill="1" applyBorder="1" applyAlignment="1">
      <alignment horizontal="left" vertical="center"/>
    </xf>
    <xf numFmtId="0" fontId="9" fillId="0" borderId="0" xfId="0" applyNumberFormat="1" applyFont="1" applyFill="1" applyBorder="1" applyAlignment="1">
      <alignment horizontal="left" vertical="center" wrapText="1"/>
    </xf>
    <xf numFmtId="171" fontId="9" fillId="0" borderId="0" xfId="0" applyNumberFormat="1" applyFont="1" applyFill="1" applyBorder="1" applyAlignment="1">
      <alignment horizontal="left" vertical="center"/>
    </xf>
    <xf numFmtId="167" fontId="9" fillId="0" borderId="0" xfId="0" applyNumberFormat="1" applyFont="1" applyFill="1" applyBorder="1" applyAlignment="1">
      <alignment horizontal="left" vertical="center"/>
    </xf>
    <xf numFmtId="9" fontId="9" fillId="0" borderId="0" xfId="0" applyNumberFormat="1" applyFont="1" applyFill="1" applyBorder="1" applyAlignment="1">
      <alignment horizontal="left" vertical="center" wrapText="1"/>
    </xf>
    <xf numFmtId="164" fontId="9" fillId="0" borderId="0" xfId="2" applyFont="1" applyAlignment="1">
      <alignment horizontal="left" vertical="center"/>
    </xf>
    <xf numFmtId="0" fontId="9" fillId="0" borderId="0" xfId="0" applyFont="1" applyFill="1" applyBorder="1" applyAlignment="1">
      <alignment horizontal="left" vertical="center" wrapText="1"/>
    </xf>
    <xf numFmtId="164" fontId="9" fillId="0" borderId="0" xfId="0" applyNumberFormat="1" applyFont="1" applyFill="1" applyBorder="1" applyAlignment="1">
      <alignment horizontal="left" vertical="center"/>
    </xf>
    <xf numFmtId="167" fontId="9" fillId="0" borderId="0" xfId="0" applyNumberFormat="1" applyFont="1" applyFill="1" applyBorder="1" applyAlignment="1">
      <alignment horizontal="left" vertical="center" wrapText="1"/>
    </xf>
    <xf numFmtId="44" fontId="9" fillId="0" borderId="0" xfId="0" applyNumberFormat="1" applyFont="1" applyAlignment="1">
      <alignment horizontal="left" vertical="center"/>
    </xf>
    <xf numFmtId="165" fontId="9" fillId="0" borderId="0" xfId="0" applyNumberFormat="1" applyFont="1" applyFill="1" applyBorder="1" applyAlignment="1">
      <alignment horizontal="left" vertical="center"/>
    </xf>
    <xf numFmtId="167" fontId="9" fillId="0" borderId="0" xfId="0" applyNumberFormat="1" applyFont="1" applyFill="1" applyBorder="1" applyAlignment="1">
      <alignment horizontal="right" vertical="center"/>
    </xf>
    <xf numFmtId="167" fontId="9" fillId="0" borderId="17" xfId="0" applyNumberFormat="1" applyFont="1" applyFill="1" applyBorder="1" applyAlignment="1"/>
    <xf numFmtId="167" fontId="9" fillId="3" borderId="0" xfId="0" applyNumberFormat="1" applyFont="1" applyFill="1" applyAlignment="1">
      <alignment horizontal="center"/>
    </xf>
    <xf numFmtId="0" fontId="10" fillId="0" borderId="0" xfId="0" applyFont="1" applyFill="1" applyBorder="1" applyAlignment="1">
      <alignment horizontal="center" vertical="center" wrapText="1"/>
    </xf>
    <xf numFmtId="166" fontId="9" fillId="3" borderId="5" xfId="0" applyNumberFormat="1" applyFont="1" applyFill="1" applyBorder="1" applyAlignment="1">
      <alignment horizontal="center" vertical="center"/>
    </xf>
    <xf numFmtId="167" fontId="9" fillId="0" borderId="13" xfId="0" applyNumberFormat="1" applyFont="1" applyFill="1" applyBorder="1" applyAlignment="1">
      <alignment horizontal="center"/>
    </xf>
    <xf numFmtId="166" fontId="9" fillId="0" borderId="13" xfId="0" applyNumberFormat="1" applyFont="1" applyFill="1" applyBorder="1" applyAlignment="1">
      <alignment horizontal="center"/>
    </xf>
    <xf numFmtId="0" fontId="38" fillId="0" borderId="0" xfId="0" applyFont="1"/>
    <xf numFmtId="0" fontId="23" fillId="0" borderId="0" xfId="0" applyFont="1" applyFill="1" applyAlignment="1">
      <alignment horizontal="left" vertical="top"/>
    </xf>
    <xf numFmtId="0" fontId="41" fillId="0" borderId="0" xfId="0" applyFont="1" applyFill="1" applyAlignment="1">
      <alignment horizontal="left" vertical="center" wrapText="1"/>
    </xf>
    <xf numFmtId="0" fontId="42" fillId="9" borderId="0" xfId="1" applyFont="1" applyFill="1" applyAlignment="1" applyProtection="1">
      <alignment horizontal="center" vertical="center"/>
      <protection locked="0"/>
    </xf>
    <xf numFmtId="0" fontId="25" fillId="0" borderId="0" xfId="0" applyFont="1" applyAlignment="1">
      <alignment horizontal="left" vertical="center" indent="1"/>
    </xf>
    <xf numFmtId="0" fontId="24" fillId="0" borderId="0" xfId="0" applyFont="1" applyAlignment="1">
      <alignment horizontal="center" vertical="center"/>
    </xf>
    <xf numFmtId="0" fontId="43" fillId="0" borderId="0" xfId="0" applyFont="1" applyAlignment="1">
      <alignment horizontal="left" vertical="center" wrapText="1"/>
    </xf>
    <xf numFmtId="0" fontId="19" fillId="0" borderId="0" xfId="0" applyFont="1" applyFill="1" applyBorder="1" applyAlignment="1">
      <alignment horizontal="left"/>
    </xf>
    <xf numFmtId="0" fontId="0" fillId="0" borderId="5" xfId="0" applyBorder="1" applyAlignment="1" applyProtection="1">
      <alignment horizontal="left" vertical="center" indent="1"/>
      <protection locked="0"/>
    </xf>
    <xf numFmtId="0" fontId="10" fillId="4" borderId="5" xfId="0" applyFont="1" applyFill="1" applyBorder="1" applyAlignment="1">
      <alignment horizontal="left" vertical="center" indent="1"/>
    </xf>
    <xf numFmtId="0" fontId="10" fillId="4" borderId="39" xfId="0" applyFont="1" applyFill="1" applyBorder="1" applyAlignment="1">
      <alignment horizontal="left" vertical="center" indent="1"/>
    </xf>
    <xf numFmtId="166" fontId="0" fillId="0" borderId="46" xfId="0" applyNumberFormat="1" applyBorder="1" applyAlignment="1" applyProtection="1">
      <alignment horizontal="left" vertical="center" indent="1"/>
      <protection locked="0"/>
    </xf>
    <xf numFmtId="166" fontId="0" fillId="0" borderId="47" xfId="0" applyNumberFormat="1" applyBorder="1" applyAlignment="1" applyProtection="1">
      <alignment horizontal="left" vertical="center" indent="1"/>
      <protection locked="0"/>
    </xf>
    <xf numFmtId="166" fontId="0" fillId="0" borderId="24" xfId="0" applyNumberFormat="1" applyBorder="1" applyAlignment="1" applyProtection="1">
      <alignment horizontal="left" vertical="center" indent="1"/>
      <protection locked="0"/>
    </xf>
    <xf numFmtId="0" fontId="28" fillId="0" borderId="40" xfId="0" applyFont="1" applyBorder="1" applyAlignment="1" applyProtection="1">
      <alignment horizontal="left" vertical="center" wrapText="1" indent="1"/>
      <protection locked="0"/>
    </xf>
    <xf numFmtId="0" fontId="28" fillId="0" borderId="41" xfId="0" applyFont="1" applyBorder="1" applyAlignment="1" applyProtection="1">
      <alignment horizontal="left" vertical="center" wrapText="1" indent="1"/>
      <protection locked="0"/>
    </xf>
    <xf numFmtId="0" fontId="28" fillId="0" borderId="42" xfId="0" applyFont="1" applyBorder="1" applyAlignment="1" applyProtection="1">
      <alignment horizontal="left" vertical="center" wrapText="1" indent="1"/>
      <protection locked="0"/>
    </xf>
    <xf numFmtId="0" fontId="10" fillId="4" borderId="43" xfId="0" applyFont="1" applyFill="1" applyBorder="1" applyAlignment="1">
      <alignment horizontal="left" vertical="center" indent="1"/>
    </xf>
    <xf numFmtId="0" fontId="10" fillId="4" borderId="44" xfId="0" applyFont="1" applyFill="1" applyBorder="1" applyAlignment="1">
      <alignment horizontal="left" vertical="center" indent="1"/>
    </xf>
    <xf numFmtId="0" fontId="10" fillId="4" borderId="45" xfId="0" applyFont="1" applyFill="1" applyBorder="1" applyAlignment="1">
      <alignment horizontal="left" vertical="center" indent="1"/>
    </xf>
    <xf numFmtId="0" fontId="0" fillId="0" borderId="46" xfId="0" applyBorder="1" applyAlignment="1" applyProtection="1">
      <alignment horizontal="left" vertical="center" indent="1"/>
      <protection locked="0"/>
    </xf>
    <xf numFmtId="0" fontId="0" fillId="0" borderId="47" xfId="0" applyBorder="1" applyAlignment="1" applyProtection="1">
      <alignment horizontal="left" vertical="center" indent="1"/>
      <protection locked="0"/>
    </xf>
    <xf numFmtId="0" fontId="0" fillId="0" borderId="24" xfId="0" applyBorder="1" applyAlignment="1" applyProtection="1">
      <alignment horizontal="left" vertical="center" indent="1"/>
      <protection locked="0"/>
    </xf>
    <xf numFmtId="0" fontId="10" fillId="4" borderId="43" xfId="0" applyFont="1" applyFill="1" applyBorder="1" applyAlignment="1">
      <alignment horizontal="center" vertical="center"/>
    </xf>
    <xf numFmtId="0" fontId="10" fillId="4" borderId="44" xfId="0" applyFont="1" applyFill="1" applyBorder="1" applyAlignment="1">
      <alignment horizontal="center" vertical="center"/>
    </xf>
    <xf numFmtId="0" fontId="10" fillId="4" borderId="45" xfId="0" applyFont="1" applyFill="1" applyBorder="1" applyAlignment="1">
      <alignment horizontal="center" vertical="center"/>
    </xf>
    <xf numFmtId="9" fontId="8" fillId="0" borderId="48" xfId="3" applyFont="1" applyBorder="1" applyAlignment="1" applyProtection="1">
      <alignment horizontal="center" vertical="center"/>
      <protection locked="0"/>
    </xf>
    <xf numFmtId="9" fontId="8" fillId="0" borderId="49" xfId="3" applyFont="1" applyBorder="1" applyAlignment="1" applyProtection="1">
      <alignment horizontal="center" vertical="center"/>
      <protection locked="0"/>
    </xf>
    <xf numFmtId="9" fontId="8" fillId="0" borderId="21" xfId="3" applyFont="1" applyBorder="1" applyAlignment="1" applyProtection="1">
      <alignment horizontal="center" vertical="center"/>
      <protection locked="0"/>
    </xf>
    <xf numFmtId="0" fontId="27" fillId="4" borderId="43" xfId="0" applyFont="1" applyFill="1" applyBorder="1" applyAlignment="1">
      <alignment horizontal="left" vertical="center" indent="1"/>
    </xf>
    <xf numFmtId="0" fontId="27" fillId="4" borderId="44" xfId="0" applyFont="1" applyFill="1" applyBorder="1" applyAlignment="1">
      <alignment horizontal="left" vertical="center" indent="1"/>
    </xf>
    <xf numFmtId="0" fontId="27" fillId="4" borderId="45" xfId="0" applyFont="1" applyFill="1" applyBorder="1" applyAlignment="1">
      <alignment horizontal="left" vertical="center" indent="1"/>
    </xf>
    <xf numFmtId="0" fontId="27" fillId="4" borderId="43" xfId="0" applyFont="1" applyFill="1" applyBorder="1" applyAlignment="1">
      <alignment horizontal="center" vertical="center"/>
    </xf>
    <xf numFmtId="0" fontId="27" fillId="4" borderId="45" xfId="0" applyFont="1" applyFill="1" applyBorder="1" applyAlignment="1">
      <alignment horizontal="center" vertical="center"/>
    </xf>
    <xf numFmtId="0" fontId="9" fillId="0" borderId="0" xfId="0" applyFont="1" applyFill="1" applyBorder="1" applyAlignment="1">
      <alignment horizontal="left" vertical="center"/>
    </xf>
    <xf numFmtId="0" fontId="10" fillId="4" borderId="13" xfId="0" applyFont="1" applyFill="1" applyBorder="1" applyAlignment="1">
      <alignment horizontal="center" vertical="center"/>
    </xf>
    <xf numFmtId="165" fontId="10" fillId="6" borderId="13" xfId="0" applyNumberFormat="1" applyFont="1" applyFill="1" applyBorder="1" applyAlignment="1">
      <alignment horizontal="left" vertical="center" wrapText="1" indent="1"/>
    </xf>
    <xf numFmtId="167" fontId="0" fillId="8" borderId="13" xfId="0" applyNumberFormat="1" applyFill="1" applyBorder="1" applyAlignment="1">
      <alignment horizontal="center" vertical="center"/>
    </xf>
    <xf numFmtId="165" fontId="0" fillId="3" borderId="43" xfId="0" applyNumberFormat="1" applyFill="1" applyBorder="1" applyAlignment="1">
      <alignment horizontal="left" vertical="center" wrapText="1" indent="1"/>
    </xf>
    <xf numFmtId="165" fontId="0" fillId="3" borderId="44" xfId="0" applyNumberFormat="1" applyFill="1" applyBorder="1" applyAlignment="1">
      <alignment horizontal="left" vertical="center" wrapText="1" indent="1"/>
    </xf>
    <xf numFmtId="165" fontId="0" fillId="3" borderId="45" xfId="0" applyNumberFormat="1" applyFill="1" applyBorder="1" applyAlignment="1">
      <alignment horizontal="left" vertical="center" wrapText="1" indent="1"/>
    </xf>
    <xf numFmtId="166" fontId="0" fillId="8" borderId="13" xfId="0" applyNumberFormat="1" applyFill="1" applyBorder="1" applyAlignment="1">
      <alignment horizontal="center" vertical="center"/>
    </xf>
    <xf numFmtId="0" fontId="10" fillId="9" borderId="43" xfId="0" applyFont="1" applyFill="1" applyBorder="1" applyAlignment="1">
      <alignment horizontal="center" vertical="center"/>
    </xf>
    <xf numFmtId="0" fontId="10" fillId="9" borderId="44" xfId="0" applyFont="1" applyFill="1" applyBorder="1" applyAlignment="1">
      <alignment horizontal="center" vertical="center"/>
    </xf>
    <xf numFmtId="0" fontId="10" fillId="9" borderId="45" xfId="0" applyFont="1" applyFill="1" applyBorder="1" applyAlignment="1">
      <alignment horizontal="center" vertical="center"/>
    </xf>
    <xf numFmtId="0" fontId="9" fillId="4" borderId="5" xfId="0" applyFont="1" applyFill="1" applyBorder="1" applyAlignment="1">
      <alignment horizontal="left" vertical="center" indent="1"/>
    </xf>
    <xf numFmtId="0" fontId="9" fillId="4" borderId="5" xfId="0" applyFont="1" applyFill="1" applyBorder="1" applyAlignment="1">
      <alignment horizontal="left" vertical="center" wrapText="1" indent="1"/>
    </xf>
    <xf numFmtId="0" fontId="9" fillId="0" borderId="0" xfId="0" applyFont="1" applyAlignment="1">
      <alignment horizontal="center"/>
    </xf>
    <xf numFmtId="167" fontId="9" fillId="0" borderId="0" xfId="0" applyNumberFormat="1" applyFont="1" applyAlignment="1">
      <alignment horizontal="center"/>
    </xf>
    <xf numFmtId="0" fontId="10" fillId="9" borderId="50" xfId="0" applyFont="1" applyFill="1" applyBorder="1" applyAlignment="1">
      <alignment horizontal="left" vertical="center" wrapText="1" indent="1"/>
    </xf>
    <xf numFmtId="0" fontId="10" fillId="9" borderId="51" xfId="0" applyFont="1" applyFill="1" applyBorder="1" applyAlignment="1">
      <alignment horizontal="left" vertical="center" wrapText="1" indent="1"/>
    </xf>
    <xf numFmtId="0" fontId="10" fillId="9" borderId="52" xfId="0" applyFont="1" applyFill="1" applyBorder="1" applyAlignment="1">
      <alignment horizontal="left" vertical="center" wrapText="1" indent="1"/>
    </xf>
    <xf numFmtId="0" fontId="0" fillId="0" borderId="47" xfId="0" applyBorder="1" applyAlignment="1" applyProtection="1">
      <alignment horizontal="left" vertical="center" wrapText="1" indent="1"/>
      <protection locked="0"/>
    </xf>
    <xf numFmtId="0" fontId="0" fillId="0" borderId="24" xfId="0" applyBorder="1" applyAlignment="1" applyProtection="1">
      <alignment horizontal="left" vertical="center" wrapText="1" indent="1"/>
      <protection locked="0"/>
    </xf>
    <xf numFmtId="0" fontId="12" fillId="0" borderId="0" xfId="0" applyFont="1" applyAlignment="1">
      <alignment horizontal="center"/>
    </xf>
    <xf numFmtId="0" fontId="20" fillId="0" borderId="0" xfId="0" applyFont="1" applyAlignment="1">
      <alignment horizontal="center"/>
    </xf>
    <xf numFmtId="0" fontId="0" fillId="0" borderId="0" xfId="0" applyFont="1" applyAlignment="1">
      <alignment horizontal="center"/>
    </xf>
    <xf numFmtId="167" fontId="0" fillId="0" borderId="0" xfId="0" applyNumberFormat="1" applyFont="1" applyAlignment="1">
      <alignment horizontal="center"/>
    </xf>
    <xf numFmtId="167" fontId="20" fillId="0" borderId="0" xfId="0" applyNumberFormat="1" applyFont="1" applyAlignment="1">
      <alignment horizontal="center"/>
    </xf>
    <xf numFmtId="0" fontId="10" fillId="9" borderId="43" xfId="0" applyFont="1" applyFill="1" applyBorder="1" applyAlignment="1">
      <alignment horizontal="left" vertical="center" wrapText="1" indent="1"/>
    </xf>
    <xf numFmtId="0" fontId="10" fillId="9" borderId="44" xfId="0" applyFont="1" applyFill="1" applyBorder="1" applyAlignment="1">
      <alignment horizontal="left" vertical="center" wrapText="1" indent="1"/>
    </xf>
    <xf numFmtId="0" fontId="10" fillId="9" borderId="45" xfId="0" applyFont="1" applyFill="1" applyBorder="1" applyAlignment="1">
      <alignment horizontal="left" vertical="center" wrapText="1" indent="1"/>
    </xf>
    <xf numFmtId="0" fontId="0" fillId="0" borderId="46" xfId="0" applyBorder="1" applyAlignment="1" applyProtection="1">
      <alignment horizontal="left" vertical="center" wrapText="1" indent="1"/>
      <protection locked="0"/>
    </xf>
    <xf numFmtId="0" fontId="0" fillId="8" borderId="5" xfId="0" applyFill="1" applyBorder="1" applyAlignment="1">
      <alignment horizontal="left" vertical="center" wrapText="1" indent="1"/>
    </xf>
    <xf numFmtId="0" fontId="0" fillId="8" borderId="5" xfId="0" applyFill="1" applyBorder="1" applyAlignment="1">
      <alignment horizontal="left" vertical="center" wrapText="1" indent="2"/>
    </xf>
    <xf numFmtId="0" fontId="27" fillId="9" borderId="5" xfId="0" applyFont="1" applyFill="1" applyBorder="1" applyAlignment="1">
      <alignment horizontal="left" vertical="center" indent="1"/>
    </xf>
    <xf numFmtId="0" fontId="9" fillId="4" borderId="13" xfId="0" applyFont="1" applyFill="1" applyBorder="1" applyAlignment="1">
      <alignment horizontal="left" vertical="center" indent="1"/>
    </xf>
    <xf numFmtId="0" fontId="18" fillId="0" borderId="0" xfId="0" applyNumberFormat="1" applyFont="1" applyAlignment="1">
      <alignment horizontal="left" vertical="top" wrapText="1"/>
    </xf>
    <xf numFmtId="0" fontId="28" fillId="7" borderId="43" xfId="0" applyFont="1" applyFill="1" applyBorder="1" applyAlignment="1" applyProtection="1">
      <alignment horizontal="left" vertical="center" wrapText="1" indent="1"/>
    </xf>
    <xf numFmtId="0" fontId="28" fillId="7" borderId="44" xfId="0" applyFont="1" applyFill="1" applyBorder="1" applyAlignment="1" applyProtection="1">
      <alignment horizontal="left" vertical="center" wrapText="1" indent="1"/>
    </xf>
    <xf numFmtId="0" fontId="28" fillId="7" borderId="45" xfId="0" applyFont="1" applyFill="1" applyBorder="1" applyAlignment="1" applyProtection="1">
      <alignment horizontal="left" vertical="center" wrapText="1" indent="1"/>
    </xf>
    <xf numFmtId="0" fontId="9" fillId="4" borderId="13" xfId="0" applyFont="1" applyFill="1" applyBorder="1" applyAlignment="1">
      <alignment horizontal="left" vertical="center" wrapText="1" indent="1"/>
    </xf>
    <xf numFmtId="0" fontId="0" fillId="0" borderId="5" xfId="0" applyBorder="1" applyAlignment="1" applyProtection="1">
      <alignment horizontal="center" wrapText="1"/>
      <protection locked="0"/>
    </xf>
    <xf numFmtId="0" fontId="10" fillId="9" borderId="5" xfId="0" applyFont="1" applyFill="1" applyBorder="1" applyAlignment="1">
      <alignment horizontal="left" vertical="center" indent="1"/>
    </xf>
    <xf numFmtId="0" fontId="10" fillId="9" borderId="39" xfId="0" applyFont="1" applyFill="1" applyBorder="1" applyAlignment="1">
      <alignment horizontal="left" vertical="center" indent="1"/>
    </xf>
    <xf numFmtId="0" fontId="10" fillId="4" borderId="43" xfId="0" applyFont="1" applyFill="1" applyBorder="1" applyAlignment="1">
      <alignment horizontal="center" vertical="center" wrapText="1"/>
    </xf>
    <xf numFmtId="0" fontId="10" fillId="4" borderId="45" xfId="0" applyFont="1" applyFill="1" applyBorder="1" applyAlignment="1">
      <alignment horizontal="center" vertical="center" wrapText="1"/>
    </xf>
    <xf numFmtId="0" fontId="13" fillId="0" borderId="9" xfId="0" applyFont="1" applyBorder="1" applyAlignment="1">
      <alignment horizontal="center"/>
    </xf>
    <xf numFmtId="0" fontId="0" fillId="0" borderId="6" xfId="0" applyBorder="1" applyAlignment="1" applyProtection="1">
      <alignment horizontal="center"/>
      <protection locked="0"/>
    </xf>
    <xf numFmtId="0" fontId="0" fillId="0" borderId="7" xfId="0" applyBorder="1" applyAlignment="1" applyProtection="1">
      <alignment horizontal="center"/>
      <protection locked="0"/>
    </xf>
    <xf numFmtId="0" fontId="0" fillId="0" borderId="8" xfId="0" applyBorder="1" applyAlignment="1" applyProtection="1">
      <alignment horizontal="center"/>
      <protection locked="0"/>
    </xf>
    <xf numFmtId="0" fontId="0" fillId="0" borderId="53" xfId="0" applyBorder="1" applyAlignment="1">
      <alignment horizontal="left" vertical="center" indent="1"/>
    </xf>
    <xf numFmtId="0" fontId="0" fillId="0" borderId="9" xfId="0" applyBorder="1" applyAlignment="1">
      <alignment horizontal="left" vertical="center" indent="1"/>
    </xf>
    <xf numFmtId="0" fontId="0" fillId="0" borderId="10" xfId="0" applyBorder="1" applyAlignment="1">
      <alignment horizontal="left" vertical="center" indent="1"/>
    </xf>
    <xf numFmtId="0" fontId="9" fillId="6" borderId="55" xfId="0" applyFont="1" applyFill="1" applyBorder="1" applyAlignment="1">
      <alignment horizontal="center" vertical="center"/>
    </xf>
    <xf numFmtId="167" fontId="0" fillId="7" borderId="6" xfId="0" applyNumberFormat="1" applyFill="1" applyBorder="1" applyAlignment="1">
      <alignment horizontal="center" vertical="center"/>
    </xf>
    <xf numFmtId="167" fontId="0" fillId="7" borderId="7" xfId="0" applyNumberFormat="1" applyFill="1" applyBorder="1" applyAlignment="1">
      <alignment horizontal="center" vertical="center"/>
    </xf>
    <xf numFmtId="165" fontId="0" fillId="7" borderId="7" xfId="0" applyNumberFormat="1" applyFill="1" applyBorder="1" applyAlignment="1">
      <alignment horizontal="center" vertical="center"/>
    </xf>
    <xf numFmtId="0" fontId="10" fillId="4" borderId="43" xfId="0" applyFont="1" applyFill="1" applyBorder="1" applyAlignment="1">
      <alignment horizontal="left" vertical="center" wrapText="1" indent="1"/>
    </xf>
    <xf numFmtId="0" fontId="10" fillId="4" borderId="44" xfId="0" applyFont="1" applyFill="1" applyBorder="1" applyAlignment="1">
      <alignment horizontal="left" vertical="center" wrapText="1" indent="1"/>
    </xf>
    <xf numFmtId="0" fontId="10" fillId="4" borderId="45" xfId="0" applyFont="1" applyFill="1" applyBorder="1" applyAlignment="1">
      <alignment horizontal="left" vertical="center" wrapText="1" indent="1"/>
    </xf>
    <xf numFmtId="0" fontId="9" fillId="4" borderId="10" xfId="0" applyFont="1" applyFill="1" applyBorder="1" applyAlignment="1">
      <alignment horizontal="left" vertical="center" indent="1"/>
    </xf>
    <xf numFmtId="0" fontId="9" fillId="4" borderId="56" xfId="0" applyFont="1" applyFill="1" applyBorder="1" applyAlignment="1">
      <alignment horizontal="left" vertical="center" indent="1"/>
    </xf>
    <xf numFmtId="0" fontId="44" fillId="0" borderId="57" xfId="0" applyFont="1" applyBorder="1" applyAlignment="1">
      <alignment horizontal="left" vertical="center" indent="1"/>
    </xf>
    <xf numFmtId="0" fontId="44" fillId="0" borderId="58" xfId="0" applyFont="1" applyBorder="1" applyAlignment="1">
      <alignment horizontal="left" vertical="center" indent="1"/>
    </xf>
    <xf numFmtId="0" fontId="44" fillId="0" borderId="59" xfId="0" applyFont="1" applyBorder="1" applyAlignment="1">
      <alignment horizontal="left" vertical="center" indent="1"/>
    </xf>
    <xf numFmtId="0" fontId="45" fillId="0" borderId="0" xfId="0" applyFont="1" applyAlignment="1">
      <alignment horizontal="left" vertical="top" wrapText="1" indent="1"/>
    </xf>
    <xf numFmtId="0" fontId="46" fillId="0" borderId="0" xfId="0" applyFont="1" applyAlignment="1">
      <alignment horizontal="center" vertical="center"/>
    </xf>
    <xf numFmtId="0" fontId="47" fillId="0" borderId="60" xfId="0" applyFont="1" applyBorder="1" applyAlignment="1">
      <alignment horizontal="center" vertical="center"/>
    </xf>
    <xf numFmtId="0" fontId="48" fillId="6" borderId="0" xfId="0" applyFont="1" applyFill="1" applyAlignment="1">
      <alignment horizontal="center" vertical="center"/>
    </xf>
    <xf numFmtId="167" fontId="28" fillId="10" borderId="27" xfId="0" applyNumberFormat="1" applyFont="1" applyFill="1" applyBorder="1" applyAlignment="1" applyProtection="1">
      <alignment horizontal="center" vertical="center" wrapText="1"/>
      <protection locked="0"/>
    </xf>
    <xf numFmtId="167" fontId="28" fillId="10" borderId="22" xfId="0" applyNumberFormat="1" applyFont="1" applyFill="1" applyBorder="1" applyAlignment="1" applyProtection="1">
      <alignment horizontal="center" vertical="center" wrapText="1"/>
      <protection locked="0"/>
    </xf>
    <xf numFmtId="167" fontId="28" fillId="10" borderId="25" xfId="0" applyNumberFormat="1" applyFont="1" applyFill="1" applyBorder="1" applyAlignment="1" applyProtection="1">
      <alignment horizontal="center" vertical="center" wrapText="1"/>
      <protection locked="0"/>
    </xf>
  </cellXfs>
  <cellStyles count="22">
    <cellStyle name="Hiperlink" xfId="1" builtinId="8"/>
    <cellStyle name="Hiperlink Visitado" xfId="4" builtinId="9" hidden="1"/>
    <cellStyle name="Hiperlink Visitado" xfId="5" builtinId="9" hidden="1"/>
    <cellStyle name="Hiperlink Visitado" xfId="6" builtinId="9" hidden="1"/>
    <cellStyle name="Hiperlink Visitado" xfId="7" builtinId="9" hidden="1"/>
    <cellStyle name="Hiperlink Visitado" xfId="8" builtinId="9" hidden="1"/>
    <cellStyle name="Hiperlink Visitado" xfId="9" builtinId="9" hidden="1"/>
    <cellStyle name="Hiperlink Visitado" xfId="10" builtinId="9" hidden="1"/>
    <cellStyle name="Hiperlink Visitado" xfId="11" builtinId="9" hidden="1"/>
    <cellStyle name="Hiperlink Visitado" xfId="12" builtinId="9" hidden="1"/>
    <cellStyle name="Hiperlink Visitado" xfId="13" builtinId="9" hidden="1"/>
    <cellStyle name="Hiperlink Visitado" xfId="14" builtinId="9" hidden="1"/>
    <cellStyle name="Hiperlink Visitado" xfId="15" builtinId="9" hidden="1"/>
    <cellStyle name="Hiperlink Visitado" xfId="16" builtinId="9" hidden="1"/>
    <cellStyle name="Hiperlink Visitado" xfId="17" builtinId="9" hidden="1"/>
    <cellStyle name="Hiperlink Visitado" xfId="18" builtinId="9" hidden="1"/>
    <cellStyle name="Hiperlink Visitado" xfId="19" builtinId="9" hidden="1"/>
    <cellStyle name="Hiperlink Visitado" xfId="20" builtinId="9" hidden="1"/>
    <cellStyle name="Hiperlink Visitado" xfId="21" builtinId="9" hidden="1"/>
    <cellStyle name="Moeda" xfId="2" builtinId="4"/>
    <cellStyle name="Normal" xfId="0" builtinId="0"/>
    <cellStyle name="Porcentagem" xfId="3" builtinId="5"/>
  </cellStyles>
  <dxfs count="1524">
    <dxf>
      <font>
        <color theme="0"/>
      </font>
      <fill>
        <patternFill>
          <bgColor theme="0"/>
        </patternFill>
      </fill>
    </dxf>
    <dxf>
      <font>
        <color theme="0"/>
      </font>
      <fill>
        <patternFill>
          <bgColor theme="0"/>
        </patternFill>
      </fill>
      <border>
        <left style="thin">
          <color theme="0"/>
        </left>
        <right style="thin">
          <color theme="0"/>
        </right>
        <top style="thin">
          <color theme="0"/>
        </top>
        <bottom style="thin">
          <color theme="0"/>
        </bottom>
      </border>
    </dxf>
    <dxf>
      <font>
        <b/>
        <i val="0"/>
        <color theme="0"/>
      </font>
      <fill>
        <patternFill>
          <bgColor rgb="FFCC0000"/>
        </patternFill>
      </fill>
    </dxf>
    <dxf>
      <font>
        <b/>
        <i val="0"/>
        <color theme="0"/>
      </font>
      <fill>
        <patternFill>
          <bgColor rgb="FFCC0000"/>
        </patternFill>
      </fill>
    </dxf>
    <dxf>
      <font>
        <b/>
        <i val="0"/>
        <color theme="1" tint="0.24994659260841701"/>
      </font>
      <fill>
        <patternFill>
          <bgColor rgb="FFFF9900"/>
        </patternFill>
      </fill>
    </dxf>
    <dxf>
      <font>
        <b/>
        <i val="0"/>
        <color theme="0"/>
      </font>
      <fill>
        <patternFill>
          <bgColor rgb="FF00B050"/>
        </patternFill>
      </fill>
    </dxf>
    <dxf>
      <font>
        <b/>
        <i val="0"/>
        <color theme="1" tint="0.24994659260841701"/>
      </font>
      <fill>
        <patternFill>
          <bgColor rgb="FFFF9900"/>
        </patternFill>
      </fill>
    </dxf>
    <dxf>
      <font>
        <b/>
        <i val="0"/>
        <color theme="0"/>
      </font>
      <fill>
        <patternFill>
          <bgColor rgb="FF00B050"/>
        </patternFill>
      </fill>
    </dxf>
    <dxf>
      <font>
        <b/>
        <i val="0"/>
        <color theme="1" tint="0.24994659260841701"/>
      </font>
      <fill>
        <patternFill>
          <bgColor rgb="FFFF9900"/>
        </patternFill>
      </fill>
    </dxf>
    <dxf>
      <font>
        <b/>
        <i val="0"/>
        <color theme="0"/>
      </font>
      <fill>
        <patternFill>
          <bgColor rgb="FF00B050"/>
        </patternFill>
      </fill>
    </dxf>
    <dxf>
      <font>
        <b/>
        <i val="0"/>
        <color theme="1" tint="0.24994659260841701"/>
      </font>
      <fill>
        <patternFill>
          <bgColor rgb="FFFF9900"/>
        </patternFill>
      </fill>
    </dxf>
    <dxf>
      <font>
        <b/>
        <i val="0"/>
        <color theme="0"/>
      </font>
      <fill>
        <patternFill>
          <bgColor rgb="FF00B050"/>
        </patternFill>
      </fill>
    </dxf>
    <dxf>
      <font>
        <b/>
        <i val="0"/>
        <color theme="1" tint="0.24994659260841701"/>
      </font>
      <fill>
        <patternFill>
          <bgColor rgb="FFFF9900"/>
        </patternFill>
      </fill>
    </dxf>
    <dxf>
      <font>
        <b/>
        <i val="0"/>
        <color theme="0"/>
      </font>
      <fill>
        <patternFill>
          <bgColor rgb="FF00B050"/>
        </patternFill>
      </fill>
    </dxf>
    <dxf>
      <font>
        <b/>
        <i val="0"/>
        <color theme="1" tint="0.24994659260841701"/>
      </font>
      <fill>
        <patternFill>
          <bgColor rgb="FFFF9900"/>
        </patternFill>
      </fill>
    </dxf>
    <dxf>
      <font>
        <b/>
        <i val="0"/>
        <color theme="0"/>
      </font>
      <fill>
        <patternFill>
          <bgColor rgb="FF00B050"/>
        </patternFill>
      </fill>
    </dxf>
    <dxf>
      <font>
        <color theme="0"/>
      </font>
      <fill>
        <patternFill>
          <bgColor theme="0"/>
        </patternFill>
      </fill>
      <border>
        <left/>
        <right/>
        <top/>
        <bottom/>
      </border>
    </dxf>
    <dxf>
      <font>
        <color rgb="FFFF0000"/>
      </font>
    </dxf>
    <dxf>
      <font>
        <color theme="0"/>
      </font>
      <fill>
        <patternFill>
          <bgColor theme="0"/>
        </patternFill>
      </fill>
      <border>
        <left/>
        <right/>
        <top/>
        <bottom/>
      </border>
    </dxf>
    <dxf>
      <font>
        <color rgb="FFFF0000"/>
      </font>
    </dxf>
    <dxf>
      <font>
        <color theme="0"/>
      </font>
      <fill>
        <patternFill patternType="none">
          <bgColor indexed="65"/>
        </patternFill>
      </fill>
    </dxf>
    <dxf>
      <font>
        <color rgb="FFFF0000"/>
      </font>
    </dxf>
    <dxf>
      <font>
        <color theme="0"/>
      </font>
      <fill>
        <patternFill patternType="solid">
          <bgColor theme="0"/>
        </patternFill>
      </fill>
      <border>
        <left/>
        <right/>
        <top/>
        <bottom/>
      </border>
    </dxf>
    <dxf>
      <font>
        <color rgb="FFFF0000"/>
      </font>
    </dxf>
    <dxf>
      <font>
        <color rgb="FFFF0000"/>
      </font>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rgb="FFFF0000"/>
      </font>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right/>
        <bottom/>
      </border>
    </dxf>
    <dxf>
      <font>
        <color theme="0"/>
      </font>
      <fill>
        <patternFill>
          <bgColor rgb="FFCC0000"/>
        </patternFill>
      </fill>
    </dxf>
    <dxf>
      <fill>
        <patternFill>
          <bgColor rgb="FFEAEAEA"/>
        </patternFill>
      </fill>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bgColor rgb="FFFF9900"/>
        </patternFill>
      </fill>
    </dxf>
    <dxf>
      <font>
        <color theme="0"/>
      </font>
      <fill>
        <patternFill>
          <bgColor rgb="FFFF9900"/>
        </patternFill>
      </fill>
    </dxf>
    <dxf>
      <fill>
        <patternFill>
          <bgColor rgb="FFEAEAEA"/>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ont>
        <color theme="0"/>
      </font>
      <fill>
        <patternFill>
          <bgColor rgb="FFCC0000"/>
        </patternFill>
      </fill>
    </dxf>
    <dxf>
      <font>
        <b/>
        <i val="0"/>
        <color theme="0"/>
      </font>
      <fill>
        <patternFill>
          <bgColor rgb="FFCC0000"/>
        </patternFill>
      </fill>
    </dxf>
    <dxf>
      <font>
        <b/>
        <i val="0"/>
        <color theme="0"/>
      </font>
      <fill>
        <patternFill>
          <bgColor rgb="FFCC00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rgb="FFFF0000"/>
      </font>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right/>
        <bottom/>
      </border>
    </dxf>
    <dxf>
      <font>
        <color theme="0"/>
      </font>
      <fill>
        <patternFill>
          <bgColor rgb="FFCC0000"/>
        </patternFill>
      </fill>
    </dxf>
    <dxf>
      <fill>
        <patternFill>
          <bgColor rgb="FFEAEAEA"/>
        </patternFill>
      </fill>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bgColor rgb="FFFF9900"/>
        </patternFill>
      </fill>
    </dxf>
    <dxf>
      <font>
        <color theme="0"/>
      </font>
      <fill>
        <patternFill>
          <bgColor rgb="FFFF9900"/>
        </patternFill>
      </fill>
    </dxf>
    <dxf>
      <fill>
        <patternFill>
          <bgColor rgb="FFEAEAEA"/>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ont>
        <color theme="0"/>
      </font>
      <fill>
        <patternFill>
          <bgColor rgb="FFCC0000"/>
        </patternFill>
      </fill>
    </dxf>
    <dxf>
      <font>
        <b/>
        <i val="0"/>
        <color theme="0"/>
      </font>
      <fill>
        <patternFill>
          <bgColor rgb="FFCC0000"/>
        </patternFill>
      </fill>
    </dxf>
    <dxf>
      <font>
        <b/>
        <i val="0"/>
        <color theme="0"/>
      </font>
      <fill>
        <patternFill>
          <bgColor rgb="FFCC00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rgb="FFFF0000"/>
      </font>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right/>
        <bottom/>
      </border>
    </dxf>
    <dxf>
      <font>
        <color theme="0"/>
      </font>
      <fill>
        <patternFill>
          <bgColor rgb="FFCC0000"/>
        </patternFill>
      </fill>
    </dxf>
    <dxf>
      <fill>
        <patternFill>
          <bgColor rgb="FFEAEAEA"/>
        </patternFill>
      </fill>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bgColor rgb="FFFF9900"/>
        </patternFill>
      </fill>
    </dxf>
    <dxf>
      <font>
        <color theme="0"/>
      </font>
      <fill>
        <patternFill>
          <bgColor rgb="FFFF9900"/>
        </patternFill>
      </fill>
    </dxf>
    <dxf>
      <fill>
        <patternFill>
          <bgColor rgb="FFEAEAEA"/>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ont>
        <color theme="0"/>
      </font>
      <fill>
        <patternFill>
          <bgColor rgb="FFCC0000"/>
        </patternFill>
      </fill>
    </dxf>
    <dxf>
      <font>
        <b/>
        <i val="0"/>
        <color theme="0"/>
      </font>
      <fill>
        <patternFill>
          <bgColor rgb="FFCC0000"/>
        </patternFill>
      </fill>
    </dxf>
    <dxf>
      <font>
        <b/>
        <i val="0"/>
        <color theme="0"/>
      </font>
      <fill>
        <patternFill>
          <bgColor rgb="FFCC00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rgb="FFFF0000"/>
      </font>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right/>
        <bottom/>
      </border>
    </dxf>
    <dxf>
      <font>
        <color theme="0"/>
      </font>
      <fill>
        <patternFill>
          <bgColor rgb="FFCC0000"/>
        </patternFill>
      </fill>
    </dxf>
    <dxf>
      <fill>
        <patternFill>
          <bgColor rgb="FFEAEAEA"/>
        </patternFill>
      </fill>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bgColor rgb="FFFF9900"/>
        </patternFill>
      </fill>
    </dxf>
    <dxf>
      <font>
        <color theme="0"/>
      </font>
      <fill>
        <patternFill>
          <bgColor rgb="FFFF9900"/>
        </patternFill>
      </fill>
    </dxf>
    <dxf>
      <fill>
        <patternFill>
          <bgColor rgb="FFEAEAEA"/>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ont>
        <color theme="0"/>
      </font>
      <fill>
        <patternFill>
          <bgColor rgb="FFCC0000"/>
        </patternFill>
      </fill>
    </dxf>
    <dxf>
      <font>
        <b/>
        <i val="0"/>
        <color theme="0"/>
      </font>
      <fill>
        <patternFill>
          <bgColor rgb="FFCC0000"/>
        </patternFill>
      </fill>
    </dxf>
    <dxf>
      <font>
        <b/>
        <i val="0"/>
        <color theme="0"/>
      </font>
      <fill>
        <patternFill>
          <bgColor rgb="FFCC00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rgb="FFFF0000"/>
      </font>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right/>
        <bottom/>
      </border>
    </dxf>
    <dxf>
      <font>
        <color theme="0"/>
      </font>
      <fill>
        <patternFill>
          <bgColor rgb="FFCC0000"/>
        </patternFill>
      </fill>
    </dxf>
    <dxf>
      <fill>
        <patternFill>
          <bgColor rgb="FFEAEAEA"/>
        </patternFill>
      </fill>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bgColor rgb="FFFF9900"/>
        </patternFill>
      </fill>
    </dxf>
    <dxf>
      <font>
        <color theme="0"/>
      </font>
      <fill>
        <patternFill>
          <bgColor rgb="FFFF9900"/>
        </patternFill>
      </fill>
    </dxf>
    <dxf>
      <fill>
        <patternFill>
          <bgColor rgb="FFEAEAEA"/>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ont>
        <color theme="0"/>
      </font>
      <fill>
        <patternFill>
          <bgColor rgb="FFCC0000"/>
        </patternFill>
      </fill>
    </dxf>
    <dxf>
      <font>
        <b/>
        <i val="0"/>
        <color theme="0"/>
      </font>
      <fill>
        <patternFill>
          <bgColor rgb="FFCC0000"/>
        </patternFill>
      </fill>
    </dxf>
    <dxf>
      <font>
        <b/>
        <i val="0"/>
        <color theme="0"/>
      </font>
      <fill>
        <patternFill>
          <bgColor rgb="FFCC00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rgb="FFFF0000"/>
      </font>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right/>
        <bottom/>
      </border>
    </dxf>
    <dxf>
      <font>
        <color theme="0"/>
      </font>
      <fill>
        <patternFill>
          <bgColor rgb="FFCC0000"/>
        </patternFill>
      </fill>
    </dxf>
    <dxf>
      <fill>
        <patternFill>
          <bgColor rgb="FFEAEAEA"/>
        </patternFill>
      </fill>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bgColor rgb="FFFF9900"/>
        </patternFill>
      </fill>
    </dxf>
    <dxf>
      <font>
        <color theme="0"/>
      </font>
      <fill>
        <patternFill>
          <bgColor rgb="FFFF9900"/>
        </patternFill>
      </fill>
    </dxf>
    <dxf>
      <fill>
        <patternFill>
          <bgColor rgb="FFEAEAEA"/>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ont>
        <color theme="0"/>
      </font>
      <fill>
        <patternFill>
          <bgColor rgb="FFCC0000"/>
        </patternFill>
      </fill>
    </dxf>
    <dxf>
      <font>
        <b/>
        <i val="0"/>
        <color theme="0"/>
      </font>
      <fill>
        <patternFill>
          <bgColor rgb="FFCC0000"/>
        </patternFill>
      </fill>
    </dxf>
    <dxf>
      <font>
        <b/>
        <i val="0"/>
        <color theme="0"/>
      </font>
      <fill>
        <patternFill>
          <bgColor rgb="FFCC00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rgb="FFFF0000"/>
      </font>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right/>
        <bottom/>
      </border>
    </dxf>
    <dxf>
      <font>
        <color theme="0"/>
      </font>
      <fill>
        <patternFill>
          <bgColor rgb="FFCC0000"/>
        </patternFill>
      </fill>
    </dxf>
    <dxf>
      <fill>
        <patternFill>
          <bgColor rgb="FFEAEAEA"/>
        </patternFill>
      </fill>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bgColor rgb="FFFF9900"/>
        </patternFill>
      </fill>
    </dxf>
    <dxf>
      <font>
        <color theme="0"/>
      </font>
      <fill>
        <patternFill>
          <bgColor rgb="FFFF9900"/>
        </patternFill>
      </fill>
    </dxf>
    <dxf>
      <fill>
        <patternFill>
          <bgColor rgb="FFEAEAEA"/>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ont>
        <color theme="0"/>
      </font>
      <fill>
        <patternFill>
          <bgColor rgb="FFCC0000"/>
        </patternFill>
      </fill>
    </dxf>
    <dxf>
      <font>
        <b/>
        <i val="0"/>
        <color theme="0"/>
      </font>
      <fill>
        <patternFill>
          <bgColor rgb="FFCC0000"/>
        </patternFill>
      </fill>
    </dxf>
    <dxf>
      <font>
        <b/>
        <i val="0"/>
        <color theme="0"/>
      </font>
      <fill>
        <patternFill>
          <bgColor rgb="FFCC00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rgb="FFFF0000"/>
      </font>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right/>
        <bottom/>
      </border>
    </dxf>
    <dxf>
      <font>
        <color theme="0"/>
      </font>
      <fill>
        <patternFill>
          <bgColor rgb="FFCC0000"/>
        </patternFill>
      </fill>
    </dxf>
    <dxf>
      <fill>
        <patternFill>
          <bgColor rgb="FFEAEAEA"/>
        </patternFill>
      </fill>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bgColor rgb="FFFF9900"/>
        </patternFill>
      </fill>
    </dxf>
    <dxf>
      <font>
        <color theme="0"/>
      </font>
      <fill>
        <patternFill>
          <bgColor rgb="FFFF9900"/>
        </patternFill>
      </fill>
    </dxf>
    <dxf>
      <fill>
        <patternFill>
          <bgColor rgb="FFEAEAEA"/>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ont>
        <color theme="0"/>
      </font>
      <fill>
        <patternFill>
          <bgColor rgb="FFCC0000"/>
        </patternFill>
      </fill>
    </dxf>
    <dxf>
      <font>
        <b/>
        <i val="0"/>
        <color theme="0"/>
      </font>
      <fill>
        <patternFill>
          <bgColor rgb="FFCC0000"/>
        </patternFill>
      </fill>
    </dxf>
    <dxf>
      <font>
        <b/>
        <i val="0"/>
        <color theme="0"/>
      </font>
      <fill>
        <patternFill>
          <bgColor rgb="FFCC00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rgb="FFFF0000"/>
      </font>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right/>
        <bottom/>
      </border>
    </dxf>
    <dxf>
      <font>
        <color theme="0"/>
      </font>
      <fill>
        <patternFill>
          <bgColor rgb="FFCC0000"/>
        </patternFill>
      </fill>
    </dxf>
    <dxf>
      <fill>
        <patternFill>
          <bgColor rgb="FFEAEAEA"/>
        </patternFill>
      </fill>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bgColor rgb="FFFF9900"/>
        </patternFill>
      </fill>
    </dxf>
    <dxf>
      <font>
        <color theme="0"/>
      </font>
      <fill>
        <patternFill>
          <bgColor rgb="FFFF9900"/>
        </patternFill>
      </fill>
    </dxf>
    <dxf>
      <fill>
        <patternFill>
          <bgColor rgb="FFEAEAEA"/>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ont>
        <color theme="0"/>
      </font>
      <fill>
        <patternFill>
          <bgColor rgb="FFCC0000"/>
        </patternFill>
      </fill>
    </dxf>
    <dxf>
      <font>
        <b/>
        <i val="0"/>
        <color theme="0"/>
      </font>
      <fill>
        <patternFill>
          <bgColor rgb="FFCC0000"/>
        </patternFill>
      </fill>
    </dxf>
    <dxf>
      <font>
        <b/>
        <i val="0"/>
        <color theme="0"/>
      </font>
      <fill>
        <patternFill>
          <bgColor rgb="FFCC00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rgb="FFFF0000"/>
      </font>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right/>
        <bottom/>
      </border>
    </dxf>
    <dxf>
      <font>
        <color theme="0"/>
      </font>
      <fill>
        <patternFill>
          <bgColor rgb="FFCC0000"/>
        </patternFill>
      </fill>
    </dxf>
    <dxf>
      <fill>
        <patternFill>
          <bgColor rgb="FFEAEAEA"/>
        </patternFill>
      </fill>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bgColor rgb="FFFF9900"/>
        </patternFill>
      </fill>
    </dxf>
    <dxf>
      <font>
        <color theme="0"/>
      </font>
      <fill>
        <patternFill>
          <bgColor rgb="FFFF9900"/>
        </patternFill>
      </fill>
    </dxf>
    <dxf>
      <fill>
        <patternFill>
          <bgColor rgb="FFEAEAEA"/>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ont>
        <color theme="0"/>
      </font>
      <fill>
        <patternFill>
          <bgColor rgb="FFCC0000"/>
        </patternFill>
      </fill>
    </dxf>
    <dxf>
      <font>
        <b/>
        <i val="0"/>
        <color theme="0"/>
      </font>
      <fill>
        <patternFill>
          <bgColor rgb="FFCC0000"/>
        </patternFill>
      </fill>
    </dxf>
    <dxf>
      <font>
        <b/>
        <i val="0"/>
        <color theme="0"/>
      </font>
      <fill>
        <patternFill>
          <bgColor rgb="FFCC00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rgb="FFFF0000"/>
      </font>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right/>
        <bottom/>
      </border>
    </dxf>
    <dxf>
      <font>
        <color theme="0"/>
      </font>
      <fill>
        <patternFill>
          <bgColor rgb="FFCC0000"/>
        </patternFill>
      </fill>
    </dxf>
    <dxf>
      <fill>
        <patternFill>
          <bgColor rgb="FFEAEAEA"/>
        </patternFill>
      </fill>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bgColor rgb="FFFF9900"/>
        </patternFill>
      </fill>
    </dxf>
    <dxf>
      <font>
        <color theme="0"/>
      </font>
      <fill>
        <patternFill>
          <bgColor rgb="FFFF9900"/>
        </patternFill>
      </fill>
    </dxf>
    <dxf>
      <fill>
        <patternFill>
          <bgColor rgb="FFEAEAEA"/>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ont>
        <color theme="0"/>
      </font>
      <fill>
        <patternFill>
          <bgColor rgb="FFCC0000"/>
        </patternFill>
      </fill>
    </dxf>
    <dxf>
      <font>
        <b/>
        <i val="0"/>
        <color theme="0"/>
      </font>
      <fill>
        <patternFill>
          <bgColor rgb="FFCC0000"/>
        </patternFill>
      </fill>
    </dxf>
    <dxf>
      <font>
        <b/>
        <i val="0"/>
        <color theme="0"/>
      </font>
      <fill>
        <patternFill>
          <bgColor rgb="FFCC00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rgb="FFFF0000"/>
      </font>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right/>
        <bottom/>
      </border>
    </dxf>
    <dxf>
      <font>
        <color theme="0"/>
      </font>
      <fill>
        <patternFill>
          <bgColor rgb="FFCC0000"/>
        </patternFill>
      </fill>
    </dxf>
    <dxf>
      <fill>
        <patternFill>
          <bgColor rgb="FFEAEAEA"/>
        </patternFill>
      </fill>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bgColor rgb="FFFF9900"/>
        </patternFill>
      </fill>
    </dxf>
    <dxf>
      <font>
        <color theme="0"/>
      </font>
      <fill>
        <patternFill>
          <bgColor rgb="FFFF9900"/>
        </patternFill>
      </fill>
    </dxf>
    <dxf>
      <fill>
        <patternFill>
          <bgColor rgb="FFEAEAEA"/>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ont>
        <color theme="0"/>
      </font>
      <fill>
        <patternFill>
          <bgColor rgb="FFCC0000"/>
        </patternFill>
      </fill>
    </dxf>
    <dxf>
      <font>
        <b/>
        <i val="0"/>
        <color theme="0"/>
      </font>
      <fill>
        <patternFill>
          <bgColor rgb="FFCC0000"/>
        </patternFill>
      </fill>
    </dxf>
    <dxf>
      <font>
        <b/>
        <i val="0"/>
        <color theme="0"/>
      </font>
      <fill>
        <patternFill>
          <bgColor rgb="FFCC00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rgb="FFFF0000"/>
      </font>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right/>
        <bottom/>
      </border>
    </dxf>
    <dxf>
      <font>
        <color theme="0"/>
      </font>
      <fill>
        <patternFill>
          <bgColor rgb="FFCC0000"/>
        </patternFill>
      </fill>
    </dxf>
    <dxf>
      <fill>
        <patternFill>
          <bgColor rgb="FFEAEAEA"/>
        </patternFill>
      </fill>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bgColor rgb="FFFF9900"/>
        </patternFill>
      </fill>
    </dxf>
    <dxf>
      <font>
        <color theme="0"/>
      </font>
      <fill>
        <patternFill>
          <bgColor rgb="FFFF9900"/>
        </patternFill>
      </fill>
    </dxf>
    <dxf>
      <fill>
        <patternFill>
          <bgColor rgb="FFEAEAEA"/>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ont>
        <color theme="0"/>
      </font>
      <fill>
        <patternFill>
          <bgColor rgb="FFCC0000"/>
        </patternFill>
      </fill>
    </dxf>
    <dxf>
      <font>
        <b/>
        <i val="0"/>
        <color theme="0"/>
      </font>
      <fill>
        <patternFill>
          <bgColor rgb="FFCC0000"/>
        </patternFill>
      </fill>
    </dxf>
    <dxf>
      <font>
        <b/>
        <i val="0"/>
        <color theme="0"/>
      </font>
      <fill>
        <patternFill>
          <bgColor rgb="FFCC00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rgb="FFFF0000"/>
      </font>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right/>
        <bottom/>
      </border>
    </dxf>
    <dxf>
      <font>
        <color theme="0"/>
      </font>
      <fill>
        <patternFill>
          <bgColor rgb="FFCC0000"/>
        </patternFill>
      </fill>
    </dxf>
    <dxf>
      <fill>
        <patternFill>
          <bgColor rgb="FFEAEAEA"/>
        </patternFill>
      </fill>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bgColor rgb="FFFF9900"/>
        </patternFill>
      </fill>
    </dxf>
    <dxf>
      <font>
        <color theme="0"/>
      </font>
      <fill>
        <patternFill>
          <bgColor rgb="FFFF9900"/>
        </patternFill>
      </fill>
    </dxf>
    <dxf>
      <fill>
        <patternFill>
          <bgColor rgb="FFEAEAEA"/>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ont>
        <color theme="0"/>
      </font>
      <fill>
        <patternFill>
          <bgColor rgb="FFCC0000"/>
        </patternFill>
      </fill>
    </dxf>
    <dxf>
      <font>
        <b/>
        <i val="0"/>
        <color theme="0"/>
      </font>
      <fill>
        <patternFill>
          <bgColor rgb="FFCC0000"/>
        </patternFill>
      </fill>
    </dxf>
    <dxf>
      <font>
        <b/>
        <i val="0"/>
        <color theme="0"/>
      </font>
      <fill>
        <patternFill>
          <bgColor rgb="FFCC00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rgb="FFFF0000"/>
      </font>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right/>
        <bottom/>
      </border>
    </dxf>
    <dxf>
      <font>
        <color theme="0"/>
      </font>
      <fill>
        <patternFill>
          <bgColor rgb="FFCC0000"/>
        </patternFill>
      </fill>
    </dxf>
    <dxf>
      <fill>
        <patternFill>
          <bgColor rgb="FFEAEAEA"/>
        </patternFill>
      </fill>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bgColor rgb="FFFF9900"/>
        </patternFill>
      </fill>
    </dxf>
    <dxf>
      <font>
        <color theme="0"/>
      </font>
      <fill>
        <patternFill>
          <bgColor rgb="FFFF9900"/>
        </patternFill>
      </fill>
    </dxf>
    <dxf>
      <font>
        <color theme="0"/>
      </font>
      <fill>
        <patternFill>
          <bgColor rgb="FFCC0000"/>
        </patternFill>
      </fill>
    </dxf>
    <dxf>
      <font>
        <b/>
        <i val="0"/>
        <color theme="0"/>
      </font>
      <fill>
        <patternFill>
          <bgColor rgb="FFCC0000"/>
        </patternFill>
      </fill>
    </dxf>
    <dxf>
      <font>
        <b/>
        <i val="0"/>
        <color theme="0"/>
      </font>
      <fill>
        <patternFill>
          <bgColor rgb="FFCC00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ill>
        <patternFill>
          <bgColor rgb="FFEAEAEA"/>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rgb="FFFF0000"/>
      </font>
    </dxf>
    <dxf>
      <font>
        <color rgb="FFFF0000"/>
      </font>
    </dxf>
    <dxf>
      <font>
        <color rgb="FFFF0000"/>
      </font>
    </dxf>
    <dxf>
      <font>
        <color rgb="FFFF0000"/>
      </font>
    </dxf>
    <dxf>
      <fill>
        <patternFill>
          <bgColor rgb="FFEAEAEA"/>
        </patternFill>
      </fill>
    </dxf>
    <dxf>
      <font>
        <color theme="0"/>
      </font>
      <fill>
        <patternFill>
          <bgColor rgb="FFFF9900"/>
        </patternFill>
      </fill>
    </dxf>
    <dxf>
      <font>
        <color rgb="FFFF0000"/>
      </font>
    </dxf>
    <dxf>
      <font>
        <color rgb="FFFF0000"/>
      </font>
    </dxf>
    <dxf>
      <font>
        <color rgb="FFFF0000"/>
      </font>
    </dxf>
    <dxf>
      <font>
        <color rgb="FFFF0000"/>
      </font>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rgb="FFFF0000"/>
      </font>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right/>
        <bottom/>
      </border>
    </dxf>
    <dxf>
      <font>
        <color theme="0"/>
      </font>
      <fill>
        <patternFill>
          <bgColor rgb="FFCC0000"/>
        </patternFill>
      </fill>
    </dxf>
    <dxf>
      <fill>
        <patternFill>
          <bgColor rgb="FFEAEAEA"/>
        </patternFill>
      </fill>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bgColor rgb="FFFF9900"/>
        </patternFill>
      </fill>
    </dxf>
    <dxf>
      <font>
        <color theme="0"/>
      </font>
      <fill>
        <patternFill>
          <bgColor rgb="FFFF9900"/>
        </patternFill>
      </fill>
    </dxf>
    <dxf>
      <font>
        <color theme="0"/>
      </font>
      <fill>
        <patternFill>
          <bgColor rgb="FFCC0000"/>
        </patternFill>
      </fill>
    </dxf>
    <dxf>
      <font>
        <b/>
        <i val="0"/>
        <color theme="0"/>
      </font>
      <fill>
        <patternFill>
          <bgColor rgb="FFCC0000"/>
        </patternFill>
      </fill>
    </dxf>
    <dxf>
      <font>
        <b/>
        <i val="0"/>
        <color theme="0"/>
      </font>
      <fill>
        <patternFill>
          <bgColor rgb="FFCC00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ill>
        <patternFill>
          <bgColor rgb="FFEAEAEA"/>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rgb="FFFF0000"/>
      </font>
    </dxf>
    <dxf>
      <font>
        <color rgb="FFFF0000"/>
      </font>
    </dxf>
    <dxf>
      <font>
        <color rgb="FFFF0000"/>
      </font>
    </dxf>
    <dxf>
      <font>
        <color rgb="FFFF0000"/>
      </font>
    </dxf>
    <dxf>
      <fill>
        <patternFill>
          <bgColor rgb="FFEAEAEA"/>
        </patternFill>
      </fill>
    </dxf>
    <dxf>
      <font>
        <color theme="0"/>
      </font>
      <fill>
        <patternFill>
          <bgColor rgb="FFFF9900"/>
        </patternFill>
      </fill>
    </dxf>
    <dxf>
      <font>
        <color rgb="FFFF0000"/>
      </font>
    </dxf>
    <dxf>
      <font>
        <color rgb="FFFF0000"/>
      </font>
    </dxf>
    <dxf>
      <font>
        <color rgb="FFFF0000"/>
      </font>
    </dxf>
    <dxf>
      <font>
        <color rgb="FFFF0000"/>
      </font>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rgb="FFFF0000"/>
      </font>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right/>
        <bottom/>
      </border>
    </dxf>
    <dxf>
      <font>
        <color theme="0"/>
      </font>
      <fill>
        <patternFill>
          <bgColor rgb="FFCC0000"/>
        </patternFill>
      </fill>
    </dxf>
    <dxf>
      <fill>
        <patternFill>
          <bgColor rgb="FFEAEAEA"/>
        </patternFill>
      </fill>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bgColor rgb="FFFF9900"/>
        </patternFill>
      </fill>
    </dxf>
    <dxf>
      <font>
        <color theme="0"/>
      </font>
      <fill>
        <patternFill>
          <bgColor rgb="FFFF9900"/>
        </patternFill>
      </fill>
    </dxf>
    <dxf>
      <fill>
        <patternFill>
          <bgColor rgb="FFEAEAEA"/>
        </patternFill>
      </fill>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ill>
        <patternFill>
          <bgColor rgb="FFEAEAEA"/>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ont>
        <color theme="0"/>
      </font>
      <fill>
        <patternFill>
          <bgColor rgb="FFCC0000"/>
        </patternFill>
      </fill>
    </dxf>
    <dxf>
      <font>
        <b/>
        <i val="0"/>
        <color theme="0"/>
      </font>
      <fill>
        <patternFill>
          <bgColor rgb="FFCC0000"/>
        </patternFill>
      </fill>
    </dxf>
    <dxf>
      <font>
        <b/>
        <i val="0"/>
        <color theme="0"/>
      </font>
      <fill>
        <patternFill>
          <bgColor rgb="FFCC00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rgb="FFFF0000"/>
      </font>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right/>
        <bottom/>
      </border>
    </dxf>
    <dxf>
      <font>
        <color theme="0"/>
      </font>
      <fill>
        <patternFill>
          <bgColor rgb="FFCC0000"/>
        </patternFill>
      </fill>
    </dxf>
    <dxf>
      <fill>
        <patternFill>
          <bgColor rgb="FFEAEAEA"/>
        </patternFill>
      </fill>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bgColor rgb="FFFF9900"/>
        </patternFill>
      </fill>
    </dxf>
    <dxf>
      <font>
        <color theme="0"/>
      </font>
      <fill>
        <patternFill>
          <bgColor rgb="FFFF9900"/>
        </patternFill>
      </fill>
    </dxf>
    <dxf>
      <fill>
        <patternFill>
          <bgColor rgb="FFEAEAEA"/>
        </patternFill>
      </fill>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ill>
        <patternFill>
          <bgColor rgb="FFEAEAEA"/>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ont>
        <color theme="0"/>
      </font>
      <fill>
        <patternFill>
          <bgColor rgb="FFCC0000"/>
        </patternFill>
      </fill>
    </dxf>
    <dxf>
      <font>
        <b/>
        <i val="0"/>
        <color theme="0"/>
      </font>
      <fill>
        <patternFill>
          <bgColor rgb="FFCC0000"/>
        </patternFill>
      </fill>
    </dxf>
    <dxf>
      <font>
        <b/>
        <i val="0"/>
        <color theme="0"/>
      </font>
      <fill>
        <patternFill>
          <bgColor rgb="FFCC00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rgb="FFFF0000"/>
      </font>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right/>
        <bottom/>
      </border>
    </dxf>
    <dxf>
      <font>
        <color theme="0"/>
      </font>
      <fill>
        <patternFill>
          <bgColor rgb="FFCC0000"/>
        </patternFill>
      </fill>
    </dxf>
    <dxf>
      <fill>
        <patternFill>
          <bgColor rgb="FFEAEAEA"/>
        </patternFill>
      </fill>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bgColor rgb="FFFF9900"/>
        </patternFill>
      </fill>
    </dxf>
    <dxf>
      <font>
        <color theme="0"/>
      </font>
      <fill>
        <patternFill>
          <bgColor rgb="FFFF9900"/>
        </patternFill>
      </fill>
    </dxf>
    <dxf>
      <fill>
        <patternFill>
          <bgColor rgb="FFEAEAEA"/>
        </patternFill>
      </fill>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ill>
        <patternFill>
          <bgColor rgb="FFEAEAEA"/>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ont>
        <color theme="0"/>
      </font>
      <fill>
        <patternFill>
          <bgColor rgb="FFCC0000"/>
        </patternFill>
      </fill>
    </dxf>
    <dxf>
      <font>
        <b/>
        <i val="0"/>
        <color theme="0"/>
      </font>
      <fill>
        <patternFill>
          <bgColor rgb="FFCC0000"/>
        </patternFill>
      </fill>
    </dxf>
    <dxf>
      <font>
        <b/>
        <i val="0"/>
        <color theme="0"/>
      </font>
      <fill>
        <patternFill>
          <bgColor rgb="FFCC00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rgb="FFFF0000"/>
      </font>
    </dxf>
    <dxf>
      <font>
        <color rgb="FFFF0000"/>
      </font>
    </dxf>
    <dxf>
      <font>
        <color rgb="FFFF0000"/>
      </font>
    </dxf>
    <dxf>
      <font>
        <color rgb="FFFF0000"/>
      </font>
    </dxf>
    <dxf>
      <font>
        <color rgb="FFFF0000"/>
      </font>
    </dxf>
    <dxf>
      <fill>
        <patternFill>
          <bgColor rgb="FFEAEAEA"/>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right/>
        <bottom/>
      </border>
    </dxf>
    <dxf>
      <font>
        <color theme="0"/>
      </font>
      <fill>
        <patternFill>
          <bgColor rgb="FFCC0000"/>
        </patternFill>
      </fill>
    </dxf>
    <dxf>
      <fill>
        <patternFill>
          <bgColor rgb="FFEAEAEA"/>
        </patternFill>
      </fill>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bgColor rgb="FFFF9900"/>
        </patternFill>
      </fill>
    </dxf>
    <dxf>
      <font>
        <color theme="0"/>
      </font>
      <fill>
        <patternFill>
          <bgColor rgb="FFFF9900"/>
        </patternFill>
      </fill>
    </dxf>
    <dxf>
      <font>
        <color theme="0"/>
      </font>
      <fill>
        <patternFill>
          <bgColor rgb="FFCC0000"/>
        </patternFill>
      </fill>
    </dxf>
    <dxf>
      <font>
        <b/>
        <i val="0"/>
        <color theme="0"/>
      </font>
      <fill>
        <patternFill>
          <bgColor rgb="FFCC0000"/>
        </patternFill>
      </fill>
    </dxf>
    <dxf>
      <font>
        <b/>
        <i val="0"/>
        <color theme="0"/>
      </font>
      <fill>
        <patternFill>
          <bgColor rgb="FFCC00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rgb="FFFF0000"/>
      </font>
    </dxf>
    <dxf>
      <font>
        <color rgb="FFFF0000"/>
      </font>
    </dxf>
    <dxf>
      <font>
        <color rgb="FFFF0000"/>
      </font>
    </dxf>
    <dxf>
      <font>
        <color rgb="FFFF0000"/>
      </font>
    </dxf>
    <dxf>
      <font>
        <color rgb="FFFF0000"/>
      </font>
    </dxf>
    <dxf>
      <fill>
        <patternFill>
          <bgColor rgb="FFEAEAEA"/>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right/>
        <bottom/>
      </border>
    </dxf>
    <dxf>
      <font>
        <color theme="0"/>
      </font>
      <fill>
        <patternFill>
          <bgColor rgb="FFCC0000"/>
        </patternFill>
      </fill>
    </dxf>
    <dxf>
      <fill>
        <patternFill>
          <bgColor rgb="FFEAEAEA"/>
        </patternFill>
      </fill>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bgColor rgb="FFFF9900"/>
        </patternFill>
      </fill>
    </dxf>
    <dxf>
      <font>
        <color theme="0"/>
      </font>
      <fill>
        <patternFill>
          <bgColor rgb="FFFF9900"/>
        </patternFill>
      </fill>
    </dxf>
    <dxf>
      <font>
        <color theme="0"/>
      </font>
      <fill>
        <patternFill>
          <bgColor rgb="FFCC0000"/>
        </patternFill>
      </fill>
    </dxf>
    <dxf>
      <font>
        <b/>
        <i val="0"/>
        <color theme="0"/>
      </font>
      <fill>
        <patternFill>
          <bgColor rgb="FFCC0000"/>
        </patternFill>
      </fill>
    </dxf>
    <dxf>
      <font>
        <b/>
        <i val="0"/>
        <color theme="0"/>
      </font>
      <fill>
        <patternFill>
          <bgColor rgb="FFCC00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rgb="FFFF0000"/>
      </font>
    </dxf>
    <dxf>
      <font>
        <color rgb="FFFF0000"/>
      </font>
    </dxf>
    <dxf>
      <font>
        <color rgb="FFFF0000"/>
      </font>
    </dxf>
    <dxf>
      <font>
        <color rgb="FFFF0000"/>
      </font>
    </dxf>
    <dxf>
      <font>
        <color rgb="FFFF0000"/>
      </font>
    </dxf>
    <dxf>
      <fill>
        <patternFill>
          <bgColor rgb="FFEAEAEA"/>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ill>
        <patternFill>
          <bgColor rgb="FFEAEAEA"/>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right/>
        <bottom/>
      </border>
    </dxf>
    <dxf>
      <font>
        <color theme="0"/>
      </font>
      <fill>
        <patternFill>
          <bgColor rgb="FFCC0000"/>
        </patternFill>
      </fill>
    </dxf>
    <dxf>
      <fill>
        <patternFill>
          <bgColor rgb="FFEAEAEA"/>
        </patternFill>
      </fill>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bgColor rgb="FFFF9900"/>
        </patternFill>
      </fill>
    </dxf>
    <dxf>
      <font>
        <color theme="0"/>
      </font>
      <fill>
        <patternFill>
          <bgColor rgb="FFFF9900"/>
        </patternFill>
      </fill>
    </dxf>
    <dxf>
      <font>
        <color theme="0"/>
      </font>
      <fill>
        <patternFill>
          <bgColor rgb="FFCC0000"/>
        </patternFill>
      </fill>
    </dxf>
    <dxf>
      <font>
        <b/>
        <i val="0"/>
        <color theme="0"/>
      </font>
      <fill>
        <patternFill>
          <bgColor rgb="FFCC0000"/>
        </patternFill>
      </fill>
    </dxf>
    <dxf>
      <font>
        <b/>
        <i val="0"/>
        <color theme="0"/>
      </font>
      <fill>
        <patternFill>
          <bgColor rgb="FFCC0000"/>
        </patternFill>
      </fill>
    </dxf>
    <dxf>
      <font>
        <color theme="0"/>
      </font>
      <fill>
        <patternFill>
          <bgColor rgb="FFFF9900"/>
        </patternFill>
      </fill>
    </dxf>
    <dxf>
      <font>
        <color theme="0"/>
      </font>
      <fill>
        <patternFill>
          <bgColor rgb="FFFF99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rgb="FFFF0000"/>
      </font>
    </dxf>
    <dxf>
      <font>
        <color rgb="FFFF0000"/>
      </font>
    </dxf>
    <dxf>
      <font>
        <color rgb="FFFF0000"/>
      </font>
    </dxf>
    <dxf>
      <font>
        <color rgb="FFFF0000"/>
      </font>
    </dxf>
    <dxf>
      <font>
        <color rgb="FFFF0000"/>
      </font>
    </dxf>
    <dxf>
      <fill>
        <patternFill>
          <bgColor rgb="FFEAEAEA"/>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ill>
        <patternFill>
          <bgColor rgb="FFEAEAEA"/>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right/>
        <bottom/>
      </border>
    </dxf>
    <dxf>
      <font>
        <color theme="0"/>
      </font>
      <fill>
        <patternFill>
          <bgColor rgb="FFCC0000"/>
        </patternFill>
      </fill>
    </dxf>
    <dxf>
      <fill>
        <patternFill>
          <bgColor rgb="FFEAEAEA"/>
        </patternFill>
      </fill>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bgColor rgb="FFFF9900"/>
        </patternFill>
      </fill>
    </dxf>
    <dxf>
      <font>
        <color theme="0"/>
      </font>
      <fill>
        <patternFill>
          <bgColor rgb="FFFF9900"/>
        </patternFill>
      </fill>
    </dxf>
    <dxf>
      <font>
        <color theme="0"/>
      </font>
      <fill>
        <patternFill>
          <bgColor rgb="FFCC0000"/>
        </patternFill>
      </fill>
    </dxf>
    <dxf>
      <font>
        <b/>
        <i val="0"/>
        <color theme="0"/>
      </font>
      <fill>
        <patternFill>
          <bgColor rgb="FFCC0000"/>
        </patternFill>
      </fill>
    </dxf>
    <dxf>
      <font>
        <b/>
        <i val="0"/>
        <color theme="0"/>
      </font>
      <fill>
        <patternFill>
          <bgColor rgb="FFCC00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rgb="FFFF0000"/>
      </font>
    </dxf>
    <dxf>
      <font>
        <color rgb="FFFF0000"/>
      </font>
    </dxf>
    <dxf>
      <font>
        <color rgb="FFFF0000"/>
      </font>
    </dxf>
    <dxf>
      <font>
        <color rgb="FFFF0000"/>
      </font>
    </dxf>
    <dxf>
      <font>
        <color rgb="FFFF0000"/>
      </font>
    </dxf>
    <dxf>
      <fill>
        <patternFill>
          <bgColor rgb="FFEAEAEA"/>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ill>
        <patternFill>
          <bgColor rgb="FFEAEAEA"/>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right/>
        <bottom/>
      </border>
    </dxf>
    <dxf>
      <font>
        <color theme="0"/>
      </font>
      <fill>
        <patternFill>
          <bgColor rgb="FFCC0000"/>
        </patternFill>
      </fill>
    </dxf>
    <dxf>
      <fill>
        <patternFill>
          <bgColor rgb="FFEAEAEA"/>
        </patternFill>
      </fill>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bgColor rgb="FFFF9900"/>
        </patternFill>
      </fill>
    </dxf>
    <dxf>
      <font>
        <color theme="0"/>
      </font>
      <fill>
        <patternFill>
          <bgColor rgb="FFFF9900"/>
        </patternFill>
      </fill>
    </dxf>
    <dxf>
      <font>
        <color theme="0"/>
      </font>
      <fill>
        <patternFill>
          <bgColor rgb="FFCC0000"/>
        </patternFill>
      </fill>
    </dxf>
    <dxf>
      <font>
        <b/>
        <i val="0"/>
        <color theme="0"/>
      </font>
      <fill>
        <patternFill>
          <bgColor rgb="FFCC0000"/>
        </patternFill>
      </fill>
    </dxf>
    <dxf>
      <font>
        <b/>
        <i val="0"/>
        <color theme="0"/>
      </font>
      <fill>
        <patternFill>
          <bgColor rgb="FFCC00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rgb="FFFF0000"/>
      </font>
    </dxf>
    <dxf>
      <font>
        <color rgb="FFFF0000"/>
      </font>
    </dxf>
    <dxf>
      <font>
        <color rgb="FFFF0000"/>
      </font>
    </dxf>
    <dxf>
      <font>
        <color rgb="FFFF0000"/>
      </font>
    </dxf>
    <dxf>
      <font>
        <color rgb="FFFF0000"/>
      </font>
    </dxf>
    <dxf>
      <fill>
        <patternFill>
          <bgColor rgb="FFEAEAEA"/>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ill>
        <patternFill>
          <bgColor rgb="FFEAEAEA"/>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right/>
        <bottom/>
      </border>
    </dxf>
    <dxf>
      <font>
        <color theme="0"/>
      </font>
      <fill>
        <patternFill>
          <bgColor rgb="FFCC0000"/>
        </patternFill>
      </fill>
    </dxf>
    <dxf>
      <fill>
        <patternFill>
          <bgColor rgb="FFEAEAEA"/>
        </patternFill>
      </fill>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bgColor rgb="FFFF9900"/>
        </patternFill>
      </fill>
    </dxf>
    <dxf>
      <font>
        <color theme="0"/>
      </font>
      <fill>
        <patternFill>
          <bgColor rgb="FFFF9900"/>
        </patternFill>
      </fill>
    </dxf>
    <dxf>
      <font>
        <color theme="0"/>
      </font>
      <fill>
        <patternFill>
          <bgColor rgb="FFCC0000"/>
        </patternFill>
      </fill>
    </dxf>
    <dxf>
      <font>
        <b/>
        <i val="0"/>
        <color theme="0"/>
      </font>
      <fill>
        <patternFill>
          <bgColor rgb="FFCC0000"/>
        </patternFill>
      </fill>
    </dxf>
    <dxf>
      <font>
        <b/>
        <i val="0"/>
        <color theme="0"/>
      </font>
      <fill>
        <patternFill>
          <bgColor rgb="FFCC0000"/>
        </patternFill>
      </fill>
    </dxf>
    <dxf>
      <font>
        <color theme="0"/>
      </font>
      <fill>
        <patternFill>
          <bgColor rgb="FFFF9900"/>
        </patternFill>
      </fill>
    </dxf>
    <dxf>
      <font>
        <color theme="0"/>
      </font>
      <fill>
        <patternFill>
          <bgColor rgb="FFFF99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rgb="FFFF0000"/>
      </font>
    </dxf>
    <dxf>
      <font>
        <color rgb="FFFF0000"/>
      </font>
    </dxf>
    <dxf>
      <font>
        <color rgb="FFFF0000"/>
      </font>
    </dxf>
    <dxf>
      <font>
        <color rgb="FFFF0000"/>
      </font>
    </dxf>
    <dxf>
      <fill>
        <patternFill>
          <bgColor rgb="FFEAEAEA"/>
        </patternFill>
      </fill>
    </dxf>
    <dxf>
      <font>
        <color theme="0"/>
      </font>
      <fill>
        <patternFill patternType="none">
          <bgColor auto="1"/>
        </patternFill>
      </fill>
      <border>
        <left/>
        <right/>
        <bottom/>
        <vertical/>
        <horizontal/>
      </border>
    </dxf>
    <dxf>
      <font>
        <color theme="0"/>
      </font>
      <fill>
        <patternFill patternType="none">
          <bgColor auto="1"/>
        </patternFill>
      </fill>
      <border>
        <right/>
        <bottom/>
        <vertical/>
        <horizontal/>
      </border>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right/>
        <bottom/>
      </border>
    </dxf>
    <dxf>
      <font>
        <color theme="0"/>
      </font>
      <fill>
        <patternFill>
          <bgColor rgb="FFCC0000"/>
        </patternFill>
      </fill>
    </dxf>
    <dxf>
      <font>
        <color theme="0"/>
      </font>
      <fill>
        <patternFill patternType="none">
          <bgColor indexed="65"/>
        </patternFill>
      </fill>
      <border>
        <left/>
        <right/>
        <bottom/>
      </border>
    </dxf>
    <dxf>
      <font>
        <color theme="0"/>
      </font>
      <fill>
        <patternFill>
          <bgColor rgb="FFFF9900"/>
        </patternFill>
      </fill>
    </dxf>
    <dxf>
      <font>
        <color theme="0"/>
      </font>
      <fill>
        <patternFill>
          <bgColor rgb="FFFF9900"/>
        </patternFill>
      </fill>
    </dxf>
    <dxf>
      <font>
        <color theme="0"/>
      </font>
      <fill>
        <patternFill>
          <bgColor rgb="FFCC0000"/>
        </patternFill>
      </fill>
    </dxf>
    <dxf>
      <font>
        <b/>
        <i val="0"/>
        <color theme="0"/>
      </font>
      <fill>
        <patternFill>
          <bgColor rgb="FFCC0000"/>
        </patternFill>
      </fill>
    </dxf>
    <dxf>
      <font>
        <b/>
        <i val="0"/>
        <color theme="0"/>
      </font>
      <fill>
        <patternFill>
          <bgColor rgb="FFCC0000"/>
        </patternFill>
      </fill>
    </dxf>
    <dxf>
      <fill>
        <patternFill>
          <bgColor rgb="FFEAEAEA"/>
        </patternFill>
      </fill>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rgb="FFFF0000"/>
      </font>
    </dxf>
    <dxf>
      <font>
        <color rgb="FFFF0000"/>
      </font>
    </dxf>
    <dxf>
      <font>
        <color rgb="FFFF0000"/>
      </font>
    </dxf>
    <dxf>
      <font>
        <color rgb="FFFF0000"/>
      </font>
    </dxf>
    <dxf>
      <fill>
        <patternFill>
          <bgColor rgb="FFEAEAEA"/>
        </patternFill>
      </fill>
    </dxf>
    <dxf>
      <font>
        <color theme="0"/>
      </font>
      <fill>
        <patternFill patternType="none">
          <bgColor auto="1"/>
        </patternFill>
      </fill>
      <border>
        <left/>
        <right/>
        <bottom/>
        <vertical/>
        <horizontal/>
      </border>
    </dxf>
    <dxf>
      <font>
        <color theme="0"/>
      </font>
      <fill>
        <patternFill patternType="none">
          <bgColor auto="1"/>
        </patternFill>
      </fill>
      <border>
        <right/>
        <bottom/>
        <vertical/>
        <horizontal/>
      </border>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right/>
        <bottom/>
      </border>
    </dxf>
    <dxf>
      <font>
        <color theme="0"/>
      </font>
      <fill>
        <patternFill>
          <bgColor rgb="FFCC0000"/>
        </patternFill>
      </fill>
    </dxf>
    <dxf>
      <font>
        <color theme="0"/>
      </font>
      <fill>
        <patternFill patternType="none">
          <bgColor indexed="65"/>
        </patternFill>
      </fill>
      <border>
        <left/>
        <right/>
        <bottom/>
      </border>
    </dxf>
    <dxf>
      <font>
        <color theme="0"/>
      </font>
      <fill>
        <patternFill>
          <bgColor rgb="FFFF9900"/>
        </patternFill>
      </fill>
    </dxf>
    <dxf>
      <font>
        <color theme="0"/>
      </font>
      <fill>
        <patternFill>
          <bgColor rgb="FFFF9900"/>
        </patternFill>
      </fill>
    </dxf>
    <dxf>
      <font>
        <color theme="0"/>
      </font>
      <fill>
        <patternFill>
          <bgColor rgb="FFCC0000"/>
        </patternFill>
      </fill>
    </dxf>
    <dxf>
      <font>
        <b/>
        <i val="0"/>
        <color theme="0"/>
      </font>
      <fill>
        <patternFill>
          <bgColor rgb="FFCC0000"/>
        </patternFill>
      </fill>
    </dxf>
    <dxf>
      <font>
        <b/>
        <i val="0"/>
        <color theme="0"/>
      </font>
      <fill>
        <patternFill>
          <bgColor rgb="FFCC0000"/>
        </patternFill>
      </fill>
    </dxf>
    <dxf>
      <font>
        <color theme="0"/>
      </font>
      <fill>
        <patternFill>
          <bgColor rgb="FFFF9900"/>
        </patternFill>
      </fill>
    </dxf>
    <dxf>
      <font>
        <color theme="0"/>
      </font>
      <fill>
        <patternFill>
          <bgColor rgb="FFFF9900"/>
        </patternFill>
      </fill>
    </dxf>
    <dxf>
      <font>
        <color theme="0"/>
      </font>
      <fill>
        <patternFill>
          <bgColor rgb="FFFF9900"/>
        </patternFill>
      </fill>
    </dxf>
    <dxf>
      <font>
        <color theme="0"/>
      </font>
      <fill>
        <patternFill>
          <bgColor rgb="FFFF99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rgb="FFFF0000"/>
      </font>
    </dxf>
    <dxf>
      <font>
        <color rgb="FFFF0000"/>
      </font>
    </dxf>
    <dxf>
      <font>
        <color rgb="FFFF0000"/>
      </font>
    </dxf>
    <dxf>
      <font>
        <color rgb="FFFF0000"/>
      </font>
    </dxf>
    <dxf>
      <fill>
        <patternFill>
          <bgColor rgb="FFEAEAEA"/>
        </patternFill>
      </fill>
    </dxf>
    <dxf>
      <font>
        <color theme="0"/>
      </font>
      <fill>
        <patternFill patternType="none">
          <bgColor auto="1"/>
        </patternFill>
      </fill>
      <border>
        <left/>
        <right/>
        <bottom/>
        <vertical/>
        <horizontal/>
      </border>
    </dxf>
    <dxf>
      <font>
        <color theme="0"/>
      </font>
      <fill>
        <patternFill patternType="none">
          <bgColor auto="1"/>
        </patternFill>
      </fill>
      <border>
        <right/>
        <bottom/>
        <vertical/>
        <horizontal/>
      </border>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right/>
        <bottom/>
      </border>
    </dxf>
    <dxf>
      <font>
        <color theme="0"/>
      </font>
      <fill>
        <patternFill>
          <bgColor rgb="FFCC0000"/>
        </patternFill>
      </fill>
    </dxf>
    <dxf>
      <font>
        <color theme="0"/>
      </font>
      <fill>
        <patternFill patternType="none">
          <bgColor indexed="65"/>
        </patternFill>
      </fill>
      <border>
        <left/>
        <right/>
        <bottom/>
      </border>
    </dxf>
    <dxf>
      <font>
        <color theme="0"/>
      </font>
      <fill>
        <patternFill>
          <bgColor rgb="FFFF9900"/>
        </patternFill>
      </fill>
    </dxf>
    <dxf>
      <font>
        <color theme="0"/>
      </font>
      <fill>
        <patternFill>
          <bgColor rgb="FFFF9900"/>
        </patternFill>
      </fill>
    </dxf>
    <dxf>
      <font>
        <color theme="0"/>
      </font>
      <fill>
        <patternFill>
          <bgColor rgb="FFCC0000"/>
        </patternFill>
      </fill>
    </dxf>
    <dxf>
      <font>
        <b/>
        <i val="0"/>
        <color theme="0"/>
      </font>
      <fill>
        <patternFill>
          <bgColor rgb="FFCC0000"/>
        </patternFill>
      </fill>
    </dxf>
    <dxf>
      <font>
        <b/>
        <i val="0"/>
        <color theme="0"/>
      </font>
      <fill>
        <patternFill>
          <bgColor rgb="FFCC00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rgb="FFFF0000"/>
      </font>
    </dxf>
    <dxf>
      <font>
        <color rgb="FFFF0000"/>
      </font>
    </dxf>
    <dxf>
      <font>
        <color rgb="FFFF0000"/>
      </font>
    </dxf>
    <dxf>
      <font>
        <color rgb="FFFF0000"/>
      </font>
    </dxf>
    <dxf>
      <fill>
        <patternFill>
          <bgColor rgb="FFEAEAEA"/>
        </patternFill>
      </fill>
    </dxf>
    <dxf>
      <font>
        <color theme="0"/>
      </font>
      <fill>
        <patternFill patternType="none">
          <bgColor auto="1"/>
        </patternFill>
      </fill>
      <border>
        <left/>
        <right/>
        <bottom/>
        <vertical/>
        <horizontal/>
      </border>
    </dxf>
    <dxf>
      <font>
        <color theme="0"/>
      </font>
      <fill>
        <patternFill patternType="none">
          <bgColor auto="1"/>
        </patternFill>
      </fill>
      <border>
        <right/>
        <bottom/>
        <vertical/>
        <horizontal/>
      </border>
    </dxf>
    <dxf>
      <font>
        <color rgb="FFFF0000"/>
      </font>
    </dxf>
    <dxf>
      <font>
        <color rgb="FFFF0000"/>
      </font>
    </dxf>
    <dxf>
      <font>
        <color rgb="FFFF0000"/>
      </font>
    </dxf>
    <dxf>
      <font>
        <color rgb="FFFF0000"/>
      </font>
    </dxf>
    <dxf>
      <fill>
        <patternFill>
          <bgColor rgb="FFEAEAEA"/>
        </patternFill>
      </fill>
    </dxf>
    <dxf>
      <font>
        <color rgb="FFFF0000"/>
      </font>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right/>
        <bottom/>
      </border>
    </dxf>
    <dxf>
      <font>
        <color theme="0"/>
      </font>
      <fill>
        <patternFill>
          <bgColor rgb="FFCC0000"/>
        </patternFill>
      </fill>
    </dxf>
    <dxf>
      <font>
        <color theme="0"/>
      </font>
      <fill>
        <patternFill patternType="none">
          <bgColor indexed="65"/>
        </patternFill>
      </fill>
      <border>
        <left/>
        <right/>
        <bottom/>
      </border>
    </dxf>
    <dxf>
      <font>
        <color theme="0"/>
      </font>
      <fill>
        <patternFill>
          <bgColor rgb="FFFF9900"/>
        </patternFill>
      </fill>
    </dxf>
    <dxf>
      <font>
        <color theme="0"/>
      </font>
      <fill>
        <patternFill>
          <bgColor rgb="FFFF9900"/>
        </patternFill>
      </fill>
    </dxf>
    <dxf>
      <font>
        <color theme="0"/>
      </font>
      <fill>
        <patternFill patternType="none">
          <bgColor indexed="65"/>
        </patternFill>
      </fill>
      <border>
        <right/>
        <bottom/>
      </border>
    </dxf>
    <dxf>
      <font>
        <color theme="0"/>
      </font>
      <fill>
        <patternFill>
          <bgColor rgb="FFCC0000"/>
        </patternFill>
      </fill>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bgColor rgb="FFFF9900"/>
        </patternFill>
      </fill>
    </dxf>
    <dxf>
      <font>
        <color theme="0"/>
      </font>
      <fill>
        <patternFill patternType="none">
          <bgColor indexed="65"/>
        </patternFill>
      </fill>
      <border>
        <left/>
        <right/>
        <bottom/>
      </border>
    </dxf>
    <dxf>
      <font>
        <color theme="0"/>
      </font>
      <fill>
        <patternFill>
          <bgColor rgb="FFFF9900"/>
        </patternFill>
      </fill>
    </dxf>
    <dxf>
      <font>
        <b/>
        <i val="0"/>
        <color theme="0"/>
      </font>
      <fill>
        <patternFill>
          <bgColor rgb="FFCC0000"/>
        </patternFill>
      </fill>
    </dxf>
    <dxf>
      <font>
        <b/>
        <i val="0"/>
        <color theme="0"/>
      </font>
      <fill>
        <patternFill>
          <bgColor rgb="FFCC0000"/>
        </patternFill>
      </fill>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theme="0"/>
      </font>
      <fill>
        <patternFill>
          <bgColor theme="0"/>
        </patternFill>
      </fill>
      <border>
        <left/>
        <right/>
        <top/>
        <bottom/>
      </border>
    </dxf>
    <dxf>
      <font>
        <color rgb="FFFF0000"/>
      </font>
    </dxf>
    <dxf>
      <font>
        <color rgb="FFFF0000"/>
      </font>
    </dxf>
    <dxf>
      <font>
        <color rgb="FFFF0000"/>
      </font>
    </dxf>
    <dxf>
      <font>
        <color rgb="FFFF0000"/>
      </font>
    </dxf>
    <dxf>
      <fill>
        <patternFill>
          <bgColor rgb="FFEAEAEA"/>
        </patternFill>
      </fill>
    </dxf>
    <dxf>
      <font>
        <color theme="0"/>
      </font>
      <fill>
        <patternFill patternType="none">
          <bgColor auto="1"/>
        </patternFill>
      </fill>
      <border>
        <left/>
        <right/>
        <bottom/>
        <vertical/>
        <horizontal/>
      </border>
    </dxf>
    <dxf>
      <font>
        <color theme="0"/>
      </font>
      <fill>
        <patternFill patternType="none">
          <bgColor auto="1"/>
        </patternFill>
      </fill>
      <border>
        <right/>
        <bottom/>
        <vertical/>
        <horizontal/>
      </border>
    </dxf>
    <dxf>
      <font>
        <color rgb="FFFF0000"/>
      </font>
    </dxf>
    <dxf>
      <font>
        <color rgb="FFFF0000"/>
      </font>
    </dxf>
    <dxf>
      <font>
        <color rgb="FFFF0000"/>
      </font>
    </dxf>
    <dxf>
      <font>
        <color rgb="FFFF0000"/>
      </font>
    </dxf>
    <dxf>
      <font>
        <color rgb="FFFF0000"/>
      </font>
    </dxf>
    <dxf>
      <font>
        <color theme="0"/>
      </font>
      <fill>
        <patternFill patternType="none">
          <bgColor indexed="65"/>
        </patternFill>
      </fill>
      <border>
        <left/>
        <right/>
        <bottom/>
      </border>
    </dxf>
    <dxf>
      <font>
        <color theme="0"/>
      </font>
      <fill>
        <patternFill patternType="none">
          <bgColor indexed="65"/>
        </patternFill>
      </fill>
      <border>
        <right/>
        <bottom/>
      </border>
    </dxf>
    <dxf>
      <font>
        <color theme="0"/>
      </font>
      <fill>
        <patternFill patternType="none">
          <bgColor indexed="65"/>
        </patternFill>
      </fill>
      <border>
        <right/>
        <bottom/>
      </border>
    </dxf>
    <dxf>
      <font>
        <color theme="0"/>
      </font>
      <fill>
        <patternFill>
          <bgColor rgb="FFCC0000"/>
        </patternFill>
      </fill>
    </dxf>
    <dxf>
      <font>
        <color theme="0"/>
      </font>
      <fill>
        <patternFill patternType="none">
          <bgColor auto="1"/>
        </patternFill>
      </fill>
      <border>
        <left/>
        <right/>
        <bottom/>
        <vertical/>
        <horizontal/>
      </border>
    </dxf>
    <dxf>
      <font>
        <color theme="0"/>
      </font>
      <fill>
        <patternFill patternType="none">
          <bgColor auto="1"/>
        </patternFill>
      </fill>
      <border>
        <right/>
        <bottom/>
        <vertical/>
        <horizontal/>
      </border>
    </dxf>
    <dxf>
      <font>
        <b/>
        <i val="0"/>
        <color theme="0"/>
      </font>
      <fill>
        <patternFill>
          <bgColor rgb="FFCC0000"/>
        </patternFill>
      </fill>
    </dxf>
    <dxf>
      <font>
        <b/>
        <i val="0"/>
        <color theme="0"/>
      </font>
      <fill>
        <patternFill>
          <bgColor rgb="FFCC0000"/>
        </patternFill>
      </fill>
    </dxf>
    <dxf>
      <font>
        <color theme="0"/>
      </font>
      <fill>
        <patternFill patternType="none">
          <bgColor auto="1"/>
        </patternFill>
      </fill>
      <border>
        <left/>
        <right/>
        <bottom/>
        <vertical/>
        <horizontal/>
      </border>
    </dxf>
    <dxf>
      <font>
        <color theme="0"/>
      </font>
      <fill>
        <patternFill patternType="none">
          <bgColor auto="1"/>
        </patternFill>
      </fill>
      <border>
        <right/>
        <bottom/>
        <vertical/>
        <horizontal/>
      </border>
    </dxf>
    <dxf>
      <font>
        <b/>
        <i val="0"/>
        <color theme="0"/>
      </font>
      <fill>
        <patternFill>
          <bgColor rgb="FFCC0000"/>
        </patternFill>
      </fill>
    </dxf>
    <dxf>
      <font>
        <b/>
        <i val="0"/>
        <color theme="0"/>
      </font>
      <fill>
        <patternFill>
          <bgColor rgb="FFCC0000"/>
        </patternFill>
      </fill>
    </dxf>
    <dxf>
      <font>
        <color theme="0"/>
      </font>
      <fill>
        <patternFill patternType="none">
          <bgColor auto="1"/>
        </patternFill>
      </fill>
      <border>
        <left/>
        <right/>
        <bottom/>
        <vertical/>
        <horizontal/>
      </border>
    </dxf>
    <dxf>
      <font>
        <color theme="0"/>
      </font>
      <fill>
        <patternFill patternType="none">
          <bgColor auto="1"/>
        </patternFill>
      </fill>
      <border>
        <right/>
        <bottom/>
        <vertical/>
        <horizontal/>
      </border>
    </dxf>
    <dxf>
      <font>
        <b/>
        <i val="0"/>
        <color theme="0"/>
      </font>
      <fill>
        <patternFill>
          <bgColor rgb="FFCC0000"/>
        </patternFill>
      </fill>
    </dxf>
    <dxf>
      <font>
        <b/>
        <i val="0"/>
        <color theme="0"/>
      </font>
      <fill>
        <patternFill>
          <bgColor rgb="FFCC0000"/>
        </patternFill>
      </fill>
    </dxf>
    <dxf>
      <font>
        <color theme="0"/>
      </font>
      <fill>
        <patternFill>
          <bgColor rgb="FFFF9900"/>
        </patternFill>
      </fill>
    </dxf>
    <dxf>
      <font>
        <color theme="0"/>
      </font>
      <fill>
        <patternFill>
          <bgColor rgb="FFFF9900"/>
        </patternFill>
      </fill>
    </dxf>
    <dxf>
      <font>
        <color theme="0"/>
      </font>
      <fill>
        <patternFill>
          <bgColor rgb="FFFF9900"/>
        </patternFill>
      </fill>
    </dxf>
    <dxf>
      <font>
        <color theme="0"/>
      </font>
      <fill>
        <patternFill>
          <bgColor rgb="FFFF9900"/>
        </patternFill>
      </fill>
    </dxf>
    <dxf>
      <font>
        <color theme="0"/>
      </font>
      <fill>
        <patternFill patternType="none">
          <bgColor indexed="65"/>
        </patternFill>
      </fill>
      <border>
        <left/>
        <right/>
        <bottom/>
      </border>
    </dxf>
    <dxf>
      <font>
        <color theme="0"/>
      </font>
      <fill>
        <patternFill>
          <bgColor rgb="FFFF9900"/>
        </patternFill>
      </fill>
    </dxf>
    <dxf>
      <font>
        <color theme="0"/>
      </font>
      <fill>
        <patternFill>
          <bgColor rgb="FFFF99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bgColor auto="1"/>
        </patternFill>
      </fill>
      <border>
        <right/>
        <bottom/>
        <vertical/>
        <horizontal/>
      </border>
    </dxf>
    <dxf>
      <fill>
        <patternFill patternType="none">
          <bgColor auto="1"/>
        </patternFill>
      </fill>
      <border>
        <right/>
        <bottom/>
        <vertical/>
        <horizontal/>
      </border>
    </dxf>
    <dxf>
      <fill>
        <patternFill patternType="none">
          <bgColor auto="1"/>
        </patternFill>
      </fill>
      <border>
        <right/>
        <bottom/>
        <vertical/>
        <horizontal/>
      </border>
    </dxf>
    <dxf>
      <font>
        <color rgb="FF9C0006"/>
      </font>
      <fill>
        <patternFill>
          <bgColor rgb="FFFFC7CE"/>
        </patternFill>
      </fill>
    </dxf>
    <dxf>
      <font>
        <color rgb="FF9C0006"/>
      </font>
      <fill>
        <patternFill>
          <bgColor rgb="FFFFC7CE"/>
        </patternFill>
      </fill>
    </dxf>
    <dxf>
      <fill>
        <patternFill patternType="none">
          <bgColor auto="1"/>
        </patternFill>
      </fill>
      <border>
        <right/>
        <bottom/>
        <vertical/>
        <horizontal/>
      </border>
    </dxf>
    <dxf>
      <fill>
        <patternFill patternType="none">
          <bgColor auto="1"/>
        </patternFill>
      </fill>
      <border>
        <right/>
        <bottom/>
        <vertical/>
        <horizontal/>
      </border>
    </dxf>
    <dxf>
      <fill>
        <patternFill patternType="none">
          <bgColor indexed="65"/>
        </patternFill>
      </fill>
      <border>
        <right/>
        <bottom/>
      </border>
    </dxf>
    <dxf>
      <fill>
        <patternFill patternType="none">
          <bgColor indexed="65"/>
        </patternFill>
      </fill>
      <border>
        <right/>
        <bottom/>
      </border>
    </dxf>
    <dxf>
      <fill>
        <patternFill patternType="none">
          <bgColor auto="1"/>
        </patternFill>
      </fill>
      <border>
        <right/>
        <bottom/>
        <vertical/>
        <horizontal/>
      </border>
    </dxf>
    <dxf>
      <fill>
        <patternFill patternType="none">
          <bgColor auto="1"/>
        </patternFill>
      </fill>
      <border>
        <right/>
        <bottom/>
        <vertical/>
        <horizontal/>
      </border>
    </dxf>
    <dxf>
      <fill>
        <patternFill patternType="none">
          <bgColor indexed="65"/>
        </patternFill>
      </fill>
      <border>
        <right/>
        <bottom/>
      </border>
    </dxf>
    <dxf>
      <fill>
        <patternFill patternType="none">
          <bgColor indexed="65"/>
        </patternFill>
      </fill>
      <border>
        <right/>
        <bottom/>
      </border>
    </dxf>
    <dxf>
      <fill>
        <patternFill patternType="none">
          <bgColor auto="1"/>
        </patternFill>
      </fill>
      <border>
        <right/>
        <bottom/>
        <vertical/>
        <horizontal/>
      </border>
    </dxf>
    <dxf>
      <fill>
        <patternFill patternType="none">
          <bgColor auto="1"/>
        </patternFill>
      </fill>
      <border>
        <right/>
        <bottom/>
        <vertical/>
        <horizontal/>
      </border>
    </dxf>
    <dxf>
      <fill>
        <patternFill patternType="none">
          <bgColor indexed="65"/>
        </patternFill>
      </fill>
      <border>
        <right/>
        <bottom/>
      </border>
    </dxf>
    <dxf>
      <fill>
        <patternFill patternType="none">
          <bgColor indexed="65"/>
        </patternFill>
      </fill>
      <border>
        <right/>
        <bottom/>
      </border>
    </dxf>
    <dxf>
      <fill>
        <patternFill patternType="none">
          <bgColor auto="1"/>
        </patternFill>
      </fill>
      <border>
        <right/>
        <bottom/>
        <vertical/>
        <horizontal/>
      </border>
    </dxf>
    <dxf>
      <fill>
        <patternFill patternType="none">
          <bgColor auto="1"/>
        </patternFill>
      </fill>
      <border>
        <right/>
        <bottom/>
        <vertical/>
        <horizontal/>
      </border>
    </dxf>
    <dxf>
      <fill>
        <patternFill patternType="none">
          <bgColor indexed="65"/>
        </patternFill>
      </fill>
      <border>
        <right/>
        <bottom/>
      </border>
    </dxf>
    <dxf>
      <fill>
        <patternFill patternType="none">
          <bgColor indexed="65"/>
        </patternFill>
      </fill>
      <border>
        <right/>
        <bottom/>
      </border>
    </dxf>
    <dxf>
      <fill>
        <patternFill patternType="none">
          <bgColor auto="1"/>
        </patternFill>
      </fill>
      <border>
        <right/>
        <bottom/>
        <vertical/>
        <horizontal/>
      </border>
    </dxf>
    <dxf>
      <fill>
        <patternFill patternType="none">
          <bgColor auto="1"/>
        </patternFill>
      </fill>
      <border>
        <right/>
        <bottom/>
        <vertical/>
        <horizontal/>
      </border>
    </dxf>
    <dxf>
      <fill>
        <patternFill patternType="none">
          <bgColor indexed="65"/>
        </patternFill>
      </fill>
      <border>
        <right/>
        <bottom/>
      </border>
    </dxf>
    <dxf>
      <fill>
        <patternFill patternType="none">
          <bgColor indexed="65"/>
        </patternFill>
      </fill>
      <border>
        <right/>
        <bottom/>
      </border>
    </dxf>
    <dxf>
      <fill>
        <patternFill patternType="none">
          <bgColor auto="1"/>
        </patternFill>
      </fill>
      <border>
        <right/>
        <bottom/>
        <vertical/>
        <horizontal/>
      </border>
    </dxf>
    <dxf>
      <fill>
        <patternFill patternType="none">
          <bgColor auto="1"/>
        </patternFill>
      </fill>
      <border>
        <right/>
        <bottom/>
        <vertical/>
        <horizontal/>
      </border>
    </dxf>
    <dxf>
      <fill>
        <patternFill patternType="none">
          <bgColor indexed="65"/>
        </patternFill>
      </fill>
      <border>
        <right/>
        <bottom/>
      </border>
    </dxf>
    <dxf>
      <fill>
        <patternFill patternType="none">
          <bgColor indexed="65"/>
        </patternFill>
      </fill>
      <border>
        <right/>
        <bottom/>
      </border>
    </dxf>
    <dxf>
      <fill>
        <patternFill patternType="none">
          <bgColor auto="1"/>
        </patternFill>
      </fill>
      <border>
        <right/>
        <bottom/>
        <vertical/>
        <horizontal/>
      </border>
    </dxf>
    <dxf>
      <fill>
        <patternFill patternType="none">
          <bgColor auto="1"/>
        </patternFill>
      </fill>
      <border>
        <right/>
        <bottom/>
        <vertical/>
        <horizontal/>
      </border>
    </dxf>
    <dxf>
      <fill>
        <patternFill patternType="none">
          <bgColor indexed="65"/>
        </patternFill>
      </fill>
      <border>
        <right/>
        <bottom/>
      </border>
    </dxf>
    <dxf>
      <fill>
        <patternFill patternType="none">
          <bgColor indexed="65"/>
        </patternFill>
      </fill>
      <border>
        <right/>
        <bottom/>
      </border>
    </dxf>
    <dxf>
      <fill>
        <patternFill patternType="none">
          <bgColor auto="1"/>
        </patternFill>
      </fill>
      <border>
        <right/>
        <bottom/>
        <vertical/>
        <horizontal/>
      </border>
    </dxf>
    <dxf>
      <fill>
        <patternFill patternType="none">
          <bgColor indexed="65"/>
        </patternFill>
      </fill>
      <border>
        <right/>
        <bottom/>
      </border>
    </dxf>
    <dxf>
      <fill>
        <patternFill patternType="none">
          <bgColor indexed="65"/>
        </patternFill>
      </fill>
      <border>
        <right/>
        <bottom/>
      </border>
    </dxf>
    <dxf>
      <fill>
        <patternFill patternType="none">
          <bgColor auto="1"/>
        </patternFill>
      </fill>
      <border>
        <right/>
        <bottom/>
        <vertical/>
        <horizontal/>
      </border>
    </dxf>
    <dxf>
      <fill>
        <patternFill patternType="none">
          <bgColor indexed="65"/>
        </patternFill>
      </fill>
      <border>
        <right/>
        <bottom/>
      </border>
    </dxf>
    <dxf>
      <fill>
        <patternFill patternType="none">
          <bgColor indexed="65"/>
        </patternFill>
      </fill>
      <border>
        <right/>
        <bottom/>
      </border>
    </dxf>
    <dxf>
      <fill>
        <patternFill patternType="none">
          <bgColor auto="1"/>
        </patternFill>
      </fill>
      <border>
        <right/>
        <bottom/>
        <vertical/>
        <horizontal/>
      </border>
    </dxf>
    <dxf>
      <fill>
        <patternFill patternType="none">
          <bgColor auto="1"/>
        </patternFill>
      </fill>
      <border>
        <right/>
        <bottom/>
        <vertical/>
        <horizontal/>
      </border>
    </dxf>
    <dxf>
      <fill>
        <patternFill patternType="none">
          <bgColor indexed="65"/>
        </patternFill>
      </fill>
      <border>
        <right/>
        <bottom/>
      </border>
    </dxf>
    <dxf>
      <fill>
        <patternFill patternType="none">
          <bgColor indexed="65"/>
        </patternFill>
      </fill>
      <border>
        <right/>
        <bottom/>
      </border>
    </dxf>
    <dxf>
      <fill>
        <patternFill patternType="none">
          <bgColor indexed="65"/>
        </patternFill>
      </fill>
      <border>
        <right/>
        <bottom/>
      </border>
    </dxf>
    <dxf>
      <fill>
        <patternFill patternType="none">
          <bgColor indexed="65"/>
        </patternFill>
      </fill>
      <border>
        <right/>
        <bottom/>
      </border>
    </dxf>
    <dxf>
      <fill>
        <patternFill patternType="none">
          <bgColor auto="1"/>
        </patternFill>
      </fill>
      <border>
        <right/>
        <bottom/>
        <vertical/>
        <horizontal/>
      </border>
    </dxf>
    <dxf>
      <fill>
        <patternFill patternType="none">
          <bgColor auto="1"/>
        </patternFill>
      </fill>
      <border>
        <right/>
        <bottom/>
        <vertical/>
        <horizontal/>
      </border>
    </dxf>
    <dxf>
      <fill>
        <patternFill patternType="none">
          <bgColor indexed="65"/>
        </patternFill>
      </fill>
      <border>
        <right/>
        <bottom/>
      </border>
    </dxf>
    <dxf>
      <fill>
        <patternFill patternType="none">
          <bgColor indexed="65"/>
        </patternFill>
      </fill>
      <border>
        <right/>
        <bottom/>
      </border>
    </dxf>
    <dxf>
      <fill>
        <patternFill patternType="none">
          <bgColor auto="1"/>
        </patternFill>
      </fill>
      <border>
        <right/>
        <bottom/>
        <vertical/>
        <horizontal/>
      </border>
    </dxf>
    <dxf>
      <fill>
        <patternFill patternType="none">
          <bgColor auto="1"/>
        </patternFill>
      </fill>
      <border>
        <right/>
        <bottom/>
        <vertical/>
        <horizontal/>
      </border>
    </dxf>
    <dxf>
      <fill>
        <patternFill patternType="none">
          <bgColor auto="1"/>
        </patternFill>
      </fill>
      <border>
        <right/>
        <bottom/>
        <vertical/>
        <horizontal/>
      </border>
    </dxf>
    <dxf>
      <fill>
        <patternFill patternType="none">
          <bgColor auto="1"/>
        </patternFill>
      </fill>
      <border>
        <right/>
        <bottom/>
        <vertical/>
        <horizontal/>
      </border>
    </dxf>
    <dxf>
      <fill>
        <patternFill patternType="none">
          <bgColor auto="1"/>
        </patternFill>
      </fill>
      <border>
        <right/>
        <bottom/>
        <vertical/>
        <horizontal/>
      </border>
    </dxf>
    <dxf>
      <fill>
        <patternFill patternType="none">
          <bgColor auto="1"/>
        </patternFill>
      </fill>
      <border>
        <right/>
        <bottom/>
        <vertical/>
        <horizontal/>
      </border>
    </dxf>
    <dxf>
      <fill>
        <patternFill patternType="none">
          <bgColor auto="1"/>
        </patternFill>
      </fill>
      <border>
        <right/>
        <bottom/>
        <vertical/>
        <horizontal/>
      </border>
    </dxf>
    <dxf>
      <fill>
        <patternFill patternType="none">
          <bgColor auto="1"/>
        </patternFill>
      </fill>
      <border>
        <right/>
        <bottom/>
        <vertical/>
        <horizontal/>
      </border>
    </dxf>
    <dxf>
      <fill>
        <patternFill patternType="none">
          <bgColor indexed="65"/>
        </patternFill>
      </fill>
      <border>
        <right/>
        <bottom/>
      </border>
    </dxf>
    <dxf>
      <fill>
        <patternFill patternType="none">
          <bgColor indexed="65"/>
        </patternFill>
      </fill>
      <border>
        <right/>
        <bottom/>
      </border>
    </dxf>
    <dxf>
      <fill>
        <patternFill patternType="none">
          <bgColor indexed="65"/>
        </patternFill>
      </fill>
      <border>
        <right/>
        <bottom/>
      </border>
    </dxf>
    <dxf>
      <fill>
        <patternFill patternType="none">
          <bgColor indexed="65"/>
        </patternFill>
      </fill>
      <border>
        <right/>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6" Type="http://schemas.openxmlformats.org/officeDocument/2006/relationships/worksheet" Target="worksheets/sheet46.xml"/><Relationship Id="rId47" Type="http://schemas.openxmlformats.org/officeDocument/2006/relationships/theme" Target="theme/theme1.xml"/><Relationship Id="rId48" Type="http://schemas.openxmlformats.org/officeDocument/2006/relationships/styles" Target="styles.xml"/><Relationship Id="rId49" Type="http://schemas.openxmlformats.org/officeDocument/2006/relationships/sharedStrings" Target="sharedStrings.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50"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9" Type="http://schemas.openxmlformats.org/officeDocument/2006/relationships/worksheet" Target="worksheets/sheet9.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Gra!$W$37</c:f>
              <c:strCache>
                <c:ptCount val="1"/>
                <c:pt idx="0">
                  <c:v>Horas extras por tipo</c:v>
                </c:pt>
              </c:strCache>
            </c:strRef>
          </c:tx>
          <c:spPr>
            <a:solidFill>
              <a:srgbClr val="4F81BD"/>
            </a:solidFill>
            <a:ln w="25400">
              <a:noFill/>
            </a:ln>
          </c:spPr>
          <c:invertIfNegative val="0"/>
          <c:dLbls>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Gra!$AB$37:$AL$37</c:f>
              <c:strCache>
                <c:ptCount val="11"/>
                <c:pt idx="0">
                  <c:v>Horas Extras às Segundas</c:v>
                </c:pt>
                <c:pt idx="1">
                  <c:v>Horas Extras às Terças</c:v>
                </c:pt>
                <c:pt idx="2">
                  <c:v>Horas Extras às Quartas</c:v>
                </c:pt>
                <c:pt idx="3">
                  <c:v>Horas Extras às Quintas</c:v>
                </c:pt>
                <c:pt idx="4">
                  <c:v>Horas Extras às Sextas</c:v>
                </c:pt>
                <c:pt idx="5">
                  <c:v>Horas Extras aos Sábados</c:v>
                </c:pt>
                <c:pt idx="6">
                  <c:v>Horas Extras aos Domingos</c:v>
                </c:pt>
                <c:pt idx="7">
                  <c:v>Horas Extras nos Feriados</c:v>
                </c:pt>
                <c:pt idx="8">
                  <c:v>Horas Extras no DSR (Descanso Semanal Remunerado)</c:v>
                </c:pt>
                <c:pt idx="9">
                  <c:v>Horas Extras na Interjornada</c:v>
                </c:pt>
                <c:pt idx="10">
                  <c:v>Horas Extras na Intrajornada</c:v>
                </c:pt>
              </c:strCache>
            </c:strRef>
          </c:cat>
          <c:val>
            <c:numRef>
              <c:f>Gra!$AB$38:$AL$38</c:f>
              <c:numCache>
                <c:formatCode>[h]:mm</c:formatCode>
                <c:ptCount val="11"/>
                <c:pt idx="0">
                  <c:v>1.388888888888888</c:v>
                </c:pt>
                <c:pt idx="1">
                  <c:v>1.451388888888888</c:v>
                </c:pt>
                <c:pt idx="2">
                  <c:v>0.875</c:v>
                </c:pt>
                <c:pt idx="3">
                  <c:v>0.0</c:v>
                </c:pt>
                <c:pt idx="4">
                  <c:v>0.0</c:v>
                </c:pt>
                <c:pt idx="5">
                  <c:v>0.833333333333333</c:v>
                </c:pt>
                <c:pt idx="6">
                  <c:v>1.388888888888888</c:v>
                </c:pt>
                <c:pt idx="7">
                  <c:v>0.0</c:v>
                </c:pt>
                <c:pt idx="8">
                  <c:v>0.0</c:v>
                </c:pt>
                <c:pt idx="9">
                  <c:v>0.0</c:v>
                </c:pt>
                <c:pt idx="10">
                  <c:v>0.0</c:v>
                </c:pt>
              </c:numCache>
            </c:numRef>
          </c:val>
        </c:ser>
        <c:dLbls>
          <c:showLegendKey val="0"/>
          <c:showVal val="0"/>
          <c:showCatName val="0"/>
          <c:showSerName val="0"/>
          <c:showPercent val="0"/>
          <c:showBubbleSize val="0"/>
        </c:dLbls>
        <c:gapWidth val="150"/>
        <c:axId val="1191751584"/>
        <c:axId val="1191753632"/>
      </c:barChart>
      <c:catAx>
        <c:axId val="1191751584"/>
        <c:scaling>
          <c:orientation val="minMax"/>
        </c:scaling>
        <c:delete val="0"/>
        <c:axPos val="b"/>
        <c:numFmt formatCode="General" sourceLinked="1"/>
        <c:majorTickMark val="none"/>
        <c:minorTickMark val="none"/>
        <c:tickLblPos val="nextTo"/>
        <c:spPr>
          <a:ln w="3175">
            <a:solidFill>
              <a:srgbClr val="C0C0C0"/>
            </a:solidFill>
            <a:prstDash val="solid"/>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91753632"/>
        <c:crosses val="autoZero"/>
        <c:auto val="1"/>
        <c:lblAlgn val="ctr"/>
        <c:lblOffset val="100"/>
        <c:noMultiLvlLbl val="0"/>
      </c:catAx>
      <c:valAx>
        <c:axId val="1191753632"/>
        <c:scaling>
          <c:orientation val="minMax"/>
        </c:scaling>
        <c:delete val="1"/>
        <c:axPos val="l"/>
        <c:numFmt formatCode="[h]:mm" sourceLinked="1"/>
        <c:majorTickMark val="out"/>
        <c:minorTickMark val="none"/>
        <c:tickLblPos val="none"/>
        <c:crossAx val="1191751584"/>
        <c:crosses val="autoZero"/>
        <c:crossBetween val="between"/>
      </c:valAx>
      <c:spPr>
        <a:solidFill>
          <a:srgbClr val="EAEAEA"/>
        </a:solidFill>
        <a:ln w="25400">
          <a:noFill/>
        </a:ln>
      </c:spPr>
    </c:plotArea>
    <c:plotVisOnly val="1"/>
    <c:dispBlanksAs val="gap"/>
    <c:showDLblsOverMax val="0"/>
  </c:chart>
  <c:spPr>
    <a:noFill/>
    <a:ln w="3175">
      <a:solidFill>
        <a:srgbClr val="C0C0C0"/>
      </a:solidFill>
      <a:prstDash val="solid"/>
    </a:ln>
  </c:spPr>
  <c:txPr>
    <a:bodyPr/>
    <a:lstStyle/>
    <a:p>
      <a:pPr>
        <a:defRPr/>
      </a:pPr>
      <a:endParaRPr lang="pt-BR"/>
    </a:p>
  </c:txPr>
  <c:printSettings>
    <c:headerFooter/>
    <c:pageMargins b="0.787401575" l="0.511811024" r="0.511811024" t="0.787401575" header="0.31496062" footer="0.3149606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Gra!$AO$37</c:f>
              <c:strCache>
                <c:ptCount val="1"/>
                <c:pt idx="0">
                  <c:v>Total de Horas Extras a Pagar</c:v>
                </c:pt>
              </c:strCache>
            </c:strRef>
          </c:tx>
          <c:spPr>
            <a:solidFill>
              <a:srgbClr val="4F81BD"/>
            </a:solidFill>
            <a:ln w="25400">
              <a:noFill/>
            </a:ln>
          </c:spPr>
          <c:invertIfNegative val="0"/>
          <c:dLbls>
            <c:dLbl>
              <c:idx val="10"/>
              <c:layout>
                <c:manualLayout>
                  <c:x val="-0.00271977727808116"/>
                  <c:y val="-0.0043010752688172"/>
                </c:manualLayout>
              </c:layout>
              <c:dLblPos val="outEnd"/>
              <c:showLegendKey val="0"/>
              <c:showVal val="1"/>
              <c:showCatName val="0"/>
              <c:showSerName val="0"/>
              <c:showPercent val="0"/>
              <c:showBubbleSize val="0"/>
              <c:extLst>
                <c:ext xmlns:c15="http://schemas.microsoft.com/office/drawing/2012/chart" uri="{CE6537A1-D6FC-4f65-9D91-7224C49458BB}"/>
              </c:extLst>
            </c:dLbl>
            <c:numFmt formatCode="\R\$\ #,##0.00" sourceLinked="0"/>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Gra!$AP$40:$AP$50</c:f>
              <c:strCache>
                <c:ptCount val="11"/>
                <c:pt idx="10">
                  <c:v>Outros</c:v>
                </c:pt>
              </c:strCache>
            </c:strRef>
          </c:cat>
          <c:val>
            <c:numRef>
              <c:f>Gra!$AO$40:$AO$50</c:f>
              <c:numCache>
                <c:formatCode>"R$"\ #,##0.00</c:formatCode>
                <c:ptCount val="11"/>
                <c:pt idx="0">
                  <c:v>0.0</c:v>
                </c:pt>
                <c:pt idx="1">
                  <c:v>0.0</c:v>
                </c:pt>
                <c:pt idx="2">
                  <c:v>0.0</c:v>
                </c:pt>
                <c:pt idx="3">
                  <c:v>0.0</c:v>
                </c:pt>
                <c:pt idx="4">
                  <c:v>0.0</c:v>
                </c:pt>
                <c:pt idx="5">
                  <c:v>0.0</c:v>
                </c:pt>
                <c:pt idx="6">
                  <c:v>0.0</c:v>
                </c:pt>
                <c:pt idx="7">
                  <c:v>0.0</c:v>
                </c:pt>
                <c:pt idx="8">
                  <c:v>0.0</c:v>
                </c:pt>
                <c:pt idx="9">
                  <c:v>0.0</c:v>
                </c:pt>
                <c:pt idx="10">
                  <c:v>0.0</c:v>
                </c:pt>
              </c:numCache>
            </c:numRef>
          </c:val>
        </c:ser>
        <c:dLbls>
          <c:showLegendKey val="0"/>
          <c:showVal val="0"/>
          <c:showCatName val="0"/>
          <c:showSerName val="0"/>
          <c:showPercent val="0"/>
          <c:showBubbleSize val="0"/>
        </c:dLbls>
        <c:gapWidth val="150"/>
        <c:axId val="725328208"/>
        <c:axId val="1078497856"/>
      </c:barChart>
      <c:catAx>
        <c:axId val="725328208"/>
        <c:scaling>
          <c:orientation val="minMax"/>
        </c:scaling>
        <c:delete val="0"/>
        <c:axPos val="b"/>
        <c:numFmt formatCode="General" sourceLinked="1"/>
        <c:majorTickMark val="none"/>
        <c:minorTickMark val="none"/>
        <c:tickLblPos val="nextTo"/>
        <c:spPr>
          <a:ln w="3175">
            <a:solidFill>
              <a:srgbClr val="C0C0C0"/>
            </a:solidFill>
            <a:prstDash val="solid"/>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078497856"/>
        <c:crosses val="autoZero"/>
        <c:auto val="1"/>
        <c:lblAlgn val="ctr"/>
        <c:lblOffset val="100"/>
        <c:noMultiLvlLbl val="0"/>
      </c:catAx>
      <c:valAx>
        <c:axId val="1078497856"/>
        <c:scaling>
          <c:orientation val="minMax"/>
        </c:scaling>
        <c:delete val="1"/>
        <c:axPos val="l"/>
        <c:numFmt formatCode="&quot;R$&quot;\ #,##0.00" sourceLinked="1"/>
        <c:majorTickMark val="out"/>
        <c:minorTickMark val="none"/>
        <c:tickLblPos val="none"/>
        <c:crossAx val="725328208"/>
        <c:crosses val="autoZero"/>
        <c:crossBetween val="between"/>
      </c:valAx>
      <c:spPr>
        <a:solidFill>
          <a:srgbClr val="EAEAEA"/>
        </a:solidFill>
        <a:ln w="25400">
          <a:noFill/>
        </a:ln>
      </c:spPr>
    </c:plotArea>
    <c:plotVisOnly val="1"/>
    <c:dispBlanksAs val="gap"/>
    <c:showDLblsOverMax val="0"/>
  </c:chart>
  <c:spPr>
    <a:noFill/>
    <a:ln w="3175">
      <a:solidFill>
        <a:srgbClr val="C0C0C0"/>
      </a:solidFill>
      <a:prstDash val="solid"/>
    </a:ln>
  </c:spPr>
  <c:txPr>
    <a:bodyPr/>
    <a:lstStyle/>
    <a:p>
      <a:pPr>
        <a:defRPr/>
      </a:pPr>
      <a:endParaRPr lang="pt-BR"/>
    </a:p>
  </c:txPr>
  <c:printSettings>
    <c:headerFooter/>
    <c:pageMargins b="0.787401575" l="0.511811024" r="0.511811024" t="0.787401575" header="0.31496062" footer="0.31496062"/>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Gra!$Y$37</c:f>
              <c:strCache>
                <c:ptCount val="1"/>
                <c:pt idx="0">
                  <c:v>Horas extras</c:v>
                </c:pt>
              </c:strCache>
            </c:strRef>
          </c:tx>
          <c:spPr>
            <a:solidFill>
              <a:srgbClr val="4F81BD"/>
            </a:solidFill>
            <a:ln w="25400">
              <a:noFill/>
            </a:ln>
          </c:spPr>
          <c:dPt>
            <c:idx val="1"/>
            <c:bubble3D val="0"/>
            <c:spPr>
              <a:solidFill>
                <a:srgbClr val="C0504D"/>
              </a:solidFill>
              <a:ln w="25400">
                <a:noFill/>
              </a:ln>
            </c:spPr>
          </c:dPt>
          <c:dPt>
            <c:idx val="2"/>
            <c:bubble3D val="0"/>
            <c:spPr>
              <a:solidFill>
                <a:srgbClr val="9BBB59"/>
              </a:solidFill>
              <a:ln w="25400">
                <a:noFill/>
              </a:ln>
            </c:spPr>
          </c:dPt>
          <c:dPt>
            <c:idx val="3"/>
            <c:bubble3D val="0"/>
            <c:spPr>
              <a:solidFill>
                <a:srgbClr val="8064A2"/>
              </a:solidFill>
              <a:ln w="25400">
                <a:noFill/>
              </a:ln>
            </c:spPr>
          </c:dPt>
          <c:dPt>
            <c:idx val="4"/>
            <c:bubble3D val="0"/>
            <c:spPr>
              <a:solidFill>
                <a:srgbClr val="4BACC6"/>
              </a:solidFill>
              <a:ln w="25400">
                <a:noFill/>
              </a:ln>
            </c:spPr>
          </c:dPt>
          <c:dPt>
            <c:idx val="5"/>
            <c:bubble3D val="0"/>
            <c:spPr>
              <a:solidFill>
                <a:srgbClr val="F79646"/>
              </a:solidFill>
              <a:ln w="25400">
                <a:noFill/>
              </a:ln>
            </c:spPr>
          </c:dPt>
          <c:dPt>
            <c:idx val="6"/>
            <c:bubble3D val="0"/>
            <c:spPr>
              <a:solidFill>
                <a:srgbClr val="2C4D75"/>
              </a:solidFill>
              <a:ln w="25400">
                <a:noFill/>
              </a:ln>
            </c:spPr>
          </c:dPt>
          <c:dPt>
            <c:idx val="7"/>
            <c:bubble3D val="0"/>
            <c:spPr>
              <a:solidFill>
                <a:srgbClr val="772C2A"/>
              </a:solidFill>
              <a:ln w="25400">
                <a:noFill/>
              </a:ln>
            </c:spPr>
          </c:dPt>
          <c:dPt>
            <c:idx val="8"/>
            <c:bubble3D val="0"/>
            <c:spPr>
              <a:solidFill>
                <a:srgbClr val="5F7530"/>
              </a:solidFill>
              <a:ln w="25400">
                <a:noFill/>
              </a:ln>
            </c:spPr>
          </c:dPt>
          <c:dPt>
            <c:idx val="9"/>
            <c:bubble3D val="0"/>
            <c:spPr>
              <a:solidFill>
                <a:srgbClr val="4D3B62"/>
              </a:solidFill>
              <a:ln w="25400">
                <a:noFill/>
              </a:ln>
            </c:spPr>
          </c:dPt>
          <c:dPt>
            <c:idx val="10"/>
            <c:bubble3D val="0"/>
            <c:spPr>
              <a:solidFill>
                <a:srgbClr val="276A7C"/>
              </a:solidFill>
              <a:ln w="25400">
                <a:noFill/>
              </a:ln>
            </c:spPr>
          </c:dPt>
          <c:dLbls>
            <c:dLbl>
              <c:idx val="10"/>
              <c:layout>
                <c:manualLayout>
                  <c:x val="-0.00271977727808116"/>
                  <c:y val="-0.0043010752688172"/>
                </c:manualLayout>
              </c:layout>
              <c:dLblPos val="bestFit"/>
              <c:showLegendKey val="0"/>
              <c:showVal val="1"/>
              <c:showCatName val="0"/>
              <c:showSerName val="0"/>
              <c:showPercent val="0"/>
              <c:showBubbleSize val="0"/>
              <c:extLst>
                <c:ext xmlns:c15="http://schemas.microsoft.com/office/drawing/2012/chart" uri="{CE6537A1-D6FC-4f65-9D91-7224C49458BB}"/>
              </c:extLst>
            </c:dLbl>
            <c:numFmt formatCode="[h]:mm" sourceLinked="0"/>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1"/>
            <c:leaderLines>
              <c:spPr>
                <a:ln w="3175">
                  <a:solidFill>
                    <a:srgbClr val="969696"/>
                  </a:solidFill>
                  <a:prstDash val="solid"/>
                </a:ln>
              </c:spPr>
            </c:leaderLines>
            <c:extLst>
              <c:ext xmlns:c15="http://schemas.microsoft.com/office/drawing/2012/chart" uri="{CE6537A1-D6FC-4f65-9D91-7224C49458BB}"/>
            </c:extLst>
          </c:dLbls>
          <c:cat>
            <c:strRef>
              <c:f>Gra!$Z$40:$Z$50</c:f>
              <c:strCache>
                <c:ptCount val="11"/>
                <c:pt idx="10">
                  <c:v>Outros</c:v>
                </c:pt>
              </c:strCache>
            </c:strRef>
          </c:cat>
          <c:val>
            <c:numRef>
              <c:f>Gra!$Y$40:$Y$50</c:f>
              <c:numCache>
                <c:formatCode>[h]:mm</c:formatCode>
                <c:ptCount val="11"/>
                <c:pt idx="0">
                  <c:v>5.937499999999998</c:v>
                </c:pt>
                <c:pt idx="1">
                  <c:v>0.0</c:v>
                </c:pt>
                <c:pt idx="2">
                  <c:v>0.0</c:v>
                </c:pt>
                <c:pt idx="3">
                  <c:v>0.0</c:v>
                </c:pt>
                <c:pt idx="4">
                  <c:v>0.0</c:v>
                </c:pt>
                <c:pt idx="5">
                  <c:v>0.0</c:v>
                </c:pt>
                <c:pt idx="6">
                  <c:v>0.0</c:v>
                </c:pt>
                <c:pt idx="7">
                  <c:v>0.0</c:v>
                </c:pt>
                <c:pt idx="8">
                  <c:v>0.0</c:v>
                </c:pt>
                <c:pt idx="9">
                  <c:v>0.0</c:v>
                </c:pt>
                <c:pt idx="10">
                  <c:v>0.0</c:v>
                </c:pt>
              </c:numCache>
            </c:numRef>
          </c:val>
        </c:ser>
        <c:dLbls>
          <c:showLegendKey val="0"/>
          <c:showVal val="0"/>
          <c:showCatName val="0"/>
          <c:showSerName val="0"/>
          <c:showPercent val="0"/>
          <c:showBubbleSize val="0"/>
          <c:showLeaderLines val="1"/>
        </c:dLbls>
        <c:firstSliceAng val="0"/>
      </c:pieChart>
      <c:spPr>
        <a:solidFill>
          <a:srgbClr val="EAEAEA"/>
        </a:solidFill>
        <a:ln w="25400">
          <a:noFill/>
        </a:ln>
      </c:spPr>
    </c:plotArea>
    <c:legend>
      <c:legendPos val="r"/>
      <c:layout>
        <c:manualLayout>
          <c:xMode val="edge"/>
          <c:yMode val="edge"/>
          <c:x val="0.763371851245867"/>
          <c:y val="0.107299854685546"/>
          <c:w val="0.228001386190363"/>
          <c:h val="0.798310634990369"/>
        </c:manualLayout>
      </c:layout>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zero"/>
    <c:showDLblsOverMax val="0"/>
  </c:chart>
  <c:spPr>
    <a:solidFill>
      <a:srgbClr val="EAEAEA"/>
    </a:solidFill>
    <a:ln w="3175">
      <a:solidFill>
        <a:srgbClr val="C0C0C0"/>
      </a:solidFill>
      <a:prstDash val="solid"/>
    </a:ln>
  </c:spPr>
  <c:txPr>
    <a:bodyPr/>
    <a:lstStyle/>
    <a:p>
      <a:pPr>
        <a:defRPr/>
      </a:pPr>
      <a:endParaRPr lang="pt-BR"/>
    </a:p>
  </c:txPr>
  <c:printSettings>
    <c:headerFooter/>
    <c:pageMargins b="0.787401575" l="0.511811024" r="0.511811024" t="0.787401575" header="0.31496062" footer="0.31496062"/>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GrÁrea!$W$37</c:f>
              <c:strCache>
                <c:ptCount val="1"/>
                <c:pt idx="0">
                  <c:v>Horas extras por tipo</c:v>
                </c:pt>
              </c:strCache>
            </c:strRef>
          </c:tx>
          <c:spPr>
            <a:solidFill>
              <a:srgbClr val="4F81BD"/>
            </a:solidFill>
            <a:ln w="25400">
              <a:noFill/>
            </a:ln>
          </c:spPr>
          <c:invertIfNegative val="0"/>
          <c:dLbls>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GrÁrea!$AB$37:$AL$37</c:f>
              <c:strCache>
                <c:ptCount val="11"/>
                <c:pt idx="0">
                  <c:v>Horas Extras às Segundas</c:v>
                </c:pt>
                <c:pt idx="1">
                  <c:v>Horas Extras às Terças</c:v>
                </c:pt>
                <c:pt idx="2">
                  <c:v>Horas Extras às Quartas</c:v>
                </c:pt>
                <c:pt idx="3">
                  <c:v>Horas Extras às Quintas</c:v>
                </c:pt>
                <c:pt idx="4">
                  <c:v>Horas Extras às Sextas</c:v>
                </c:pt>
                <c:pt idx="5">
                  <c:v>Horas Extras aos Sábados</c:v>
                </c:pt>
                <c:pt idx="6">
                  <c:v>Horas Extras aos Domingos</c:v>
                </c:pt>
                <c:pt idx="7">
                  <c:v>Horas Extras nos Feriados</c:v>
                </c:pt>
                <c:pt idx="8">
                  <c:v>Horas Extras no DSR (Descanso Semanal Remunerado)</c:v>
                </c:pt>
                <c:pt idx="9">
                  <c:v>Horas Extras na Interjornada</c:v>
                </c:pt>
                <c:pt idx="10">
                  <c:v>Horas Extras na Intrajornada</c:v>
                </c:pt>
              </c:strCache>
            </c:strRef>
          </c:cat>
          <c:val>
            <c:numRef>
              <c:f>GrÁrea!$AB$38:$AL$38</c:f>
              <c:numCache>
                <c:formatCode>[h]:mm</c:formatCode>
                <c:ptCount val="11"/>
                <c:pt idx="0">
                  <c:v>1.388888888888888</c:v>
                </c:pt>
                <c:pt idx="1">
                  <c:v>1.451388888888888</c:v>
                </c:pt>
                <c:pt idx="2">
                  <c:v>0.875</c:v>
                </c:pt>
                <c:pt idx="3">
                  <c:v>0.0</c:v>
                </c:pt>
                <c:pt idx="4">
                  <c:v>0.0</c:v>
                </c:pt>
                <c:pt idx="5">
                  <c:v>0.833333333333333</c:v>
                </c:pt>
                <c:pt idx="6">
                  <c:v>1.388888888888888</c:v>
                </c:pt>
                <c:pt idx="7">
                  <c:v>0.0</c:v>
                </c:pt>
                <c:pt idx="8">
                  <c:v>0.0</c:v>
                </c:pt>
                <c:pt idx="9">
                  <c:v>0.0</c:v>
                </c:pt>
                <c:pt idx="10">
                  <c:v>0.0</c:v>
                </c:pt>
              </c:numCache>
            </c:numRef>
          </c:val>
        </c:ser>
        <c:dLbls>
          <c:showLegendKey val="0"/>
          <c:showVal val="0"/>
          <c:showCatName val="0"/>
          <c:showSerName val="0"/>
          <c:showPercent val="0"/>
          <c:showBubbleSize val="0"/>
        </c:dLbls>
        <c:gapWidth val="150"/>
        <c:axId val="1191653424"/>
        <c:axId val="1191655472"/>
      </c:barChart>
      <c:catAx>
        <c:axId val="1191653424"/>
        <c:scaling>
          <c:orientation val="minMax"/>
        </c:scaling>
        <c:delete val="0"/>
        <c:axPos val="b"/>
        <c:numFmt formatCode="General" sourceLinked="1"/>
        <c:majorTickMark val="none"/>
        <c:minorTickMark val="none"/>
        <c:tickLblPos val="nextTo"/>
        <c:spPr>
          <a:ln w="3175">
            <a:solidFill>
              <a:srgbClr val="C0C0C0"/>
            </a:solidFill>
            <a:prstDash val="solid"/>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91655472"/>
        <c:crosses val="autoZero"/>
        <c:auto val="1"/>
        <c:lblAlgn val="ctr"/>
        <c:lblOffset val="100"/>
        <c:noMultiLvlLbl val="0"/>
      </c:catAx>
      <c:valAx>
        <c:axId val="1191655472"/>
        <c:scaling>
          <c:orientation val="minMax"/>
        </c:scaling>
        <c:delete val="1"/>
        <c:axPos val="l"/>
        <c:numFmt formatCode="[h]:mm" sourceLinked="1"/>
        <c:majorTickMark val="out"/>
        <c:minorTickMark val="none"/>
        <c:tickLblPos val="none"/>
        <c:crossAx val="1191653424"/>
        <c:crosses val="autoZero"/>
        <c:crossBetween val="between"/>
      </c:valAx>
      <c:spPr>
        <a:solidFill>
          <a:srgbClr val="EAEAEA"/>
        </a:solidFill>
        <a:ln w="25400">
          <a:noFill/>
        </a:ln>
      </c:spPr>
    </c:plotArea>
    <c:plotVisOnly val="1"/>
    <c:dispBlanksAs val="gap"/>
    <c:showDLblsOverMax val="0"/>
  </c:chart>
  <c:spPr>
    <a:noFill/>
    <a:ln w="3175">
      <a:solidFill>
        <a:srgbClr val="C0C0C0"/>
      </a:solidFill>
      <a:prstDash val="solid"/>
    </a:ln>
  </c:spPr>
  <c:txPr>
    <a:bodyPr/>
    <a:lstStyle/>
    <a:p>
      <a:pPr>
        <a:defRPr/>
      </a:pPr>
      <a:endParaRPr lang="pt-BR"/>
    </a:p>
  </c:txPr>
  <c:printSettings>
    <c:headerFooter/>
    <c:pageMargins b="0.787401575" l="0.511811024" r="0.511811024" t="0.787401575" header="0.31496062" footer="0.31496062"/>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GrÁrea!$AO$37</c:f>
              <c:strCache>
                <c:ptCount val="1"/>
                <c:pt idx="0">
                  <c:v>Total de Horas Extras a Pagar</c:v>
                </c:pt>
              </c:strCache>
            </c:strRef>
          </c:tx>
          <c:spPr>
            <a:solidFill>
              <a:srgbClr val="4F81BD"/>
            </a:solidFill>
            <a:ln w="25400">
              <a:noFill/>
            </a:ln>
          </c:spPr>
          <c:invertIfNegative val="0"/>
          <c:dLbls>
            <c:dLbl>
              <c:idx val="10"/>
              <c:layout>
                <c:manualLayout>
                  <c:x val="-0.00271977727808116"/>
                  <c:y val="-0.0043010752688172"/>
                </c:manualLayout>
              </c:layout>
              <c:dLblPos val="outEnd"/>
              <c:showLegendKey val="0"/>
              <c:showVal val="1"/>
              <c:showCatName val="0"/>
              <c:showSerName val="0"/>
              <c:showPercent val="0"/>
              <c:showBubbleSize val="0"/>
              <c:extLst>
                <c:ext xmlns:c15="http://schemas.microsoft.com/office/drawing/2012/chart" uri="{CE6537A1-D6FC-4f65-9D91-7224C49458BB}"/>
              </c:extLst>
            </c:dLbl>
            <c:numFmt formatCode="\R\$\ #,##0.00" sourceLinked="0"/>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GrÁrea!$AO$40:$AO$48</c:f>
              <c:numCache>
                <c:formatCode>"R$"\ #,##0.00</c:formatCode>
                <c:ptCount val="9"/>
                <c:pt idx="0">
                  <c:v>0.0</c:v>
                </c:pt>
                <c:pt idx="1">
                  <c:v>0.0</c:v>
                </c:pt>
                <c:pt idx="2">
                  <c:v>0.0</c:v>
                </c:pt>
                <c:pt idx="3">
                  <c:v>0.0</c:v>
                </c:pt>
                <c:pt idx="4">
                  <c:v>0.0</c:v>
                </c:pt>
                <c:pt idx="5">
                  <c:v>0.0</c:v>
                </c:pt>
                <c:pt idx="6">
                  <c:v>0.0</c:v>
                </c:pt>
                <c:pt idx="7">
                  <c:v>0.0</c:v>
                </c:pt>
                <c:pt idx="8">
                  <c:v>0.0</c:v>
                </c:pt>
              </c:numCache>
            </c:numRef>
          </c:val>
          <c:extLst>
            <c:ext xmlns:c15="http://schemas.microsoft.com/office/drawing/2012/chart" uri="{02D57815-91ED-43cb-92C2-25804820EDAC}">
              <c15:filteredCategoryTitle>
                <c15:cat>
                  <c:strRef>
                    <c:extLst>
                      <c:ext uri="{02D57815-91ED-43cb-92C2-25804820EDAC}">
                        <c15:formulaRef>
                          <c15:sqref>GrÁrea!$AP$40:$AP$48</c15:sqref>
                        </c15:formulaRef>
                      </c:ext>
                    </c:extLst>
                  </c:strRef>
                </c15:cat>
              </c15:filteredCategoryTitle>
            </c:ext>
          </c:extLst>
        </c:ser>
        <c:dLbls>
          <c:showLegendKey val="0"/>
          <c:showVal val="0"/>
          <c:showCatName val="0"/>
          <c:showSerName val="0"/>
          <c:showPercent val="0"/>
          <c:showBubbleSize val="0"/>
        </c:dLbls>
        <c:gapWidth val="150"/>
        <c:axId val="1192613568"/>
        <c:axId val="1191332064"/>
      </c:barChart>
      <c:catAx>
        <c:axId val="1192613568"/>
        <c:scaling>
          <c:orientation val="minMax"/>
        </c:scaling>
        <c:delete val="0"/>
        <c:axPos val="b"/>
        <c:numFmt formatCode="General" sourceLinked="1"/>
        <c:majorTickMark val="none"/>
        <c:minorTickMark val="none"/>
        <c:tickLblPos val="nextTo"/>
        <c:spPr>
          <a:ln w="3175">
            <a:solidFill>
              <a:srgbClr val="C0C0C0"/>
            </a:solidFill>
            <a:prstDash val="solid"/>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91332064"/>
        <c:crosses val="autoZero"/>
        <c:auto val="1"/>
        <c:lblAlgn val="ctr"/>
        <c:lblOffset val="100"/>
        <c:noMultiLvlLbl val="0"/>
      </c:catAx>
      <c:valAx>
        <c:axId val="1191332064"/>
        <c:scaling>
          <c:orientation val="minMax"/>
        </c:scaling>
        <c:delete val="1"/>
        <c:axPos val="l"/>
        <c:numFmt formatCode="&quot;R$&quot;\ #,##0.00" sourceLinked="1"/>
        <c:majorTickMark val="out"/>
        <c:minorTickMark val="none"/>
        <c:tickLblPos val="none"/>
        <c:crossAx val="1192613568"/>
        <c:crosses val="autoZero"/>
        <c:crossBetween val="between"/>
      </c:valAx>
      <c:spPr>
        <a:solidFill>
          <a:srgbClr val="EAEAEA"/>
        </a:solidFill>
        <a:ln w="25400">
          <a:noFill/>
        </a:ln>
      </c:spPr>
    </c:plotArea>
    <c:plotVisOnly val="1"/>
    <c:dispBlanksAs val="gap"/>
    <c:showDLblsOverMax val="0"/>
  </c:chart>
  <c:spPr>
    <a:noFill/>
    <a:ln w="3175">
      <a:solidFill>
        <a:srgbClr val="C0C0C0"/>
      </a:solidFill>
      <a:prstDash val="solid"/>
    </a:ln>
  </c:spPr>
  <c:txPr>
    <a:bodyPr/>
    <a:lstStyle/>
    <a:p>
      <a:pPr>
        <a:defRPr/>
      </a:pPr>
      <a:endParaRPr lang="pt-BR"/>
    </a:p>
  </c:txPr>
  <c:printSettings>
    <c:headerFooter/>
    <c:pageMargins b="0.787401575" l="0.511811024" r="0.511811024" t="0.787401575" header="0.31496062" footer="0.31496062"/>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rgbClr val="4F81BD"/>
            </a:solidFill>
            <a:ln w="25400">
              <a:noFill/>
            </a:ln>
          </c:spPr>
          <c:dPt>
            <c:idx val="1"/>
            <c:bubble3D val="0"/>
            <c:spPr>
              <a:solidFill>
                <a:srgbClr val="C0504D"/>
              </a:solidFill>
              <a:ln w="25400">
                <a:noFill/>
              </a:ln>
            </c:spPr>
          </c:dPt>
          <c:dPt>
            <c:idx val="2"/>
            <c:bubble3D val="0"/>
            <c:spPr>
              <a:solidFill>
                <a:srgbClr val="9BBB59"/>
              </a:solidFill>
              <a:ln w="25400">
                <a:noFill/>
              </a:ln>
            </c:spPr>
          </c:dPt>
          <c:dPt>
            <c:idx val="3"/>
            <c:bubble3D val="0"/>
            <c:spPr>
              <a:solidFill>
                <a:srgbClr val="8064A2"/>
              </a:solidFill>
              <a:ln w="25400">
                <a:noFill/>
              </a:ln>
            </c:spPr>
          </c:dPt>
          <c:dPt>
            <c:idx val="4"/>
            <c:bubble3D val="0"/>
            <c:spPr>
              <a:solidFill>
                <a:srgbClr val="4BACC6"/>
              </a:solidFill>
              <a:ln w="25400">
                <a:noFill/>
              </a:ln>
            </c:spPr>
          </c:dPt>
          <c:dPt>
            <c:idx val="5"/>
            <c:bubble3D val="0"/>
            <c:spPr>
              <a:solidFill>
                <a:srgbClr val="F79646"/>
              </a:solidFill>
              <a:ln w="25400">
                <a:noFill/>
              </a:ln>
            </c:spPr>
          </c:dPt>
          <c:dPt>
            <c:idx val="6"/>
            <c:bubble3D val="0"/>
            <c:spPr>
              <a:solidFill>
                <a:srgbClr val="2C4D75"/>
              </a:solidFill>
              <a:ln w="25400">
                <a:noFill/>
              </a:ln>
            </c:spPr>
          </c:dPt>
          <c:dPt>
            <c:idx val="7"/>
            <c:bubble3D val="0"/>
            <c:spPr>
              <a:solidFill>
                <a:srgbClr val="772C2A"/>
              </a:solidFill>
              <a:ln w="25400">
                <a:noFill/>
              </a:ln>
            </c:spPr>
          </c:dPt>
          <c:dPt>
            <c:idx val="8"/>
            <c:bubble3D val="0"/>
            <c:spPr>
              <a:solidFill>
                <a:srgbClr val="5F7530"/>
              </a:solidFill>
              <a:ln w="25400">
                <a:noFill/>
              </a:ln>
            </c:spPr>
          </c:dPt>
          <c:dLbls>
            <c:numFmt formatCode="[h]:mm" sourceLinked="0"/>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1"/>
            <c:leaderLines>
              <c:spPr>
                <a:ln w="3175">
                  <a:solidFill>
                    <a:srgbClr val="969696"/>
                  </a:solidFill>
                  <a:prstDash val="solid"/>
                </a:ln>
              </c:spPr>
            </c:leaderLines>
            <c:extLst>
              <c:ext xmlns:c15="http://schemas.microsoft.com/office/drawing/2012/chart" uri="{CE6537A1-D6FC-4f65-9D91-7224C49458BB}"/>
            </c:extLst>
          </c:dLbls>
          <c:val>
            <c:numRef>
              <c:f>GrÁrea!$Y$40:$Y$48</c:f>
              <c:numCache>
                <c:formatCode>[h]:mm</c:formatCode>
                <c:ptCount val="9"/>
                <c:pt idx="0">
                  <c:v>5.937499999999998</c:v>
                </c:pt>
                <c:pt idx="1">
                  <c:v>5.937499999999998</c:v>
                </c:pt>
                <c:pt idx="2">
                  <c:v>5.937499999999998</c:v>
                </c:pt>
                <c:pt idx="3">
                  <c:v>5.937499999999998</c:v>
                </c:pt>
                <c:pt idx="4">
                  <c:v>5.937499999999998</c:v>
                </c:pt>
                <c:pt idx="5">
                  <c:v>5.937499999999998</c:v>
                </c:pt>
                <c:pt idx="6">
                  <c:v>5.937499999999998</c:v>
                </c:pt>
                <c:pt idx="7">
                  <c:v>5.937499999999998</c:v>
                </c:pt>
                <c:pt idx="8">
                  <c:v>5.937499999999998</c:v>
                </c:pt>
              </c:numCache>
            </c:numRef>
          </c:val>
          <c:extLst>
            <c:ext xmlns:c15="http://schemas.microsoft.com/office/drawing/2012/chart" uri="{02D57815-91ED-43cb-92C2-25804820EDAC}">
              <c15:filteredCategoryTitle>
                <c15:cat>
                  <c:strRef>
                    <c:extLst>
                      <c:ext uri="{02D57815-91ED-43cb-92C2-25804820EDAC}">
                        <c15:formulaRef>
                          <c15:sqref>GrÁrea!$Z$40:$Z$48</c15:sqref>
                        </c15:formulaRef>
                      </c:ext>
                    </c:extLst>
                  </c:strRef>
                </c15:cat>
              </c15:filteredCategoryTitle>
            </c:ext>
          </c:extLst>
        </c:ser>
        <c:dLbls>
          <c:showLegendKey val="0"/>
          <c:showVal val="0"/>
          <c:showCatName val="0"/>
          <c:showSerName val="0"/>
          <c:showPercent val="0"/>
          <c:showBubbleSize val="0"/>
          <c:showLeaderLines val="1"/>
        </c:dLbls>
        <c:firstSliceAng val="0"/>
      </c:pieChart>
      <c:spPr>
        <a:solidFill>
          <a:srgbClr val="EAEAEA"/>
        </a:solidFill>
        <a:ln w="25400">
          <a:noFill/>
        </a:ln>
      </c:spPr>
    </c:plotArea>
    <c:legend>
      <c:legendPos val="r"/>
      <c:layout>
        <c:manualLayout>
          <c:xMode val="edge"/>
          <c:yMode val="edge"/>
          <c:x val="0.875929486086966"/>
          <c:y val="0.180263593660235"/>
          <c:w val="0.116886752792265"/>
          <c:h val="0.652382819100402"/>
        </c:manualLayout>
      </c:layout>
      <c:overlay val="0"/>
      <c:spPr>
        <a:noFill/>
        <a:ln w="25400">
          <a:noFill/>
        </a:ln>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zero"/>
    <c:showDLblsOverMax val="0"/>
  </c:chart>
  <c:spPr>
    <a:solidFill>
      <a:srgbClr val="EAEAEA"/>
    </a:solidFill>
    <a:ln w="3175">
      <a:solidFill>
        <a:srgbClr val="C0C0C0"/>
      </a:solidFill>
      <a:prstDash val="solid"/>
    </a:ln>
  </c:spPr>
  <c:txPr>
    <a:bodyPr/>
    <a:lstStyle/>
    <a:p>
      <a:pPr>
        <a:defRPr/>
      </a:pPr>
      <a:endParaRPr lang="pt-BR"/>
    </a:p>
  </c:txPr>
  <c:printSettings>
    <c:headerFooter/>
    <c:pageMargins b="0.787401575" l="0.511811024" r="0.511811024" t="0.787401575" header="0.31496062" footer="0.31496062"/>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Gra!$AO$37</c:f>
              <c:strCache>
                <c:ptCount val="1"/>
                <c:pt idx="0">
                  <c:v>Total de Horas Extras a Pagar</c:v>
                </c:pt>
              </c:strCache>
            </c:strRef>
          </c:tx>
          <c:spPr>
            <a:solidFill>
              <a:srgbClr val="4F81BD"/>
            </a:solidFill>
            <a:ln w="25400">
              <a:noFill/>
            </a:ln>
          </c:spPr>
          <c:invertIfNegative val="0"/>
          <c:dLbls>
            <c:dLbl>
              <c:idx val="10"/>
              <c:layout>
                <c:manualLayout>
                  <c:x val="-0.00271977727808116"/>
                  <c:y val="-0.0043010752688172"/>
                </c:manualLayout>
              </c:layout>
              <c:dLblPos val="outEnd"/>
              <c:showLegendKey val="0"/>
              <c:showVal val="1"/>
              <c:showCatName val="0"/>
              <c:showSerName val="0"/>
              <c:showPercent val="0"/>
              <c:showBubbleSize val="0"/>
              <c:extLst>
                <c:ext xmlns:c15="http://schemas.microsoft.com/office/drawing/2012/chart" uri="{CE6537A1-D6FC-4f65-9D91-7224C49458BB}"/>
              </c:extLst>
            </c:dLbl>
            <c:numFmt formatCode="\R\$\ #,##0.00" sourceLinked="0"/>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Gra!$AP$40:$AP$50</c:f>
              <c:strCache>
                <c:ptCount val="11"/>
                <c:pt idx="10">
                  <c:v>Outros</c:v>
                </c:pt>
              </c:strCache>
            </c:strRef>
          </c:cat>
          <c:val>
            <c:numRef>
              <c:f>Gra!$AO$40:$AO$50</c:f>
              <c:numCache>
                <c:formatCode>"R$"\ #,##0.00</c:formatCode>
                <c:ptCount val="11"/>
                <c:pt idx="0">
                  <c:v>0.0</c:v>
                </c:pt>
                <c:pt idx="1">
                  <c:v>0.0</c:v>
                </c:pt>
                <c:pt idx="2">
                  <c:v>0.0</c:v>
                </c:pt>
                <c:pt idx="3">
                  <c:v>0.0</c:v>
                </c:pt>
                <c:pt idx="4">
                  <c:v>0.0</c:v>
                </c:pt>
                <c:pt idx="5">
                  <c:v>0.0</c:v>
                </c:pt>
                <c:pt idx="6">
                  <c:v>0.0</c:v>
                </c:pt>
                <c:pt idx="7">
                  <c:v>0.0</c:v>
                </c:pt>
                <c:pt idx="8">
                  <c:v>0.0</c:v>
                </c:pt>
                <c:pt idx="9">
                  <c:v>0.0</c:v>
                </c:pt>
                <c:pt idx="10">
                  <c:v>0.0</c:v>
                </c:pt>
              </c:numCache>
            </c:numRef>
          </c:val>
        </c:ser>
        <c:dLbls>
          <c:showLegendKey val="0"/>
          <c:showVal val="0"/>
          <c:showCatName val="0"/>
          <c:showSerName val="0"/>
          <c:showPercent val="0"/>
          <c:showBubbleSize val="0"/>
        </c:dLbls>
        <c:gapWidth val="150"/>
        <c:axId val="1133474976"/>
        <c:axId val="1133467792"/>
      </c:barChart>
      <c:catAx>
        <c:axId val="1133474976"/>
        <c:scaling>
          <c:orientation val="minMax"/>
        </c:scaling>
        <c:delete val="0"/>
        <c:axPos val="b"/>
        <c:numFmt formatCode="General" sourceLinked="1"/>
        <c:majorTickMark val="none"/>
        <c:minorTickMark val="none"/>
        <c:tickLblPos val="nextTo"/>
        <c:spPr>
          <a:ln w="3175">
            <a:solidFill>
              <a:srgbClr val="C0C0C0"/>
            </a:solidFill>
            <a:prstDash val="solid"/>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33467792"/>
        <c:crosses val="autoZero"/>
        <c:auto val="1"/>
        <c:lblAlgn val="ctr"/>
        <c:lblOffset val="100"/>
        <c:noMultiLvlLbl val="0"/>
      </c:catAx>
      <c:valAx>
        <c:axId val="1133467792"/>
        <c:scaling>
          <c:orientation val="minMax"/>
        </c:scaling>
        <c:delete val="1"/>
        <c:axPos val="l"/>
        <c:numFmt formatCode="&quot;R$&quot;\ #,##0.00" sourceLinked="1"/>
        <c:majorTickMark val="out"/>
        <c:minorTickMark val="none"/>
        <c:tickLblPos val="none"/>
        <c:crossAx val="1133474976"/>
        <c:crosses val="autoZero"/>
        <c:crossBetween val="between"/>
      </c:valAx>
      <c:spPr>
        <a:solidFill>
          <a:srgbClr val="EAEAEA"/>
        </a:solidFill>
        <a:ln w="25400">
          <a:noFill/>
        </a:ln>
      </c:spPr>
    </c:plotArea>
    <c:plotVisOnly val="1"/>
    <c:dispBlanksAs val="gap"/>
    <c:showDLblsOverMax val="0"/>
  </c:chart>
  <c:spPr>
    <a:noFill/>
    <a:ln w="3175">
      <a:solidFill>
        <a:srgbClr val="C0C0C0"/>
      </a:solidFill>
      <a:prstDash val="solid"/>
    </a:ln>
  </c:spPr>
  <c:txPr>
    <a:bodyPr/>
    <a:lstStyle/>
    <a:p>
      <a:pPr>
        <a:defRPr/>
      </a:pPr>
      <a:endParaRPr lang="pt-BR"/>
    </a:p>
  </c:txPr>
  <c:printSettings>
    <c:headerFooter/>
    <c:pageMargins b="0.787401575" l="0.511811024" r="0.511811024" t="0.787401575" header="0.31496062" footer="0.31496062"/>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Gra!$Y$37</c:f>
              <c:strCache>
                <c:ptCount val="1"/>
                <c:pt idx="0">
                  <c:v>Horas extras</c:v>
                </c:pt>
              </c:strCache>
            </c:strRef>
          </c:tx>
          <c:spPr>
            <a:solidFill>
              <a:srgbClr val="4F81BD"/>
            </a:solidFill>
            <a:ln w="25400">
              <a:noFill/>
            </a:ln>
          </c:spPr>
          <c:dPt>
            <c:idx val="1"/>
            <c:bubble3D val="0"/>
            <c:spPr>
              <a:solidFill>
                <a:srgbClr val="C0504D"/>
              </a:solidFill>
              <a:ln w="25400">
                <a:noFill/>
              </a:ln>
            </c:spPr>
          </c:dPt>
          <c:dPt>
            <c:idx val="2"/>
            <c:bubble3D val="0"/>
            <c:spPr>
              <a:solidFill>
                <a:srgbClr val="9BBB59"/>
              </a:solidFill>
              <a:ln w="25400">
                <a:noFill/>
              </a:ln>
            </c:spPr>
          </c:dPt>
          <c:dPt>
            <c:idx val="3"/>
            <c:bubble3D val="0"/>
            <c:spPr>
              <a:solidFill>
                <a:srgbClr val="8064A2"/>
              </a:solidFill>
              <a:ln w="25400">
                <a:noFill/>
              </a:ln>
            </c:spPr>
          </c:dPt>
          <c:dPt>
            <c:idx val="4"/>
            <c:bubble3D val="0"/>
            <c:spPr>
              <a:solidFill>
                <a:srgbClr val="4BACC6"/>
              </a:solidFill>
              <a:ln w="25400">
                <a:noFill/>
              </a:ln>
            </c:spPr>
          </c:dPt>
          <c:dPt>
            <c:idx val="5"/>
            <c:bubble3D val="0"/>
            <c:spPr>
              <a:solidFill>
                <a:srgbClr val="F79646"/>
              </a:solidFill>
              <a:ln w="25400">
                <a:noFill/>
              </a:ln>
            </c:spPr>
          </c:dPt>
          <c:dPt>
            <c:idx val="6"/>
            <c:bubble3D val="0"/>
            <c:spPr>
              <a:solidFill>
                <a:srgbClr val="2C4D75"/>
              </a:solidFill>
              <a:ln w="25400">
                <a:noFill/>
              </a:ln>
            </c:spPr>
          </c:dPt>
          <c:dPt>
            <c:idx val="7"/>
            <c:bubble3D val="0"/>
            <c:spPr>
              <a:solidFill>
                <a:srgbClr val="772C2A"/>
              </a:solidFill>
              <a:ln w="25400">
                <a:noFill/>
              </a:ln>
            </c:spPr>
          </c:dPt>
          <c:dPt>
            <c:idx val="8"/>
            <c:bubble3D val="0"/>
            <c:spPr>
              <a:solidFill>
                <a:srgbClr val="5F7530"/>
              </a:solidFill>
              <a:ln w="25400">
                <a:noFill/>
              </a:ln>
            </c:spPr>
          </c:dPt>
          <c:dPt>
            <c:idx val="9"/>
            <c:bubble3D val="0"/>
            <c:spPr>
              <a:solidFill>
                <a:srgbClr val="4D3B62"/>
              </a:solidFill>
              <a:ln w="25400">
                <a:noFill/>
              </a:ln>
            </c:spPr>
          </c:dPt>
          <c:dPt>
            <c:idx val="10"/>
            <c:bubble3D val="0"/>
            <c:spPr>
              <a:solidFill>
                <a:srgbClr val="276A7C"/>
              </a:solidFill>
              <a:ln w="25400">
                <a:noFill/>
              </a:ln>
            </c:spPr>
          </c:dPt>
          <c:dLbls>
            <c:dLbl>
              <c:idx val="10"/>
              <c:layout>
                <c:manualLayout>
                  <c:x val="-0.00271977727808116"/>
                  <c:y val="-0.0043010752688172"/>
                </c:manualLayout>
              </c:layout>
              <c:dLblPos val="bestFit"/>
              <c:showLegendKey val="0"/>
              <c:showVal val="1"/>
              <c:showCatName val="0"/>
              <c:showSerName val="0"/>
              <c:showPercent val="0"/>
              <c:showBubbleSize val="0"/>
              <c:extLst>
                <c:ext xmlns:c15="http://schemas.microsoft.com/office/drawing/2012/chart" uri="{CE6537A1-D6FC-4f65-9D91-7224C49458BB}"/>
              </c:extLst>
            </c:dLbl>
            <c:numFmt formatCode="[h]:mm" sourceLinked="0"/>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1"/>
            <c:leaderLines>
              <c:spPr>
                <a:ln w="3175">
                  <a:solidFill>
                    <a:srgbClr val="969696"/>
                  </a:solidFill>
                  <a:prstDash val="solid"/>
                </a:ln>
              </c:spPr>
            </c:leaderLines>
            <c:extLst>
              <c:ext xmlns:c15="http://schemas.microsoft.com/office/drawing/2012/chart" uri="{CE6537A1-D6FC-4f65-9D91-7224C49458BB}"/>
            </c:extLst>
          </c:dLbls>
          <c:cat>
            <c:strRef>
              <c:f>Gra!$Z$40:$Z$50</c:f>
              <c:strCache>
                <c:ptCount val="11"/>
                <c:pt idx="10">
                  <c:v>Outros</c:v>
                </c:pt>
              </c:strCache>
            </c:strRef>
          </c:cat>
          <c:val>
            <c:numRef>
              <c:f>Gra!$Y$40:$Y$50</c:f>
              <c:numCache>
                <c:formatCode>[h]:mm</c:formatCode>
                <c:ptCount val="11"/>
                <c:pt idx="0">
                  <c:v>5.937499999999998</c:v>
                </c:pt>
                <c:pt idx="1">
                  <c:v>0.0</c:v>
                </c:pt>
                <c:pt idx="2">
                  <c:v>0.0</c:v>
                </c:pt>
                <c:pt idx="3">
                  <c:v>0.0</c:v>
                </c:pt>
                <c:pt idx="4">
                  <c:v>0.0</c:v>
                </c:pt>
                <c:pt idx="5">
                  <c:v>0.0</c:v>
                </c:pt>
                <c:pt idx="6">
                  <c:v>0.0</c:v>
                </c:pt>
                <c:pt idx="7">
                  <c:v>0.0</c:v>
                </c:pt>
                <c:pt idx="8">
                  <c:v>0.0</c:v>
                </c:pt>
                <c:pt idx="9">
                  <c:v>0.0</c:v>
                </c:pt>
                <c:pt idx="10">
                  <c:v>0.0</c:v>
                </c:pt>
              </c:numCache>
            </c:numRef>
          </c:val>
        </c:ser>
        <c:dLbls>
          <c:showLegendKey val="0"/>
          <c:showVal val="0"/>
          <c:showCatName val="0"/>
          <c:showSerName val="0"/>
          <c:showPercent val="0"/>
          <c:showBubbleSize val="0"/>
          <c:showLeaderLines val="1"/>
        </c:dLbls>
        <c:firstSliceAng val="0"/>
      </c:pieChart>
      <c:spPr>
        <a:solidFill>
          <a:srgbClr val="EAEAEA"/>
        </a:solidFill>
        <a:ln w="25400">
          <a:noFill/>
        </a:ln>
      </c:spPr>
    </c:plotArea>
    <c:legend>
      <c:legendPos val="r"/>
      <c:layout>
        <c:manualLayout>
          <c:xMode val="edge"/>
          <c:yMode val="edge"/>
          <c:x val="0.791107778725111"/>
          <c:y val="0.107299854685546"/>
          <c:w val="0.201280204624103"/>
          <c:h val="0.798310634990369"/>
        </c:manualLayout>
      </c:layout>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zero"/>
    <c:showDLblsOverMax val="0"/>
  </c:chart>
  <c:spPr>
    <a:solidFill>
      <a:srgbClr val="EAEAEA"/>
    </a:solidFill>
    <a:ln w="3175">
      <a:solidFill>
        <a:srgbClr val="C0C0C0"/>
      </a:solidFill>
      <a:prstDash val="solid"/>
    </a:ln>
  </c:spPr>
  <c:txPr>
    <a:bodyPr/>
    <a:lstStyle/>
    <a:p>
      <a:pPr>
        <a:defRPr/>
      </a:pPr>
      <a:endParaRPr lang="pt-BR"/>
    </a:p>
  </c:txPr>
  <c:printSettings>
    <c:headerFooter/>
    <c:pageMargins b="0.787401575" l="0.511811024" r="0.511811024" t="0.787401575" header="0.31496062" footer="0.31496062"/>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Gra!$W$37</c:f>
              <c:strCache>
                <c:ptCount val="1"/>
                <c:pt idx="0">
                  <c:v>Horas extras por tipo</c:v>
                </c:pt>
              </c:strCache>
            </c:strRef>
          </c:tx>
          <c:spPr>
            <a:solidFill>
              <a:srgbClr val="4F81BD"/>
            </a:solidFill>
            <a:ln w="25400">
              <a:noFill/>
            </a:ln>
          </c:spPr>
          <c:invertIfNegative val="0"/>
          <c:dLbls>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Gra!$AB$37:$AL$37</c:f>
              <c:strCache>
                <c:ptCount val="11"/>
                <c:pt idx="0">
                  <c:v>Horas Extras às Segundas</c:v>
                </c:pt>
                <c:pt idx="1">
                  <c:v>Horas Extras às Terças</c:v>
                </c:pt>
                <c:pt idx="2">
                  <c:v>Horas Extras às Quartas</c:v>
                </c:pt>
                <c:pt idx="3">
                  <c:v>Horas Extras às Quintas</c:v>
                </c:pt>
                <c:pt idx="4">
                  <c:v>Horas Extras às Sextas</c:v>
                </c:pt>
                <c:pt idx="5">
                  <c:v>Horas Extras aos Sábados</c:v>
                </c:pt>
                <c:pt idx="6">
                  <c:v>Horas Extras aos Domingos</c:v>
                </c:pt>
                <c:pt idx="7">
                  <c:v>Horas Extras nos Feriados</c:v>
                </c:pt>
                <c:pt idx="8">
                  <c:v>Horas Extras no DSR (Descanso Semanal Remunerado)</c:v>
                </c:pt>
                <c:pt idx="9">
                  <c:v>Horas Extras na Interjornada</c:v>
                </c:pt>
                <c:pt idx="10">
                  <c:v>Horas Extras na Intrajornada</c:v>
                </c:pt>
              </c:strCache>
            </c:strRef>
          </c:cat>
          <c:val>
            <c:numRef>
              <c:f>Gra!$AB$38:$AL$38</c:f>
              <c:numCache>
                <c:formatCode>[h]:mm</c:formatCode>
                <c:ptCount val="11"/>
                <c:pt idx="0">
                  <c:v>1.388888888888888</c:v>
                </c:pt>
                <c:pt idx="1">
                  <c:v>1.451388888888888</c:v>
                </c:pt>
                <c:pt idx="2">
                  <c:v>0.875</c:v>
                </c:pt>
                <c:pt idx="3">
                  <c:v>0.0</c:v>
                </c:pt>
                <c:pt idx="4">
                  <c:v>0.0</c:v>
                </c:pt>
                <c:pt idx="5">
                  <c:v>0.833333333333333</c:v>
                </c:pt>
                <c:pt idx="6">
                  <c:v>1.388888888888888</c:v>
                </c:pt>
                <c:pt idx="7">
                  <c:v>0.0</c:v>
                </c:pt>
                <c:pt idx="8">
                  <c:v>0.0</c:v>
                </c:pt>
                <c:pt idx="9">
                  <c:v>0.0</c:v>
                </c:pt>
                <c:pt idx="10">
                  <c:v>0.0</c:v>
                </c:pt>
              </c:numCache>
            </c:numRef>
          </c:val>
        </c:ser>
        <c:dLbls>
          <c:showLegendKey val="0"/>
          <c:showVal val="0"/>
          <c:showCatName val="0"/>
          <c:showSerName val="0"/>
          <c:showPercent val="0"/>
          <c:showBubbleSize val="0"/>
        </c:dLbls>
        <c:gapWidth val="150"/>
        <c:axId val="1133403888"/>
        <c:axId val="1133405520"/>
      </c:barChart>
      <c:catAx>
        <c:axId val="1133403888"/>
        <c:scaling>
          <c:orientation val="minMax"/>
        </c:scaling>
        <c:delete val="0"/>
        <c:axPos val="b"/>
        <c:numFmt formatCode="General" sourceLinked="1"/>
        <c:majorTickMark val="none"/>
        <c:minorTickMark val="none"/>
        <c:tickLblPos val="nextTo"/>
        <c:spPr>
          <a:ln w="3175">
            <a:solidFill>
              <a:srgbClr val="C0C0C0"/>
            </a:solidFill>
            <a:prstDash val="solid"/>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33405520"/>
        <c:crosses val="autoZero"/>
        <c:auto val="1"/>
        <c:lblAlgn val="ctr"/>
        <c:lblOffset val="100"/>
        <c:noMultiLvlLbl val="0"/>
      </c:catAx>
      <c:valAx>
        <c:axId val="1133405520"/>
        <c:scaling>
          <c:orientation val="minMax"/>
        </c:scaling>
        <c:delete val="1"/>
        <c:axPos val="l"/>
        <c:numFmt formatCode="[h]:mm" sourceLinked="1"/>
        <c:majorTickMark val="out"/>
        <c:minorTickMark val="none"/>
        <c:tickLblPos val="none"/>
        <c:crossAx val="1133403888"/>
        <c:crosses val="autoZero"/>
        <c:crossBetween val="between"/>
      </c:valAx>
      <c:spPr>
        <a:solidFill>
          <a:srgbClr val="EAEAEA"/>
        </a:solidFill>
        <a:ln w="25400">
          <a:noFill/>
        </a:ln>
      </c:spPr>
    </c:plotArea>
    <c:plotVisOnly val="1"/>
    <c:dispBlanksAs val="gap"/>
    <c:showDLblsOverMax val="0"/>
  </c:chart>
  <c:spPr>
    <a:noFill/>
    <a:ln w="3175">
      <a:solidFill>
        <a:srgbClr val="C0C0C0"/>
      </a:solidFill>
      <a:prstDash val="solid"/>
    </a:ln>
  </c:spPr>
  <c:txPr>
    <a:bodyPr/>
    <a:lstStyle/>
    <a:p>
      <a:pPr>
        <a:defRPr/>
      </a:pPr>
      <a:endParaRPr lang="pt-BR"/>
    </a:p>
  </c:txPr>
  <c:printSettings>
    <c:headerFooter/>
    <c:pageMargins b="0.787401575" l="0.511811024" r="0.511811024" t="0.787401575" header="0.31496062" footer="0.31496062"/>
    <c:pageSetup orientation="portrait"/>
  </c:printSettings>
</c:chartSpace>
</file>

<file path=xl/drawings/_rels/drawing1.xml.rels><?xml version="1.0" encoding="UTF-8" standalone="yes"?>
<Relationships xmlns="http://schemas.openxmlformats.org/package/2006/relationships"><Relationship Id="rId9" Type="http://schemas.openxmlformats.org/officeDocument/2006/relationships/hyperlink" Target="#Fol!B1"/><Relationship Id="rId20" Type="http://schemas.openxmlformats.org/officeDocument/2006/relationships/hyperlink" Target="https://www.youtube.com/watch?v=ztFdbH1Pgw0&amp;index=7&amp;list=PLWta3T-QZpj4-R-op1WZrPO6g7PH8D0Pd" TargetMode="External"/><Relationship Id="rId21" Type="http://schemas.openxmlformats.org/officeDocument/2006/relationships/hyperlink" Target="https://www.youtube.com/watch?v=rarwmX2bVqc&amp;index=8&amp;list=PLWta3T-QZpj4-R-op1WZrPO6g7PH8D0Pd" TargetMode="External"/><Relationship Id="rId10" Type="http://schemas.openxmlformats.org/officeDocument/2006/relationships/hyperlink" Target="#D&#250;vidas!B1"/><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WmnZzJBmIlE&amp;index=1&amp;list=PLWta3T-QZpj4-R-op1WZrPO6g7PH8D0Pd" TargetMode="External"/><Relationship Id="rId14" Type="http://schemas.openxmlformats.org/officeDocument/2006/relationships/image" Target="../media/image2.png"/><Relationship Id="rId15" Type="http://schemas.openxmlformats.org/officeDocument/2006/relationships/hyperlink" Target="https://www.youtube.com/watch?v=S9gxthf3Ftc&amp;index=2&amp;list=PLWta3T-QZpj4-R-op1WZrPO6g7PH8D0Pd" TargetMode="External"/><Relationship Id="rId16" Type="http://schemas.openxmlformats.org/officeDocument/2006/relationships/hyperlink" Target="https://www.youtube.com/watch?v=28_4Bn7QGYI&amp;list=PLWta3T-QZpj4-R-op1WZrPO6g7PH8D0Pd&amp;index=3" TargetMode="External"/><Relationship Id="rId17" Type="http://schemas.openxmlformats.org/officeDocument/2006/relationships/hyperlink" Target="https://www.youtube.com/watch?v=4lqnOkLkZyc&amp;list=PLWta3T-QZpj4-R-op1WZrPO6g7PH8D0Pd&amp;index=4" TargetMode="External"/><Relationship Id="rId18" Type="http://schemas.openxmlformats.org/officeDocument/2006/relationships/hyperlink" Target="https://www.youtube.com/watch?v=_XaynA4b2Ds&amp;list=PLWta3T-QZpj4-R-op1WZrPO6g7PH8D0Pd&amp;index=5" TargetMode="External"/><Relationship Id="rId19" Type="http://schemas.openxmlformats.org/officeDocument/2006/relationships/hyperlink" Target="https://www.youtube.com/watch?v=OMCMgJetSaI&amp;list=PLWta3T-QZpj4-R-op1WZrPO6g7PH8D0Pd&amp;index=6" TargetMode="External"/><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s>
</file>

<file path=xl/drawings/_rels/drawing2.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S9gxthf3Ftc&amp;index=2&amp;list=PLWta3T-QZpj4-R-op1WZrPO6g7PH8D0Pd" TargetMode="External"/><Relationship Id="rId14" Type="http://schemas.openxmlformats.org/officeDocument/2006/relationships/image" Target="../media/image2.png"/><Relationship Id="rId15" Type="http://schemas.openxmlformats.org/officeDocument/2006/relationships/hyperlink" Target="#'P Gerais'!A1"/><Relationship Id="rId16" Type="http://schemas.openxmlformats.org/officeDocument/2006/relationships/hyperlink" Target="#Departamentos!A1"/><Relationship Id="rId17" Type="http://schemas.openxmlformats.org/officeDocument/2006/relationships/hyperlink" Target="#Funcion&#225;rios!A1"/><Relationship Id="rId18" Type="http://schemas.openxmlformats.org/officeDocument/2006/relationships/hyperlink" Target="#Jornada!A1"/><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3.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S9gxthf3Ftc&amp;index=2&amp;list=PLWta3T-QZpj4-R-op1WZrPO6g7PH8D0Pd" TargetMode="External"/><Relationship Id="rId14" Type="http://schemas.openxmlformats.org/officeDocument/2006/relationships/image" Target="../media/image2.png"/><Relationship Id="rId15" Type="http://schemas.openxmlformats.org/officeDocument/2006/relationships/hyperlink" Target="#'P Gerais'!A1"/><Relationship Id="rId16" Type="http://schemas.openxmlformats.org/officeDocument/2006/relationships/hyperlink" Target="#Departamentos!A1"/><Relationship Id="rId17" Type="http://schemas.openxmlformats.org/officeDocument/2006/relationships/hyperlink" Target="#Funcion&#225;rios!A1"/><Relationship Id="rId18" Type="http://schemas.openxmlformats.org/officeDocument/2006/relationships/hyperlink" Target="#Jornada!A1"/><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4.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S9gxthf3Ftc&amp;index=2&amp;list=PLWta3T-QZpj4-R-op1WZrPO6g7PH8D0Pd" TargetMode="External"/><Relationship Id="rId14" Type="http://schemas.openxmlformats.org/officeDocument/2006/relationships/image" Target="../media/image2.png"/><Relationship Id="rId15" Type="http://schemas.openxmlformats.org/officeDocument/2006/relationships/hyperlink" Target="#'P Gerais'!A1"/><Relationship Id="rId16" Type="http://schemas.openxmlformats.org/officeDocument/2006/relationships/hyperlink" Target="#Departamentos!A1"/><Relationship Id="rId17" Type="http://schemas.openxmlformats.org/officeDocument/2006/relationships/hyperlink" Target="#Funcion&#225;rios!A1"/><Relationship Id="rId18" Type="http://schemas.openxmlformats.org/officeDocument/2006/relationships/hyperlink" Target="#Jornada!A1"/><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5.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S9gxthf3Ftc&amp;index=2&amp;list=PLWta3T-QZpj4-R-op1WZrPO6g7PH8D0Pd" TargetMode="External"/><Relationship Id="rId14" Type="http://schemas.openxmlformats.org/officeDocument/2006/relationships/image" Target="../media/image2.png"/><Relationship Id="rId15" Type="http://schemas.openxmlformats.org/officeDocument/2006/relationships/hyperlink" Target="#'P Gerais'!A1"/><Relationship Id="rId16" Type="http://schemas.openxmlformats.org/officeDocument/2006/relationships/hyperlink" Target="#Departamentos!A1"/><Relationship Id="rId17" Type="http://schemas.openxmlformats.org/officeDocument/2006/relationships/hyperlink" Target="#Funcion&#225;rios!A1"/><Relationship Id="rId18" Type="http://schemas.openxmlformats.org/officeDocument/2006/relationships/hyperlink" Target="#Jornada!A1"/><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6.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28_4Bn7QGYI&amp;list=PLWta3T-QZpj4-R-op1WZrPO6g7PH8D0Pd&amp;index=3"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7.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28_4Bn7QGYI&amp;list=PLWta3T-QZpj4-R-op1WZrPO6g7PH8D0Pd&amp;index=3"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8.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28_4Bn7QGYI&amp;list=PLWta3T-QZpj4-R-op1WZrPO6g7PH8D0Pd&amp;index=3"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9.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28_4Bn7QGYI&amp;list=PLWta3T-QZpj4-R-op1WZrPO6g7PH8D0Pd&amp;index=3"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10.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28_4Bn7QGYI&amp;list=PLWta3T-QZpj4-R-op1WZrPO6g7PH8D0Pd&amp;index=3"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11.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28_4Bn7QGYI&amp;list=PLWta3T-QZpj4-R-op1WZrPO6g7PH8D0Pd&amp;index=3"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12.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28_4Bn7QGYI&amp;list=PLWta3T-QZpj4-R-op1WZrPO6g7PH8D0Pd&amp;index=3"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13.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28_4Bn7QGYI&amp;list=PLWta3T-QZpj4-R-op1WZrPO6g7PH8D0Pd&amp;index=3"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14.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28_4Bn7QGYI&amp;list=PLWta3T-QZpj4-R-op1WZrPO6g7PH8D0Pd&amp;index=3"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15.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28_4Bn7QGYI&amp;list=PLWta3T-QZpj4-R-op1WZrPO6g7PH8D0Pd&amp;index=3"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16.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28_4Bn7QGYI&amp;list=PLWta3T-QZpj4-R-op1WZrPO6g7PH8D0Pd&amp;index=3"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17.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28_4Bn7QGYI&amp;list=PLWta3T-QZpj4-R-op1WZrPO6g7PH8D0Pd&amp;index=3"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18.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28_4Bn7QGYI&amp;list=PLWta3T-QZpj4-R-op1WZrPO6g7PH8D0Pd&amp;index=3"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19.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28_4Bn7QGYI&amp;list=PLWta3T-QZpj4-R-op1WZrPO6g7PH8D0Pd&amp;index=3"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20.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28_4Bn7QGYI&amp;list=PLWta3T-QZpj4-R-op1WZrPO6g7PH8D0Pd&amp;index=3"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21.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28_4Bn7QGYI&amp;list=PLWta3T-QZpj4-R-op1WZrPO6g7PH8D0Pd&amp;index=3"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22.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28_4Bn7QGYI&amp;list=PLWta3T-QZpj4-R-op1WZrPO6g7PH8D0Pd&amp;index=3"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23.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28_4Bn7QGYI&amp;list=PLWta3T-QZpj4-R-op1WZrPO6g7PH8D0Pd&amp;index=3"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24.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28_4Bn7QGYI&amp;list=PLWta3T-QZpj4-R-op1WZrPO6g7PH8D0Pd&amp;index=3"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25.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28_4Bn7QGYI&amp;list=PLWta3T-QZpj4-R-op1WZrPO6g7PH8D0Pd&amp;index=3"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26.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28_4Bn7QGYI&amp;list=PLWta3T-QZpj4-R-op1WZrPO6g7PH8D0Pd&amp;index=3"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27.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28_4Bn7QGYI&amp;list=PLWta3T-QZpj4-R-op1WZrPO6g7PH8D0Pd&amp;index=3"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28.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28_4Bn7QGYI&amp;list=PLWta3T-QZpj4-R-op1WZrPO6g7PH8D0Pd&amp;index=3"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29.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28_4Bn7QGYI&amp;list=PLWta3T-QZpj4-R-op1WZrPO6g7PH8D0Pd&amp;index=3"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30.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28_4Bn7QGYI&amp;list=PLWta3T-QZpj4-R-op1WZrPO6g7PH8D0Pd&amp;index=3"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31.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28_4Bn7QGYI&amp;list=PLWta3T-QZpj4-R-op1WZrPO6g7PH8D0Pd&amp;index=3"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32.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28_4Bn7QGYI&amp;list=PLWta3T-QZpj4-R-op1WZrPO6g7PH8D0Pd&amp;index=3"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33.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28_4Bn7QGYI&amp;list=PLWta3T-QZpj4-R-op1WZrPO6g7PH8D0Pd&amp;index=3"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34.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28_4Bn7QGYI&amp;list=PLWta3T-QZpj4-R-op1WZrPO6g7PH8D0Pd&amp;index=3"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35.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28_4Bn7QGYI&amp;list=PLWta3T-QZpj4-R-op1WZrPO6g7PH8D0Pd&amp;index=3"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36.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4lqnOkLkZyc&amp;list=PLWta3T-QZpj4-R-op1WZrPO6g7PH8D0Pd&amp;index=4" TargetMode="External"/><Relationship Id="rId14" Type="http://schemas.openxmlformats.org/officeDocument/2006/relationships/image" Target="../media/image2.png"/><Relationship Id="rId15" Type="http://schemas.openxmlformats.org/officeDocument/2006/relationships/hyperlink" Target="#Resul!A1"/><Relationship Id="rId16" Type="http://schemas.openxmlformats.org/officeDocument/2006/relationships/hyperlink" Target="#Geral!A1"/><Relationship Id="rId17" Type="http://schemas.openxmlformats.org/officeDocument/2006/relationships/hyperlink" Target="#Res&#193;rea!A1"/><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37.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4lqnOkLkZyc&amp;list=PLWta3T-QZpj4-R-op1WZrPO6g7PH8D0Pd&amp;index=4" TargetMode="External"/><Relationship Id="rId14" Type="http://schemas.openxmlformats.org/officeDocument/2006/relationships/image" Target="../media/image2.png"/><Relationship Id="rId15" Type="http://schemas.openxmlformats.org/officeDocument/2006/relationships/hyperlink" Target="#Resul!A1"/><Relationship Id="rId16" Type="http://schemas.openxmlformats.org/officeDocument/2006/relationships/hyperlink" Target="#Geral!A1"/><Relationship Id="rId17" Type="http://schemas.openxmlformats.org/officeDocument/2006/relationships/hyperlink" Target="#Res&#193;rea!A1"/><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38.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4lqnOkLkZyc&amp;list=PLWta3T-QZpj4-R-op1WZrPO6g7PH8D0Pd&amp;index=4" TargetMode="External"/><Relationship Id="rId14" Type="http://schemas.openxmlformats.org/officeDocument/2006/relationships/image" Target="../media/image2.png"/><Relationship Id="rId15" Type="http://schemas.openxmlformats.org/officeDocument/2006/relationships/hyperlink" Target="#Resul!A1"/><Relationship Id="rId16" Type="http://schemas.openxmlformats.org/officeDocument/2006/relationships/hyperlink" Target="#Geral!A1"/><Relationship Id="rId17" Type="http://schemas.openxmlformats.org/officeDocument/2006/relationships/hyperlink" Target="#Res&#193;rea!A1"/><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39.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chart" Target="../charts/chart1.xml"/><Relationship Id="rId14" Type="http://schemas.openxmlformats.org/officeDocument/2006/relationships/hyperlink" Target="https://www.youtube.com/watch?v=_XaynA4b2Ds&amp;index=5&amp;list=PLWta3T-QZpj4-R-op1WZrPO6g7PH8D0Pd" TargetMode="External"/><Relationship Id="rId15" Type="http://schemas.openxmlformats.org/officeDocument/2006/relationships/image" Target="../media/image2.png"/><Relationship Id="rId16" Type="http://schemas.openxmlformats.org/officeDocument/2006/relationships/chart" Target="../charts/chart2.xml"/><Relationship Id="rId17" Type="http://schemas.openxmlformats.org/officeDocument/2006/relationships/chart" Target="../charts/chart3.xml"/><Relationship Id="rId18" Type="http://schemas.openxmlformats.org/officeDocument/2006/relationships/hyperlink" Target="#Gra!A1"/><Relationship Id="rId19" Type="http://schemas.openxmlformats.org/officeDocument/2006/relationships/hyperlink" Target="#Gr&#193;rea!A1"/><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40.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chart" Target="../charts/chart4.xml"/><Relationship Id="rId14" Type="http://schemas.openxmlformats.org/officeDocument/2006/relationships/hyperlink" Target="https://www.youtube.com/watch?v=_XaynA4b2Ds&amp;index=5&amp;list=PLWta3T-QZpj4-R-op1WZrPO6g7PH8D0Pd" TargetMode="External"/><Relationship Id="rId15" Type="http://schemas.openxmlformats.org/officeDocument/2006/relationships/image" Target="../media/image2.png"/><Relationship Id="rId16" Type="http://schemas.openxmlformats.org/officeDocument/2006/relationships/chart" Target="../charts/chart5.xml"/><Relationship Id="rId17" Type="http://schemas.openxmlformats.org/officeDocument/2006/relationships/chart" Target="../charts/chart6.xml"/><Relationship Id="rId18" Type="http://schemas.openxmlformats.org/officeDocument/2006/relationships/hyperlink" Target="#Gra!A1"/><Relationship Id="rId19" Type="http://schemas.openxmlformats.org/officeDocument/2006/relationships/hyperlink" Target="#Gr&#193;rea!A1"/><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41.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OMCMgJetSaI&amp;index=6&amp;list=PLWta3T-QZpj4-R-op1WZrPO6g7PH8D0Pd"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42.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ztFdbH1Pgw0&amp;index=7&amp;list=PLWta3T-QZpj4-R-op1WZrPO6g7PH8D0Pd" TargetMode="External"/><Relationship Id="rId14" Type="http://schemas.openxmlformats.org/officeDocument/2006/relationships/image" Target="../media/image2.png"/><Relationship Id="rId15" Type="http://schemas.openxmlformats.org/officeDocument/2006/relationships/chart" Target="../charts/chart7.xml"/><Relationship Id="rId16" Type="http://schemas.openxmlformats.org/officeDocument/2006/relationships/chart" Target="../charts/chart8.xml"/><Relationship Id="rId17" Type="http://schemas.openxmlformats.org/officeDocument/2006/relationships/chart" Target="../charts/chart9.xml"/><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43.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rarwmX2bVqc&amp;index=8&amp;list=PLWta3T-QZpj4-R-op1WZrPO6g7PH8D0Pd"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44.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luz.vc/ferramentas/pacotes/pacote-de-planilhas-luz/?utm_source=referral&amp;utm_medium=produtos&amp;utm_campaign=hoex3" TargetMode="External"/><Relationship Id="rId14" Type="http://schemas.openxmlformats.org/officeDocument/2006/relationships/image" Target="../media/image3.png"/><Relationship Id="rId15" Type="http://schemas.openxmlformats.org/officeDocument/2006/relationships/hyperlink" Target="http://cursos.luz.vc/course/curso-de-excel-iniciante-e-intermediario/?utm_source=referral&amp;utm_medium=produtos&amp;utm_campaign=hoex3" TargetMode="External"/><Relationship Id="rId16" Type="http://schemas.openxmlformats.org/officeDocument/2006/relationships/image" Target="../media/image4.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45.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luz.vc/minha-conta/?utm_source=referral&amp;utm_medium=produtos&amp;utm_campaign=hoex3" TargetMode="External"/><Relationship Id="rId14" Type="http://schemas.openxmlformats.org/officeDocument/2006/relationships/image" Target="../media/image5.png"/><Relationship Id="rId15" Type="http://schemas.openxmlformats.org/officeDocument/2006/relationships/hyperlink" Target="http://luz.vc/ferramentas/pacotes/pacote-de-planilhas-luz/?utm_source=referral&amp;utm_medium=produtos&amp;utm_campaign=hoex3" TargetMode="External"/><Relationship Id="rId16" Type="http://schemas.openxmlformats.org/officeDocument/2006/relationships/image" Target="../media/image3.png"/><Relationship Id="rId17" Type="http://schemas.openxmlformats.org/officeDocument/2006/relationships/hyperlink" Target="http://cursos.luz.vc/course/curso-de-excel-iniciante-e-intermediario/?utm_source=referral&amp;utm_medium=produtos&amp;utm_campaign=hoex3" TargetMode="External"/><Relationship Id="rId18" Type="http://schemas.openxmlformats.org/officeDocument/2006/relationships/image" Target="../media/image4.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46.xml.rels><?xml version="1.0" encoding="UTF-8" standalone="yes"?>
<Relationships xmlns="http://schemas.openxmlformats.org/package/2006/relationships"><Relationship Id="rId9" Type="http://schemas.openxmlformats.org/officeDocument/2006/relationships/hyperlink" Target="#'Fol'!B1"/><Relationship Id="rId20" Type="http://schemas.openxmlformats.org/officeDocument/2006/relationships/image" Target="../media/image3.png"/><Relationship Id="rId21" Type="http://schemas.openxmlformats.org/officeDocument/2006/relationships/hyperlink" Target="http://cursos.luz.vc/course/curso-de-excel-iniciante-e-intermediario/?utm_source=referral&amp;utm_medium=produtos&amp;utm_campaign=hoex3" TargetMode="External"/><Relationship Id="rId22" Type="http://schemas.openxmlformats.org/officeDocument/2006/relationships/image" Target="../media/image4.png"/><Relationship Id="rId23" Type="http://schemas.openxmlformats.org/officeDocument/2006/relationships/image" Target="../media/image9.jpeg"/><Relationship Id="rId24" Type="http://schemas.openxmlformats.org/officeDocument/2006/relationships/hyperlink" Target="http://ajuda.luz.vc/?utm_source=referral&amp;utm_medium=produtos&amp;utm_campaign=hoex3" TargetMode="External"/><Relationship Id="rId25" Type="http://schemas.openxmlformats.org/officeDocument/2006/relationships/image" Target="../media/image10.png"/><Relationship Id="rId26" Type="http://schemas.openxmlformats.org/officeDocument/2006/relationships/hyperlink" Target="http://luz.vc/?utm_source=referral&amp;utm_medium=produtos&amp;utm_campaign=hoex3" TargetMode="External"/><Relationship Id="rId27" Type="http://schemas.openxmlformats.org/officeDocument/2006/relationships/image" Target="../media/image11.png"/><Relationship Id="rId28" Type="http://schemas.openxmlformats.org/officeDocument/2006/relationships/hyperlink" Target="http://blog.luz.vc/?utm_source=referral&amp;utm_medium=produtos&amp;utm_campaign=hoex3" TargetMode="External"/><Relationship Id="rId29" Type="http://schemas.openxmlformats.org/officeDocument/2006/relationships/image" Target="../media/image12.png"/><Relationship Id="rId10" Type="http://schemas.openxmlformats.org/officeDocument/2006/relationships/hyperlink" Target="#'D&#250;vidas'!B1"/><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facebook.com/luzplanilhas?fref=ts&amp;utm_source=referral&amp;utm_medium=produtos&amp;utm_campaign=hoex3" TargetMode="External"/><Relationship Id="rId14" Type="http://schemas.openxmlformats.org/officeDocument/2006/relationships/image" Target="../media/image6.png"/><Relationship Id="rId15" Type="http://schemas.openxmlformats.org/officeDocument/2006/relationships/hyperlink" Target="https://twitter.com/luzplanilhas?utm_source=referral&amp;utm_medium=produtos&amp;utm_campaign=hoex3" TargetMode="External"/><Relationship Id="rId16" Type="http://schemas.openxmlformats.org/officeDocument/2006/relationships/image" Target="../media/image7.png"/><Relationship Id="rId17" Type="http://schemas.openxmlformats.org/officeDocument/2006/relationships/hyperlink" Target="https://plus.google.com/+luzvcmesmo/posts?utm_source=referral&amp;utm_medium=produtos&amp;utm_campaign=hoex3" TargetMode="External"/><Relationship Id="rId18" Type="http://schemas.openxmlformats.org/officeDocument/2006/relationships/image" Target="../media/image8.png"/><Relationship Id="rId19" Type="http://schemas.openxmlformats.org/officeDocument/2006/relationships/hyperlink" Target="http://luz.vc/ferramentas/pacotes/pacote-de-planilhas-luz/?utm_source=referral&amp;utm_medium=produtos&amp;utm_campaign=hoex3" TargetMode="External"/><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231;!A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s>
</file>

<file path=xl/drawings/drawing1.xml><?xml version="1.0" encoding="utf-8"?>
<xdr:wsDr xmlns:xdr="http://schemas.openxmlformats.org/drawingml/2006/spreadsheetDrawing" xmlns:a="http://schemas.openxmlformats.org/drawingml/2006/main">
  <xdr:twoCellAnchor editAs="absolute">
    <xdr:from>
      <xdr:col>0</xdr:col>
      <xdr:colOff>127000</xdr:colOff>
      <xdr:row>0</xdr:row>
      <xdr:rowOff>203200</xdr:rowOff>
    </xdr:from>
    <xdr:to>
      <xdr:col>0</xdr:col>
      <xdr:colOff>1625600</xdr:colOff>
      <xdr:row>1</xdr:row>
      <xdr:rowOff>279400</xdr:rowOff>
    </xdr:to>
    <xdr:pic>
      <xdr:nvPicPr>
        <xdr:cNvPr id="477656"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1</xdr:row>
      <xdr:rowOff>387353</xdr:rowOff>
    </xdr:from>
    <xdr:to>
      <xdr:col>0</xdr:col>
      <xdr:colOff>1636846</xdr:colOff>
      <xdr:row>1</xdr:row>
      <xdr:rowOff>387353</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1</xdr:row>
      <xdr:rowOff>482600</xdr:rowOff>
    </xdr:from>
    <xdr:to>
      <xdr:col>0</xdr:col>
      <xdr:colOff>1663700</xdr:colOff>
      <xdr:row>2</xdr:row>
      <xdr:rowOff>88900</xdr:rowOff>
    </xdr:to>
    <xdr:sp macro="" textlink="">
      <xdr:nvSpPr>
        <xdr:cNvPr id="477451" name="Rectangle 65"/>
        <xdr:cNvSpPr>
          <a:spLocks noChangeArrowheads="1"/>
        </xdr:cNvSpPr>
      </xdr:nvSpPr>
      <xdr:spPr bwMode="auto">
        <a:xfrm>
          <a:off x="63500" y="901700"/>
          <a:ext cx="1600200" cy="2794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8</xdr:row>
      <xdr:rowOff>348191</xdr:rowOff>
    </xdr:from>
    <xdr:to>
      <xdr:col>0</xdr:col>
      <xdr:colOff>1622973</xdr:colOff>
      <xdr:row>8</xdr:row>
      <xdr:rowOff>348191</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2</xdr:row>
      <xdr:rowOff>223308</xdr:rowOff>
    </xdr:from>
    <xdr:to>
      <xdr:col>1</xdr:col>
      <xdr:colOff>15929</xdr:colOff>
      <xdr:row>2</xdr:row>
      <xdr:rowOff>490008</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Início</a:t>
          </a:r>
        </a:p>
      </xdr:txBody>
    </xdr:sp>
    <xdr:clientData/>
  </xdr:twoCellAnchor>
  <xdr:twoCellAnchor editAs="absolute">
    <xdr:from>
      <xdr:col>0</xdr:col>
      <xdr:colOff>12700</xdr:colOff>
      <xdr:row>3</xdr:row>
      <xdr:rowOff>2116</xdr:rowOff>
    </xdr:from>
    <xdr:to>
      <xdr:col>1</xdr:col>
      <xdr:colOff>15929</xdr:colOff>
      <xdr:row>3</xdr:row>
      <xdr:rowOff>234184</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3</xdr:row>
      <xdr:rowOff>306916</xdr:rowOff>
    </xdr:from>
    <xdr:to>
      <xdr:col>1</xdr:col>
      <xdr:colOff>15929</xdr:colOff>
      <xdr:row>4</xdr:row>
      <xdr:rowOff>158517</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Lançamentos Mensais</a:t>
          </a:r>
        </a:p>
      </xdr:txBody>
    </xdr:sp>
    <xdr:clientData/>
  </xdr:twoCellAnchor>
  <xdr:twoCellAnchor editAs="absolute">
    <xdr:from>
      <xdr:col>0</xdr:col>
      <xdr:colOff>12700</xdr:colOff>
      <xdr:row>4</xdr:row>
      <xdr:rowOff>233891</xdr:rowOff>
    </xdr:from>
    <xdr:to>
      <xdr:col>1</xdr:col>
      <xdr:colOff>15929</xdr:colOff>
      <xdr:row>5</xdr:row>
      <xdr:rowOff>116660</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5</xdr:row>
      <xdr:rowOff>157691</xdr:rowOff>
    </xdr:from>
    <xdr:to>
      <xdr:col>1</xdr:col>
      <xdr:colOff>15929</xdr:colOff>
      <xdr:row>6</xdr:row>
      <xdr:rowOff>43391</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6</xdr:row>
      <xdr:rowOff>116416</xdr:rowOff>
    </xdr:from>
    <xdr:to>
      <xdr:col>1</xdr:col>
      <xdr:colOff>15929</xdr:colOff>
      <xdr:row>6</xdr:row>
      <xdr:rowOff>349017</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7</xdr:row>
      <xdr:rowOff>43391</xdr:rowOff>
    </xdr:from>
    <xdr:to>
      <xdr:col>1</xdr:col>
      <xdr:colOff>15929</xdr:colOff>
      <xdr:row>7</xdr:row>
      <xdr:rowOff>307160</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7</xdr:row>
      <xdr:rowOff>348191</xdr:rowOff>
    </xdr:from>
    <xdr:to>
      <xdr:col>1</xdr:col>
      <xdr:colOff>15929</xdr:colOff>
      <xdr:row>8</xdr:row>
      <xdr:rowOff>233891</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9</xdr:row>
      <xdr:rowOff>116416</xdr:rowOff>
    </xdr:from>
    <xdr:to>
      <xdr:col>1</xdr:col>
      <xdr:colOff>15929</xdr:colOff>
      <xdr:row>9</xdr:row>
      <xdr:rowOff>349017</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10</xdr:row>
      <xdr:rowOff>43391</xdr:rowOff>
    </xdr:from>
    <xdr:to>
      <xdr:col>1</xdr:col>
      <xdr:colOff>15929</xdr:colOff>
      <xdr:row>10</xdr:row>
      <xdr:rowOff>307160</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10</xdr:row>
      <xdr:rowOff>348191</xdr:rowOff>
    </xdr:from>
    <xdr:to>
      <xdr:col>1</xdr:col>
      <xdr:colOff>15929</xdr:colOff>
      <xdr:row>11</xdr:row>
      <xdr:rowOff>233891</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11</xdr:col>
      <xdr:colOff>165100</xdr:colOff>
      <xdr:row>3</xdr:row>
      <xdr:rowOff>25400</xdr:rowOff>
    </xdr:from>
    <xdr:to>
      <xdr:col>11</xdr:col>
      <xdr:colOff>520700</xdr:colOff>
      <xdr:row>3</xdr:row>
      <xdr:rowOff>381000</xdr:rowOff>
    </xdr:to>
    <xdr:pic>
      <xdr:nvPicPr>
        <xdr:cNvPr id="477671"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200900" y="1676400"/>
          <a:ext cx="355600" cy="35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7</xdr:col>
      <xdr:colOff>291043</xdr:colOff>
      <xdr:row>5</xdr:row>
      <xdr:rowOff>42333</xdr:rowOff>
    </xdr:from>
    <xdr:ext cx="1740688" cy="306916"/>
    <xdr:sp macro="" textlink="">
      <xdr:nvSpPr>
        <xdr:cNvPr id="19" name="Retângulo 18">
          <a:hlinkClick xmlns:r="http://schemas.openxmlformats.org/officeDocument/2006/relationships" r:id="rId15"/>
        </xdr:cNvPr>
        <xdr:cNvSpPr/>
      </xdr:nvSpPr>
      <xdr:spPr>
        <a:xfrm>
          <a:off x="5482168" y="2476500"/>
          <a:ext cx="1698625" cy="30691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400">
              <a:solidFill>
                <a:srgbClr val="3366CC"/>
              </a:solidFill>
            </a:rPr>
            <a:t>ASSISTA AO VÍDEO</a:t>
          </a:r>
        </a:p>
      </xdr:txBody>
    </xdr:sp>
    <xdr:clientData/>
  </xdr:oneCellAnchor>
  <xdr:oneCellAnchor>
    <xdr:from>
      <xdr:col>6</xdr:col>
      <xdr:colOff>559858</xdr:colOff>
      <xdr:row>8</xdr:row>
      <xdr:rowOff>73025</xdr:rowOff>
    </xdr:from>
    <xdr:ext cx="1603604" cy="306916"/>
    <xdr:sp macro="" textlink="">
      <xdr:nvSpPr>
        <xdr:cNvPr id="20" name="Retângulo 19">
          <a:hlinkClick xmlns:r="http://schemas.openxmlformats.org/officeDocument/2006/relationships" r:id="rId16"/>
        </xdr:cNvPr>
        <xdr:cNvSpPr/>
      </xdr:nvSpPr>
      <xdr:spPr>
        <a:xfrm>
          <a:off x="5143500" y="3640667"/>
          <a:ext cx="1698625" cy="30691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400">
              <a:solidFill>
                <a:srgbClr val="3366CC"/>
              </a:solidFill>
            </a:rPr>
            <a:t>ASSISTA AO VÍDEO</a:t>
          </a:r>
        </a:p>
      </xdr:txBody>
    </xdr:sp>
    <xdr:clientData/>
  </xdr:oneCellAnchor>
  <xdr:oneCellAnchor>
    <xdr:from>
      <xdr:col>9</xdr:col>
      <xdr:colOff>107949</xdr:colOff>
      <xdr:row>11</xdr:row>
      <xdr:rowOff>40217</xdr:rowOff>
    </xdr:from>
    <xdr:ext cx="1573803" cy="306916"/>
    <xdr:sp macro="" textlink="">
      <xdr:nvSpPr>
        <xdr:cNvPr id="21" name="Retângulo 20">
          <a:hlinkClick xmlns:r="http://schemas.openxmlformats.org/officeDocument/2006/relationships" r:id="rId17"/>
        </xdr:cNvPr>
        <xdr:cNvSpPr/>
      </xdr:nvSpPr>
      <xdr:spPr>
        <a:xfrm>
          <a:off x="6498166" y="4773084"/>
          <a:ext cx="1698625" cy="30691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400">
              <a:solidFill>
                <a:srgbClr val="3366CC"/>
              </a:solidFill>
            </a:rPr>
            <a:t>ASSISTA AO VÍDEO</a:t>
          </a:r>
        </a:p>
      </xdr:txBody>
    </xdr:sp>
    <xdr:clientData/>
  </xdr:oneCellAnchor>
  <xdr:oneCellAnchor>
    <xdr:from>
      <xdr:col>6</xdr:col>
      <xdr:colOff>0</xdr:colOff>
      <xdr:row>14</xdr:row>
      <xdr:rowOff>42333</xdr:rowOff>
    </xdr:from>
    <xdr:ext cx="1662559" cy="306916"/>
    <xdr:sp macro="" textlink="">
      <xdr:nvSpPr>
        <xdr:cNvPr id="22" name="Retângulo 21">
          <a:hlinkClick xmlns:r="http://schemas.openxmlformats.org/officeDocument/2006/relationships" r:id="rId18"/>
        </xdr:cNvPr>
        <xdr:cNvSpPr/>
      </xdr:nvSpPr>
      <xdr:spPr>
        <a:xfrm>
          <a:off x="4561417" y="5905500"/>
          <a:ext cx="1698625" cy="30691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400">
              <a:solidFill>
                <a:srgbClr val="3366CC"/>
              </a:solidFill>
            </a:rPr>
            <a:t>ASSISTA AO VÍDEO</a:t>
          </a:r>
        </a:p>
      </xdr:txBody>
    </xdr:sp>
    <xdr:clientData/>
  </xdr:oneCellAnchor>
  <xdr:oneCellAnchor>
    <xdr:from>
      <xdr:col>7</xdr:col>
      <xdr:colOff>43391</xdr:colOff>
      <xdr:row>17</xdr:row>
      <xdr:rowOff>42333</xdr:rowOff>
    </xdr:from>
    <xdr:ext cx="1677398" cy="306916"/>
    <xdr:sp macro="" textlink="">
      <xdr:nvSpPr>
        <xdr:cNvPr id="23" name="Retângulo 22">
          <a:hlinkClick xmlns:r="http://schemas.openxmlformats.org/officeDocument/2006/relationships" r:id="rId19"/>
        </xdr:cNvPr>
        <xdr:cNvSpPr/>
      </xdr:nvSpPr>
      <xdr:spPr>
        <a:xfrm>
          <a:off x="5228166" y="7048500"/>
          <a:ext cx="1698625" cy="30691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400">
              <a:solidFill>
                <a:srgbClr val="3366CC"/>
              </a:solidFill>
            </a:rPr>
            <a:t>ASSISTA AO VÍDEO</a:t>
          </a:r>
        </a:p>
      </xdr:txBody>
    </xdr:sp>
    <xdr:clientData/>
  </xdr:oneCellAnchor>
  <xdr:oneCellAnchor>
    <xdr:from>
      <xdr:col>9</xdr:col>
      <xdr:colOff>70908</xdr:colOff>
      <xdr:row>20</xdr:row>
      <xdr:rowOff>34924</xdr:rowOff>
    </xdr:from>
    <xdr:ext cx="1703749" cy="306916"/>
    <xdr:sp macro="" textlink="">
      <xdr:nvSpPr>
        <xdr:cNvPr id="24" name="Retângulo 23">
          <a:hlinkClick xmlns:r="http://schemas.openxmlformats.org/officeDocument/2006/relationships" r:id="rId20"/>
        </xdr:cNvPr>
        <xdr:cNvSpPr/>
      </xdr:nvSpPr>
      <xdr:spPr>
        <a:xfrm>
          <a:off x="6470650" y="8174566"/>
          <a:ext cx="1698625" cy="30691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400">
              <a:solidFill>
                <a:srgbClr val="3366CC"/>
              </a:solidFill>
            </a:rPr>
            <a:t>ASSISTA AO VÍDEO</a:t>
          </a:r>
        </a:p>
      </xdr:txBody>
    </xdr:sp>
    <xdr:clientData/>
  </xdr:oneCellAnchor>
  <xdr:oneCellAnchor>
    <xdr:from>
      <xdr:col>7</xdr:col>
      <xdr:colOff>106892</xdr:colOff>
      <xdr:row>23</xdr:row>
      <xdr:rowOff>50799</xdr:rowOff>
    </xdr:from>
    <xdr:ext cx="1606900" cy="294639"/>
    <xdr:sp macro="" textlink="">
      <xdr:nvSpPr>
        <xdr:cNvPr id="25" name="Retângulo 24">
          <a:hlinkClick xmlns:r="http://schemas.openxmlformats.org/officeDocument/2006/relationships" r:id="rId21"/>
        </xdr:cNvPr>
        <xdr:cNvSpPr/>
      </xdr:nvSpPr>
      <xdr:spPr>
        <a:xfrm>
          <a:off x="5278967" y="9342966"/>
          <a:ext cx="1698625" cy="30691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400">
              <a:solidFill>
                <a:srgbClr val="3366CC"/>
              </a:solidFill>
            </a:rPr>
            <a:t>ASSISTA AO VÍDEO</a:t>
          </a:r>
        </a:p>
      </xdr:txBody>
    </xdr:sp>
    <xdr:clientData/>
  </xdr:oneCellAnchor>
</xdr:wsDr>
</file>

<file path=xl/drawings/drawing2.xml><?xml version="1.0" encoding="utf-8"?>
<xdr:wsDr xmlns:xdr="http://schemas.openxmlformats.org/drawingml/2006/spreadsheetDrawing" xmlns:a="http://schemas.openxmlformats.org/drawingml/2006/main">
  <xdr:twoCellAnchor editAs="absolute">
    <xdr:from>
      <xdr:col>7</xdr:col>
      <xdr:colOff>112183</xdr:colOff>
      <xdr:row>0</xdr:row>
      <xdr:rowOff>120650</xdr:rowOff>
    </xdr:from>
    <xdr:to>
      <xdr:col>15</xdr:col>
      <xdr:colOff>123840</xdr:colOff>
      <xdr:row>2</xdr:row>
      <xdr:rowOff>43971</xdr:rowOff>
    </xdr:to>
    <xdr:sp macro="" textlink="">
      <xdr:nvSpPr>
        <xdr:cNvPr id="2" name="CaixaDeTexto 1"/>
        <xdr:cNvSpPr txBox="1"/>
      </xdr:nvSpPr>
      <xdr:spPr>
        <a:xfrm>
          <a:off x="5546725" y="133350"/>
          <a:ext cx="6396567"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tx1"/>
              </a:solidFill>
              <a:effectLst/>
              <a:latin typeface="+mn-lt"/>
              <a:ea typeface="+mn-ea"/>
              <a:cs typeface="+mn-cs"/>
            </a:rPr>
            <a:t>Esta é a parte mais importante da planilha, pois é aqui que você definirá as premissas necessárias que ajudarão a planilha gerar</a:t>
          </a:r>
          <a:r>
            <a:rPr lang="pt-BR" sz="1100" baseline="0">
              <a:solidFill>
                <a:schemeClr val="tx1"/>
              </a:solidFill>
              <a:effectLst/>
              <a:latin typeface="+mn-lt"/>
              <a:ea typeface="+mn-ea"/>
              <a:cs typeface="+mn-cs"/>
            </a:rPr>
            <a:t> os resultados consolidados, gráficos e dicas.</a:t>
          </a:r>
          <a:endParaRPr lang="pt-BR">
            <a:effectLst/>
          </a:endParaRPr>
        </a:p>
        <a:p>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508277"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508090"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12</xdr:row>
      <xdr:rowOff>117475</xdr:rowOff>
    </xdr:from>
    <xdr:to>
      <xdr:col>0</xdr:col>
      <xdr:colOff>1622973</xdr:colOff>
      <xdr:row>12</xdr:row>
      <xdr:rowOff>117475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5</xdr:row>
      <xdr:rowOff>180975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1. Premissas Gerais</a:t>
          </a:r>
        </a:p>
      </xdr:txBody>
    </xdr:sp>
    <xdr:clientData/>
  </xdr:twoCellAnchor>
  <xdr:twoCellAnchor editAs="absolute">
    <xdr:from>
      <xdr:col>0</xdr:col>
      <xdr:colOff>12700</xdr:colOff>
      <xdr:row>5</xdr:row>
      <xdr:rowOff>244475</xdr:rowOff>
    </xdr:from>
    <xdr:to>
      <xdr:col>1</xdr:col>
      <xdr:colOff>15929</xdr:colOff>
      <xdr:row>7</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Lançamentos Mensais</a:t>
          </a:r>
        </a:p>
      </xdr:txBody>
    </xdr:sp>
    <xdr:clientData/>
  </xdr:twoCellAnchor>
  <xdr:twoCellAnchor editAs="absolute">
    <xdr:from>
      <xdr:col>0</xdr:col>
      <xdr:colOff>12700</xdr:colOff>
      <xdr:row>7</xdr:row>
      <xdr:rowOff>85725</xdr:rowOff>
    </xdr:from>
    <xdr:to>
      <xdr:col>1</xdr:col>
      <xdr:colOff>15929</xdr:colOff>
      <xdr:row>7</xdr:row>
      <xdr:rowOff>339725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22225</xdr:rowOff>
    </xdr:from>
    <xdr:to>
      <xdr:col>1</xdr:col>
      <xdr:colOff>15929</xdr:colOff>
      <xdr:row>8</xdr:row>
      <xdr:rowOff>276225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339725</xdr:rowOff>
    </xdr:from>
    <xdr:to>
      <xdr:col>1</xdr:col>
      <xdr:colOff>15929</xdr:colOff>
      <xdr:row>9</xdr:row>
      <xdr:rowOff>212725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9</xdr:row>
      <xdr:rowOff>276225</xdr:rowOff>
    </xdr:from>
    <xdr:to>
      <xdr:col>1</xdr:col>
      <xdr:colOff>15929</xdr:colOff>
      <xdr:row>11</xdr:row>
      <xdr:rowOff>41712</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11</xdr:row>
      <xdr:rowOff>117475</xdr:rowOff>
    </xdr:from>
    <xdr:to>
      <xdr:col>1</xdr:col>
      <xdr:colOff>15929</xdr:colOff>
      <xdr:row>11</xdr:row>
      <xdr:rowOff>371475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12</xdr:row>
      <xdr:rowOff>231775</xdr:rowOff>
    </xdr:from>
    <xdr:to>
      <xdr:col>1</xdr:col>
      <xdr:colOff>15929</xdr:colOff>
      <xdr:row>13</xdr:row>
      <xdr:rowOff>118143</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13</xdr:row>
      <xdr:rowOff>180975</xdr:rowOff>
    </xdr:from>
    <xdr:to>
      <xdr:col>1</xdr:col>
      <xdr:colOff>15929</xdr:colOff>
      <xdr:row>14</xdr:row>
      <xdr:rowOff>41880</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15</xdr:row>
      <xdr:rowOff>34925</xdr:rowOff>
    </xdr:from>
    <xdr:to>
      <xdr:col>1</xdr:col>
      <xdr:colOff>15929</xdr:colOff>
      <xdr:row>15</xdr:row>
      <xdr:rowOff>276830</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825500</xdr:colOff>
      <xdr:row>0</xdr:row>
      <xdr:rowOff>177799</xdr:rowOff>
    </xdr:from>
    <xdr:to>
      <xdr:col>6</xdr:col>
      <xdr:colOff>84667</xdr:colOff>
      <xdr:row>1</xdr:row>
      <xdr:rowOff>114466</xdr:rowOff>
    </xdr:to>
    <xdr:pic>
      <xdr:nvPicPr>
        <xdr:cNvPr id="508292"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5707944" y="177799"/>
          <a:ext cx="388056" cy="36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2</xdr:col>
      <xdr:colOff>0</xdr:colOff>
      <xdr:row>1</xdr:row>
      <xdr:rowOff>241300</xdr:rowOff>
    </xdr:from>
    <xdr:to>
      <xdr:col>4</xdr:col>
      <xdr:colOff>3746</xdr:colOff>
      <xdr:row>3</xdr:row>
      <xdr:rowOff>26957</xdr:rowOff>
    </xdr:to>
    <xdr:sp macro="" textlink="">
      <xdr:nvSpPr>
        <xdr:cNvPr id="19" name="Retângulo 18">
          <a:hlinkClick xmlns:r="http://schemas.openxmlformats.org/officeDocument/2006/relationships" r:id="rId15" tooltip="Clique para ir para Áreas da Empresa"/>
        </xdr:cNvPr>
        <xdr:cNvSpPr/>
      </xdr:nvSpPr>
      <xdr:spPr>
        <a:xfrm>
          <a:off x="2106083" y="687917"/>
          <a:ext cx="1188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bg1"/>
              </a:solidFill>
              <a:latin typeface="+mn-lt"/>
              <a:ea typeface="+mn-ea"/>
              <a:cs typeface="+mn-cs"/>
            </a:rPr>
            <a:t>Premissas Gerais</a:t>
          </a:r>
        </a:p>
      </xdr:txBody>
    </xdr:sp>
    <xdr:clientData/>
  </xdr:twoCellAnchor>
  <xdr:twoCellAnchor editAs="absolute">
    <xdr:from>
      <xdr:col>4</xdr:col>
      <xdr:colOff>40848</xdr:colOff>
      <xdr:row>1</xdr:row>
      <xdr:rowOff>241300</xdr:rowOff>
    </xdr:from>
    <xdr:to>
      <xdr:col>5</xdr:col>
      <xdr:colOff>224216</xdr:colOff>
      <xdr:row>3</xdr:row>
      <xdr:rowOff>26957</xdr:rowOff>
    </xdr:to>
    <xdr:sp macro="" textlink="">
      <xdr:nvSpPr>
        <xdr:cNvPr id="20" name="Retângulo 19">
          <a:hlinkClick xmlns:r="http://schemas.openxmlformats.org/officeDocument/2006/relationships" r:id="rId16" tooltip="Clique para ir para Responsáveis"/>
        </xdr:cNvPr>
        <xdr:cNvSpPr/>
      </xdr:nvSpPr>
      <xdr:spPr>
        <a:xfrm>
          <a:off x="3331206" y="687917"/>
          <a:ext cx="1188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a:solidFill>
                <a:schemeClr val="lt1"/>
              </a:solidFill>
              <a:latin typeface="+mn-lt"/>
              <a:ea typeface="+mn-ea"/>
              <a:cs typeface="+mn-cs"/>
            </a:rPr>
            <a:t>Departamentos</a:t>
          </a:r>
        </a:p>
      </xdr:txBody>
    </xdr:sp>
    <xdr:clientData/>
  </xdr:twoCellAnchor>
  <xdr:twoCellAnchor editAs="absolute">
    <xdr:from>
      <xdr:col>5</xdr:col>
      <xdr:colOff>257175</xdr:colOff>
      <xdr:row>1</xdr:row>
      <xdr:rowOff>241300</xdr:rowOff>
    </xdr:from>
    <xdr:to>
      <xdr:col>7</xdr:col>
      <xdr:colOff>296016</xdr:colOff>
      <xdr:row>3</xdr:row>
      <xdr:rowOff>26957</xdr:rowOff>
    </xdr:to>
    <xdr:sp macro="" textlink="">
      <xdr:nvSpPr>
        <xdr:cNvPr id="21" name="Retângulo 20">
          <a:hlinkClick xmlns:r="http://schemas.openxmlformats.org/officeDocument/2006/relationships" r:id="rId17" tooltip="Clique para ir para Responsáveis"/>
        </xdr:cNvPr>
        <xdr:cNvSpPr/>
      </xdr:nvSpPr>
      <xdr:spPr>
        <a:xfrm>
          <a:off x="4561417" y="687917"/>
          <a:ext cx="1188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a:solidFill>
                <a:schemeClr val="lt1"/>
              </a:solidFill>
              <a:latin typeface="+mn-lt"/>
              <a:ea typeface="+mn-ea"/>
              <a:cs typeface="+mn-cs"/>
            </a:rPr>
            <a:t>Funcionários</a:t>
          </a:r>
        </a:p>
      </xdr:txBody>
    </xdr:sp>
    <xdr:clientData/>
  </xdr:twoCellAnchor>
  <xdr:twoCellAnchor editAs="absolute">
    <xdr:from>
      <xdr:col>7</xdr:col>
      <xdr:colOff>325969</xdr:colOff>
      <xdr:row>1</xdr:row>
      <xdr:rowOff>241300</xdr:rowOff>
    </xdr:from>
    <xdr:to>
      <xdr:col>8</xdr:col>
      <xdr:colOff>509431</xdr:colOff>
      <xdr:row>3</xdr:row>
      <xdr:rowOff>26957</xdr:rowOff>
    </xdr:to>
    <xdr:sp macro="" textlink="">
      <xdr:nvSpPr>
        <xdr:cNvPr id="22" name="Retângulo 21">
          <a:hlinkClick xmlns:r="http://schemas.openxmlformats.org/officeDocument/2006/relationships" r:id="rId18" tooltip="Clique para ir para Responsáveis"/>
        </xdr:cNvPr>
        <xdr:cNvSpPr/>
      </xdr:nvSpPr>
      <xdr:spPr>
        <a:xfrm>
          <a:off x="5789086" y="687917"/>
          <a:ext cx="1188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a:solidFill>
                <a:schemeClr val="lt1"/>
              </a:solidFill>
              <a:latin typeface="+mn-lt"/>
              <a:ea typeface="+mn-ea"/>
              <a:cs typeface="+mn-cs"/>
            </a:rPr>
            <a:t>Jornada</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5</xdr:col>
      <xdr:colOff>187325</xdr:colOff>
      <xdr:row>0</xdr:row>
      <xdr:rowOff>120650</xdr:rowOff>
    </xdr:from>
    <xdr:to>
      <xdr:col>13</xdr:col>
      <xdr:colOff>241341</xdr:colOff>
      <xdr:row>2</xdr:row>
      <xdr:rowOff>43971</xdr:rowOff>
    </xdr:to>
    <xdr:sp macro="" textlink="">
      <xdr:nvSpPr>
        <xdr:cNvPr id="2" name="CaixaDeTexto 1"/>
        <xdr:cNvSpPr txBox="1"/>
      </xdr:nvSpPr>
      <xdr:spPr>
        <a:xfrm>
          <a:off x="5535083" y="133350"/>
          <a:ext cx="6329892" cy="6058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tx1"/>
              </a:solidFill>
              <a:effectLst/>
              <a:latin typeface="+mn-lt"/>
              <a:ea typeface="+mn-ea"/>
              <a:cs typeface="+mn-cs"/>
            </a:rPr>
            <a:t>Esta é a parte mais importante da planilha, pois é aqui que você definirá as premissas necessárias que ajudarão a planilha gerar</a:t>
          </a:r>
          <a:r>
            <a:rPr lang="pt-BR" sz="1100" baseline="0">
              <a:solidFill>
                <a:schemeClr val="tx1"/>
              </a:solidFill>
              <a:effectLst/>
              <a:latin typeface="+mn-lt"/>
              <a:ea typeface="+mn-ea"/>
              <a:cs typeface="+mn-cs"/>
            </a:rPr>
            <a:t> os resultados consolidados, gráficos e dicas.</a:t>
          </a:r>
          <a:endParaRPr lang="pt-BR">
            <a:effectLst/>
          </a:endParaRPr>
        </a:p>
        <a:p>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518487"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518300"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10</xdr:row>
      <xdr:rowOff>307975</xdr:rowOff>
    </xdr:from>
    <xdr:to>
      <xdr:col>0</xdr:col>
      <xdr:colOff>1622973</xdr:colOff>
      <xdr:row>10</xdr:row>
      <xdr:rowOff>307975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5</xdr:row>
      <xdr:rowOff>180975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1. Premissas Gerais</a:t>
          </a:r>
        </a:p>
      </xdr:txBody>
    </xdr:sp>
    <xdr:clientData/>
  </xdr:twoCellAnchor>
  <xdr:twoCellAnchor editAs="absolute">
    <xdr:from>
      <xdr:col>0</xdr:col>
      <xdr:colOff>12700</xdr:colOff>
      <xdr:row>5</xdr:row>
      <xdr:rowOff>244475</xdr:rowOff>
    </xdr:from>
    <xdr:to>
      <xdr:col>1</xdr:col>
      <xdr:colOff>15929</xdr:colOff>
      <xdr:row>6</xdr:row>
      <xdr:rowOff>117475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Lançamentos Mensais</a:t>
          </a:r>
        </a:p>
      </xdr:txBody>
    </xdr:sp>
    <xdr:clientData/>
  </xdr:twoCellAnchor>
  <xdr:twoCellAnchor editAs="absolute">
    <xdr:from>
      <xdr:col>0</xdr:col>
      <xdr:colOff>12700</xdr:colOff>
      <xdr:row>6</xdr:row>
      <xdr:rowOff>180975</xdr:rowOff>
    </xdr:from>
    <xdr:to>
      <xdr:col>1</xdr:col>
      <xdr:colOff>15929</xdr:colOff>
      <xdr:row>7</xdr:row>
      <xdr:rowOff>53975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7</xdr:row>
      <xdr:rowOff>117475</xdr:rowOff>
    </xdr:from>
    <xdr:to>
      <xdr:col>1</xdr:col>
      <xdr:colOff>15929</xdr:colOff>
      <xdr:row>7</xdr:row>
      <xdr:rowOff>371475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53975</xdr:rowOff>
    </xdr:from>
    <xdr:to>
      <xdr:col>1</xdr:col>
      <xdr:colOff>15929</xdr:colOff>
      <xdr:row>8</xdr:row>
      <xdr:rowOff>307975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8</xdr:row>
      <xdr:rowOff>371475</xdr:rowOff>
    </xdr:from>
    <xdr:to>
      <xdr:col>1</xdr:col>
      <xdr:colOff>15929</xdr:colOff>
      <xdr:row>9</xdr:row>
      <xdr:rowOff>244475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9</xdr:row>
      <xdr:rowOff>307975</xdr:rowOff>
    </xdr:from>
    <xdr:to>
      <xdr:col>1</xdr:col>
      <xdr:colOff>15929</xdr:colOff>
      <xdr:row>10</xdr:row>
      <xdr:rowOff>180975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53975</xdr:rowOff>
    </xdr:from>
    <xdr:to>
      <xdr:col>1</xdr:col>
      <xdr:colOff>15929</xdr:colOff>
      <xdr:row>11</xdr:row>
      <xdr:rowOff>307975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11</xdr:row>
      <xdr:rowOff>371475</xdr:rowOff>
    </xdr:from>
    <xdr:to>
      <xdr:col>1</xdr:col>
      <xdr:colOff>15929</xdr:colOff>
      <xdr:row>12</xdr:row>
      <xdr:rowOff>244475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12</xdr:row>
      <xdr:rowOff>307975</xdr:rowOff>
    </xdr:from>
    <xdr:to>
      <xdr:col>1</xdr:col>
      <xdr:colOff>15929</xdr:colOff>
      <xdr:row>13</xdr:row>
      <xdr:rowOff>180975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4</xdr:col>
      <xdr:colOff>762000</xdr:colOff>
      <xdr:row>0</xdr:row>
      <xdr:rowOff>177800</xdr:rowOff>
    </xdr:from>
    <xdr:to>
      <xdr:col>5</xdr:col>
      <xdr:colOff>28222</xdr:colOff>
      <xdr:row>1</xdr:row>
      <xdr:rowOff>101600</xdr:rowOff>
    </xdr:to>
    <xdr:pic>
      <xdr:nvPicPr>
        <xdr:cNvPr id="518502"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5743222" y="177800"/>
          <a:ext cx="395111" cy="3471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2</xdr:col>
      <xdr:colOff>0</xdr:colOff>
      <xdr:row>1</xdr:row>
      <xdr:rowOff>241300</xdr:rowOff>
    </xdr:from>
    <xdr:to>
      <xdr:col>2</xdr:col>
      <xdr:colOff>1119180</xdr:colOff>
      <xdr:row>3</xdr:row>
      <xdr:rowOff>26957</xdr:rowOff>
    </xdr:to>
    <xdr:sp macro="" textlink="">
      <xdr:nvSpPr>
        <xdr:cNvPr id="19" name="Retângulo 18">
          <a:hlinkClick xmlns:r="http://schemas.openxmlformats.org/officeDocument/2006/relationships" r:id="rId15" tooltip="Clique para ir para Áreas da Empresa"/>
        </xdr:cNvPr>
        <xdr:cNvSpPr/>
      </xdr:nvSpPr>
      <xdr:spPr>
        <a:xfrm>
          <a:off x="2106083" y="687917"/>
          <a:ext cx="1188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a:solidFill>
                <a:schemeClr val="lt1"/>
              </a:solidFill>
              <a:latin typeface="+mn-lt"/>
              <a:ea typeface="+mn-ea"/>
              <a:cs typeface="+mn-cs"/>
            </a:rPr>
            <a:t>Premissas Gerais</a:t>
          </a:r>
        </a:p>
      </xdr:txBody>
    </xdr:sp>
    <xdr:clientData/>
  </xdr:twoCellAnchor>
  <xdr:twoCellAnchor editAs="absolute">
    <xdr:from>
      <xdr:col>2</xdr:col>
      <xdr:colOff>1161623</xdr:colOff>
      <xdr:row>1</xdr:row>
      <xdr:rowOff>241300</xdr:rowOff>
    </xdr:from>
    <xdr:to>
      <xdr:col>4</xdr:col>
      <xdr:colOff>181865</xdr:colOff>
      <xdr:row>3</xdr:row>
      <xdr:rowOff>26957</xdr:rowOff>
    </xdr:to>
    <xdr:sp macro="" textlink="">
      <xdr:nvSpPr>
        <xdr:cNvPr id="20" name="Retângulo 19">
          <a:hlinkClick xmlns:r="http://schemas.openxmlformats.org/officeDocument/2006/relationships" r:id="rId16" tooltip="Clique para ir para Responsáveis"/>
        </xdr:cNvPr>
        <xdr:cNvSpPr/>
      </xdr:nvSpPr>
      <xdr:spPr>
        <a:xfrm>
          <a:off x="3331206" y="687917"/>
          <a:ext cx="1188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bg1"/>
              </a:solidFill>
              <a:latin typeface="+mn-lt"/>
              <a:ea typeface="+mn-ea"/>
              <a:cs typeface="+mn-cs"/>
            </a:rPr>
            <a:t>Departamentos</a:t>
          </a:r>
        </a:p>
      </xdr:txBody>
    </xdr:sp>
    <xdr:clientData/>
  </xdr:twoCellAnchor>
  <xdr:twoCellAnchor editAs="absolute">
    <xdr:from>
      <xdr:col>4</xdr:col>
      <xdr:colOff>238125</xdr:colOff>
      <xdr:row>1</xdr:row>
      <xdr:rowOff>241300</xdr:rowOff>
    </xdr:from>
    <xdr:to>
      <xdr:col>5</xdr:col>
      <xdr:colOff>392970</xdr:colOff>
      <xdr:row>3</xdr:row>
      <xdr:rowOff>26957</xdr:rowOff>
    </xdr:to>
    <xdr:sp macro="" textlink="">
      <xdr:nvSpPr>
        <xdr:cNvPr id="21" name="Retângulo 20">
          <a:hlinkClick xmlns:r="http://schemas.openxmlformats.org/officeDocument/2006/relationships" r:id="rId17" tooltip="Clique para ir para Responsáveis"/>
        </xdr:cNvPr>
        <xdr:cNvSpPr/>
      </xdr:nvSpPr>
      <xdr:spPr>
        <a:xfrm>
          <a:off x="4561417" y="687917"/>
          <a:ext cx="1188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a:solidFill>
                <a:schemeClr val="lt1"/>
              </a:solidFill>
              <a:latin typeface="+mn-lt"/>
              <a:ea typeface="+mn-ea"/>
              <a:cs typeface="+mn-cs"/>
            </a:rPr>
            <a:t>Funcionários</a:t>
          </a:r>
        </a:p>
      </xdr:txBody>
    </xdr:sp>
    <xdr:clientData/>
  </xdr:twoCellAnchor>
  <xdr:twoCellAnchor editAs="absolute">
    <xdr:from>
      <xdr:col>5</xdr:col>
      <xdr:colOff>420161</xdr:colOff>
      <xdr:row>1</xdr:row>
      <xdr:rowOff>241300</xdr:rowOff>
    </xdr:from>
    <xdr:to>
      <xdr:col>7</xdr:col>
      <xdr:colOff>443000</xdr:colOff>
      <xdr:row>3</xdr:row>
      <xdr:rowOff>26957</xdr:rowOff>
    </xdr:to>
    <xdr:sp macro="" textlink="">
      <xdr:nvSpPr>
        <xdr:cNvPr id="22" name="Retângulo 21">
          <a:hlinkClick xmlns:r="http://schemas.openxmlformats.org/officeDocument/2006/relationships" r:id="rId18" tooltip="Clique para ir para Responsáveis"/>
        </xdr:cNvPr>
        <xdr:cNvSpPr/>
      </xdr:nvSpPr>
      <xdr:spPr>
        <a:xfrm>
          <a:off x="5789086" y="687917"/>
          <a:ext cx="1188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a:solidFill>
                <a:schemeClr val="lt1"/>
              </a:solidFill>
              <a:latin typeface="+mn-lt"/>
              <a:ea typeface="+mn-ea"/>
              <a:cs typeface="+mn-cs"/>
            </a:rPr>
            <a:t>Jornada</a:t>
          </a: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3</xdr:col>
      <xdr:colOff>41275</xdr:colOff>
      <xdr:row>0</xdr:row>
      <xdr:rowOff>120650</xdr:rowOff>
    </xdr:from>
    <xdr:to>
      <xdr:col>8</xdr:col>
      <xdr:colOff>464765</xdr:colOff>
      <xdr:row>2</xdr:row>
      <xdr:rowOff>43971</xdr:rowOff>
    </xdr:to>
    <xdr:sp macro="" textlink="">
      <xdr:nvSpPr>
        <xdr:cNvPr id="2" name="CaixaDeTexto 1"/>
        <xdr:cNvSpPr txBox="1"/>
      </xdr:nvSpPr>
      <xdr:spPr>
        <a:xfrm>
          <a:off x="5540375" y="133350"/>
          <a:ext cx="6336241" cy="6058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tx1"/>
              </a:solidFill>
              <a:effectLst/>
              <a:latin typeface="+mn-lt"/>
              <a:ea typeface="+mn-ea"/>
              <a:cs typeface="+mn-cs"/>
            </a:rPr>
            <a:t>Esta é a parte mais importante da planilha, pois é aqui que você definirá as premissas necessárias que ajudarão a planilha gerar</a:t>
          </a:r>
          <a:r>
            <a:rPr lang="pt-BR" sz="1100" baseline="0">
              <a:solidFill>
                <a:schemeClr val="tx1"/>
              </a:solidFill>
              <a:effectLst/>
              <a:latin typeface="+mn-lt"/>
              <a:ea typeface="+mn-ea"/>
              <a:cs typeface="+mn-cs"/>
            </a:rPr>
            <a:t> os resultados consolidados, gráficos e dicas.</a:t>
          </a:r>
          <a:endParaRPr lang="pt-BR">
            <a:effectLst/>
          </a:endParaRPr>
        </a:p>
        <a:p>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519513"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519326"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10</xdr:row>
      <xdr:rowOff>264583</xdr:rowOff>
    </xdr:from>
    <xdr:to>
      <xdr:col>0</xdr:col>
      <xdr:colOff>1622973</xdr:colOff>
      <xdr:row>10</xdr:row>
      <xdr:rowOff>264583</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5</xdr:row>
      <xdr:rowOff>180975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1. Premissas Gerais</a:t>
          </a:r>
        </a:p>
      </xdr:txBody>
    </xdr:sp>
    <xdr:clientData/>
  </xdr:twoCellAnchor>
  <xdr:twoCellAnchor editAs="absolute">
    <xdr:from>
      <xdr:col>0</xdr:col>
      <xdr:colOff>12700</xdr:colOff>
      <xdr:row>5</xdr:row>
      <xdr:rowOff>244475</xdr:rowOff>
    </xdr:from>
    <xdr:to>
      <xdr:col>1</xdr:col>
      <xdr:colOff>15929</xdr:colOff>
      <xdr:row>6</xdr:row>
      <xdr:rowOff>73965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Lançamentos Mensais</a:t>
          </a:r>
        </a:p>
      </xdr:txBody>
    </xdr:sp>
    <xdr:clientData/>
  </xdr:twoCellAnchor>
  <xdr:twoCellAnchor editAs="absolute">
    <xdr:from>
      <xdr:col>0</xdr:col>
      <xdr:colOff>12700</xdr:colOff>
      <xdr:row>6</xdr:row>
      <xdr:rowOff>128058</xdr:rowOff>
    </xdr:from>
    <xdr:to>
      <xdr:col>1</xdr:col>
      <xdr:colOff>15929</xdr:colOff>
      <xdr:row>7</xdr:row>
      <xdr:rowOff>1058</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7</xdr:row>
      <xdr:rowOff>74083</xdr:rowOff>
    </xdr:from>
    <xdr:to>
      <xdr:col>1</xdr:col>
      <xdr:colOff>15929</xdr:colOff>
      <xdr:row>7</xdr:row>
      <xdr:rowOff>318676</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1058</xdr:rowOff>
    </xdr:from>
    <xdr:to>
      <xdr:col>1</xdr:col>
      <xdr:colOff>15929</xdr:colOff>
      <xdr:row>8</xdr:row>
      <xdr:rowOff>264827</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8</xdr:row>
      <xdr:rowOff>318558</xdr:rowOff>
    </xdr:from>
    <xdr:to>
      <xdr:col>1</xdr:col>
      <xdr:colOff>15929</xdr:colOff>
      <xdr:row>9</xdr:row>
      <xdr:rowOff>191558</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9</xdr:row>
      <xdr:rowOff>264583</xdr:rowOff>
    </xdr:from>
    <xdr:to>
      <xdr:col>1</xdr:col>
      <xdr:colOff>15929</xdr:colOff>
      <xdr:row>10</xdr:row>
      <xdr:rowOff>128176</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1058</xdr:rowOff>
    </xdr:from>
    <xdr:to>
      <xdr:col>1</xdr:col>
      <xdr:colOff>15929</xdr:colOff>
      <xdr:row>11</xdr:row>
      <xdr:rowOff>264827</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11</xdr:row>
      <xdr:rowOff>318558</xdr:rowOff>
    </xdr:from>
    <xdr:to>
      <xdr:col>1</xdr:col>
      <xdr:colOff>15929</xdr:colOff>
      <xdr:row>12</xdr:row>
      <xdr:rowOff>191558</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12</xdr:row>
      <xdr:rowOff>264583</xdr:rowOff>
    </xdr:from>
    <xdr:to>
      <xdr:col>1</xdr:col>
      <xdr:colOff>15929</xdr:colOff>
      <xdr:row>13</xdr:row>
      <xdr:rowOff>128176</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2</xdr:col>
      <xdr:colOff>2895600</xdr:colOff>
      <xdr:row>0</xdr:row>
      <xdr:rowOff>177800</xdr:rowOff>
    </xdr:from>
    <xdr:to>
      <xdr:col>2</xdr:col>
      <xdr:colOff>3259667</xdr:colOff>
      <xdr:row>1</xdr:row>
      <xdr:rowOff>101600</xdr:rowOff>
    </xdr:to>
    <xdr:pic>
      <xdr:nvPicPr>
        <xdr:cNvPr id="519528"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5308600" y="177800"/>
          <a:ext cx="364067" cy="3471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2</xdr:col>
      <xdr:colOff>0</xdr:colOff>
      <xdr:row>1</xdr:row>
      <xdr:rowOff>241300</xdr:rowOff>
    </xdr:from>
    <xdr:to>
      <xdr:col>2</xdr:col>
      <xdr:colOff>1144704</xdr:colOff>
      <xdr:row>3</xdr:row>
      <xdr:rowOff>26957</xdr:rowOff>
    </xdr:to>
    <xdr:sp macro="" textlink="">
      <xdr:nvSpPr>
        <xdr:cNvPr id="19" name="Retângulo 18">
          <a:hlinkClick xmlns:r="http://schemas.openxmlformats.org/officeDocument/2006/relationships" r:id="rId15" tooltip="Clique para ir para Áreas da Empresa"/>
        </xdr:cNvPr>
        <xdr:cNvSpPr/>
      </xdr:nvSpPr>
      <xdr:spPr>
        <a:xfrm>
          <a:off x="2106083" y="687917"/>
          <a:ext cx="1188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a:solidFill>
                <a:schemeClr val="lt1"/>
              </a:solidFill>
              <a:latin typeface="+mn-lt"/>
              <a:ea typeface="+mn-ea"/>
              <a:cs typeface="+mn-cs"/>
            </a:rPr>
            <a:t>Premissas Gerais</a:t>
          </a:r>
        </a:p>
      </xdr:txBody>
    </xdr:sp>
    <xdr:clientData/>
  </xdr:twoCellAnchor>
  <xdr:twoCellAnchor editAs="absolute">
    <xdr:from>
      <xdr:col>2</xdr:col>
      <xdr:colOff>1161623</xdr:colOff>
      <xdr:row>1</xdr:row>
      <xdr:rowOff>241300</xdr:rowOff>
    </xdr:from>
    <xdr:to>
      <xdr:col>2</xdr:col>
      <xdr:colOff>2312805</xdr:colOff>
      <xdr:row>3</xdr:row>
      <xdr:rowOff>26957</xdr:rowOff>
    </xdr:to>
    <xdr:sp macro="" textlink="">
      <xdr:nvSpPr>
        <xdr:cNvPr id="20" name="Retângulo 19">
          <a:hlinkClick xmlns:r="http://schemas.openxmlformats.org/officeDocument/2006/relationships" r:id="rId16" tooltip="Clique para ir para Responsáveis"/>
        </xdr:cNvPr>
        <xdr:cNvSpPr/>
      </xdr:nvSpPr>
      <xdr:spPr>
        <a:xfrm>
          <a:off x="3331206" y="687917"/>
          <a:ext cx="1188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a:solidFill>
                <a:schemeClr val="lt1"/>
              </a:solidFill>
              <a:latin typeface="+mn-lt"/>
              <a:ea typeface="+mn-ea"/>
              <a:cs typeface="+mn-cs"/>
            </a:rPr>
            <a:t>Departamentos</a:t>
          </a:r>
        </a:p>
      </xdr:txBody>
    </xdr:sp>
    <xdr:clientData/>
  </xdr:twoCellAnchor>
  <xdr:twoCellAnchor editAs="absolute">
    <xdr:from>
      <xdr:col>2</xdr:col>
      <xdr:colOff>2366434</xdr:colOff>
      <xdr:row>1</xdr:row>
      <xdr:rowOff>241300</xdr:rowOff>
    </xdr:from>
    <xdr:to>
      <xdr:col>3</xdr:col>
      <xdr:colOff>250134</xdr:colOff>
      <xdr:row>3</xdr:row>
      <xdr:rowOff>26957</xdr:rowOff>
    </xdr:to>
    <xdr:sp macro="" textlink="">
      <xdr:nvSpPr>
        <xdr:cNvPr id="21" name="Retângulo 20">
          <a:hlinkClick xmlns:r="http://schemas.openxmlformats.org/officeDocument/2006/relationships" r:id="rId17" tooltip="Clique para ir para Responsáveis"/>
        </xdr:cNvPr>
        <xdr:cNvSpPr/>
      </xdr:nvSpPr>
      <xdr:spPr>
        <a:xfrm>
          <a:off x="4561417" y="687917"/>
          <a:ext cx="1188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bg1"/>
              </a:solidFill>
              <a:latin typeface="+mn-lt"/>
              <a:ea typeface="+mn-ea"/>
              <a:cs typeface="+mn-cs"/>
            </a:rPr>
            <a:t>Funcionários</a:t>
          </a:r>
        </a:p>
      </xdr:txBody>
    </xdr:sp>
    <xdr:clientData/>
  </xdr:twoCellAnchor>
  <xdr:twoCellAnchor editAs="absolute">
    <xdr:from>
      <xdr:col>3</xdr:col>
      <xdr:colOff>267761</xdr:colOff>
      <xdr:row>1</xdr:row>
      <xdr:rowOff>241300</xdr:rowOff>
    </xdr:from>
    <xdr:to>
      <xdr:col>3</xdr:col>
      <xdr:colOff>1416191</xdr:colOff>
      <xdr:row>3</xdr:row>
      <xdr:rowOff>26957</xdr:rowOff>
    </xdr:to>
    <xdr:sp macro="" textlink="">
      <xdr:nvSpPr>
        <xdr:cNvPr id="22" name="Retângulo 21">
          <a:hlinkClick xmlns:r="http://schemas.openxmlformats.org/officeDocument/2006/relationships" r:id="rId18" tooltip="Clique para ir para Responsáveis"/>
        </xdr:cNvPr>
        <xdr:cNvSpPr/>
      </xdr:nvSpPr>
      <xdr:spPr>
        <a:xfrm>
          <a:off x="5789086" y="687917"/>
          <a:ext cx="1188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a:solidFill>
                <a:schemeClr val="lt1"/>
              </a:solidFill>
              <a:latin typeface="+mn-lt"/>
              <a:ea typeface="+mn-ea"/>
              <a:cs typeface="+mn-cs"/>
            </a:rPr>
            <a:t>Jornada</a:t>
          </a: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3</xdr:col>
      <xdr:colOff>357717</xdr:colOff>
      <xdr:row>0</xdr:row>
      <xdr:rowOff>120650</xdr:rowOff>
    </xdr:from>
    <xdr:to>
      <xdr:col>11</xdr:col>
      <xdr:colOff>170052</xdr:colOff>
      <xdr:row>2</xdr:row>
      <xdr:rowOff>224004</xdr:rowOff>
    </xdr:to>
    <xdr:sp macro="" textlink="">
      <xdr:nvSpPr>
        <xdr:cNvPr id="2" name="CaixaDeTexto 1"/>
        <xdr:cNvSpPr txBox="1"/>
      </xdr:nvSpPr>
      <xdr:spPr>
        <a:xfrm>
          <a:off x="5540111" y="133350"/>
          <a:ext cx="8957733"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tx1"/>
              </a:solidFill>
              <a:effectLst/>
              <a:latin typeface="+mn-lt"/>
              <a:ea typeface="+mn-ea"/>
              <a:cs typeface="+mn-cs"/>
            </a:rPr>
            <a:t>Esta é a parte mais importante da planilha, pois é aqui que você definirá as premissas necessárias que ajudarão a planilha gerar</a:t>
          </a:r>
          <a:r>
            <a:rPr lang="pt-BR" sz="1100" baseline="0">
              <a:solidFill>
                <a:schemeClr val="tx1"/>
              </a:solidFill>
              <a:effectLst/>
              <a:latin typeface="+mn-lt"/>
              <a:ea typeface="+mn-ea"/>
              <a:cs typeface="+mn-cs"/>
            </a:rPr>
            <a:t> os resultados consolidados, gráficos e dicas. Atente-se para que o cadastro e lançamento das horas, você deve digitar as horas separadas por : (dois pontos) dos minutos.</a:t>
          </a:r>
          <a:endParaRPr lang="pt-BR">
            <a:effectLst/>
          </a:endParaRPr>
        </a:p>
        <a:p>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520543"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154520</xdr:rowOff>
    </xdr:from>
    <xdr:to>
      <xdr:col>0</xdr:col>
      <xdr:colOff>1636846</xdr:colOff>
      <xdr:row>2</xdr:row>
      <xdr:rowOff>154520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520356"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10</xdr:row>
      <xdr:rowOff>255058</xdr:rowOff>
    </xdr:from>
    <xdr:to>
      <xdr:col>0</xdr:col>
      <xdr:colOff>1622973</xdr:colOff>
      <xdr:row>10</xdr:row>
      <xdr:rowOff>255058</xdr:rowOff>
    </xdr:to>
    <xdr:cxnSp macro="">
      <xdr:nvCxnSpPr>
        <xdr:cNvPr id="6" name="Conector reto 5"/>
        <xdr:cNvCxnSpPr/>
      </xdr:nvCxnSpPr>
      <xdr:spPr>
        <a:xfrm>
          <a:off x="152400" y="3941233"/>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12700</xdr:colOff>
      <xdr:row>4</xdr:row>
      <xdr:rowOff>232380</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12700</xdr:colOff>
      <xdr:row>5</xdr:row>
      <xdr:rowOff>180975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1. Premissas Gerais</a:t>
          </a:r>
        </a:p>
      </xdr:txBody>
    </xdr:sp>
    <xdr:clientData/>
  </xdr:twoCellAnchor>
  <xdr:twoCellAnchor editAs="absolute">
    <xdr:from>
      <xdr:col>0</xdr:col>
      <xdr:colOff>12700</xdr:colOff>
      <xdr:row>5</xdr:row>
      <xdr:rowOff>231775</xdr:rowOff>
    </xdr:from>
    <xdr:to>
      <xdr:col>1</xdr:col>
      <xdr:colOff>12700</xdr:colOff>
      <xdr:row>6</xdr:row>
      <xdr:rowOff>118143</xdr:rowOff>
    </xdr:to>
    <xdr:sp macro="" textlink="">
      <xdr:nvSpPr>
        <xdr:cNvPr id="9" name="Retângulo 8">
          <a:hlinkClick xmlns:r="http://schemas.openxmlformats.org/officeDocument/2006/relationships" r:id="rId4"/>
        </xdr:cNvPr>
        <xdr:cNvSpPr/>
      </xdr:nvSpPr>
      <xdr:spPr>
        <a:xfrm>
          <a:off x="12700" y="1968500"/>
          <a:ext cx="1847850" cy="258233"/>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Lançamentos Mensais</a:t>
          </a:r>
        </a:p>
      </xdr:txBody>
    </xdr:sp>
    <xdr:clientData/>
  </xdr:twoCellAnchor>
  <xdr:twoCellAnchor editAs="absolute">
    <xdr:from>
      <xdr:col>0</xdr:col>
      <xdr:colOff>12700</xdr:colOff>
      <xdr:row>6</xdr:row>
      <xdr:rowOff>180975</xdr:rowOff>
    </xdr:from>
    <xdr:to>
      <xdr:col>1</xdr:col>
      <xdr:colOff>12700</xdr:colOff>
      <xdr:row>7</xdr:row>
      <xdr:rowOff>1058</xdr:rowOff>
    </xdr:to>
    <xdr:sp macro="" textlink="">
      <xdr:nvSpPr>
        <xdr:cNvPr id="10" name="Retângulo 9">
          <a:hlinkClick xmlns:r="http://schemas.openxmlformats.org/officeDocument/2006/relationships" r:id="rId5"/>
        </xdr:cNvPr>
        <xdr:cNvSpPr/>
      </xdr:nvSpPr>
      <xdr:spPr>
        <a:xfrm>
          <a:off x="12700" y="2290233"/>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7</xdr:row>
      <xdr:rowOff>64558</xdr:rowOff>
    </xdr:from>
    <xdr:to>
      <xdr:col>1</xdr:col>
      <xdr:colOff>12700</xdr:colOff>
      <xdr:row>7</xdr:row>
      <xdr:rowOff>309151</xdr:rowOff>
    </xdr:to>
    <xdr:sp macro="" textlink="">
      <xdr:nvSpPr>
        <xdr:cNvPr id="11" name="Retângulo 10">
          <a:hlinkClick xmlns:r="http://schemas.openxmlformats.org/officeDocument/2006/relationships" r:id="rId6"/>
        </xdr:cNvPr>
        <xdr:cNvSpPr/>
      </xdr:nvSpPr>
      <xdr:spPr>
        <a:xfrm>
          <a:off x="12700" y="2607733"/>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1058</xdr:rowOff>
    </xdr:from>
    <xdr:to>
      <xdr:col>1</xdr:col>
      <xdr:colOff>12700</xdr:colOff>
      <xdr:row>8</xdr:row>
      <xdr:rowOff>255058</xdr:rowOff>
    </xdr:to>
    <xdr:sp macro="" textlink="">
      <xdr:nvSpPr>
        <xdr:cNvPr id="12" name="Retângulo 11">
          <a:hlinkClick xmlns:r="http://schemas.openxmlformats.org/officeDocument/2006/relationships" r:id="rId7"/>
        </xdr:cNvPr>
        <xdr:cNvSpPr/>
      </xdr:nvSpPr>
      <xdr:spPr>
        <a:xfrm>
          <a:off x="12700" y="2925233"/>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8</xdr:row>
      <xdr:rowOff>309033</xdr:rowOff>
    </xdr:from>
    <xdr:to>
      <xdr:col>1</xdr:col>
      <xdr:colOff>12700</xdr:colOff>
      <xdr:row>9</xdr:row>
      <xdr:rowOff>191802</xdr:rowOff>
    </xdr:to>
    <xdr:sp macro="" textlink="">
      <xdr:nvSpPr>
        <xdr:cNvPr id="13" name="Retângulo 12">
          <a:hlinkClick xmlns:r="http://schemas.openxmlformats.org/officeDocument/2006/relationships" r:id="rId8"/>
        </xdr:cNvPr>
        <xdr:cNvSpPr/>
      </xdr:nvSpPr>
      <xdr:spPr>
        <a:xfrm>
          <a:off x="12700" y="3242733"/>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9</xdr:row>
      <xdr:rowOff>255058</xdr:rowOff>
    </xdr:from>
    <xdr:to>
      <xdr:col>1</xdr:col>
      <xdr:colOff>12700</xdr:colOff>
      <xdr:row>10</xdr:row>
      <xdr:rowOff>118651</xdr:rowOff>
    </xdr:to>
    <xdr:sp macro="" textlink="">
      <xdr:nvSpPr>
        <xdr:cNvPr id="14" name="Retângulo 13">
          <a:hlinkClick xmlns:r="http://schemas.openxmlformats.org/officeDocument/2006/relationships" r:id="rId9"/>
        </xdr:cNvPr>
        <xdr:cNvSpPr/>
      </xdr:nvSpPr>
      <xdr:spPr>
        <a:xfrm>
          <a:off x="12700" y="3560233"/>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1058</xdr:rowOff>
    </xdr:from>
    <xdr:to>
      <xdr:col>1</xdr:col>
      <xdr:colOff>12700</xdr:colOff>
      <xdr:row>11</xdr:row>
      <xdr:rowOff>255058</xdr:rowOff>
    </xdr:to>
    <xdr:sp macro="" textlink="">
      <xdr:nvSpPr>
        <xdr:cNvPr id="15" name="Retângulo 14">
          <a:hlinkClick xmlns:r="http://schemas.openxmlformats.org/officeDocument/2006/relationships" r:id="rId10"/>
        </xdr:cNvPr>
        <xdr:cNvSpPr/>
      </xdr:nvSpPr>
      <xdr:spPr>
        <a:xfrm>
          <a:off x="12700" y="4068233"/>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11</xdr:row>
      <xdr:rowOff>309033</xdr:rowOff>
    </xdr:from>
    <xdr:to>
      <xdr:col>1</xdr:col>
      <xdr:colOff>12700</xdr:colOff>
      <xdr:row>12</xdr:row>
      <xdr:rowOff>191802</xdr:rowOff>
    </xdr:to>
    <xdr:sp macro="" textlink="">
      <xdr:nvSpPr>
        <xdr:cNvPr id="16" name="Retângulo 15">
          <a:hlinkClick xmlns:r="http://schemas.openxmlformats.org/officeDocument/2006/relationships" r:id="rId11"/>
        </xdr:cNvPr>
        <xdr:cNvSpPr/>
      </xdr:nvSpPr>
      <xdr:spPr>
        <a:xfrm>
          <a:off x="12700" y="4385733"/>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12</xdr:row>
      <xdr:rowOff>255058</xdr:rowOff>
    </xdr:from>
    <xdr:to>
      <xdr:col>1</xdr:col>
      <xdr:colOff>12700</xdr:colOff>
      <xdr:row>13</xdr:row>
      <xdr:rowOff>118651</xdr:rowOff>
    </xdr:to>
    <xdr:sp macro="" textlink="">
      <xdr:nvSpPr>
        <xdr:cNvPr id="17" name="Retângulo 16">
          <a:hlinkClick xmlns:r="http://schemas.openxmlformats.org/officeDocument/2006/relationships" r:id="rId12"/>
        </xdr:cNvPr>
        <xdr:cNvSpPr/>
      </xdr:nvSpPr>
      <xdr:spPr>
        <a:xfrm>
          <a:off x="12700" y="4703233"/>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2</xdr:col>
      <xdr:colOff>2882901</xdr:colOff>
      <xdr:row>0</xdr:row>
      <xdr:rowOff>177800</xdr:rowOff>
    </xdr:from>
    <xdr:to>
      <xdr:col>2</xdr:col>
      <xdr:colOff>3242901</xdr:colOff>
      <xdr:row>1</xdr:row>
      <xdr:rowOff>74178</xdr:rowOff>
    </xdr:to>
    <xdr:pic>
      <xdr:nvPicPr>
        <xdr:cNvPr id="520558"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5295901" y="177800"/>
          <a:ext cx="360000" cy="3197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2</xdr:col>
      <xdr:colOff>0</xdr:colOff>
      <xdr:row>1</xdr:row>
      <xdr:rowOff>254000</xdr:rowOff>
    </xdr:from>
    <xdr:to>
      <xdr:col>2</xdr:col>
      <xdr:colOff>1146186</xdr:colOff>
      <xdr:row>3</xdr:row>
      <xdr:rowOff>12834</xdr:rowOff>
    </xdr:to>
    <xdr:sp macro="" textlink="">
      <xdr:nvSpPr>
        <xdr:cNvPr id="19" name="Retângulo 18">
          <a:hlinkClick xmlns:r="http://schemas.openxmlformats.org/officeDocument/2006/relationships" r:id="rId15" tooltip="Clique para ir para Áreas da Empresa"/>
        </xdr:cNvPr>
        <xdr:cNvSpPr/>
      </xdr:nvSpPr>
      <xdr:spPr>
        <a:xfrm>
          <a:off x="2106083" y="687917"/>
          <a:ext cx="1188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a:solidFill>
                <a:schemeClr val="lt1"/>
              </a:solidFill>
              <a:latin typeface="+mn-lt"/>
              <a:ea typeface="+mn-ea"/>
              <a:cs typeface="+mn-cs"/>
            </a:rPr>
            <a:t>Premissas Gerais</a:t>
          </a:r>
        </a:p>
      </xdr:txBody>
    </xdr:sp>
    <xdr:clientData/>
  </xdr:twoCellAnchor>
  <xdr:twoCellAnchor editAs="absolute">
    <xdr:from>
      <xdr:col>2</xdr:col>
      <xdr:colOff>1187023</xdr:colOff>
      <xdr:row>1</xdr:row>
      <xdr:rowOff>254000</xdr:rowOff>
    </xdr:from>
    <xdr:to>
      <xdr:col>2</xdr:col>
      <xdr:colOff>2316564</xdr:colOff>
      <xdr:row>3</xdr:row>
      <xdr:rowOff>12834</xdr:rowOff>
    </xdr:to>
    <xdr:sp macro="" textlink="">
      <xdr:nvSpPr>
        <xdr:cNvPr id="20" name="Retângulo 19">
          <a:hlinkClick xmlns:r="http://schemas.openxmlformats.org/officeDocument/2006/relationships" r:id="rId16" tooltip="Clique para ir para Responsáveis"/>
        </xdr:cNvPr>
        <xdr:cNvSpPr/>
      </xdr:nvSpPr>
      <xdr:spPr>
        <a:xfrm>
          <a:off x="3331206" y="687917"/>
          <a:ext cx="1188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a:solidFill>
                <a:schemeClr val="lt1"/>
              </a:solidFill>
              <a:latin typeface="+mn-lt"/>
              <a:ea typeface="+mn-ea"/>
              <a:cs typeface="+mn-cs"/>
            </a:rPr>
            <a:t>Departamentos</a:t>
          </a:r>
        </a:p>
      </xdr:txBody>
    </xdr:sp>
    <xdr:clientData/>
  </xdr:twoCellAnchor>
  <xdr:twoCellAnchor editAs="absolute">
    <xdr:from>
      <xdr:col>2</xdr:col>
      <xdr:colOff>2356909</xdr:colOff>
      <xdr:row>1</xdr:row>
      <xdr:rowOff>254000</xdr:rowOff>
    </xdr:from>
    <xdr:to>
      <xdr:col>3</xdr:col>
      <xdr:colOff>543419</xdr:colOff>
      <xdr:row>3</xdr:row>
      <xdr:rowOff>12834</xdr:rowOff>
    </xdr:to>
    <xdr:sp macro="" textlink="">
      <xdr:nvSpPr>
        <xdr:cNvPr id="21" name="Retângulo 20">
          <a:hlinkClick xmlns:r="http://schemas.openxmlformats.org/officeDocument/2006/relationships" r:id="rId17" tooltip="Clique para ir para Responsáveis"/>
        </xdr:cNvPr>
        <xdr:cNvSpPr/>
      </xdr:nvSpPr>
      <xdr:spPr>
        <a:xfrm>
          <a:off x="4561417" y="687917"/>
          <a:ext cx="1188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a:solidFill>
                <a:schemeClr val="lt1"/>
              </a:solidFill>
              <a:latin typeface="+mn-lt"/>
              <a:ea typeface="+mn-ea"/>
              <a:cs typeface="+mn-cs"/>
            </a:rPr>
            <a:t>Funcionários</a:t>
          </a:r>
        </a:p>
      </xdr:txBody>
    </xdr:sp>
    <xdr:clientData/>
  </xdr:twoCellAnchor>
  <xdr:twoCellAnchor editAs="absolute">
    <xdr:from>
      <xdr:col>3</xdr:col>
      <xdr:colOff>571503</xdr:colOff>
      <xdr:row>1</xdr:row>
      <xdr:rowOff>254000</xdr:rowOff>
    </xdr:from>
    <xdr:to>
      <xdr:col>4</xdr:col>
      <xdr:colOff>228115</xdr:colOff>
      <xdr:row>3</xdr:row>
      <xdr:rowOff>12834</xdr:rowOff>
    </xdr:to>
    <xdr:sp macro="" textlink="">
      <xdr:nvSpPr>
        <xdr:cNvPr id="22" name="Retângulo 21">
          <a:hlinkClick xmlns:r="http://schemas.openxmlformats.org/officeDocument/2006/relationships" r:id="rId18" tooltip="Clique para ir para Responsáveis"/>
        </xdr:cNvPr>
        <xdr:cNvSpPr/>
      </xdr:nvSpPr>
      <xdr:spPr>
        <a:xfrm>
          <a:off x="5789086" y="687917"/>
          <a:ext cx="1188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bg1"/>
              </a:solidFill>
              <a:latin typeface="+mn-lt"/>
              <a:ea typeface="+mn-ea"/>
              <a:cs typeface="+mn-cs"/>
            </a:rPr>
            <a:t>Jornada</a:t>
          </a: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5</xdr:col>
      <xdr:colOff>617714</xdr:colOff>
      <xdr:row>0</xdr:row>
      <xdr:rowOff>120650</xdr:rowOff>
    </xdr:from>
    <xdr:to>
      <xdr:col>16</xdr:col>
      <xdr:colOff>158504</xdr:colOff>
      <xdr:row>1</xdr:row>
      <xdr:rowOff>134103</xdr:rowOff>
    </xdr:to>
    <xdr:sp macro="" textlink="">
      <xdr:nvSpPr>
        <xdr:cNvPr id="2" name="CaixaDeTexto 1"/>
        <xdr:cNvSpPr txBox="1"/>
      </xdr:nvSpPr>
      <xdr:spPr>
        <a:xfrm>
          <a:off x="5288492" y="120650"/>
          <a:ext cx="60319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Esta parte da planilha é a mais</a:t>
          </a:r>
          <a:r>
            <a:rPr lang="pt-BR" sz="1100" baseline="0"/>
            <a:t> utilizada, pois através dela, são inseridas as horas trabalhadas de cada funcionário para cada mês específico. Nesta parte serão definidas as horas extras trabalhadas.</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619626"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4051"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11</xdr:row>
      <xdr:rowOff>226836</xdr:rowOff>
    </xdr:from>
    <xdr:to>
      <xdr:col>0</xdr:col>
      <xdr:colOff>1622973</xdr:colOff>
      <xdr:row>11</xdr:row>
      <xdr:rowOff>226836</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6</xdr:row>
      <xdr:rowOff>99836</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163336</xdr:rowOff>
    </xdr:from>
    <xdr:to>
      <xdr:col>1</xdr:col>
      <xdr:colOff>15929</xdr:colOff>
      <xdr:row>7</xdr:row>
      <xdr:rowOff>36336</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7</xdr:row>
      <xdr:rowOff>99836</xdr:rowOff>
    </xdr:from>
    <xdr:to>
      <xdr:col>1</xdr:col>
      <xdr:colOff>15929</xdr:colOff>
      <xdr:row>7</xdr:row>
      <xdr:rowOff>353836</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36336</xdr:rowOff>
    </xdr:from>
    <xdr:to>
      <xdr:col>1</xdr:col>
      <xdr:colOff>15929</xdr:colOff>
      <xdr:row>8</xdr:row>
      <xdr:rowOff>290336</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353836</xdr:rowOff>
    </xdr:from>
    <xdr:to>
      <xdr:col>1</xdr:col>
      <xdr:colOff>15929</xdr:colOff>
      <xdr:row>9</xdr:row>
      <xdr:rowOff>226836</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9</xdr:row>
      <xdr:rowOff>290336</xdr:rowOff>
    </xdr:from>
    <xdr:to>
      <xdr:col>1</xdr:col>
      <xdr:colOff>15929</xdr:colOff>
      <xdr:row>10</xdr:row>
      <xdr:rowOff>163336</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10</xdr:row>
      <xdr:rowOff>226836</xdr:rowOff>
    </xdr:from>
    <xdr:to>
      <xdr:col>1</xdr:col>
      <xdr:colOff>15929</xdr:colOff>
      <xdr:row>11</xdr:row>
      <xdr:rowOff>99836</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353836</xdr:rowOff>
    </xdr:from>
    <xdr:to>
      <xdr:col>1</xdr:col>
      <xdr:colOff>15929</xdr:colOff>
      <xdr:row>12</xdr:row>
      <xdr:rowOff>226836</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290336</xdr:rowOff>
    </xdr:from>
    <xdr:to>
      <xdr:col>1</xdr:col>
      <xdr:colOff>15929</xdr:colOff>
      <xdr:row>13</xdr:row>
      <xdr:rowOff>163336</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13</xdr:row>
      <xdr:rowOff>226836</xdr:rowOff>
    </xdr:from>
    <xdr:to>
      <xdr:col>1</xdr:col>
      <xdr:colOff>15929</xdr:colOff>
      <xdr:row>14</xdr:row>
      <xdr:rowOff>99836</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304800</xdr:colOff>
      <xdr:row>0</xdr:row>
      <xdr:rowOff>177800</xdr:rowOff>
    </xdr:from>
    <xdr:to>
      <xdr:col>5</xdr:col>
      <xdr:colOff>647700</xdr:colOff>
      <xdr:row>1</xdr:row>
      <xdr:rowOff>101600</xdr:rowOff>
    </xdr:to>
    <xdr:pic>
      <xdr:nvPicPr>
        <xdr:cNvPr id="619641" name="Imagem 29">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78400" y="1778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5</xdr:col>
      <xdr:colOff>702381</xdr:colOff>
      <xdr:row>0</xdr:row>
      <xdr:rowOff>120650</xdr:rowOff>
    </xdr:from>
    <xdr:to>
      <xdr:col>16</xdr:col>
      <xdr:colOff>468947</xdr:colOff>
      <xdr:row>1</xdr:row>
      <xdr:rowOff>134103</xdr:rowOff>
    </xdr:to>
    <xdr:sp macro="" textlink="">
      <xdr:nvSpPr>
        <xdr:cNvPr id="2" name="CaixaDeTexto 1"/>
        <xdr:cNvSpPr txBox="1"/>
      </xdr:nvSpPr>
      <xdr:spPr>
        <a:xfrm>
          <a:off x="5288492" y="120650"/>
          <a:ext cx="60319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Esta parte da planilha é a mais</a:t>
          </a:r>
          <a:r>
            <a:rPr lang="pt-BR" sz="1100" baseline="0"/>
            <a:t> utilizada, pois através dela são inseridas as horas trabalhadas de cada funcionário para cada mês específico. Nesta parte serão definidas as horas extras trabalhadas.</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629860"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24525"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11</xdr:row>
      <xdr:rowOff>212725</xdr:rowOff>
    </xdr:from>
    <xdr:to>
      <xdr:col>0</xdr:col>
      <xdr:colOff>1622973</xdr:colOff>
      <xdr:row>11</xdr:row>
      <xdr:rowOff>212725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149225</xdr:rowOff>
    </xdr:from>
    <xdr:to>
      <xdr:col>1</xdr:col>
      <xdr:colOff>15929</xdr:colOff>
      <xdr:row>7</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7</xdr:row>
      <xdr:rowOff>85725</xdr:rowOff>
    </xdr:from>
    <xdr:to>
      <xdr:col>1</xdr:col>
      <xdr:colOff>15929</xdr:colOff>
      <xdr:row>7</xdr:row>
      <xdr:rowOff>339725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22225</xdr:rowOff>
    </xdr:from>
    <xdr:to>
      <xdr:col>1</xdr:col>
      <xdr:colOff>15929</xdr:colOff>
      <xdr:row>8</xdr:row>
      <xdr:rowOff>276225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339725</xdr:rowOff>
    </xdr:from>
    <xdr:to>
      <xdr:col>1</xdr:col>
      <xdr:colOff>15929</xdr:colOff>
      <xdr:row>9</xdr:row>
      <xdr:rowOff>212725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9</xdr:row>
      <xdr:rowOff>276225</xdr:rowOff>
    </xdr:from>
    <xdr:to>
      <xdr:col>1</xdr:col>
      <xdr:colOff>15929</xdr:colOff>
      <xdr:row>10</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10</xdr:row>
      <xdr:rowOff>212725</xdr:rowOff>
    </xdr:from>
    <xdr:to>
      <xdr:col>1</xdr:col>
      <xdr:colOff>15929</xdr:colOff>
      <xdr:row>11</xdr:row>
      <xdr:rowOff>85725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339725</xdr:rowOff>
    </xdr:from>
    <xdr:to>
      <xdr:col>1</xdr:col>
      <xdr:colOff>15929</xdr:colOff>
      <xdr:row>12</xdr:row>
      <xdr:rowOff>212725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276225</xdr:rowOff>
    </xdr:from>
    <xdr:to>
      <xdr:col>1</xdr:col>
      <xdr:colOff>15929</xdr:colOff>
      <xdr:row>13</xdr:row>
      <xdr:rowOff>149225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13</xdr:row>
      <xdr:rowOff>212725</xdr:rowOff>
    </xdr:from>
    <xdr:to>
      <xdr:col>1</xdr:col>
      <xdr:colOff>15929</xdr:colOff>
      <xdr:row>14</xdr:row>
      <xdr:rowOff>85725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304800</xdr:colOff>
      <xdr:row>0</xdr:row>
      <xdr:rowOff>177800</xdr:rowOff>
    </xdr:from>
    <xdr:to>
      <xdr:col>5</xdr:col>
      <xdr:colOff>730956</xdr:colOff>
      <xdr:row>1</xdr:row>
      <xdr:rowOff>101600</xdr:rowOff>
    </xdr:to>
    <xdr:pic>
      <xdr:nvPicPr>
        <xdr:cNvPr id="629875"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78400" y="1778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5</xdr:col>
      <xdr:colOff>702381</xdr:colOff>
      <xdr:row>0</xdr:row>
      <xdr:rowOff>120650</xdr:rowOff>
    </xdr:from>
    <xdr:to>
      <xdr:col>16</xdr:col>
      <xdr:colOff>567725</xdr:colOff>
      <xdr:row>1</xdr:row>
      <xdr:rowOff>134103</xdr:rowOff>
    </xdr:to>
    <xdr:sp macro="" textlink="">
      <xdr:nvSpPr>
        <xdr:cNvPr id="2" name="CaixaDeTexto 1"/>
        <xdr:cNvSpPr txBox="1"/>
      </xdr:nvSpPr>
      <xdr:spPr>
        <a:xfrm>
          <a:off x="5288492" y="120650"/>
          <a:ext cx="60319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Esta parte da planilha é a mais</a:t>
          </a:r>
          <a:r>
            <a:rPr lang="pt-BR" sz="1100" baseline="0"/>
            <a:t> utilizada, pois através dela são inseridas as horas trabalhadas de cada funcionário para cada mês específico. Nesta parte serão definidas as horas extras trabalhadas.</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630877"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25542"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11</xdr:row>
      <xdr:rowOff>212725</xdr:rowOff>
    </xdr:from>
    <xdr:to>
      <xdr:col>0</xdr:col>
      <xdr:colOff>1622973</xdr:colOff>
      <xdr:row>11</xdr:row>
      <xdr:rowOff>212725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149225</xdr:rowOff>
    </xdr:from>
    <xdr:to>
      <xdr:col>1</xdr:col>
      <xdr:colOff>15929</xdr:colOff>
      <xdr:row>7</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7</xdr:row>
      <xdr:rowOff>85725</xdr:rowOff>
    </xdr:from>
    <xdr:to>
      <xdr:col>1</xdr:col>
      <xdr:colOff>15929</xdr:colOff>
      <xdr:row>7</xdr:row>
      <xdr:rowOff>339725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22225</xdr:rowOff>
    </xdr:from>
    <xdr:to>
      <xdr:col>1</xdr:col>
      <xdr:colOff>15929</xdr:colOff>
      <xdr:row>8</xdr:row>
      <xdr:rowOff>276225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339725</xdr:rowOff>
    </xdr:from>
    <xdr:to>
      <xdr:col>1</xdr:col>
      <xdr:colOff>15929</xdr:colOff>
      <xdr:row>9</xdr:row>
      <xdr:rowOff>212725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9</xdr:row>
      <xdr:rowOff>276225</xdr:rowOff>
    </xdr:from>
    <xdr:to>
      <xdr:col>1</xdr:col>
      <xdr:colOff>15929</xdr:colOff>
      <xdr:row>10</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10</xdr:row>
      <xdr:rowOff>212725</xdr:rowOff>
    </xdr:from>
    <xdr:to>
      <xdr:col>1</xdr:col>
      <xdr:colOff>15929</xdr:colOff>
      <xdr:row>11</xdr:row>
      <xdr:rowOff>85725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339725</xdr:rowOff>
    </xdr:from>
    <xdr:to>
      <xdr:col>1</xdr:col>
      <xdr:colOff>15929</xdr:colOff>
      <xdr:row>12</xdr:row>
      <xdr:rowOff>212725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276225</xdr:rowOff>
    </xdr:from>
    <xdr:to>
      <xdr:col>1</xdr:col>
      <xdr:colOff>15929</xdr:colOff>
      <xdr:row>13</xdr:row>
      <xdr:rowOff>149225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13</xdr:row>
      <xdr:rowOff>212725</xdr:rowOff>
    </xdr:from>
    <xdr:to>
      <xdr:col>1</xdr:col>
      <xdr:colOff>15929</xdr:colOff>
      <xdr:row>14</xdr:row>
      <xdr:rowOff>85725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304800</xdr:colOff>
      <xdr:row>0</xdr:row>
      <xdr:rowOff>177800</xdr:rowOff>
    </xdr:from>
    <xdr:to>
      <xdr:col>5</xdr:col>
      <xdr:colOff>730956</xdr:colOff>
      <xdr:row>1</xdr:row>
      <xdr:rowOff>101600</xdr:rowOff>
    </xdr:to>
    <xdr:pic>
      <xdr:nvPicPr>
        <xdr:cNvPr id="630892"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78400" y="1778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5</xdr:col>
      <xdr:colOff>702381</xdr:colOff>
      <xdr:row>0</xdr:row>
      <xdr:rowOff>120650</xdr:rowOff>
    </xdr:from>
    <xdr:to>
      <xdr:col>16</xdr:col>
      <xdr:colOff>567725</xdr:colOff>
      <xdr:row>1</xdr:row>
      <xdr:rowOff>134103</xdr:rowOff>
    </xdr:to>
    <xdr:sp macro="" textlink="">
      <xdr:nvSpPr>
        <xdr:cNvPr id="2" name="CaixaDeTexto 1"/>
        <xdr:cNvSpPr txBox="1"/>
      </xdr:nvSpPr>
      <xdr:spPr>
        <a:xfrm>
          <a:off x="5288492" y="120650"/>
          <a:ext cx="60319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Esta parte da planilha é a mais</a:t>
          </a:r>
          <a:r>
            <a:rPr lang="pt-BR" sz="1100" baseline="0"/>
            <a:t> utilizada, pois através dela são inseridas as horas trabalhadas de cada funcionário para cada mês específico. Nesta parte serão definidas as horas extras trabalhadas.</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631901"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26566"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11</xdr:row>
      <xdr:rowOff>212725</xdr:rowOff>
    </xdr:from>
    <xdr:to>
      <xdr:col>0</xdr:col>
      <xdr:colOff>1622973</xdr:colOff>
      <xdr:row>11</xdr:row>
      <xdr:rowOff>212725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149225</xdr:rowOff>
    </xdr:from>
    <xdr:to>
      <xdr:col>1</xdr:col>
      <xdr:colOff>15929</xdr:colOff>
      <xdr:row>7</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7</xdr:row>
      <xdr:rowOff>85725</xdr:rowOff>
    </xdr:from>
    <xdr:to>
      <xdr:col>1</xdr:col>
      <xdr:colOff>15929</xdr:colOff>
      <xdr:row>7</xdr:row>
      <xdr:rowOff>339725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22225</xdr:rowOff>
    </xdr:from>
    <xdr:to>
      <xdr:col>1</xdr:col>
      <xdr:colOff>15929</xdr:colOff>
      <xdr:row>8</xdr:row>
      <xdr:rowOff>276225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339725</xdr:rowOff>
    </xdr:from>
    <xdr:to>
      <xdr:col>1</xdr:col>
      <xdr:colOff>15929</xdr:colOff>
      <xdr:row>9</xdr:row>
      <xdr:rowOff>212725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9</xdr:row>
      <xdr:rowOff>276225</xdr:rowOff>
    </xdr:from>
    <xdr:to>
      <xdr:col>1</xdr:col>
      <xdr:colOff>15929</xdr:colOff>
      <xdr:row>10</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10</xdr:row>
      <xdr:rowOff>212725</xdr:rowOff>
    </xdr:from>
    <xdr:to>
      <xdr:col>1</xdr:col>
      <xdr:colOff>15929</xdr:colOff>
      <xdr:row>11</xdr:row>
      <xdr:rowOff>85725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339725</xdr:rowOff>
    </xdr:from>
    <xdr:to>
      <xdr:col>1</xdr:col>
      <xdr:colOff>15929</xdr:colOff>
      <xdr:row>12</xdr:row>
      <xdr:rowOff>212725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276225</xdr:rowOff>
    </xdr:from>
    <xdr:to>
      <xdr:col>1</xdr:col>
      <xdr:colOff>15929</xdr:colOff>
      <xdr:row>13</xdr:row>
      <xdr:rowOff>149225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13</xdr:row>
      <xdr:rowOff>212725</xdr:rowOff>
    </xdr:from>
    <xdr:to>
      <xdr:col>1</xdr:col>
      <xdr:colOff>15929</xdr:colOff>
      <xdr:row>14</xdr:row>
      <xdr:rowOff>85725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304800</xdr:colOff>
      <xdr:row>0</xdr:row>
      <xdr:rowOff>177800</xdr:rowOff>
    </xdr:from>
    <xdr:to>
      <xdr:col>5</xdr:col>
      <xdr:colOff>730956</xdr:colOff>
      <xdr:row>1</xdr:row>
      <xdr:rowOff>101600</xdr:rowOff>
    </xdr:to>
    <xdr:pic>
      <xdr:nvPicPr>
        <xdr:cNvPr id="631916"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78400" y="1778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5</xdr:col>
      <xdr:colOff>702381</xdr:colOff>
      <xdr:row>0</xdr:row>
      <xdr:rowOff>120650</xdr:rowOff>
    </xdr:from>
    <xdr:to>
      <xdr:col>16</xdr:col>
      <xdr:colOff>567725</xdr:colOff>
      <xdr:row>1</xdr:row>
      <xdr:rowOff>134103</xdr:rowOff>
    </xdr:to>
    <xdr:sp macro="" textlink="">
      <xdr:nvSpPr>
        <xdr:cNvPr id="2" name="CaixaDeTexto 1"/>
        <xdr:cNvSpPr txBox="1"/>
      </xdr:nvSpPr>
      <xdr:spPr>
        <a:xfrm>
          <a:off x="5288492" y="120650"/>
          <a:ext cx="60319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Esta parte da planilha é a mais</a:t>
          </a:r>
          <a:r>
            <a:rPr lang="pt-BR" sz="1100" baseline="0"/>
            <a:t> utilizada, pois através dela são inseridas as horas trabalhadas de cada funcionário para cada mês específico. Nesta parte serão definidas as horas extras trabalhadas.</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632925"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27590"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11</xdr:row>
      <xdr:rowOff>212725</xdr:rowOff>
    </xdr:from>
    <xdr:to>
      <xdr:col>0</xdr:col>
      <xdr:colOff>1622973</xdr:colOff>
      <xdr:row>11</xdr:row>
      <xdr:rowOff>212725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149225</xdr:rowOff>
    </xdr:from>
    <xdr:to>
      <xdr:col>1</xdr:col>
      <xdr:colOff>15929</xdr:colOff>
      <xdr:row>7</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7</xdr:row>
      <xdr:rowOff>85725</xdr:rowOff>
    </xdr:from>
    <xdr:to>
      <xdr:col>1</xdr:col>
      <xdr:colOff>15929</xdr:colOff>
      <xdr:row>7</xdr:row>
      <xdr:rowOff>339725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22225</xdr:rowOff>
    </xdr:from>
    <xdr:to>
      <xdr:col>1</xdr:col>
      <xdr:colOff>15929</xdr:colOff>
      <xdr:row>8</xdr:row>
      <xdr:rowOff>276225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339725</xdr:rowOff>
    </xdr:from>
    <xdr:to>
      <xdr:col>1</xdr:col>
      <xdr:colOff>15929</xdr:colOff>
      <xdr:row>9</xdr:row>
      <xdr:rowOff>212725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9</xdr:row>
      <xdr:rowOff>276225</xdr:rowOff>
    </xdr:from>
    <xdr:to>
      <xdr:col>1</xdr:col>
      <xdr:colOff>15929</xdr:colOff>
      <xdr:row>10</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10</xdr:row>
      <xdr:rowOff>212725</xdr:rowOff>
    </xdr:from>
    <xdr:to>
      <xdr:col>1</xdr:col>
      <xdr:colOff>15929</xdr:colOff>
      <xdr:row>11</xdr:row>
      <xdr:rowOff>85725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339725</xdr:rowOff>
    </xdr:from>
    <xdr:to>
      <xdr:col>1</xdr:col>
      <xdr:colOff>15929</xdr:colOff>
      <xdr:row>12</xdr:row>
      <xdr:rowOff>212725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276225</xdr:rowOff>
    </xdr:from>
    <xdr:to>
      <xdr:col>1</xdr:col>
      <xdr:colOff>15929</xdr:colOff>
      <xdr:row>13</xdr:row>
      <xdr:rowOff>149225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13</xdr:row>
      <xdr:rowOff>212725</xdr:rowOff>
    </xdr:from>
    <xdr:to>
      <xdr:col>1</xdr:col>
      <xdr:colOff>15929</xdr:colOff>
      <xdr:row>14</xdr:row>
      <xdr:rowOff>85725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304800</xdr:colOff>
      <xdr:row>0</xdr:row>
      <xdr:rowOff>177800</xdr:rowOff>
    </xdr:from>
    <xdr:to>
      <xdr:col>5</xdr:col>
      <xdr:colOff>730956</xdr:colOff>
      <xdr:row>1</xdr:row>
      <xdr:rowOff>101600</xdr:rowOff>
    </xdr:to>
    <xdr:pic>
      <xdr:nvPicPr>
        <xdr:cNvPr id="632940"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78400" y="1778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5</xdr:col>
      <xdr:colOff>702381</xdr:colOff>
      <xdr:row>0</xdr:row>
      <xdr:rowOff>120650</xdr:rowOff>
    </xdr:from>
    <xdr:to>
      <xdr:col>16</xdr:col>
      <xdr:colOff>567725</xdr:colOff>
      <xdr:row>1</xdr:row>
      <xdr:rowOff>134103</xdr:rowOff>
    </xdr:to>
    <xdr:sp macro="" textlink="">
      <xdr:nvSpPr>
        <xdr:cNvPr id="2" name="CaixaDeTexto 1"/>
        <xdr:cNvSpPr txBox="1"/>
      </xdr:nvSpPr>
      <xdr:spPr>
        <a:xfrm>
          <a:off x="5288492" y="120650"/>
          <a:ext cx="60319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Esta parte da planilha é a mais</a:t>
          </a:r>
          <a:r>
            <a:rPr lang="pt-BR" sz="1100" baseline="0"/>
            <a:t> utilizada, pois através dela são inseridas as horas trabalhadas de cada funcionário para cada mês específico. Nesta parte serão definidas as horas extras trabalhadas.</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633949"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28614"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11</xdr:row>
      <xdr:rowOff>212725</xdr:rowOff>
    </xdr:from>
    <xdr:to>
      <xdr:col>0</xdr:col>
      <xdr:colOff>1622973</xdr:colOff>
      <xdr:row>11</xdr:row>
      <xdr:rowOff>212725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149225</xdr:rowOff>
    </xdr:from>
    <xdr:to>
      <xdr:col>1</xdr:col>
      <xdr:colOff>15929</xdr:colOff>
      <xdr:row>7</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7</xdr:row>
      <xdr:rowOff>85725</xdr:rowOff>
    </xdr:from>
    <xdr:to>
      <xdr:col>1</xdr:col>
      <xdr:colOff>15929</xdr:colOff>
      <xdr:row>7</xdr:row>
      <xdr:rowOff>339725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22225</xdr:rowOff>
    </xdr:from>
    <xdr:to>
      <xdr:col>1</xdr:col>
      <xdr:colOff>15929</xdr:colOff>
      <xdr:row>8</xdr:row>
      <xdr:rowOff>276225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339725</xdr:rowOff>
    </xdr:from>
    <xdr:to>
      <xdr:col>1</xdr:col>
      <xdr:colOff>15929</xdr:colOff>
      <xdr:row>9</xdr:row>
      <xdr:rowOff>212725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9</xdr:row>
      <xdr:rowOff>276225</xdr:rowOff>
    </xdr:from>
    <xdr:to>
      <xdr:col>1</xdr:col>
      <xdr:colOff>15929</xdr:colOff>
      <xdr:row>10</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10</xdr:row>
      <xdr:rowOff>212725</xdr:rowOff>
    </xdr:from>
    <xdr:to>
      <xdr:col>1</xdr:col>
      <xdr:colOff>15929</xdr:colOff>
      <xdr:row>11</xdr:row>
      <xdr:rowOff>85725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339725</xdr:rowOff>
    </xdr:from>
    <xdr:to>
      <xdr:col>1</xdr:col>
      <xdr:colOff>15929</xdr:colOff>
      <xdr:row>12</xdr:row>
      <xdr:rowOff>212725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276225</xdr:rowOff>
    </xdr:from>
    <xdr:to>
      <xdr:col>1</xdr:col>
      <xdr:colOff>15929</xdr:colOff>
      <xdr:row>13</xdr:row>
      <xdr:rowOff>149225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13</xdr:row>
      <xdr:rowOff>212725</xdr:rowOff>
    </xdr:from>
    <xdr:to>
      <xdr:col>1</xdr:col>
      <xdr:colOff>15929</xdr:colOff>
      <xdr:row>14</xdr:row>
      <xdr:rowOff>85725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304800</xdr:colOff>
      <xdr:row>0</xdr:row>
      <xdr:rowOff>177800</xdr:rowOff>
    </xdr:from>
    <xdr:to>
      <xdr:col>5</xdr:col>
      <xdr:colOff>730956</xdr:colOff>
      <xdr:row>1</xdr:row>
      <xdr:rowOff>101600</xdr:rowOff>
    </xdr:to>
    <xdr:pic>
      <xdr:nvPicPr>
        <xdr:cNvPr id="633964"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78400" y="1778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5</xdr:col>
      <xdr:colOff>702381</xdr:colOff>
      <xdr:row>0</xdr:row>
      <xdr:rowOff>120650</xdr:rowOff>
    </xdr:from>
    <xdr:to>
      <xdr:col>16</xdr:col>
      <xdr:colOff>567725</xdr:colOff>
      <xdr:row>1</xdr:row>
      <xdr:rowOff>134103</xdr:rowOff>
    </xdr:to>
    <xdr:sp macro="" textlink="">
      <xdr:nvSpPr>
        <xdr:cNvPr id="2" name="CaixaDeTexto 1"/>
        <xdr:cNvSpPr txBox="1"/>
      </xdr:nvSpPr>
      <xdr:spPr>
        <a:xfrm>
          <a:off x="5288492" y="120650"/>
          <a:ext cx="60319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Esta parte da planilha é a mais</a:t>
          </a:r>
          <a:r>
            <a:rPr lang="pt-BR" sz="1100" baseline="0"/>
            <a:t> utilizada, pois através dela são inseridas as horas trabalhadas de cada funcionário para cada mês específico. Nesta parte serão definidas as horas extras trabalhadas.</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634973"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29638"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11</xdr:row>
      <xdr:rowOff>212725</xdr:rowOff>
    </xdr:from>
    <xdr:to>
      <xdr:col>0</xdr:col>
      <xdr:colOff>1622973</xdr:colOff>
      <xdr:row>11</xdr:row>
      <xdr:rowOff>212725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149225</xdr:rowOff>
    </xdr:from>
    <xdr:to>
      <xdr:col>1</xdr:col>
      <xdr:colOff>15929</xdr:colOff>
      <xdr:row>7</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7</xdr:row>
      <xdr:rowOff>85725</xdr:rowOff>
    </xdr:from>
    <xdr:to>
      <xdr:col>1</xdr:col>
      <xdr:colOff>15929</xdr:colOff>
      <xdr:row>7</xdr:row>
      <xdr:rowOff>339725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22225</xdr:rowOff>
    </xdr:from>
    <xdr:to>
      <xdr:col>1</xdr:col>
      <xdr:colOff>15929</xdr:colOff>
      <xdr:row>8</xdr:row>
      <xdr:rowOff>276225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339725</xdr:rowOff>
    </xdr:from>
    <xdr:to>
      <xdr:col>1</xdr:col>
      <xdr:colOff>15929</xdr:colOff>
      <xdr:row>9</xdr:row>
      <xdr:rowOff>212725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9</xdr:row>
      <xdr:rowOff>276225</xdr:rowOff>
    </xdr:from>
    <xdr:to>
      <xdr:col>1</xdr:col>
      <xdr:colOff>15929</xdr:colOff>
      <xdr:row>10</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10</xdr:row>
      <xdr:rowOff>212725</xdr:rowOff>
    </xdr:from>
    <xdr:to>
      <xdr:col>1</xdr:col>
      <xdr:colOff>15929</xdr:colOff>
      <xdr:row>11</xdr:row>
      <xdr:rowOff>85725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339725</xdr:rowOff>
    </xdr:from>
    <xdr:to>
      <xdr:col>1</xdr:col>
      <xdr:colOff>15929</xdr:colOff>
      <xdr:row>12</xdr:row>
      <xdr:rowOff>212725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276225</xdr:rowOff>
    </xdr:from>
    <xdr:to>
      <xdr:col>1</xdr:col>
      <xdr:colOff>15929</xdr:colOff>
      <xdr:row>13</xdr:row>
      <xdr:rowOff>149225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13</xdr:row>
      <xdr:rowOff>212725</xdr:rowOff>
    </xdr:from>
    <xdr:to>
      <xdr:col>1</xdr:col>
      <xdr:colOff>15929</xdr:colOff>
      <xdr:row>14</xdr:row>
      <xdr:rowOff>85725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304800</xdr:colOff>
      <xdr:row>0</xdr:row>
      <xdr:rowOff>177800</xdr:rowOff>
    </xdr:from>
    <xdr:to>
      <xdr:col>5</xdr:col>
      <xdr:colOff>730956</xdr:colOff>
      <xdr:row>1</xdr:row>
      <xdr:rowOff>101600</xdr:rowOff>
    </xdr:to>
    <xdr:pic>
      <xdr:nvPicPr>
        <xdr:cNvPr id="634988"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78400" y="1778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5</xdr:col>
      <xdr:colOff>702381</xdr:colOff>
      <xdr:row>0</xdr:row>
      <xdr:rowOff>120650</xdr:rowOff>
    </xdr:from>
    <xdr:to>
      <xdr:col>16</xdr:col>
      <xdr:colOff>214947</xdr:colOff>
      <xdr:row>1</xdr:row>
      <xdr:rowOff>134103</xdr:rowOff>
    </xdr:to>
    <xdr:sp macro="" textlink="">
      <xdr:nvSpPr>
        <xdr:cNvPr id="2" name="CaixaDeTexto 1"/>
        <xdr:cNvSpPr txBox="1"/>
      </xdr:nvSpPr>
      <xdr:spPr>
        <a:xfrm>
          <a:off x="5288492" y="120650"/>
          <a:ext cx="60319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Esta parte da planilha é a mais</a:t>
          </a:r>
          <a:r>
            <a:rPr lang="pt-BR" sz="1100" baseline="0"/>
            <a:t> utilizada, pois através dela são inseridas as horas trabalhadas de cada funcionário para cada mês específico. Nesta parte serão definidas as horas extras trabalhadas.</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635997"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30662"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11</xdr:row>
      <xdr:rowOff>212725</xdr:rowOff>
    </xdr:from>
    <xdr:to>
      <xdr:col>0</xdr:col>
      <xdr:colOff>1622973</xdr:colOff>
      <xdr:row>11</xdr:row>
      <xdr:rowOff>212725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149225</xdr:rowOff>
    </xdr:from>
    <xdr:to>
      <xdr:col>1</xdr:col>
      <xdr:colOff>15929</xdr:colOff>
      <xdr:row>7</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7</xdr:row>
      <xdr:rowOff>85725</xdr:rowOff>
    </xdr:from>
    <xdr:to>
      <xdr:col>1</xdr:col>
      <xdr:colOff>15929</xdr:colOff>
      <xdr:row>7</xdr:row>
      <xdr:rowOff>339725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22225</xdr:rowOff>
    </xdr:from>
    <xdr:to>
      <xdr:col>1</xdr:col>
      <xdr:colOff>15929</xdr:colOff>
      <xdr:row>8</xdr:row>
      <xdr:rowOff>276225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339725</xdr:rowOff>
    </xdr:from>
    <xdr:to>
      <xdr:col>1</xdr:col>
      <xdr:colOff>15929</xdr:colOff>
      <xdr:row>9</xdr:row>
      <xdr:rowOff>212725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9</xdr:row>
      <xdr:rowOff>276225</xdr:rowOff>
    </xdr:from>
    <xdr:to>
      <xdr:col>1</xdr:col>
      <xdr:colOff>15929</xdr:colOff>
      <xdr:row>10</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10</xdr:row>
      <xdr:rowOff>212725</xdr:rowOff>
    </xdr:from>
    <xdr:to>
      <xdr:col>1</xdr:col>
      <xdr:colOff>15929</xdr:colOff>
      <xdr:row>11</xdr:row>
      <xdr:rowOff>85725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339725</xdr:rowOff>
    </xdr:from>
    <xdr:to>
      <xdr:col>1</xdr:col>
      <xdr:colOff>15929</xdr:colOff>
      <xdr:row>12</xdr:row>
      <xdr:rowOff>212725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276225</xdr:rowOff>
    </xdr:from>
    <xdr:to>
      <xdr:col>1</xdr:col>
      <xdr:colOff>15929</xdr:colOff>
      <xdr:row>13</xdr:row>
      <xdr:rowOff>149225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13</xdr:row>
      <xdr:rowOff>212725</xdr:rowOff>
    </xdr:from>
    <xdr:to>
      <xdr:col>1</xdr:col>
      <xdr:colOff>15929</xdr:colOff>
      <xdr:row>14</xdr:row>
      <xdr:rowOff>85725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304800</xdr:colOff>
      <xdr:row>0</xdr:row>
      <xdr:rowOff>177800</xdr:rowOff>
    </xdr:from>
    <xdr:to>
      <xdr:col>5</xdr:col>
      <xdr:colOff>730956</xdr:colOff>
      <xdr:row>1</xdr:row>
      <xdr:rowOff>101600</xdr:rowOff>
    </xdr:to>
    <xdr:pic>
      <xdr:nvPicPr>
        <xdr:cNvPr id="636012"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78400" y="1778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5</xdr:col>
      <xdr:colOff>702381</xdr:colOff>
      <xdr:row>0</xdr:row>
      <xdr:rowOff>120650</xdr:rowOff>
    </xdr:from>
    <xdr:to>
      <xdr:col>16</xdr:col>
      <xdr:colOff>567725</xdr:colOff>
      <xdr:row>1</xdr:row>
      <xdr:rowOff>134103</xdr:rowOff>
    </xdr:to>
    <xdr:sp macro="" textlink="">
      <xdr:nvSpPr>
        <xdr:cNvPr id="2" name="CaixaDeTexto 1"/>
        <xdr:cNvSpPr txBox="1"/>
      </xdr:nvSpPr>
      <xdr:spPr>
        <a:xfrm>
          <a:off x="5288492" y="120650"/>
          <a:ext cx="60319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Esta parte da planilha é a mais</a:t>
          </a:r>
          <a:r>
            <a:rPr lang="pt-BR" sz="1100" baseline="0"/>
            <a:t> utilizada, pois através dela são inseridas as horas trabalhadas de cada funcionário para cada mês específico. Nesta parte serão definidas as horas extras trabalhadas.</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637021"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31686"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11</xdr:row>
      <xdr:rowOff>212725</xdr:rowOff>
    </xdr:from>
    <xdr:to>
      <xdr:col>0</xdr:col>
      <xdr:colOff>1622973</xdr:colOff>
      <xdr:row>11</xdr:row>
      <xdr:rowOff>212725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149225</xdr:rowOff>
    </xdr:from>
    <xdr:to>
      <xdr:col>1</xdr:col>
      <xdr:colOff>15929</xdr:colOff>
      <xdr:row>7</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7</xdr:row>
      <xdr:rowOff>85725</xdr:rowOff>
    </xdr:from>
    <xdr:to>
      <xdr:col>1</xdr:col>
      <xdr:colOff>15929</xdr:colOff>
      <xdr:row>7</xdr:row>
      <xdr:rowOff>339725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22225</xdr:rowOff>
    </xdr:from>
    <xdr:to>
      <xdr:col>1</xdr:col>
      <xdr:colOff>15929</xdr:colOff>
      <xdr:row>8</xdr:row>
      <xdr:rowOff>276225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339725</xdr:rowOff>
    </xdr:from>
    <xdr:to>
      <xdr:col>1</xdr:col>
      <xdr:colOff>15929</xdr:colOff>
      <xdr:row>9</xdr:row>
      <xdr:rowOff>212725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9</xdr:row>
      <xdr:rowOff>276225</xdr:rowOff>
    </xdr:from>
    <xdr:to>
      <xdr:col>1</xdr:col>
      <xdr:colOff>15929</xdr:colOff>
      <xdr:row>10</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10</xdr:row>
      <xdr:rowOff>212725</xdr:rowOff>
    </xdr:from>
    <xdr:to>
      <xdr:col>1</xdr:col>
      <xdr:colOff>15929</xdr:colOff>
      <xdr:row>11</xdr:row>
      <xdr:rowOff>85725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339725</xdr:rowOff>
    </xdr:from>
    <xdr:to>
      <xdr:col>1</xdr:col>
      <xdr:colOff>15929</xdr:colOff>
      <xdr:row>12</xdr:row>
      <xdr:rowOff>212725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276225</xdr:rowOff>
    </xdr:from>
    <xdr:to>
      <xdr:col>1</xdr:col>
      <xdr:colOff>15929</xdr:colOff>
      <xdr:row>13</xdr:row>
      <xdr:rowOff>149225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13</xdr:row>
      <xdr:rowOff>212725</xdr:rowOff>
    </xdr:from>
    <xdr:to>
      <xdr:col>1</xdr:col>
      <xdr:colOff>15929</xdr:colOff>
      <xdr:row>14</xdr:row>
      <xdr:rowOff>85725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304800</xdr:colOff>
      <xdr:row>0</xdr:row>
      <xdr:rowOff>177800</xdr:rowOff>
    </xdr:from>
    <xdr:to>
      <xdr:col>5</xdr:col>
      <xdr:colOff>730956</xdr:colOff>
      <xdr:row>1</xdr:row>
      <xdr:rowOff>101600</xdr:rowOff>
    </xdr:to>
    <xdr:pic>
      <xdr:nvPicPr>
        <xdr:cNvPr id="637036"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78400" y="1778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5</xdr:col>
      <xdr:colOff>702381</xdr:colOff>
      <xdr:row>0</xdr:row>
      <xdr:rowOff>120650</xdr:rowOff>
    </xdr:from>
    <xdr:to>
      <xdr:col>16</xdr:col>
      <xdr:colOff>567725</xdr:colOff>
      <xdr:row>1</xdr:row>
      <xdr:rowOff>134103</xdr:rowOff>
    </xdr:to>
    <xdr:sp macro="" textlink="">
      <xdr:nvSpPr>
        <xdr:cNvPr id="2" name="CaixaDeTexto 1"/>
        <xdr:cNvSpPr txBox="1"/>
      </xdr:nvSpPr>
      <xdr:spPr>
        <a:xfrm>
          <a:off x="5288492" y="120650"/>
          <a:ext cx="60319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Esta parte da planilha é a mais</a:t>
          </a:r>
          <a:r>
            <a:rPr lang="pt-BR" sz="1100" baseline="0"/>
            <a:t> utilizada, pois através dela são inseridas as horas trabalhadas de cada funcionário para cada mês específico. Nesta parte serão definidas as horas extras trabalhadas.</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638046"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32711"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11</xdr:row>
      <xdr:rowOff>212725</xdr:rowOff>
    </xdr:from>
    <xdr:to>
      <xdr:col>0</xdr:col>
      <xdr:colOff>1622973</xdr:colOff>
      <xdr:row>11</xdr:row>
      <xdr:rowOff>212725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149225</xdr:rowOff>
    </xdr:from>
    <xdr:to>
      <xdr:col>1</xdr:col>
      <xdr:colOff>15929</xdr:colOff>
      <xdr:row>7</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7</xdr:row>
      <xdr:rowOff>85725</xdr:rowOff>
    </xdr:from>
    <xdr:to>
      <xdr:col>1</xdr:col>
      <xdr:colOff>15929</xdr:colOff>
      <xdr:row>7</xdr:row>
      <xdr:rowOff>339725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22225</xdr:rowOff>
    </xdr:from>
    <xdr:to>
      <xdr:col>1</xdr:col>
      <xdr:colOff>15929</xdr:colOff>
      <xdr:row>8</xdr:row>
      <xdr:rowOff>276225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339725</xdr:rowOff>
    </xdr:from>
    <xdr:to>
      <xdr:col>1</xdr:col>
      <xdr:colOff>15929</xdr:colOff>
      <xdr:row>9</xdr:row>
      <xdr:rowOff>212725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9</xdr:row>
      <xdr:rowOff>276225</xdr:rowOff>
    </xdr:from>
    <xdr:to>
      <xdr:col>1</xdr:col>
      <xdr:colOff>15929</xdr:colOff>
      <xdr:row>10</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10</xdr:row>
      <xdr:rowOff>212725</xdr:rowOff>
    </xdr:from>
    <xdr:to>
      <xdr:col>1</xdr:col>
      <xdr:colOff>15929</xdr:colOff>
      <xdr:row>11</xdr:row>
      <xdr:rowOff>85725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339725</xdr:rowOff>
    </xdr:from>
    <xdr:to>
      <xdr:col>1</xdr:col>
      <xdr:colOff>15929</xdr:colOff>
      <xdr:row>12</xdr:row>
      <xdr:rowOff>212725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276225</xdr:rowOff>
    </xdr:from>
    <xdr:to>
      <xdr:col>1</xdr:col>
      <xdr:colOff>15929</xdr:colOff>
      <xdr:row>13</xdr:row>
      <xdr:rowOff>149225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13</xdr:row>
      <xdr:rowOff>212725</xdr:rowOff>
    </xdr:from>
    <xdr:to>
      <xdr:col>1</xdr:col>
      <xdr:colOff>15929</xdr:colOff>
      <xdr:row>14</xdr:row>
      <xdr:rowOff>85725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304800</xdr:colOff>
      <xdr:row>0</xdr:row>
      <xdr:rowOff>177800</xdr:rowOff>
    </xdr:from>
    <xdr:to>
      <xdr:col>5</xdr:col>
      <xdr:colOff>730956</xdr:colOff>
      <xdr:row>1</xdr:row>
      <xdr:rowOff>101600</xdr:rowOff>
    </xdr:to>
    <xdr:pic>
      <xdr:nvPicPr>
        <xdr:cNvPr id="638061"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78400" y="1778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absolute">
    <xdr:from>
      <xdr:col>5</xdr:col>
      <xdr:colOff>702381</xdr:colOff>
      <xdr:row>0</xdr:row>
      <xdr:rowOff>120650</xdr:rowOff>
    </xdr:from>
    <xdr:to>
      <xdr:col>16</xdr:col>
      <xdr:colOff>567725</xdr:colOff>
      <xdr:row>1</xdr:row>
      <xdr:rowOff>134103</xdr:rowOff>
    </xdr:to>
    <xdr:sp macro="" textlink="">
      <xdr:nvSpPr>
        <xdr:cNvPr id="2" name="CaixaDeTexto 1"/>
        <xdr:cNvSpPr txBox="1"/>
      </xdr:nvSpPr>
      <xdr:spPr>
        <a:xfrm>
          <a:off x="5288492" y="120650"/>
          <a:ext cx="60319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Esta parte da planilha é a mais</a:t>
          </a:r>
          <a:r>
            <a:rPr lang="pt-BR" sz="1100" baseline="0"/>
            <a:t> utilizada, pois através dela são inseridas as horas trabalhadas de cada funcionário para cada mês específico. Nesta parte serão definidas as horas extras trabalhadas.</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639067"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33732"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11</xdr:row>
      <xdr:rowOff>212725</xdr:rowOff>
    </xdr:from>
    <xdr:to>
      <xdr:col>0</xdr:col>
      <xdr:colOff>1622973</xdr:colOff>
      <xdr:row>11</xdr:row>
      <xdr:rowOff>212725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149225</xdr:rowOff>
    </xdr:from>
    <xdr:to>
      <xdr:col>1</xdr:col>
      <xdr:colOff>15929</xdr:colOff>
      <xdr:row>7</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7</xdr:row>
      <xdr:rowOff>85725</xdr:rowOff>
    </xdr:from>
    <xdr:to>
      <xdr:col>1</xdr:col>
      <xdr:colOff>15929</xdr:colOff>
      <xdr:row>7</xdr:row>
      <xdr:rowOff>339725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22225</xdr:rowOff>
    </xdr:from>
    <xdr:to>
      <xdr:col>1</xdr:col>
      <xdr:colOff>15929</xdr:colOff>
      <xdr:row>8</xdr:row>
      <xdr:rowOff>276225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339725</xdr:rowOff>
    </xdr:from>
    <xdr:to>
      <xdr:col>1</xdr:col>
      <xdr:colOff>15929</xdr:colOff>
      <xdr:row>9</xdr:row>
      <xdr:rowOff>212725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9</xdr:row>
      <xdr:rowOff>276225</xdr:rowOff>
    </xdr:from>
    <xdr:to>
      <xdr:col>1</xdr:col>
      <xdr:colOff>15929</xdr:colOff>
      <xdr:row>10</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10</xdr:row>
      <xdr:rowOff>212725</xdr:rowOff>
    </xdr:from>
    <xdr:to>
      <xdr:col>1</xdr:col>
      <xdr:colOff>15929</xdr:colOff>
      <xdr:row>11</xdr:row>
      <xdr:rowOff>85725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339725</xdr:rowOff>
    </xdr:from>
    <xdr:to>
      <xdr:col>1</xdr:col>
      <xdr:colOff>15929</xdr:colOff>
      <xdr:row>12</xdr:row>
      <xdr:rowOff>212725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276225</xdr:rowOff>
    </xdr:from>
    <xdr:to>
      <xdr:col>1</xdr:col>
      <xdr:colOff>15929</xdr:colOff>
      <xdr:row>13</xdr:row>
      <xdr:rowOff>149225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13</xdr:row>
      <xdr:rowOff>212725</xdr:rowOff>
    </xdr:from>
    <xdr:to>
      <xdr:col>1</xdr:col>
      <xdr:colOff>15929</xdr:colOff>
      <xdr:row>14</xdr:row>
      <xdr:rowOff>85725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304800</xdr:colOff>
      <xdr:row>0</xdr:row>
      <xdr:rowOff>177800</xdr:rowOff>
    </xdr:from>
    <xdr:to>
      <xdr:col>5</xdr:col>
      <xdr:colOff>730956</xdr:colOff>
      <xdr:row>1</xdr:row>
      <xdr:rowOff>101600</xdr:rowOff>
    </xdr:to>
    <xdr:pic>
      <xdr:nvPicPr>
        <xdr:cNvPr id="639082"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78400" y="1778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absolute">
    <xdr:from>
      <xdr:col>5</xdr:col>
      <xdr:colOff>702381</xdr:colOff>
      <xdr:row>0</xdr:row>
      <xdr:rowOff>120650</xdr:rowOff>
    </xdr:from>
    <xdr:to>
      <xdr:col>16</xdr:col>
      <xdr:colOff>567725</xdr:colOff>
      <xdr:row>1</xdr:row>
      <xdr:rowOff>134103</xdr:rowOff>
    </xdr:to>
    <xdr:sp macro="" textlink="">
      <xdr:nvSpPr>
        <xdr:cNvPr id="2" name="CaixaDeTexto 1"/>
        <xdr:cNvSpPr txBox="1"/>
      </xdr:nvSpPr>
      <xdr:spPr>
        <a:xfrm>
          <a:off x="5288492" y="120650"/>
          <a:ext cx="60319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Esta parte da planilha é a mais</a:t>
          </a:r>
          <a:r>
            <a:rPr lang="pt-BR" sz="1100" baseline="0"/>
            <a:t> utilizada, pois através dela são inseridas as horas trabalhadas de cada funcionário para cada mês específico. Nesta parte serão definidas as horas extras trabalhadas.</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640091"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34756"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11</xdr:row>
      <xdr:rowOff>212725</xdr:rowOff>
    </xdr:from>
    <xdr:to>
      <xdr:col>0</xdr:col>
      <xdr:colOff>1622973</xdr:colOff>
      <xdr:row>11</xdr:row>
      <xdr:rowOff>212725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149225</xdr:rowOff>
    </xdr:from>
    <xdr:to>
      <xdr:col>1</xdr:col>
      <xdr:colOff>15929</xdr:colOff>
      <xdr:row>7</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7</xdr:row>
      <xdr:rowOff>85725</xdr:rowOff>
    </xdr:from>
    <xdr:to>
      <xdr:col>1</xdr:col>
      <xdr:colOff>15929</xdr:colOff>
      <xdr:row>7</xdr:row>
      <xdr:rowOff>339725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22225</xdr:rowOff>
    </xdr:from>
    <xdr:to>
      <xdr:col>1</xdr:col>
      <xdr:colOff>15929</xdr:colOff>
      <xdr:row>8</xdr:row>
      <xdr:rowOff>276225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339725</xdr:rowOff>
    </xdr:from>
    <xdr:to>
      <xdr:col>1</xdr:col>
      <xdr:colOff>15929</xdr:colOff>
      <xdr:row>9</xdr:row>
      <xdr:rowOff>212725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9</xdr:row>
      <xdr:rowOff>276225</xdr:rowOff>
    </xdr:from>
    <xdr:to>
      <xdr:col>1</xdr:col>
      <xdr:colOff>15929</xdr:colOff>
      <xdr:row>10</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10</xdr:row>
      <xdr:rowOff>212725</xdr:rowOff>
    </xdr:from>
    <xdr:to>
      <xdr:col>1</xdr:col>
      <xdr:colOff>15929</xdr:colOff>
      <xdr:row>11</xdr:row>
      <xdr:rowOff>85725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339725</xdr:rowOff>
    </xdr:from>
    <xdr:to>
      <xdr:col>1</xdr:col>
      <xdr:colOff>15929</xdr:colOff>
      <xdr:row>12</xdr:row>
      <xdr:rowOff>212725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276225</xdr:rowOff>
    </xdr:from>
    <xdr:to>
      <xdr:col>1</xdr:col>
      <xdr:colOff>15929</xdr:colOff>
      <xdr:row>13</xdr:row>
      <xdr:rowOff>149225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13</xdr:row>
      <xdr:rowOff>212725</xdr:rowOff>
    </xdr:from>
    <xdr:to>
      <xdr:col>1</xdr:col>
      <xdr:colOff>15929</xdr:colOff>
      <xdr:row>14</xdr:row>
      <xdr:rowOff>85725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304800</xdr:colOff>
      <xdr:row>0</xdr:row>
      <xdr:rowOff>177800</xdr:rowOff>
    </xdr:from>
    <xdr:to>
      <xdr:col>5</xdr:col>
      <xdr:colOff>730956</xdr:colOff>
      <xdr:row>1</xdr:row>
      <xdr:rowOff>101600</xdr:rowOff>
    </xdr:to>
    <xdr:pic>
      <xdr:nvPicPr>
        <xdr:cNvPr id="640106"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78400" y="1778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5</xdr:col>
      <xdr:colOff>702381</xdr:colOff>
      <xdr:row>0</xdr:row>
      <xdr:rowOff>120650</xdr:rowOff>
    </xdr:from>
    <xdr:to>
      <xdr:col>16</xdr:col>
      <xdr:colOff>567725</xdr:colOff>
      <xdr:row>1</xdr:row>
      <xdr:rowOff>134103</xdr:rowOff>
    </xdr:to>
    <xdr:sp macro="" textlink="">
      <xdr:nvSpPr>
        <xdr:cNvPr id="2" name="CaixaDeTexto 1"/>
        <xdr:cNvSpPr txBox="1"/>
      </xdr:nvSpPr>
      <xdr:spPr>
        <a:xfrm>
          <a:off x="5288492" y="120650"/>
          <a:ext cx="60319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Esta parte da planilha é a mais</a:t>
          </a:r>
          <a:r>
            <a:rPr lang="pt-BR" sz="1100" baseline="0"/>
            <a:t> utilizada, pois através dela são inseridas as horas trabalhadas de cada funcionário para cada mês específico. Nesta parte serão definidas as horas extras trabalhadas.</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641115"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35780"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11</xdr:row>
      <xdr:rowOff>212725</xdr:rowOff>
    </xdr:from>
    <xdr:to>
      <xdr:col>0</xdr:col>
      <xdr:colOff>1622973</xdr:colOff>
      <xdr:row>11</xdr:row>
      <xdr:rowOff>212725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149225</xdr:rowOff>
    </xdr:from>
    <xdr:to>
      <xdr:col>1</xdr:col>
      <xdr:colOff>15929</xdr:colOff>
      <xdr:row>7</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7</xdr:row>
      <xdr:rowOff>85725</xdr:rowOff>
    </xdr:from>
    <xdr:to>
      <xdr:col>1</xdr:col>
      <xdr:colOff>15929</xdr:colOff>
      <xdr:row>7</xdr:row>
      <xdr:rowOff>339725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22225</xdr:rowOff>
    </xdr:from>
    <xdr:to>
      <xdr:col>1</xdr:col>
      <xdr:colOff>15929</xdr:colOff>
      <xdr:row>8</xdr:row>
      <xdr:rowOff>276225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339725</xdr:rowOff>
    </xdr:from>
    <xdr:to>
      <xdr:col>1</xdr:col>
      <xdr:colOff>15929</xdr:colOff>
      <xdr:row>9</xdr:row>
      <xdr:rowOff>212725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9</xdr:row>
      <xdr:rowOff>276225</xdr:rowOff>
    </xdr:from>
    <xdr:to>
      <xdr:col>1</xdr:col>
      <xdr:colOff>15929</xdr:colOff>
      <xdr:row>10</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10</xdr:row>
      <xdr:rowOff>212725</xdr:rowOff>
    </xdr:from>
    <xdr:to>
      <xdr:col>1</xdr:col>
      <xdr:colOff>15929</xdr:colOff>
      <xdr:row>11</xdr:row>
      <xdr:rowOff>85725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339725</xdr:rowOff>
    </xdr:from>
    <xdr:to>
      <xdr:col>1</xdr:col>
      <xdr:colOff>15929</xdr:colOff>
      <xdr:row>12</xdr:row>
      <xdr:rowOff>212725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276225</xdr:rowOff>
    </xdr:from>
    <xdr:to>
      <xdr:col>1</xdr:col>
      <xdr:colOff>15929</xdr:colOff>
      <xdr:row>13</xdr:row>
      <xdr:rowOff>149225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13</xdr:row>
      <xdr:rowOff>212725</xdr:rowOff>
    </xdr:from>
    <xdr:to>
      <xdr:col>1</xdr:col>
      <xdr:colOff>15929</xdr:colOff>
      <xdr:row>14</xdr:row>
      <xdr:rowOff>85725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304800</xdr:colOff>
      <xdr:row>0</xdr:row>
      <xdr:rowOff>177800</xdr:rowOff>
    </xdr:from>
    <xdr:to>
      <xdr:col>5</xdr:col>
      <xdr:colOff>730956</xdr:colOff>
      <xdr:row>1</xdr:row>
      <xdr:rowOff>101600</xdr:rowOff>
    </xdr:to>
    <xdr:pic>
      <xdr:nvPicPr>
        <xdr:cNvPr id="641130"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78400" y="1778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absolute">
    <xdr:from>
      <xdr:col>5</xdr:col>
      <xdr:colOff>702381</xdr:colOff>
      <xdr:row>0</xdr:row>
      <xdr:rowOff>120650</xdr:rowOff>
    </xdr:from>
    <xdr:to>
      <xdr:col>16</xdr:col>
      <xdr:colOff>567725</xdr:colOff>
      <xdr:row>1</xdr:row>
      <xdr:rowOff>134103</xdr:rowOff>
    </xdr:to>
    <xdr:sp macro="" textlink="">
      <xdr:nvSpPr>
        <xdr:cNvPr id="2" name="CaixaDeTexto 1"/>
        <xdr:cNvSpPr txBox="1"/>
      </xdr:nvSpPr>
      <xdr:spPr>
        <a:xfrm>
          <a:off x="5288492" y="120650"/>
          <a:ext cx="60319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Esta parte da planilha é a mais</a:t>
          </a:r>
          <a:r>
            <a:rPr lang="pt-BR" sz="1100" baseline="0"/>
            <a:t> utilizada, pois através dela são inseridas as horas trabalhadas de cada funcionário para cada mês específico. Nesta parte serão definidas as horas extras trabalhadas.</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642139"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36804"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11</xdr:row>
      <xdr:rowOff>212725</xdr:rowOff>
    </xdr:from>
    <xdr:to>
      <xdr:col>0</xdr:col>
      <xdr:colOff>1622973</xdr:colOff>
      <xdr:row>11</xdr:row>
      <xdr:rowOff>212725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149225</xdr:rowOff>
    </xdr:from>
    <xdr:to>
      <xdr:col>1</xdr:col>
      <xdr:colOff>15929</xdr:colOff>
      <xdr:row>7</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7</xdr:row>
      <xdr:rowOff>85725</xdr:rowOff>
    </xdr:from>
    <xdr:to>
      <xdr:col>1</xdr:col>
      <xdr:colOff>15929</xdr:colOff>
      <xdr:row>7</xdr:row>
      <xdr:rowOff>339725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22225</xdr:rowOff>
    </xdr:from>
    <xdr:to>
      <xdr:col>1</xdr:col>
      <xdr:colOff>15929</xdr:colOff>
      <xdr:row>8</xdr:row>
      <xdr:rowOff>276225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339725</xdr:rowOff>
    </xdr:from>
    <xdr:to>
      <xdr:col>1</xdr:col>
      <xdr:colOff>15929</xdr:colOff>
      <xdr:row>9</xdr:row>
      <xdr:rowOff>212725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9</xdr:row>
      <xdr:rowOff>276225</xdr:rowOff>
    </xdr:from>
    <xdr:to>
      <xdr:col>1</xdr:col>
      <xdr:colOff>15929</xdr:colOff>
      <xdr:row>10</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10</xdr:row>
      <xdr:rowOff>212725</xdr:rowOff>
    </xdr:from>
    <xdr:to>
      <xdr:col>1</xdr:col>
      <xdr:colOff>15929</xdr:colOff>
      <xdr:row>11</xdr:row>
      <xdr:rowOff>85725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339725</xdr:rowOff>
    </xdr:from>
    <xdr:to>
      <xdr:col>1</xdr:col>
      <xdr:colOff>15929</xdr:colOff>
      <xdr:row>12</xdr:row>
      <xdr:rowOff>212725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276225</xdr:rowOff>
    </xdr:from>
    <xdr:to>
      <xdr:col>1</xdr:col>
      <xdr:colOff>15929</xdr:colOff>
      <xdr:row>13</xdr:row>
      <xdr:rowOff>149225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13</xdr:row>
      <xdr:rowOff>212725</xdr:rowOff>
    </xdr:from>
    <xdr:to>
      <xdr:col>1</xdr:col>
      <xdr:colOff>15929</xdr:colOff>
      <xdr:row>14</xdr:row>
      <xdr:rowOff>85725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304800</xdr:colOff>
      <xdr:row>0</xdr:row>
      <xdr:rowOff>177800</xdr:rowOff>
    </xdr:from>
    <xdr:to>
      <xdr:col>5</xdr:col>
      <xdr:colOff>730956</xdr:colOff>
      <xdr:row>1</xdr:row>
      <xdr:rowOff>101600</xdr:rowOff>
    </xdr:to>
    <xdr:pic>
      <xdr:nvPicPr>
        <xdr:cNvPr id="642154"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78400" y="1778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absolute">
    <xdr:from>
      <xdr:col>5</xdr:col>
      <xdr:colOff>702381</xdr:colOff>
      <xdr:row>0</xdr:row>
      <xdr:rowOff>120650</xdr:rowOff>
    </xdr:from>
    <xdr:to>
      <xdr:col>16</xdr:col>
      <xdr:colOff>567725</xdr:colOff>
      <xdr:row>1</xdr:row>
      <xdr:rowOff>134103</xdr:rowOff>
    </xdr:to>
    <xdr:sp macro="" textlink="">
      <xdr:nvSpPr>
        <xdr:cNvPr id="2" name="CaixaDeTexto 1"/>
        <xdr:cNvSpPr txBox="1"/>
      </xdr:nvSpPr>
      <xdr:spPr>
        <a:xfrm>
          <a:off x="5288492" y="120650"/>
          <a:ext cx="60319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Esta parte da planilha é a mais</a:t>
          </a:r>
          <a:r>
            <a:rPr lang="pt-BR" sz="1100" baseline="0"/>
            <a:t> utilizada, pois através dela são inseridas as horas trabalhadas de cada funcionário para cada mês específico. Nesta parte serão definidas as horas extras trabalhadas.</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643163"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37828"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11</xdr:row>
      <xdr:rowOff>212725</xdr:rowOff>
    </xdr:from>
    <xdr:to>
      <xdr:col>0</xdr:col>
      <xdr:colOff>1622973</xdr:colOff>
      <xdr:row>11</xdr:row>
      <xdr:rowOff>212725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149225</xdr:rowOff>
    </xdr:from>
    <xdr:to>
      <xdr:col>1</xdr:col>
      <xdr:colOff>15929</xdr:colOff>
      <xdr:row>7</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7</xdr:row>
      <xdr:rowOff>85725</xdr:rowOff>
    </xdr:from>
    <xdr:to>
      <xdr:col>1</xdr:col>
      <xdr:colOff>15929</xdr:colOff>
      <xdr:row>7</xdr:row>
      <xdr:rowOff>339725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22225</xdr:rowOff>
    </xdr:from>
    <xdr:to>
      <xdr:col>1</xdr:col>
      <xdr:colOff>15929</xdr:colOff>
      <xdr:row>8</xdr:row>
      <xdr:rowOff>276225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339725</xdr:rowOff>
    </xdr:from>
    <xdr:to>
      <xdr:col>1</xdr:col>
      <xdr:colOff>15929</xdr:colOff>
      <xdr:row>9</xdr:row>
      <xdr:rowOff>212725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9</xdr:row>
      <xdr:rowOff>276225</xdr:rowOff>
    </xdr:from>
    <xdr:to>
      <xdr:col>1</xdr:col>
      <xdr:colOff>15929</xdr:colOff>
      <xdr:row>10</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10</xdr:row>
      <xdr:rowOff>212725</xdr:rowOff>
    </xdr:from>
    <xdr:to>
      <xdr:col>1</xdr:col>
      <xdr:colOff>15929</xdr:colOff>
      <xdr:row>11</xdr:row>
      <xdr:rowOff>85725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339725</xdr:rowOff>
    </xdr:from>
    <xdr:to>
      <xdr:col>1</xdr:col>
      <xdr:colOff>15929</xdr:colOff>
      <xdr:row>12</xdr:row>
      <xdr:rowOff>212725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276225</xdr:rowOff>
    </xdr:from>
    <xdr:to>
      <xdr:col>1</xdr:col>
      <xdr:colOff>15929</xdr:colOff>
      <xdr:row>13</xdr:row>
      <xdr:rowOff>149225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13</xdr:row>
      <xdr:rowOff>212725</xdr:rowOff>
    </xdr:from>
    <xdr:to>
      <xdr:col>1</xdr:col>
      <xdr:colOff>15929</xdr:colOff>
      <xdr:row>14</xdr:row>
      <xdr:rowOff>85725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304800</xdr:colOff>
      <xdr:row>0</xdr:row>
      <xdr:rowOff>177800</xdr:rowOff>
    </xdr:from>
    <xdr:to>
      <xdr:col>5</xdr:col>
      <xdr:colOff>730956</xdr:colOff>
      <xdr:row>1</xdr:row>
      <xdr:rowOff>101600</xdr:rowOff>
    </xdr:to>
    <xdr:pic>
      <xdr:nvPicPr>
        <xdr:cNvPr id="643178"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78400" y="1778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absolute">
    <xdr:from>
      <xdr:col>5</xdr:col>
      <xdr:colOff>702381</xdr:colOff>
      <xdr:row>0</xdr:row>
      <xdr:rowOff>120650</xdr:rowOff>
    </xdr:from>
    <xdr:to>
      <xdr:col>16</xdr:col>
      <xdr:colOff>567725</xdr:colOff>
      <xdr:row>1</xdr:row>
      <xdr:rowOff>134103</xdr:rowOff>
    </xdr:to>
    <xdr:sp macro="" textlink="">
      <xdr:nvSpPr>
        <xdr:cNvPr id="2" name="CaixaDeTexto 1"/>
        <xdr:cNvSpPr txBox="1"/>
      </xdr:nvSpPr>
      <xdr:spPr>
        <a:xfrm>
          <a:off x="5288492" y="120650"/>
          <a:ext cx="60319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Esta parte da planilha é a mais</a:t>
          </a:r>
          <a:r>
            <a:rPr lang="pt-BR" sz="1100" baseline="0"/>
            <a:t> utilizada, pois através dela são inseridas as horas trabalhadas de cada funcionário para cada mês específico. Nesta parte serão definidas as horas extras trabalhadas.</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644187"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38852"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11</xdr:row>
      <xdr:rowOff>212725</xdr:rowOff>
    </xdr:from>
    <xdr:to>
      <xdr:col>0</xdr:col>
      <xdr:colOff>1622973</xdr:colOff>
      <xdr:row>11</xdr:row>
      <xdr:rowOff>212725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149225</xdr:rowOff>
    </xdr:from>
    <xdr:to>
      <xdr:col>1</xdr:col>
      <xdr:colOff>15929</xdr:colOff>
      <xdr:row>7</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7</xdr:row>
      <xdr:rowOff>85725</xdr:rowOff>
    </xdr:from>
    <xdr:to>
      <xdr:col>1</xdr:col>
      <xdr:colOff>15929</xdr:colOff>
      <xdr:row>7</xdr:row>
      <xdr:rowOff>339725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22225</xdr:rowOff>
    </xdr:from>
    <xdr:to>
      <xdr:col>1</xdr:col>
      <xdr:colOff>15929</xdr:colOff>
      <xdr:row>8</xdr:row>
      <xdr:rowOff>276225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339725</xdr:rowOff>
    </xdr:from>
    <xdr:to>
      <xdr:col>1</xdr:col>
      <xdr:colOff>15929</xdr:colOff>
      <xdr:row>9</xdr:row>
      <xdr:rowOff>212725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9</xdr:row>
      <xdr:rowOff>276225</xdr:rowOff>
    </xdr:from>
    <xdr:to>
      <xdr:col>1</xdr:col>
      <xdr:colOff>15929</xdr:colOff>
      <xdr:row>10</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10</xdr:row>
      <xdr:rowOff>212725</xdr:rowOff>
    </xdr:from>
    <xdr:to>
      <xdr:col>1</xdr:col>
      <xdr:colOff>15929</xdr:colOff>
      <xdr:row>11</xdr:row>
      <xdr:rowOff>85725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339725</xdr:rowOff>
    </xdr:from>
    <xdr:to>
      <xdr:col>1</xdr:col>
      <xdr:colOff>15929</xdr:colOff>
      <xdr:row>12</xdr:row>
      <xdr:rowOff>212725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276225</xdr:rowOff>
    </xdr:from>
    <xdr:to>
      <xdr:col>1</xdr:col>
      <xdr:colOff>15929</xdr:colOff>
      <xdr:row>13</xdr:row>
      <xdr:rowOff>149225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13</xdr:row>
      <xdr:rowOff>212725</xdr:rowOff>
    </xdr:from>
    <xdr:to>
      <xdr:col>1</xdr:col>
      <xdr:colOff>15929</xdr:colOff>
      <xdr:row>14</xdr:row>
      <xdr:rowOff>85725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304800</xdr:colOff>
      <xdr:row>0</xdr:row>
      <xdr:rowOff>177800</xdr:rowOff>
    </xdr:from>
    <xdr:to>
      <xdr:col>5</xdr:col>
      <xdr:colOff>730956</xdr:colOff>
      <xdr:row>1</xdr:row>
      <xdr:rowOff>101600</xdr:rowOff>
    </xdr:to>
    <xdr:pic>
      <xdr:nvPicPr>
        <xdr:cNvPr id="644202"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78400" y="1778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absolute">
    <xdr:from>
      <xdr:col>5</xdr:col>
      <xdr:colOff>702381</xdr:colOff>
      <xdr:row>0</xdr:row>
      <xdr:rowOff>120650</xdr:rowOff>
    </xdr:from>
    <xdr:to>
      <xdr:col>16</xdr:col>
      <xdr:colOff>567725</xdr:colOff>
      <xdr:row>1</xdr:row>
      <xdr:rowOff>134103</xdr:rowOff>
    </xdr:to>
    <xdr:sp macro="" textlink="">
      <xdr:nvSpPr>
        <xdr:cNvPr id="2" name="CaixaDeTexto 1"/>
        <xdr:cNvSpPr txBox="1"/>
      </xdr:nvSpPr>
      <xdr:spPr>
        <a:xfrm>
          <a:off x="5288492" y="120650"/>
          <a:ext cx="60319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Esta parte da planilha é a mais</a:t>
          </a:r>
          <a:r>
            <a:rPr lang="pt-BR" sz="1100" baseline="0"/>
            <a:t> utilizada, pois através dela são inseridas as horas trabalhadas de cada funcionário para cada mês específico. Nesta parte serão definidas as horas extras trabalhadas.</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645211"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39876"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11</xdr:row>
      <xdr:rowOff>212725</xdr:rowOff>
    </xdr:from>
    <xdr:to>
      <xdr:col>0</xdr:col>
      <xdr:colOff>1622973</xdr:colOff>
      <xdr:row>11</xdr:row>
      <xdr:rowOff>212725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149225</xdr:rowOff>
    </xdr:from>
    <xdr:to>
      <xdr:col>1</xdr:col>
      <xdr:colOff>15929</xdr:colOff>
      <xdr:row>7</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7</xdr:row>
      <xdr:rowOff>85725</xdr:rowOff>
    </xdr:from>
    <xdr:to>
      <xdr:col>1</xdr:col>
      <xdr:colOff>15929</xdr:colOff>
      <xdr:row>7</xdr:row>
      <xdr:rowOff>339725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22225</xdr:rowOff>
    </xdr:from>
    <xdr:to>
      <xdr:col>1</xdr:col>
      <xdr:colOff>15929</xdr:colOff>
      <xdr:row>8</xdr:row>
      <xdr:rowOff>276225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339725</xdr:rowOff>
    </xdr:from>
    <xdr:to>
      <xdr:col>1</xdr:col>
      <xdr:colOff>15929</xdr:colOff>
      <xdr:row>9</xdr:row>
      <xdr:rowOff>212725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9</xdr:row>
      <xdr:rowOff>276225</xdr:rowOff>
    </xdr:from>
    <xdr:to>
      <xdr:col>1</xdr:col>
      <xdr:colOff>15929</xdr:colOff>
      <xdr:row>10</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10</xdr:row>
      <xdr:rowOff>212725</xdr:rowOff>
    </xdr:from>
    <xdr:to>
      <xdr:col>1</xdr:col>
      <xdr:colOff>15929</xdr:colOff>
      <xdr:row>11</xdr:row>
      <xdr:rowOff>85725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339725</xdr:rowOff>
    </xdr:from>
    <xdr:to>
      <xdr:col>1</xdr:col>
      <xdr:colOff>15929</xdr:colOff>
      <xdr:row>12</xdr:row>
      <xdr:rowOff>212725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276225</xdr:rowOff>
    </xdr:from>
    <xdr:to>
      <xdr:col>1</xdr:col>
      <xdr:colOff>15929</xdr:colOff>
      <xdr:row>13</xdr:row>
      <xdr:rowOff>149225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13</xdr:row>
      <xdr:rowOff>212725</xdr:rowOff>
    </xdr:from>
    <xdr:to>
      <xdr:col>1</xdr:col>
      <xdr:colOff>15929</xdr:colOff>
      <xdr:row>14</xdr:row>
      <xdr:rowOff>85725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304800</xdr:colOff>
      <xdr:row>0</xdr:row>
      <xdr:rowOff>177800</xdr:rowOff>
    </xdr:from>
    <xdr:to>
      <xdr:col>5</xdr:col>
      <xdr:colOff>730956</xdr:colOff>
      <xdr:row>1</xdr:row>
      <xdr:rowOff>101600</xdr:rowOff>
    </xdr:to>
    <xdr:pic>
      <xdr:nvPicPr>
        <xdr:cNvPr id="645226"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78400" y="1778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absolute">
    <xdr:from>
      <xdr:col>5</xdr:col>
      <xdr:colOff>702381</xdr:colOff>
      <xdr:row>0</xdr:row>
      <xdr:rowOff>120650</xdr:rowOff>
    </xdr:from>
    <xdr:to>
      <xdr:col>16</xdr:col>
      <xdr:colOff>567725</xdr:colOff>
      <xdr:row>1</xdr:row>
      <xdr:rowOff>134103</xdr:rowOff>
    </xdr:to>
    <xdr:sp macro="" textlink="">
      <xdr:nvSpPr>
        <xdr:cNvPr id="2" name="CaixaDeTexto 1"/>
        <xdr:cNvSpPr txBox="1"/>
      </xdr:nvSpPr>
      <xdr:spPr>
        <a:xfrm>
          <a:off x="5288492" y="120650"/>
          <a:ext cx="60319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Esta parte da planilha é a mais</a:t>
          </a:r>
          <a:r>
            <a:rPr lang="pt-BR" sz="1100" baseline="0"/>
            <a:t> utilizada, pois através dela são inseridas as horas trabalhadas de cada funcionário para cada mês específico. Nesta parte serão definidas as horas extras trabalhadas.</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646235"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40900"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11</xdr:row>
      <xdr:rowOff>212725</xdr:rowOff>
    </xdr:from>
    <xdr:to>
      <xdr:col>0</xdr:col>
      <xdr:colOff>1622973</xdr:colOff>
      <xdr:row>11</xdr:row>
      <xdr:rowOff>212725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149225</xdr:rowOff>
    </xdr:from>
    <xdr:to>
      <xdr:col>1</xdr:col>
      <xdr:colOff>15929</xdr:colOff>
      <xdr:row>7</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7</xdr:row>
      <xdr:rowOff>85725</xdr:rowOff>
    </xdr:from>
    <xdr:to>
      <xdr:col>1</xdr:col>
      <xdr:colOff>15929</xdr:colOff>
      <xdr:row>7</xdr:row>
      <xdr:rowOff>339725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22225</xdr:rowOff>
    </xdr:from>
    <xdr:to>
      <xdr:col>1</xdr:col>
      <xdr:colOff>15929</xdr:colOff>
      <xdr:row>8</xdr:row>
      <xdr:rowOff>276225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339725</xdr:rowOff>
    </xdr:from>
    <xdr:to>
      <xdr:col>1</xdr:col>
      <xdr:colOff>15929</xdr:colOff>
      <xdr:row>9</xdr:row>
      <xdr:rowOff>212725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9</xdr:row>
      <xdr:rowOff>276225</xdr:rowOff>
    </xdr:from>
    <xdr:to>
      <xdr:col>1</xdr:col>
      <xdr:colOff>15929</xdr:colOff>
      <xdr:row>10</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10</xdr:row>
      <xdr:rowOff>212725</xdr:rowOff>
    </xdr:from>
    <xdr:to>
      <xdr:col>1</xdr:col>
      <xdr:colOff>15929</xdr:colOff>
      <xdr:row>11</xdr:row>
      <xdr:rowOff>85725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339725</xdr:rowOff>
    </xdr:from>
    <xdr:to>
      <xdr:col>1</xdr:col>
      <xdr:colOff>15929</xdr:colOff>
      <xdr:row>12</xdr:row>
      <xdr:rowOff>212725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276225</xdr:rowOff>
    </xdr:from>
    <xdr:to>
      <xdr:col>1</xdr:col>
      <xdr:colOff>15929</xdr:colOff>
      <xdr:row>13</xdr:row>
      <xdr:rowOff>149225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13</xdr:row>
      <xdr:rowOff>212725</xdr:rowOff>
    </xdr:from>
    <xdr:to>
      <xdr:col>1</xdr:col>
      <xdr:colOff>15929</xdr:colOff>
      <xdr:row>14</xdr:row>
      <xdr:rowOff>85725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304800</xdr:colOff>
      <xdr:row>0</xdr:row>
      <xdr:rowOff>177800</xdr:rowOff>
    </xdr:from>
    <xdr:to>
      <xdr:col>5</xdr:col>
      <xdr:colOff>730956</xdr:colOff>
      <xdr:row>1</xdr:row>
      <xdr:rowOff>101600</xdr:rowOff>
    </xdr:to>
    <xdr:pic>
      <xdr:nvPicPr>
        <xdr:cNvPr id="646250"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78400" y="1778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absolute">
    <xdr:from>
      <xdr:col>5</xdr:col>
      <xdr:colOff>702381</xdr:colOff>
      <xdr:row>0</xdr:row>
      <xdr:rowOff>120650</xdr:rowOff>
    </xdr:from>
    <xdr:to>
      <xdr:col>16</xdr:col>
      <xdr:colOff>567725</xdr:colOff>
      <xdr:row>1</xdr:row>
      <xdr:rowOff>134103</xdr:rowOff>
    </xdr:to>
    <xdr:sp macro="" textlink="">
      <xdr:nvSpPr>
        <xdr:cNvPr id="2" name="CaixaDeTexto 1"/>
        <xdr:cNvSpPr txBox="1"/>
      </xdr:nvSpPr>
      <xdr:spPr>
        <a:xfrm>
          <a:off x="5288492" y="120650"/>
          <a:ext cx="60319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Esta parte da planilha é a mais</a:t>
          </a:r>
          <a:r>
            <a:rPr lang="pt-BR" sz="1100" baseline="0"/>
            <a:t> utilizada, pois através dela são inseridas as horas trabalhadas de cada funcionário para cada mês específico. Nesta parte serão definidas as horas extras trabalhadas.</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647259"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41924"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11</xdr:row>
      <xdr:rowOff>212725</xdr:rowOff>
    </xdr:from>
    <xdr:to>
      <xdr:col>0</xdr:col>
      <xdr:colOff>1622973</xdr:colOff>
      <xdr:row>11</xdr:row>
      <xdr:rowOff>212725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149225</xdr:rowOff>
    </xdr:from>
    <xdr:to>
      <xdr:col>1</xdr:col>
      <xdr:colOff>15929</xdr:colOff>
      <xdr:row>7</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7</xdr:row>
      <xdr:rowOff>85725</xdr:rowOff>
    </xdr:from>
    <xdr:to>
      <xdr:col>1</xdr:col>
      <xdr:colOff>15929</xdr:colOff>
      <xdr:row>7</xdr:row>
      <xdr:rowOff>339725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22225</xdr:rowOff>
    </xdr:from>
    <xdr:to>
      <xdr:col>1</xdr:col>
      <xdr:colOff>15929</xdr:colOff>
      <xdr:row>8</xdr:row>
      <xdr:rowOff>276225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339725</xdr:rowOff>
    </xdr:from>
    <xdr:to>
      <xdr:col>1</xdr:col>
      <xdr:colOff>15929</xdr:colOff>
      <xdr:row>9</xdr:row>
      <xdr:rowOff>212725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9</xdr:row>
      <xdr:rowOff>276225</xdr:rowOff>
    </xdr:from>
    <xdr:to>
      <xdr:col>1</xdr:col>
      <xdr:colOff>15929</xdr:colOff>
      <xdr:row>10</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10</xdr:row>
      <xdr:rowOff>212725</xdr:rowOff>
    </xdr:from>
    <xdr:to>
      <xdr:col>1</xdr:col>
      <xdr:colOff>15929</xdr:colOff>
      <xdr:row>11</xdr:row>
      <xdr:rowOff>85725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339725</xdr:rowOff>
    </xdr:from>
    <xdr:to>
      <xdr:col>1</xdr:col>
      <xdr:colOff>15929</xdr:colOff>
      <xdr:row>12</xdr:row>
      <xdr:rowOff>212725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276225</xdr:rowOff>
    </xdr:from>
    <xdr:to>
      <xdr:col>1</xdr:col>
      <xdr:colOff>15929</xdr:colOff>
      <xdr:row>13</xdr:row>
      <xdr:rowOff>149225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13</xdr:row>
      <xdr:rowOff>212725</xdr:rowOff>
    </xdr:from>
    <xdr:to>
      <xdr:col>1</xdr:col>
      <xdr:colOff>15929</xdr:colOff>
      <xdr:row>14</xdr:row>
      <xdr:rowOff>85725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304800</xdr:colOff>
      <xdr:row>0</xdr:row>
      <xdr:rowOff>177800</xdr:rowOff>
    </xdr:from>
    <xdr:to>
      <xdr:col>5</xdr:col>
      <xdr:colOff>730956</xdr:colOff>
      <xdr:row>1</xdr:row>
      <xdr:rowOff>101600</xdr:rowOff>
    </xdr:to>
    <xdr:pic>
      <xdr:nvPicPr>
        <xdr:cNvPr id="647274"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78400" y="1778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absolute">
    <xdr:from>
      <xdr:col>5</xdr:col>
      <xdr:colOff>702381</xdr:colOff>
      <xdr:row>0</xdr:row>
      <xdr:rowOff>120650</xdr:rowOff>
    </xdr:from>
    <xdr:to>
      <xdr:col>16</xdr:col>
      <xdr:colOff>567725</xdr:colOff>
      <xdr:row>1</xdr:row>
      <xdr:rowOff>134103</xdr:rowOff>
    </xdr:to>
    <xdr:sp macro="" textlink="">
      <xdr:nvSpPr>
        <xdr:cNvPr id="2" name="CaixaDeTexto 1"/>
        <xdr:cNvSpPr txBox="1"/>
      </xdr:nvSpPr>
      <xdr:spPr>
        <a:xfrm>
          <a:off x="5288492" y="120650"/>
          <a:ext cx="60319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Esta parte da planilha é a mais</a:t>
          </a:r>
          <a:r>
            <a:rPr lang="pt-BR" sz="1100" baseline="0"/>
            <a:t> utilizada, pois através dela são inseridas as horas trabalhadas de cada funcionário para cada mês específico. Nesta parte serão definidas as horas extras trabalhadas.</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648283"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42948"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11</xdr:row>
      <xdr:rowOff>212725</xdr:rowOff>
    </xdr:from>
    <xdr:to>
      <xdr:col>0</xdr:col>
      <xdr:colOff>1622973</xdr:colOff>
      <xdr:row>11</xdr:row>
      <xdr:rowOff>212725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149225</xdr:rowOff>
    </xdr:from>
    <xdr:to>
      <xdr:col>1</xdr:col>
      <xdr:colOff>15929</xdr:colOff>
      <xdr:row>7</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7</xdr:row>
      <xdr:rowOff>85725</xdr:rowOff>
    </xdr:from>
    <xdr:to>
      <xdr:col>1</xdr:col>
      <xdr:colOff>15929</xdr:colOff>
      <xdr:row>7</xdr:row>
      <xdr:rowOff>339725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22225</xdr:rowOff>
    </xdr:from>
    <xdr:to>
      <xdr:col>1</xdr:col>
      <xdr:colOff>15929</xdr:colOff>
      <xdr:row>8</xdr:row>
      <xdr:rowOff>276225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339725</xdr:rowOff>
    </xdr:from>
    <xdr:to>
      <xdr:col>1</xdr:col>
      <xdr:colOff>15929</xdr:colOff>
      <xdr:row>9</xdr:row>
      <xdr:rowOff>212725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9</xdr:row>
      <xdr:rowOff>276225</xdr:rowOff>
    </xdr:from>
    <xdr:to>
      <xdr:col>1</xdr:col>
      <xdr:colOff>15929</xdr:colOff>
      <xdr:row>10</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10</xdr:row>
      <xdr:rowOff>212725</xdr:rowOff>
    </xdr:from>
    <xdr:to>
      <xdr:col>1</xdr:col>
      <xdr:colOff>15929</xdr:colOff>
      <xdr:row>11</xdr:row>
      <xdr:rowOff>85725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339725</xdr:rowOff>
    </xdr:from>
    <xdr:to>
      <xdr:col>1</xdr:col>
      <xdr:colOff>15929</xdr:colOff>
      <xdr:row>12</xdr:row>
      <xdr:rowOff>212725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276225</xdr:rowOff>
    </xdr:from>
    <xdr:to>
      <xdr:col>1</xdr:col>
      <xdr:colOff>15929</xdr:colOff>
      <xdr:row>13</xdr:row>
      <xdr:rowOff>149225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13</xdr:row>
      <xdr:rowOff>212725</xdr:rowOff>
    </xdr:from>
    <xdr:to>
      <xdr:col>1</xdr:col>
      <xdr:colOff>15929</xdr:colOff>
      <xdr:row>14</xdr:row>
      <xdr:rowOff>85725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304800</xdr:colOff>
      <xdr:row>0</xdr:row>
      <xdr:rowOff>177800</xdr:rowOff>
    </xdr:from>
    <xdr:to>
      <xdr:col>5</xdr:col>
      <xdr:colOff>730956</xdr:colOff>
      <xdr:row>1</xdr:row>
      <xdr:rowOff>101600</xdr:rowOff>
    </xdr:to>
    <xdr:pic>
      <xdr:nvPicPr>
        <xdr:cNvPr id="648298"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78400" y="1778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absolute">
    <xdr:from>
      <xdr:col>5</xdr:col>
      <xdr:colOff>702381</xdr:colOff>
      <xdr:row>0</xdr:row>
      <xdr:rowOff>120650</xdr:rowOff>
    </xdr:from>
    <xdr:to>
      <xdr:col>16</xdr:col>
      <xdr:colOff>567725</xdr:colOff>
      <xdr:row>1</xdr:row>
      <xdr:rowOff>134103</xdr:rowOff>
    </xdr:to>
    <xdr:sp macro="" textlink="">
      <xdr:nvSpPr>
        <xdr:cNvPr id="2" name="CaixaDeTexto 1"/>
        <xdr:cNvSpPr txBox="1"/>
      </xdr:nvSpPr>
      <xdr:spPr>
        <a:xfrm>
          <a:off x="5288492" y="120650"/>
          <a:ext cx="60319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Esta parte da planilha é a mais</a:t>
          </a:r>
          <a:r>
            <a:rPr lang="pt-BR" sz="1100" baseline="0"/>
            <a:t> utilizada, pois através dela são inseridas as horas trabalhadas de cada funcionário para cada mês específico. Nesta parte serão definidas as horas extras trabalhadas.</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649307"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43972"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11</xdr:row>
      <xdr:rowOff>212725</xdr:rowOff>
    </xdr:from>
    <xdr:to>
      <xdr:col>0</xdr:col>
      <xdr:colOff>1622973</xdr:colOff>
      <xdr:row>11</xdr:row>
      <xdr:rowOff>212725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149225</xdr:rowOff>
    </xdr:from>
    <xdr:to>
      <xdr:col>1</xdr:col>
      <xdr:colOff>15929</xdr:colOff>
      <xdr:row>7</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7</xdr:row>
      <xdr:rowOff>85725</xdr:rowOff>
    </xdr:from>
    <xdr:to>
      <xdr:col>1</xdr:col>
      <xdr:colOff>15929</xdr:colOff>
      <xdr:row>7</xdr:row>
      <xdr:rowOff>339725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22225</xdr:rowOff>
    </xdr:from>
    <xdr:to>
      <xdr:col>1</xdr:col>
      <xdr:colOff>15929</xdr:colOff>
      <xdr:row>8</xdr:row>
      <xdr:rowOff>276225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339725</xdr:rowOff>
    </xdr:from>
    <xdr:to>
      <xdr:col>1</xdr:col>
      <xdr:colOff>15929</xdr:colOff>
      <xdr:row>9</xdr:row>
      <xdr:rowOff>212725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9</xdr:row>
      <xdr:rowOff>276225</xdr:rowOff>
    </xdr:from>
    <xdr:to>
      <xdr:col>1</xdr:col>
      <xdr:colOff>15929</xdr:colOff>
      <xdr:row>10</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10</xdr:row>
      <xdr:rowOff>212725</xdr:rowOff>
    </xdr:from>
    <xdr:to>
      <xdr:col>1</xdr:col>
      <xdr:colOff>15929</xdr:colOff>
      <xdr:row>11</xdr:row>
      <xdr:rowOff>85725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339725</xdr:rowOff>
    </xdr:from>
    <xdr:to>
      <xdr:col>1</xdr:col>
      <xdr:colOff>15929</xdr:colOff>
      <xdr:row>12</xdr:row>
      <xdr:rowOff>212725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276225</xdr:rowOff>
    </xdr:from>
    <xdr:to>
      <xdr:col>1</xdr:col>
      <xdr:colOff>15929</xdr:colOff>
      <xdr:row>13</xdr:row>
      <xdr:rowOff>149225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13</xdr:row>
      <xdr:rowOff>212725</xdr:rowOff>
    </xdr:from>
    <xdr:to>
      <xdr:col>1</xdr:col>
      <xdr:colOff>15929</xdr:colOff>
      <xdr:row>14</xdr:row>
      <xdr:rowOff>85725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304800</xdr:colOff>
      <xdr:row>0</xdr:row>
      <xdr:rowOff>177800</xdr:rowOff>
    </xdr:from>
    <xdr:to>
      <xdr:col>5</xdr:col>
      <xdr:colOff>730956</xdr:colOff>
      <xdr:row>1</xdr:row>
      <xdr:rowOff>101600</xdr:rowOff>
    </xdr:to>
    <xdr:pic>
      <xdr:nvPicPr>
        <xdr:cNvPr id="649322"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78400" y="1778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absolute">
    <xdr:from>
      <xdr:col>5</xdr:col>
      <xdr:colOff>702381</xdr:colOff>
      <xdr:row>0</xdr:row>
      <xdr:rowOff>120650</xdr:rowOff>
    </xdr:from>
    <xdr:to>
      <xdr:col>16</xdr:col>
      <xdr:colOff>567725</xdr:colOff>
      <xdr:row>1</xdr:row>
      <xdr:rowOff>134103</xdr:rowOff>
    </xdr:to>
    <xdr:sp macro="" textlink="">
      <xdr:nvSpPr>
        <xdr:cNvPr id="2" name="CaixaDeTexto 1"/>
        <xdr:cNvSpPr txBox="1"/>
      </xdr:nvSpPr>
      <xdr:spPr>
        <a:xfrm>
          <a:off x="5288492" y="120650"/>
          <a:ext cx="60319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Esta parte da planilha é a mais</a:t>
          </a:r>
          <a:r>
            <a:rPr lang="pt-BR" sz="1100" baseline="0"/>
            <a:t> utilizada, pois através dela são inseridas as horas trabalhadas de cada funcionário para cada mês específico. Nesta parte serão definidas as horas extras trabalhadas.</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650331"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44996"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11</xdr:row>
      <xdr:rowOff>212725</xdr:rowOff>
    </xdr:from>
    <xdr:to>
      <xdr:col>0</xdr:col>
      <xdr:colOff>1622973</xdr:colOff>
      <xdr:row>11</xdr:row>
      <xdr:rowOff>212725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149225</xdr:rowOff>
    </xdr:from>
    <xdr:to>
      <xdr:col>1</xdr:col>
      <xdr:colOff>15929</xdr:colOff>
      <xdr:row>7</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7</xdr:row>
      <xdr:rowOff>85725</xdr:rowOff>
    </xdr:from>
    <xdr:to>
      <xdr:col>1</xdr:col>
      <xdr:colOff>15929</xdr:colOff>
      <xdr:row>7</xdr:row>
      <xdr:rowOff>339725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22225</xdr:rowOff>
    </xdr:from>
    <xdr:to>
      <xdr:col>1</xdr:col>
      <xdr:colOff>15929</xdr:colOff>
      <xdr:row>8</xdr:row>
      <xdr:rowOff>276225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339725</xdr:rowOff>
    </xdr:from>
    <xdr:to>
      <xdr:col>1</xdr:col>
      <xdr:colOff>15929</xdr:colOff>
      <xdr:row>9</xdr:row>
      <xdr:rowOff>212725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9</xdr:row>
      <xdr:rowOff>276225</xdr:rowOff>
    </xdr:from>
    <xdr:to>
      <xdr:col>1</xdr:col>
      <xdr:colOff>15929</xdr:colOff>
      <xdr:row>10</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10</xdr:row>
      <xdr:rowOff>212725</xdr:rowOff>
    </xdr:from>
    <xdr:to>
      <xdr:col>1</xdr:col>
      <xdr:colOff>15929</xdr:colOff>
      <xdr:row>11</xdr:row>
      <xdr:rowOff>85725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339725</xdr:rowOff>
    </xdr:from>
    <xdr:to>
      <xdr:col>1</xdr:col>
      <xdr:colOff>15929</xdr:colOff>
      <xdr:row>12</xdr:row>
      <xdr:rowOff>212725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276225</xdr:rowOff>
    </xdr:from>
    <xdr:to>
      <xdr:col>1</xdr:col>
      <xdr:colOff>15929</xdr:colOff>
      <xdr:row>13</xdr:row>
      <xdr:rowOff>149225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13</xdr:row>
      <xdr:rowOff>212725</xdr:rowOff>
    </xdr:from>
    <xdr:to>
      <xdr:col>1</xdr:col>
      <xdr:colOff>15929</xdr:colOff>
      <xdr:row>14</xdr:row>
      <xdr:rowOff>85725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304800</xdr:colOff>
      <xdr:row>0</xdr:row>
      <xdr:rowOff>177800</xdr:rowOff>
    </xdr:from>
    <xdr:to>
      <xdr:col>5</xdr:col>
      <xdr:colOff>730956</xdr:colOff>
      <xdr:row>1</xdr:row>
      <xdr:rowOff>101600</xdr:rowOff>
    </xdr:to>
    <xdr:pic>
      <xdr:nvPicPr>
        <xdr:cNvPr id="650346"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78400" y="1778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absolute">
    <xdr:from>
      <xdr:col>5</xdr:col>
      <xdr:colOff>702381</xdr:colOff>
      <xdr:row>0</xdr:row>
      <xdr:rowOff>120650</xdr:rowOff>
    </xdr:from>
    <xdr:to>
      <xdr:col>16</xdr:col>
      <xdr:colOff>567725</xdr:colOff>
      <xdr:row>1</xdr:row>
      <xdr:rowOff>134103</xdr:rowOff>
    </xdr:to>
    <xdr:sp macro="" textlink="">
      <xdr:nvSpPr>
        <xdr:cNvPr id="2" name="CaixaDeTexto 1"/>
        <xdr:cNvSpPr txBox="1"/>
      </xdr:nvSpPr>
      <xdr:spPr>
        <a:xfrm>
          <a:off x="5288492" y="120650"/>
          <a:ext cx="60319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Esta parte da planilha é a mais</a:t>
          </a:r>
          <a:r>
            <a:rPr lang="pt-BR" sz="1100" baseline="0"/>
            <a:t> utilizada, pois através dela são inseridas as horas trabalhadas de cada funcionário para cada mês específico. Nesta parte serão definidas as horas extras trabalhadas.</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651355"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46020"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11</xdr:row>
      <xdr:rowOff>212725</xdr:rowOff>
    </xdr:from>
    <xdr:to>
      <xdr:col>0</xdr:col>
      <xdr:colOff>1622973</xdr:colOff>
      <xdr:row>11</xdr:row>
      <xdr:rowOff>212725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149225</xdr:rowOff>
    </xdr:from>
    <xdr:to>
      <xdr:col>1</xdr:col>
      <xdr:colOff>15929</xdr:colOff>
      <xdr:row>7</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7</xdr:row>
      <xdr:rowOff>85725</xdr:rowOff>
    </xdr:from>
    <xdr:to>
      <xdr:col>1</xdr:col>
      <xdr:colOff>15929</xdr:colOff>
      <xdr:row>7</xdr:row>
      <xdr:rowOff>339725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22225</xdr:rowOff>
    </xdr:from>
    <xdr:to>
      <xdr:col>1</xdr:col>
      <xdr:colOff>15929</xdr:colOff>
      <xdr:row>8</xdr:row>
      <xdr:rowOff>276225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339725</xdr:rowOff>
    </xdr:from>
    <xdr:to>
      <xdr:col>1</xdr:col>
      <xdr:colOff>15929</xdr:colOff>
      <xdr:row>9</xdr:row>
      <xdr:rowOff>212725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9</xdr:row>
      <xdr:rowOff>276225</xdr:rowOff>
    </xdr:from>
    <xdr:to>
      <xdr:col>1</xdr:col>
      <xdr:colOff>15929</xdr:colOff>
      <xdr:row>10</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10</xdr:row>
      <xdr:rowOff>212725</xdr:rowOff>
    </xdr:from>
    <xdr:to>
      <xdr:col>1</xdr:col>
      <xdr:colOff>15929</xdr:colOff>
      <xdr:row>11</xdr:row>
      <xdr:rowOff>85725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339725</xdr:rowOff>
    </xdr:from>
    <xdr:to>
      <xdr:col>1</xdr:col>
      <xdr:colOff>15929</xdr:colOff>
      <xdr:row>12</xdr:row>
      <xdr:rowOff>212725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276225</xdr:rowOff>
    </xdr:from>
    <xdr:to>
      <xdr:col>1</xdr:col>
      <xdr:colOff>15929</xdr:colOff>
      <xdr:row>13</xdr:row>
      <xdr:rowOff>149225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13</xdr:row>
      <xdr:rowOff>212725</xdr:rowOff>
    </xdr:from>
    <xdr:to>
      <xdr:col>1</xdr:col>
      <xdr:colOff>15929</xdr:colOff>
      <xdr:row>14</xdr:row>
      <xdr:rowOff>85725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304800</xdr:colOff>
      <xdr:row>0</xdr:row>
      <xdr:rowOff>177800</xdr:rowOff>
    </xdr:from>
    <xdr:to>
      <xdr:col>5</xdr:col>
      <xdr:colOff>730956</xdr:colOff>
      <xdr:row>1</xdr:row>
      <xdr:rowOff>101600</xdr:rowOff>
    </xdr:to>
    <xdr:pic>
      <xdr:nvPicPr>
        <xdr:cNvPr id="651370"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78400" y="1778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absolute">
    <xdr:from>
      <xdr:col>5</xdr:col>
      <xdr:colOff>702381</xdr:colOff>
      <xdr:row>0</xdr:row>
      <xdr:rowOff>120650</xdr:rowOff>
    </xdr:from>
    <xdr:to>
      <xdr:col>16</xdr:col>
      <xdr:colOff>567725</xdr:colOff>
      <xdr:row>1</xdr:row>
      <xdr:rowOff>134103</xdr:rowOff>
    </xdr:to>
    <xdr:sp macro="" textlink="">
      <xdr:nvSpPr>
        <xdr:cNvPr id="2" name="CaixaDeTexto 1"/>
        <xdr:cNvSpPr txBox="1"/>
      </xdr:nvSpPr>
      <xdr:spPr>
        <a:xfrm>
          <a:off x="5288492" y="120650"/>
          <a:ext cx="60319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Esta parte da planilha é a mais</a:t>
          </a:r>
          <a:r>
            <a:rPr lang="pt-BR" sz="1100" baseline="0"/>
            <a:t> utilizada, pois através dela são inseridas as horas trabalhadas de cada funcionário para cada mês específico. Nesta parte serão definidas as horas extras trabalhadas.</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652379"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47044"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11</xdr:row>
      <xdr:rowOff>212725</xdr:rowOff>
    </xdr:from>
    <xdr:to>
      <xdr:col>0</xdr:col>
      <xdr:colOff>1622973</xdr:colOff>
      <xdr:row>11</xdr:row>
      <xdr:rowOff>212725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149225</xdr:rowOff>
    </xdr:from>
    <xdr:to>
      <xdr:col>1</xdr:col>
      <xdr:colOff>15929</xdr:colOff>
      <xdr:row>7</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7</xdr:row>
      <xdr:rowOff>85725</xdr:rowOff>
    </xdr:from>
    <xdr:to>
      <xdr:col>1</xdr:col>
      <xdr:colOff>15929</xdr:colOff>
      <xdr:row>7</xdr:row>
      <xdr:rowOff>339725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22225</xdr:rowOff>
    </xdr:from>
    <xdr:to>
      <xdr:col>1</xdr:col>
      <xdr:colOff>15929</xdr:colOff>
      <xdr:row>8</xdr:row>
      <xdr:rowOff>276225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339725</xdr:rowOff>
    </xdr:from>
    <xdr:to>
      <xdr:col>1</xdr:col>
      <xdr:colOff>15929</xdr:colOff>
      <xdr:row>9</xdr:row>
      <xdr:rowOff>212725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9</xdr:row>
      <xdr:rowOff>276225</xdr:rowOff>
    </xdr:from>
    <xdr:to>
      <xdr:col>1</xdr:col>
      <xdr:colOff>15929</xdr:colOff>
      <xdr:row>10</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10</xdr:row>
      <xdr:rowOff>212725</xdr:rowOff>
    </xdr:from>
    <xdr:to>
      <xdr:col>1</xdr:col>
      <xdr:colOff>15929</xdr:colOff>
      <xdr:row>11</xdr:row>
      <xdr:rowOff>85725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339725</xdr:rowOff>
    </xdr:from>
    <xdr:to>
      <xdr:col>1</xdr:col>
      <xdr:colOff>15929</xdr:colOff>
      <xdr:row>12</xdr:row>
      <xdr:rowOff>212725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276225</xdr:rowOff>
    </xdr:from>
    <xdr:to>
      <xdr:col>1</xdr:col>
      <xdr:colOff>15929</xdr:colOff>
      <xdr:row>13</xdr:row>
      <xdr:rowOff>149225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13</xdr:row>
      <xdr:rowOff>212725</xdr:rowOff>
    </xdr:from>
    <xdr:to>
      <xdr:col>1</xdr:col>
      <xdr:colOff>15929</xdr:colOff>
      <xdr:row>14</xdr:row>
      <xdr:rowOff>85725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304800</xdr:colOff>
      <xdr:row>0</xdr:row>
      <xdr:rowOff>177800</xdr:rowOff>
    </xdr:from>
    <xdr:to>
      <xdr:col>5</xdr:col>
      <xdr:colOff>730956</xdr:colOff>
      <xdr:row>1</xdr:row>
      <xdr:rowOff>101600</xdr:rowOff>
    </xdr:to>
    <xdr:pic>
      <xdr:nvPicPr>
        <xdr:cNvPr id="652394"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78400" y="1778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absolute">
    <xdr:from>
      <xdr:col>5</xdr:col>
      <xdr:colOff>702381</xdr:colOff>
      <xdr:row>0</xdr:row>
      <xdr:rowOff>120650</xdr:rowOff>
    </xdr:from>
    <xdr:to>
      <xdr:col>16</xdr:col>
      <xdr:colOff>567725</xdr:colOff>
      <xdr:row>1</xdr:row>
      <xdr:rowOff>134103</xdr:rowOff>
    </xdr:to>
    <xdr:sp macro="" textlink="">
      <xdr:nvSpPr>
        <xdr:cNvPr id="2" name="CaixaDeTexto 1"/>
        <xdr:cNvSpPr txBox="1"/>
      </xdr:nvSpPr>
      <xdr:spPr>
        <a:xfrm>
          <a:off x="5288492" y="120650"/>
          <a:ext cx="60319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Esta parte da planilha é a mais</a:t>
          </a:r>
          <a:r>
            <a:rPr lang="pt-BR" sz="1100" baseline="0"/>
            <a:t> utilizada, pois através dela são inseridas as horas trabalhadas de cada funcionário para cada mês específico. Nesta parte serão definidas as horas extras trabalhadas.</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653403"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48068"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11</xdr:row>
      <xdr:rowOff>212725</xdr:rowOff>
    </xdr:from>
    <xdr:to>
      <xdr:col>0</xdr:col>
      <xdr:colOff>1622973</xdr:colOff>
      <xdr:row>11</xdr:row>
      <xdr:rowOff>212725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149225</xdr:rowOff>
    </xdr:from>
    <xdr:to>
      <xdr:col>1</xdr:col>
      <xdr:colOff>15929</xdr:colOff>
      <xdr:row>7</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7</xdr:row>
      <xdr:rowOff>85725</xdr:rowOff>
    </xdr:from>
    <xdr:to>
      <xdr:col>1</xdr:col>
      <xdr:colOff>15929</xdr:colOff>
      <xdr:row>7</xdr:row>
      <xdr:rowOff>339725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22225</xdr:rowOff>
    </xdr:from>
    <xdr:to>
      <xdr:col>1</xdr:col>
      <xdr:colOff>15929</xdr:colOff>
      <xdr:row>8</xdr:row>
      <xdr:rowOff>276225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339725</xdr:rowOff>
    </xdr:from>
    <xdr:to>
      <xdr:col>1</xdr:col>
      <xdr:colOff>15929</xdr:colOff>
      <xdr:row>9</xdr:row>
      <xdr:rowOff>212725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9</xdr:row>
      <xdr:rowOff>276225</xdr:rowOff>
    </xdr:from>
    <xdr:to>
      <xdr:col>1</xdr:col>
      <xdr:colOff>15929</xdr:colOff>
      <xdr:row>10</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10</xdr:row>
      <xdr:rowOff>212725</xdr:rowOff>
    </xdr:from>
    <xdr:to>
      <xdr:col>1</xdr:col>
      <xdr:colOff>15929</xdr:colOff>
      <xdr:row>11</xdr:row>
      <xdr:rowOff>85725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339725</xdr:rowOff>
    </xdr:from>
    <xdr:to>
      <xdr:col>1</xdr:col>
      <xdr:colOff>15929</xdr:colOff>
      <xdr:row>12</xdr:row>
      <xdr:rowOff>212725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276225</xdr:rowOff>
    </xdr:from>
    <xdr:to>
      <xdr:col>1</xdr:col>
      <xdr:colOff>15929</xdr:colOff>
      <xdr:row>13</xdr:row>
      <xdr:rowOff>149225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13</xdr:row>
      <xdr:rowOff>212725</xdr:rowOff>
    </xdr:from>
    <xdr:to>
      <xdr:col>1</xdr:col>
      <xdr:colOff>15929</xdr:colOff>
      <xdr:row>14</xdr:row>
      <xdr:rowOff>85725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304800</xdr:colOff>
      <xdr:row>0</xdr:row>
      <xdr:rowOff>177800</xdr:rowOff>
    </xdr:from>
    <xdr:to>
      <xdr:col>5</xdr:col>
      <xdr:colOff>730956</xdr:colOff>
      <xdr:row>1</xdr:row>
      <xdr:rowOff>101600</xdr:rowOff>
    </xdr:to>
    <xdr:pic>
      <xdr:nvPicPr>
        <xdr:cNvPr id="653418"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78400" y="1778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absolute">
    <xdr:from>
      <xdr:col>5</xdr:col>
      <xdr:colOff>702381</xdr:colOff>
      <xdr:row>0</xdr:row>
      <xdr:rowOff>120650</xdr:rowOff>
    </xdr:from>
    <xdr:to>
      <xdr:col>16</xdr:col>
      <xdr:colOff>567725</xdr:colOff>
      <xdr:row>1</xdr:row>
      <xdr:rowOff>134103</xdr:rowOff>
    </xdr:to>
    <xdr:sp macro="" textlink="">
      <xdr:nvSpPr>
        <xdr:cNvPr id="2" name="CaixaDeTexto 1"/>
        <xdr:cNvSpPr txBox="1"/>
      </xdr:nvSpPr>
      <xdr:spPr>
        <a:xfrm>
          <a:off x="5288492" y="120650"/>
          <a:ext cx="60319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Esta parte da planilha é a mais</a:t>
          </a:r>
          <a:r>
            <a:rPr lang="pt-BR" sz="1100" baseline="0"/>
            <a:t> utilizada, pois através dela são inseridas as horas trabalhadas de cada funcionário para cada mês específico. Nesta parte serão definidas as horas extras trabalhadas.</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654427"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49092"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11</xdr:row>
      <xdr:rowOff>212725</xdr:rowOff>
    </xdr:from>
    <xdr:to>
      <xdr:col>0</xdr:col>
      <xdr:colOff>1622973</xdr:colOff>
      <xdr:row>11</xdr:row>
      <xdr:rowOff>212725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149225</xdr:rowOff>
    </xdr:from>
    <xdr:to>
      <xdr:col>1</xdr:col>
      <xdr:colOff>15929</xdr:colOff>
      <xdr:row>7</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7</xdr:row>
      <xdr:rowOff>85725</xdr:rowOff>
    </xdr:from>
    <xdr:to>
      <xdr:col>1</xdr:col>
      <xdr:colOff>15929</xdr:colOff>
      <xdr:row>7</xdr:row>
      <xdr:rowOff>339725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22225</xdr:rowOff>
    </xdr:from>
    <xdr:to>
      <xdr:col>1</xdr:col>
      <xdr:colOff>15929</xdr:colOff>
      <xdr:row>8</xdr:row>
      <xdr:rowOff>276225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339725</xdr:rowOff>
    </xdr:from>
    <xdr:to>
      <xdr:col>1</xdr:col>
      <xdr:colOff>15929</xdr:colOff>
      <xdr:row>9</xdr:row>
      <xdr:rowOff>212725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9</xdr:row>
      <xdr:rowOff>276225</xdr:rowOff>
    </xdr:from>
    <xdr:to>
      <xdr:col>1</xdr:col>
      <xdr:colOff>15929</xdr:colOff>
      <xdr:row>10</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10</xdr:row>
      <xdr:rowOff>212725</xdr:rowOff>
    </xdr:from>
    <xdr:to>
      <xdr:col>1</xdr:col>
      <xdr:colOff>15929</xdr:colOff>
      <xdr:row>11</xdr:row>
      <xdr:rowOff>85725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339725</xdr:rowOff>
    </xdr:from>
    <xdr:to>
      <xdr:col>1</xdr:col>
      <xdr:colOff>15929</xdr:colOff>
      <xdr:row>12</xdr:row>
      <xdr:rowOff>212725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276225</xdr:rowOff>
    </xdr:from>
    <xdr:to>
      <xdr:col>1</xdr:col>
      <xdr:colOff>15929</xdr:colOff>
      <xdr:row>13</xdr:row>
      <xdr:rowOff>149225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13</xdr:row>
      <xdr:rowOff>212725</xdr:rowOff>
    </xdr:from>
    <xdr:to>
      <xdr:col>1</xdr:col>
      <xdr:colOff>15929</xdr:colOff>
      <xdr:row>14</xdr:row>
      <xdr:rowOff>85725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304800</xdr:colOff>
      <xdr:row>0</xdr:row>
      <xdr:rowOff>177800</xdr:rowOff>
    </xdr:from>
    <xdr:to>
      <xdr:col>5</xdr:col>
      <xdr:colOff>730956</xdr:colOff>
      <xdr:row>1</xdr:row>
      <xdr:rowOff>101600</xdr:rowOff>
    </xdr:to>
    <xdr:pic>
      <xdr:nvPicPr>
        <xdr:cNvPr id="654442"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78400" y="1778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absolute">
    <xdr:from>
      <xdr:col>5</xdr:col>
      <xdr:colOff>702381</xdr:colOff>
      <xdr:row>0</xdr:row>
      <xdr:rowOff>120650</xdr:rowOff>
    </xdr:from>
    <xdr:to>
      <xdr:col>16</xdr:col>
      <xdr:colOff>567725</xdr:colOff>
      <xdr:row>1</xdr:row>
      <xdr:rowOff>134103</xdr:rowOff>
    </xdr:to>
    <xdr:sp macro="" textlink="">
      <xdr:nvSpPr>
        <xdr:cNvPr id="2" name="CaixaDeTexto 1"/>
        <xdr:cNvSpPr txBox="1"/>
      </xdr:nvSpPr>
      <xdr:spPr>
        <a:xfrm>
          <a:off x="5288492" y="120650"/>
          <a:ext cx="60319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Esta parte da planilha é a mais</a:t>
          </a:r>
          <a:r>
            <a:rPr lang="pt-BR" sz="1100" baseline="0"/>
            <a:t> utilizada, pois através dela são inseridas as horas trabalhadas de cada funcionário para cada mês específico. Nesta parte serão definidas as horas extras trabalhadas.</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655451"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50116"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11</xdr:row>
      <xdr:rowOff>212725</xdr:rowOff>
    </xdr:from>
    <xdr:to>
      <xdr:col>0</xdr:col>
      <xdr:colOff>1622973</xdr:colOff>
      <xdr:row>11</xdr:row>
      <xdr:rowOff>212725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149225</xdr:rowOff>
    </xdr:from>
    <xdr:to>
      <xdr:col>1</xdr:col>
      <xdr:colOff>15929</xdr:colOff>
      <xdr:row>7</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7</xdr:row>
      <xdr:rowOff>85725</xdr:rowOff>
    </xdr:from>
    <xdr:to>
      <xdr:col>1</xdr:col>
      <xdr:colOff>15929</xdr:colOff>
      <xdr:row>7</xdr:row>
      <xdr:rowOff>339725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22225</xdr:rowOff>
    </xdr:from>
    <xdr:to>
      <xdr:col>1</xdr:col>
      <xdr:colOff>15929</xdr:colOff>
      <xdr:row>8</xdr:row>
      <xdr:rowOff>276225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339725</xdr:rowOff>
    </xdr:from>
    <xdr:to>
      <xdr:col>1</xdr:col>
      <xdr:colOff>15929</xdr:colOff>
      <xdr:row>9</xdr:row>
      <xdr:rowOff>212725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9</xdr:row>
      <xdr:rowOff>276225</xdr:rowOff>
    </xdr:from>
    <xdr:to>
      <xdr:col>1</xdr:col>
      <xdr:colOff>15929</xdr:colOff>
      <xdr:row>10</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10</xdr:row>
      <xdr:rowOff>212725</xdr:rowOff>
    </xdr:from>
    <xdr:to>
      <xdr:col>1</xdr:col>
      <xdr:colOff>15929</xdr:colOff>
      <xdr:row>11</xdr:row>
      <xdr:rowOff>85725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339725</xdr:rowOff>
    </xdr:from>
    <xdr:to>
      <xdr:col>1</xdr:col>
      <xdr:colOff>15929</xdr:colOff>
      <xdr:row>12</xdr:row>
      <xdr:rowOff>212725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276225</xdr:rowOff>
    </xdr:from>
    <xdr:to>
      <xdr:col>1</xdr:col>
      <xdr:colOff>15929</xdr:colOff>
      <xdr:row>13</xdr:row>
      <xdr:rowOff>149225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13</xdr:row>
      <xdr:rowOff>212725</xdr:rowOff>
    </xdr:from>
    <xdr:to>
      <xdr:col>1</xdr:col>
      <xdr:colOff>15929</xdr:colOff>
      <xdr:row>14</xdr:row>
      <xdr:rowOff>85725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304800</xdr:colOff>
      <xdr:row>0</xdr:row>
      <xdr:rowOff>177800</xdr:rowOff>
    </xdr:from>
    <xdr:to>
      <xdr:col>5</xdr:col>
      <xdr:colOff>730956</xdr:colOff>
      <xdr:row>1</xdr:row>
      <xdr:rowOff>101600</xdr:rowOff>
    </xdr:to>
    <xdr:pic>
      <xdr:nvPicPr>
        <xdr:cNvPr id="655466"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78400" y="1778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absolute">
    <xdr:from>
      <xdr:col>5</xdr:col>
      <xdr:colOff>702381</xdr:colOff>
      <xdr:row>0</xdr:row>
      <xdr:rowOff>120650</xdr:rowOff>
    </xdr:from>
    <xdr:to>
      <xdr:col>16</xdr:col>
      <xdr:colOff>567725</xdr:colOff>
      <xdr:row>1</xdr:row>
      <xdr:rowOff>134103</xdr:rowOff>
    </xdr:to>
    <xdr:sp macro="" textlink="">
      <xdr:nvSpPr>
        <xdr:cNvPr id="2" name="CaixaDeTexto 1"/>
        <xdr:cNvSpPr txBox="1"/>
      </xdr:nvSpPr>
      <xdr:spPr>
        <a:xfrm>
          <a:off x="5288492" y="120650"/>
          <a:ext cx="60319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Esta parte da planilha é a mais</a:t>
          </a:r>
          <a:r>
            <a:rPr lang="pt-BR" sz="1100" baseline="0"/>
            <a:t> utilizada, pois através dela são inseridas as horas trabalhadas de cada funcionário para cada mês específico. Nesta parte serão definidas as horas extras trabalhadas.</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656475"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51140"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11</xdr:row>
      <xdr:rowOff>212725</xdr:rowOff>
    </xdr:from>
    <xdr:to>
      <xdr:col>0</xdr:col>
      <xdr:colOff>1622973</xdr:colOff>
      <xdr:row>11</xdr:row>
      <xdr:rowOff>212725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149225</xdr:rowOff>
    </xdr:from>
    <xdr:to>
      <xdr:col>1</xdr:col>
      <xdr:colOff>15929</xdr:colOff>
      <xdr:row>7</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7</xdr:row>
      <xdr:rowOff>85725</xdr:rowOff>
    </xdr:from>
    <xdr:to>
      <xdr:col>1</xdr:col>
      <xdr:colOff>15929</xdr:colOff>
      <xdr:row>7</xdr:row>
      <xdr:rowOff>339725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22225</xdr:rowOff>
    </xdr:from>
    <xdr:to>
      <xdr:col>1</xdr:col>
      <xdr:colOff>15929</xdr:colOff>
      <xdr:row>8</xdr:row>
      <xdr:rowOff>276225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339725</xdr:rowOff>
    </xdr:from>
    <xdr:to>
      <xdr:col>1</xdr:col>
      <xdr:colOff>15929</xdr:colOff>
      <xdr:row>9</xdr:row>
      <xdr:rowOff>212725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9</xdr:row>
      <xdr:rowOff>276225</xdr:rowOff>
    </xdr:from>
    <xdr:to>
      <xdr:col>1</xdr:col>
      <xdr:colOff>15929</xdr:colOff>
      <xdr:row>10</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10</xdr:row>
      <xdr:rowOff>212725</xdr:rowOff>
    </xdr:from>
    <xdr:to>
      <xdr:col>1</xdr:col>
      <xdr:colOff>15929</xdr:colOff>
      <xdr:row>11</xdr:row>
      <xdr:rowOff>85725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339725</xdr:rowOff>
    </xdr:from>
    <xdr:to>
      <xdr:col>1</xdr:col>
      <xdr:colOff>15929</xdr:colOff>
      <xdr:row>12</xdr:row>
      <xdr:rowOff>212725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276225</xdr:rowOff>
    </xdr:from>
    <xdr:to>
      <xdr:col>1</xdr:col>
      <xdr:colOff>15929</xdr:colOff>
      <xdr:row>13</xdr:row>
      <xdr:rowOff>149225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13</xdr:row>
      <xdr:rowOff>212725</xdr:rowOff>
    </xdr:from>
    <xdr:to>
      <xdr:col>1</xdr:col>
      <xdr:colOff>15929</xdr:colOff>
      <xdr:row>14</xdr:row>
      <xdr:rowOff>85725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304800</xdr:colOff>
      <xdr:row>0</xdr:row>
      <xdr:rowOff>177800</xdr:rowOff>
    </xdr:from>
    <xdr:to>
      <xdr:col>5</xdr:col>
      <xdr:colOff>730956</xdr:colOff>
      <xdr:row>1</xdr:row>
      <xdr:rowOff>101600</xdr:rowOff>
    </xdr:to>
    <xdr:pic>
      <xdr:nvPicPr>
        <xdr:cNvPr id="656490"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78400" y="1778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absolute">
    <xdr:from>
      <xdr:col>5</xdr:col>
      <xdr:colOff>702381</xdr:colOff>
      <xdr:row>0</xdr:row>
      <xdr:rowOff>120650</xdr:rowOff>
    </xdr:from>
    <xdr:to>
      <xdr:col>16</xdr:col>
      <xdr:colOff>567725</xdr:colOff>
      <xdr:row>1</xdr:row>
      <xdr:rowOff>134103</xdr:rowOff>
    </xdr:to>
    <xdr:sp macro="" textlink="">
      <xdr:nvSpPr>
        <xdr:cNvPr id="2" name="CaixaDeTexto 1"/>
        <xdr:cNvSpPr txBox="1"/>
      </xdr:nvSpPr>
      <xdr:spPr>
        <a:xfrm>
          <a:off x="5288492" y="120650"/>
          <a:ext cx="60319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Esta parte da planilha é a mais</a:t>
          </a:r>
          <a:r>
            <a:rPr lang="pt-BR" sz="1100" baseline="0"/>
            <a:t> utilizada, pois através dela são inseridas as horas trabalhadas de cada funcionário para cada mês específico. Nesta parte serão definidas as horas extras trabalhadas.</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657499"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52164"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11</xdr:row>
      <xdr:rowOff>212725</xdr:rowOff>
    </xdr:from>
    <xdr:to>
      <xdr:col>0</xdr:col>
      <xdr:colOff>1622973</xdr:colOff>
      <xdr:row>11</xdr:row>
      <xdr:rowOff>212725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149225</xdr:rowOff>
    </xdr:from>
    <xdr:to>
      <xdr:col>1</xdr:col>
      <xdr:colOff>15929</xdr:colOff>
      <xdr:row>7</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7</xdr:row>
      <xdr:rowOff>85725</xdr:rowOff>
    </xdr:from>
    <xdr:to>
      <xdr:col>1</xdr:col>
      <xdr:colOff>15929</xdr:colOff>
      <xdr:row>7</xdr:row>
      <xdr:rowOff>339725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22225</xdr:rowOff>
    </xdr:from>
    <xdr:to>
      <xdr:col>1</xdr:col>
      <xdr:colOff>15929</xdr:colOff>
      <xdr:row>8</xdr:row>
      <xdr:rowOff>276225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339725</xdr:rowOff>
    </xdr:from>
    <xdr:to>
      <xdr:col>1</xdr:col>
      <xdr:colOff>15929</xdr:colOff>
      <xdr:row>9</xdr:row>
      <xdr:rowOff>212725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9</xdr:row>
      <xdr:rowOff>276225</xdr:rowOff>
    </xdr:from>
    <xdr:to>
      <xdr:col>1</xdr:col>
      <xdr:colOff>15929</xdr:colOff>
      <xdr:row>10</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10</xdr:row>
      <xdr:rowOff>212725</xdr:rowOff>
    </xdr:from>
    <xdr:to>
      <xdr:col>1</xdr:col>
      <xdr:colOff>15929</xdr:colOff>
      <xdr:row>11</xdr:row>
      <xdr:rowOff>85725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339725</xdr:rowOff>
    </xdr:from>
    <xdr:to>
      <xdr:col>1</xdr:col>
      <xdr:colOff>15929</xdr:colOff>
      <xdr:row>12</xdr:row>
      <xdr:rowOff>212725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276225</xdr:rowOff>
    </xdr:from>
    <xdr:to>
      <xdr:col>1</xdr:col>
      <xdr:colOff>15929</xdr:colOff>
      <xdr:row>13</xdr:row>
      <xdr:rowOff>149225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13</xdr:row>
      <xdr:rowOff>212725</xdr:rowOff>
    </xdr:from>
    <xdr:to>
      <xdr:col>1</xdr:col>
      <xdr:colOff>15929</xdr:colOff>
      <xdr:row>14</xdr:row>
      <xdr:rowOff>85725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304800</xdr:colOff>
      <xdr:row>0</xdr:row>
      <xdr:rowOff>177800</xdr:rowOff>
    </xdr:from>
    <xdr:to>
      <xdr:col>5</xdr:col>
      <xdr:colOff>730956</xdr:colOff>
      <xdr:row>1</xdr:row>
      <xdr:rowOff>101600</xdr:rowOff>
    </xdr:to>
    <xdr:pic>
      <xdr:nvPicPr>
        <xdr:cNvPr id="657514"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78400" y="1778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absolute">
    <xdr:from>
      <xdr:col>5</xdr:col>
      <xdr:colOff>702381</xdr:colOff>
      <xdr:row>0</xdr:row>
      <xdr:rowOff>120650</xdr:rowOff>
    </xdr:from>
    <xdr:to>
      <xdr:col>16</xdr:col>
      <xdr:colOff>567725</xdr:colOff>
      <xdr:row>1</xdr:row>
      <xdr:rowOff>134103</xdr:rowOff>
    </xdr:to>
    <xdr:sp macro="" textlink="">
      <xdr:nvSpPr>
        <xdr:cNvPr id="2" name="CaixaDeTexto 1"/>
        <xdr:cNvSpPr txBox="1"/>
      </xdr:nvSpPr>
      <xdr:spPr>
        <a:xfrm>
          <a:off x="5288492" y="120650"/>
          <a:ext cx="60319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Esta parte da planilha é a mais</a:t>
          </a:r>
          <a:r>
            <a:rPr lang="pt-BR" sz="1100" baseline="0"/>
            <a:t> utilizada, pois através dela são inseridas as horas trabalhadas de cada funcionário para cada mês específico. Nesta parte serão definidas as horas extras trabalhadas.</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658523"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53188"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11</xdr:row>
      <xdr:rowOff>212725</xdr:rowOff>
    </xdr:from>
    <xdr:to>
      <xdr:col>0</xdr:col>
      <xdr:colOff>1622973</xdr:colOff>
      <xdr:row>11</xdr:row>
      <xdr:rowOff>212725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149225</xdr:rowOff>
    </xdr:from>
    <xdr:to>
      <xdr:col>1</xdr:col>
      <xdr:colOff>15929</xdr:colOff>
      <xdr:row>7</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12700</xdr:colOff>
      <xdr:row>7</xdr:row>
      <xdr:rowOff>85725</xdr:rowOff>
    </xdr:from>
    <xdr:to>
      <xdr:col>1</xdr:col>
      <xdr:colOff>15929</xdr:colOff>
      <xdr:row>7</xdr:row>
      <xdr:rowOff>339725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22225</xdr:rowOff>
    </xdr:from>
    <xdr:to>
      <xdr:col>1</xdr:col>
      <xdr:colOff>15929</xdr:colOff>
      <xdr:row>8</xdr:row>
      <xdr:rowOff>276225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339725</xdr:rowOff>
    </xdr:from>
    <xdr:to>
      <xdr:col>1</xdr:col>
      <xdr:colOff>15929</xdr:colOff>
      <xdr:row>9</xdr:row>
      <xdr:rowOff>212725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9</xdr:row>
      <xdr:rowOff>276225</xdr:rowOff>
    </xdr:from>
    <xdr:to>
      <xdr:col>1</xdr:col>
      <xdr:colOff>15929</xdr:colOff>
      <xdr:row>10</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10</xdr:row>
      <xdr:rowOff>212725</xdr:rowOff>
    </xdr:from>
    <xdr:to>
      <xdr:col>1</xdr:col>
      <xdr:colOff>15929</xdr:colOff>
      <xdr:row>11</xdr:row>
      <xdr:rowOff>85725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339725</xdr:rowOff>
    </xdr:from>
    <xdr:to>
      <xdr:col>1</xdr:col>
      <xdr:colOff>15929</xdr:colOff>
      <xdr:row>12</xdr:row>
      <xdr:rowOff>212725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276225</xdr:rowOff>
    </xdr:from>
    <xdr:to>
      <xdr:col>1</xdr:col>
      <xdr:colOff>15929</xdr:colOff>
      <xdr:row>13</xdr:row>
      <xdr:rowOff>149225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13</xdr:row>
      <xdr:rowOff>212725</xdr:rowOff>
    </xdr:from>
    <xdr:to>
      <xdr:col>1</xdr:col>
      <xdr:colOff>15929</xdr:colOff>
      <xdr:row>14</xdr:row>
      <xdr:rowOff>85725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304800</xdr:colOff>
      <xdr:row>0</xdr:row>
      <xdr:rowOff>177800</xdr:rowOff>
    </xdr:from>
    <xdr:to>
      <xdr:col>5</xdr:col>
      <xdr:colOff>730956</xdr:colOff>
      <xdr:row>1</xdr:row>
      <xdr:rowOff>101600</xdr:rowOff>
    </xdr:to>
    <xdr:pic>
      <xdr:nvPicPr>
        <xdr:cNvPr id="658538"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78400" y="1778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absolute">
    <xdr:from>
      <xdr:col>6</xdr:col>
      <xdr:colOff>468842</xdr:colOff>
      <xdr:row>0</xdr:row>
      <xdr:rowOff>120650</xdr:rowOff>
    </xdr:from>
    <xdr:to>
      <xdr:col>12</xdr:col>
      <xdr:colOff>827237</xdr:colOff>
      <xdr:row>1</xdr:row>
      <xdr:rowOff>134103</xdr:rowOff>
    </xdr:to>
    <xdr:sp macro="" textlink="">
      <xdr:nvSpPr>
        <xdr:cNvPr id="2" name="CaixaDeTexto 1"/>
        <xdr:cNvSpPr txBox="1"/>
      </xdr:nvSpPr>
      <xdr:spPr>
        <a:xfrm>
          <a:off x="5802842" y="120650"/>
          <a:ext cx="6087506"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Veja o resultado geral do mês e o detalhamento para conferir o cálculo</a:t>
          </a:r>
          <a:r>
            <a:rPr lang="pt-BR" sz="1100" baseline="0"/>
            <a:t> total das horas extras, banco de horas e horas devidas ao longo do período.</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539941"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4</xdr:row>
      <xdr:rowOff>101600</xdr:rowOff>
    </xdr:to>
    <xdr:sp macro="" textlink="">
      <xdr:nvSpPr>
        <xdr:cNvPr id="539762" name="Rectangle 65"/>
        <xdr:cNvSpPr>
          <a:spLocks noChangeArrowheads="1"/>
        </xdr:cNvSpPr>
      </xdr:nvSpPr>
      <xdr:spPr bwMode="auto">
        <a:xfrm>
          <a:off x="63500" y="901700"/>
          <a:ext cx="1600200" cy="2667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13</xdr:row>
      <xdr:rowOff>299508</xdr:rowOff>
    </xdr:from>
    <xdr:to>
      <xdr:col>0</xdr:col>
      <xdr:colOff>1622973</xdr:colOff>
      <xdr:row>13</xdr:row>
      <xdr:rowOff>299508</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5</xdr:row>
      <xdr:rowOff>117475</xdr:rowOff>
    </xdr:from>
    <xdr:to>
      <xdr:col>1</xdr:col>
      <xdr:colOff>15929</xdr:colOff>
      <xdr:row>5</xdr:row>
      <xdr:rowOff>347285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6</xdr:row>
      <xdr:rowOff>41275</xdr:rowOff>
    </xdr:from>
    <xdr:to>
      <xdr:col>1</xdr:col>
      <xdr:colOff>15929</xdr:colOff>
      <xdr:row>7</xdr:row>
      <xdr:rowOff>222432</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7</xdr:row>
      <xdr:rowOff>276225</xdr:rowOff>
    </xdr:from>
    <xdr:to>
      <xdr:col>1</xdr:col>
      <xdr:colOff>15929</xdr:colOff>
      <xdr:row>8</xdr:row>
      <xdr:rowOff>149225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Lançamentos Mensais</a:t>
          </a:r>
        </a:p>
      </xdr:txBody>
    </xdr:sp>
    <xdr:clientData/>
  </xdr:twoCellAnchor>
  <xdr:twoCellAnchor editAs="absolute">
    <xdr:from>
      <xdr:col>0</xdr:col>
      <xdr:colOff>12700</xdr:colOff>
      <xdr:row>8</xdr:row>
      <xdr:rowOff>222250</xdr:rowOff>
    </xdr:from>
    <xdr:to>
      <xdr:col>1</xdr:col>
      <xdr:colOff>15929</xdr:colOff>
      <xdr:row>9</xdr:row>
      <xdr:rowOff>85843</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3. Resultados Consolidados</a:t>
          </a:r>
        </a:p>
      </xdr:txBody>
    </xdr:sp>
    <xdr:clientData/>
  </xdr:twoCellAnchor>
  <xdr:twoCellAnchor editAs="absolute">
    <xdr:from>
      <xdr:col>0</xdr:col>
      <xdr:colOff>12700</xdr:colOff>
      <xdr:row>9</xdr:row>
      <xdr:rowOff>149225</xdr:rowOff>
    </xdr:from>
    <xdr:to>
      <xdr:col>1</xdr:col>
      <xdr:colOff>15929</xdr:colOff>
      <xdr:row>10</xdr:row>
      <xdr:rowOff>31994</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10</xdr:row>
      <xdr:rowOff>85725</xdr:rowOff>
    </xdr:from>
    <xdr:to>
      <xdr:col>1</xdr:col>
      <xdr:colOff>15929</xdr:colOff>
      <xdr:row>10</xdr:row>
      <xdr:rowOff>339725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11</xdr:row>
      <xdr:rowOff>31750</xdr:rowOff>
    </xdr:from>
    <xdr:to>
      <xdr:col>1</xdr:col>
      <xdr:colOff>15929</xdr:colOff>
      <xdr:row>11</xdr:row>
      <xdr:rowOff>276343</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11</xdr:row>
      <xdr:rowOff>339725</xdr:rowOff>
    </xdr:from>
    <xdr:to>
      <xdr:col>1</xdr:col>
      <xdr:colOff>15929</xdr:colOff>
      <xdr:row>13</xdr:row>
      <xdr:rowOff>172743</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14</xdr:row>
      <xdr:rowOff>32808</xdr:rowOff>
    </xdr:from>
    <xdr:to>
      <xdr:col>1</xdr:col>
      <xdr:colOff>15929</xdr:colOff>
      <xdr:row>15</xdr:row>
      <xdr:rowOff>233891</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15</xdr:row>
      <xdr:rowOff>297391</xdr:rowOff>
    </xdr:from>
    <xdr:to>
      <xdr:col>1</xdr:col>
      <xdr:colOff>15929</xdr:colOff>
      <xdr:row>17</xdr:row>
      <xdr:rowOff>117475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17</xdr:row>
      <xdr:rowOff>180975</xdr:rowOff>
    </xdr:from>
    <xdr:to>
      <xdr:col>1</xdr:col>
      <xdr:colOff>15929</xdr:colOff>
      <xdr:row>19</xdr:row>
      <xdr:rowOff>1058</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6</xdr:col>
      <xdr:colOff>139700</xdr:colOff>
      <xdr:row>0</xdr:row>
      <xdr:rowOff>139700</xdr:rowOff>
    </xdr:from>
    <xdr:to>
      <xdr:col>6</xdr:col>
      <xdr:colOff>482600</xdr:colOff>
      <xdr:row>1</xdr:row>
      <xdr:rowOff>63500</xdr:rowOff>
    </xdr:to>
    <xdr:pic>
      <xdr:nvPicPr>
        <xdr:cNvPr id="539956"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5473700" y="1397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2</xdr:col>
      <xdr:colOff>0</xdr:colOff>
      <xdr:row>1</xdr:row>
      <xdr:rowOff>241300</xdr:rowOff>
    </xdr:from>
    <xdr:to>
      <xdr:col>3</xdr:col>
      <xdr:colOff>682468</xdr:colOff>
      <xdr:row>3</xdr:row>
      <xdr:rowOff>26957</xdr:rowOff>
    </xdr:to>
    <xdr:sp macro="" textlink="">
      <xdr:nvSpPr>
        <xdr:cNvPr id="19" name="Retângulo 18">
          <a:hlinkClick xmlns:r="http://schemas.openxmlformats.org/officeDocument/2006/relationships" r:id="rId15" tooltip="Clique para ir para Áreas da Empresa"/>
        </xdr:cNvPr>
        <xdr:cNvSpPr/>
      </xdr:nvSpPr>
      <xdr:spPr>
        <a:xfrm>
          <a:off x="2106083" y="687917"/>
          <a:ext cx="1188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bg1"/>
              </a:solidFill>
              <a:latin typeface="+mn-lt"/>
              <a:ea typeface="+mn-ea"/>
              <a:cs typeface="+mn-cs"/>
            </a:rPr>
            <a:t>Funcionários</a:t>
          </a:r>
        </a:p>
      </xdr:txBody>
    </xdr:sp>
    <xdr:clientData/>
  </xdr:twoCellAnchor>
  <xdr:twoCellAnchor editAs="absolute">
    <xdr:from>
      <xdr:col>3</xdr:col>
      <xdr:colOff>722414</xdr:colOff>
      <xdr:row>1</xdr:row>
      <xdr:rowOff>241300</xdr:rowOff>
    </xdr:from>
    <xdr:to>
      <xdr:col>4</xdr:col>
      <xdr:colOff>929671</xdr:colOff>
      <xdr:row>3</xdr:row>
      <xdr:rowOff>26957</xdr:rowOff>
    </xdr:to>
    <xdr:sp macro="" textlink="">
      <xdr:nvSpPr>
        <xdr:cNvPr id="20" name="Retângulo 19">
          <a:hlinkClick xmlns:r="http://schemas.openxmlformats.org/officeDocument/2006/relationships" r:id="rId16" tooltip="Clique para ir para Responsáveis"/>
        </xdr:cNvPr>
        <xdr:cNvSpPr/>
      </xdr:nvSpPr>
      <xdr:spPr>
        <a:xfrm>
          <a:off x="3331206" y="687917"/>
          <a:ext cx="1188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a:solidFill>
                <a:schemeClr val="lt1"/>
              </a:solidFill>
              <a:latin typeface="+mn-lt"/>
              <a:ea typeface="+mn-ea"/>
              <a:cs typeface="+mn-cs"/>
            </a:rPr>
            <a:t>Resultados gerais</a:t>
          </a:r>
        </a:p>
      </xdr:txBody>
    </xdr:sp>
    <xdr:clientData/>
  </xdr:twoCellAnchor>
  <xdr:twoCellAnchor editAs="absolute">
    <xdr:from>
      <xdr:col>4</xdr:col>
      <xdr:colOff>984249</xdr:colOff>
      <xdr:row>1</xdr:row>
      <xdr:rowOff>241300</xdr:rowOff>
    </xdr:from>
    <xdr:to>
      <xdr:col>6</xdr:col>
      <xdr:colOff>120132</xdr:colOff>
      <xdr:row>3</xdr:row>
      <xdr:rowOff>26957</xdr:rowOff>
    </xdr:to>
    <xdr:sp macro="" textlink="">
      <xdr:nvSpPr>
        <xdr:cNvPr id="21" name="Retângulo 20">
          <a:hlinkClick xmlns:r="http://schemas.openxmlformats.org/officeDocument/2006/relationships" r:id="rId17" tooltip="Clique para ir para Responsáveis"/>
        </xdr:cNvPr>
        <xdr:cNvSpPr/>
      </xdr:nvSpPr>
      <xdr:spPr>
        <a:xfrm>
          <a:off x="4561416" y="687917"/>
          <a:ext cx="1188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a:solidFill>
                <a:schemeClr val="lt1"/>
              </a:solidFill>
              <a:latin typeface="+mn-lt"/>
              <a:ea typeface="+mn-ea"/>
              <a:cs typeface="+mn-cs"/>
            </a:rPr>
            <a:t>Área</a:t>
          </a:r>
        </a:p>
      </xdr:txBody>
    </xdr:sp>
    <xdr:clientData/>
  </xdr:twoCellAnchor>
</xdr:wsDr>
</file>

<file path=xl/drawings/drawing37.xml><?xml version="1.0" encoding="utf-8"?>
<xdr:wsDr xmlns:xdr="http://schemas.openxmlformats.org/drawingml/2006/spreadsheetDrawing" xmlns:a="http://schemas.openxmlformats.org/drawingml/2006/main">
  <xdr:twoCellAnchor editAs="absolute">
    <xdr:from>
      <xdr:col>3</xdr:col>
      <xdr:colOff>583142</xdr:colOff>
      <xdr:row>0</xdr:row>
      <xdr:rowOff>120650</xdr:rowOff>
    </xdr:from>
    <xdr:to>
      <xdr:col>9</xdr:col>
      <xdr:colOff>888044</xdr:colOff>
      <xdr:row>1</xdr:row>
      <xdr:rowOff>134103</xdr:rowOff>
    </xdr:to>
    <xdr:sp macro="" textlink="">
      <xdr:nvSpPr>
        <xdr:cNvPr id="2" name="CaixaDeTexto 1"/>
        <xdr:cNvSpPr txBox="1"/>
      </xdr:nvSpPr>
      <xdr:spPr>
        <a:xfrm>
          <a:off x="5818364" y="120650"/>
          <a:ext cx="6076347"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Veja o resultado geral do mês e o detalhamento para conferir o cálculo</a:t>
          </a:r>
          <a:r>
            <a:rPr lang="pt-BR" sz="1100" baseline="0"/>
            <a:t> total das horas extras, banco de horas e horas devidas ao longo do período.</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551190"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4</xdr:row>
      <xdr:rowOff>101600</xdr:rowOff>
    </xdr:to>
    <xdr:sp macro="" textlink="">
      <xdr:nvSpPr>
        <xdr:cNvPr id="551012" name="Rectangle 65"/>
        <xdr:cNvSpPr>
          <a:spLocks noChangeArrowheads="1"/>
        </xdr:cNvSpPr>
      </xdr:nvSpPr>
      <xdr:spPr bwMode="auto">
        <a:xfrm>
          <a:off x="63500" y="901700"/>
          <a:ext cx="1600200" cy="2667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12</xdr:row>
      <xdr:rowOff>41275</xdr:rowOff>
    </xdr:from>
    <xdr:to>
      <xdr:col>0</xdr:col>
      <xdr:colOff>1622973</xdr:colOff>
      <xdr:row>12</xdr:row>
      <xdr:rowOff>41275</xdr:rowOff>
    </xdr:to>
    <xdr:cxnSp macro="">
      <xdr:nvCxnSpPr>
        <xdr:cNvPr id="6" name="Conector reto 5"/>
        <xdr:cNvCxnSpPr/>
      </xdr:nvCxnSpPr>
      <xdr:spPr>
        <a:xfrm>
          <a:off x="152400" y="3934883"/>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5</xdr:row>
      <xdr:rowOff>117475</xdr:rowOff>
    </xdr:from>
    <xdr:to>
      <xdr:col>1</xdr:col>
      <xdr:colOff>15929</xdr:colOff>
      <xdr:row>5</xdr:row>
      <xdr:rowOff>347285</xdr:rowOff>
    </xdr:to>
    <xdr:sp macro="" textlink="">
      <xdr:nvSpPr>
        <xdr:cNvPr id="7" name="Retângulo 6">
          <a:hlinkClick xmlns:r="http://schemas.openxmlformats.org/officeDocument/2006/relationships" r:id="rId2"/>
        </xdr:cNvPr>
        <xdr:cNvSpPr/>
      </xdr:nvSpPr>
      <xdr:spPr>
        <a:xfrm>
          <a:off x="12700" y="132715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6</xdr:row>
      <xdr:rowOff>41275</xdr:rowOff>
    </xdr:from>
    <xdr:to>
      <xdr:col>1</xdr:col>
      <xdr:colOff>15929</xdr:colOff>
      <xdr:row>6</xdr:row>
      <xdr:rowOff>308643</xdr:rowOff>
    </xdr:to>
    <xdr:sp macro="" textlink="">
      <xdr:nvSpPr>
        <xdr:cNvPr id="8" name="Retângulo 7">
          <a:hlinkClick xmlns:r="http://schemas.openxmlformats.org/officeDocument/2006/relationships" r:id="rId3"/>
        </xdr:cNvPr>
        <xdr:cNvSpPr/>
      </xdr:nvSpPr>
      <xdr:spPr>
        <a:xfrm>
          <a:off x="12700" y="164465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346075</xdr:rowOff>
    </xdr:from>
    <xdr:to>
      <xdr:col>1</xdr:col>
      <xdr:colOff>15929</xdr:colOff>
      <xdr:row>7</xdr:row>
      <xdr:rowOff>232443</xdr:rowOff>
    </xdr:to>
    <xdr:sp macro="" textlink="">
      <xdr:nvSpPr>
        <xdr:cNvPr id="9" name="Retângulo 8">
          <a:hlinkClick xmlns:r="http://schemas.openxmlformats.org/officeDocument/2006/relationships" r:id="rId4"/>
        </xdr:cNvPr>
        <xdr:cNvSpPr/>
      </xdr:nvSpPr>
      <xdr:spPr>
        <a:xfrm>
          <a:off x="12700" y="196215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Lançamentos Mensais</a:t>
          </a:r>
        </a:p>
      </xdr:txBody>
    </xdr:sp>
    <xdr:clientData/>
  </xdr:twoCellAnchor>
  <xdr:twoCellAnchor editAs="absolute">
    <xdr:from>
      <xdr:col>0</xdr:col>
      <xdr:colOff>12700</xdr:colOff>
      <xdr:row>7</xdr:row>
      <xdr:rowOff>307975</xdr:rowOff>
    </xdr:from>
    <xdr:to>
      <xdr:col>1</xdr:col>
      <xdr:colOff>15929</xdr:colOff>
      <xdr:row>8</xdr:row>
      <xdr:rowOff>156785</xdr:rowOff>
    </xdr:to>
    <xdr:sp macro="" textlink="">
      <xdr:nvSpPr>
        <xdr:cNvPr id="10" name="Retângulo 9">
          <a:hlinkClick xmlns:r="http://schemas.openxmlformats.org/officeDocument/2006/relationships" r:id="rId5"/>
        </xdr:cNvPr>
        <xdr:cNvSpPr/>
      </xdr:nvSpPr>
      <xdr:spPr>
        <a:xfrm>
          <a:off x="12700" y="227965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3. Resultados Consolidados</a:t>
          </a:r>
        </a:p>
      </xdr:txBody>
    </xdr:sp>
    <xdr:clientData/>
  </xdr:twoCellAnchor>
  <xdr:twoCellAnchor editAs="absolute">
    <xdr:from>
      <xdr:col>0</xdr:col>
      <xdr:colOff>12700</xdr:colOff>
      <xdr:row>8</xdr:row>
      <xdr:rowOff>231775</xdr:rowOff>
    </xdr:from>
    <xdr:to>
      <xdr:col>1</xdr:col>
      <xdr:colOff>15929</xdr:colOff>
      <xdr:row>9</xdr:row>
      <xdr:rowOff>118143</xdr:rowOff>
    </xdr:to>
    <xdr:sp macro="" textlink="">
      <xdr:nvSpPr>
        <xdr:cNvPr id="11" name="Retângulo 10">
          <a:hlinkClick xmlns:r="http://schemas.openxmlformats.org/officeDocument/2006/relationships" r:id="rId6"/>
        </xdr:cNvPr>
        <xdr:cNvSpPr/>
      </xdr:nvSpPr>
      <xdr:spPr>
        <a:xfrm>
          <a:off x="12700" y="259715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9</xdr:row>
      <xdr:rowOff>155575</xdr:rowOff>
    </xdr:from>
    <xdr:to>
      <xdr:col>1</xdr:col>
      <xdr:colOff>15929</xdr:colOff>
      <xdr:row>10</xdr:row>
      <xdr:rowOff>41943</xdr:rowOff>
    </xdr:to>
    <xdr:sp macro="" textlink="">
      <xdr:nvSpPr>
        <xdr:cNvPr id="12" name="Retângulo 11">
          <a:hlinkClick xmlns:r="http://schemas.openxmlformats.org/officeDocument/2006/relationships" r:id="rId7"/>
        </xdr:cNvPr>
        <xdr:cNvSpPr/>
      </xdr:nvSpPr>
      <xdr:spPr>
        <a:xfrm>
          <a:off x="12700" y="291465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10</xdr:row>
      <xdr:rowOff>117475</xdr:rowOff>
    </xdr:from>
    <xdr:to>
      <xdr:col>1</xdr:col>
      <xdr:colOff>15929</xdr:colOff>
      <xdr:row>10</xdr:row>
      <xdr:rowOff>347285</xdr:rowOff>
    </xdr:to>
    <xdr:sp macro="" textlink="">
      <xdr:nvSpPr>
        <xdr:cNvPr id="13" name="Retângulo 12">
          <a:hlinkClick xmlns:r="http://schemas.openxmlformats.org/officeDocument/2006/relationships" r:id="rId8"/>
        </xdr:cNvPr>
        <xdr:cNvSpPr/>
      </xdr:nvSpPr>
      <xdr:spPr>
        <a:xfrm>
          <a:off x="12700" y="323215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11</xdr:row>
      <xdr:rowOff>41275</xdr:rowOff>
    </xdr:from>
    <xdr:to>
      <xdr:col>1</xdr:col>
      <xdr:colOff>15929</xdr:colOff>
      <xdr:row>11</xdr:row>
      <xdr:rowOff>308643</xdr:rowOff>
    </xdr:to>
    <xdr:sp macro="" textlink="">
      <xdr:nvSpPr>
        <xdr:cNvPr id="14" name="Retângulo 13">
          <a:hlinkClick xmlns:r="http://schemas.openxmlformats.org/officeDocument/2006/relationships" r:id="rId9"/>
        </xdr:cNvPr>
        <xdr:cNvSpPr/>
      </xdr:nvSpPr>
      <xdr:spPr>
        <a:xfrm>
          <a:off x="12700" y="3549650"/>
          <a:ext cx="1847850" cy="258233"/>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12</xdr:row>
      <xdr:rowOff>155575</xdr:rowOff>
    </xdr:from>
    <xdr:to>
      <xdr:col>1</xdr:col>
      <xdr:colOff>15929</xdr:colOff>
      <xdr:row>13</xdr:row>
      <xdr:rowOff>41943</xdr:rowOff>
    </xdr:to>
    <xdr:sp macro="" textlink="">
      <xdr:nvSpPr>
        <xdr:cNvPr id="15" name="Retângulo 14">
          <a:hlinkClick xmlns:r="http://schemas.openxmlformats.org/officeDocument/2006/relationships" r:id="rId10"/>
        </xdr:cNvPr>
        <xdr:cNvSpPr/>
      </xdr:nvSpPr>
      <xdr:spPr>
        <a:xfrm>
          <a:off x="12700" y="4061883"/>
          <a:ext cx="1847850" cy="258233"/>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13</xdr:row>
      <xdr:rowOff>117475</xdr:rowOff>
    </xdr:from>
    <xdr:to>
      <xdr:col>1</xdr:col>
      <xdr:colOff>15929</xdr:colOff>
      <xdr:row>13</xdr:row>
      <xdr:rowOff>347285</xdr:rowOff>
    </xdr:to>
    <xdr:sp macro="" textlink="">
      <xdr:nvSpPr>
        <xdr:cNvPr id="16" name="Retângulo 15">
          <a:hlinkClick xmlns:r="http://schemas.openxmlformats.org/officeDocument/2006/relationships" r:id="rId11"/>
        </xdr:cNvPr>
        <xdr:cNvSpPr/>
      </xdr:nvSpPr>
      <xdr:spPr>
        <a:xfrm>
          <a:off x="12700" y="4383616"/>
          <a:ext cx="1847850" cy="258234"/>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14</xdr:row>
      <xdr:rowOff>41275</xdr:rowOff>
    </xdr:from>
    <xdr:to>
      <xdr:col>1</xdr:col>
      <xdr:colOff>15929</xdr:colOff>
      <xdr:row>14</xdr:row>
      <xdr:rowOff>308643</xdr:rowOff>
    </xdr:to>
    <xdr:sp macro="" textlink="">
      <xdr:nvSpPr>
        <xdr:cNvPr id="17" name="Retângulo 16">
          <a:hlinkClick xmlns:r="http://schemas.openxmlformats.org/officeDocument/2006/relationships" r:id="rId12"/>
        </xdr:cNvPr>
        <xdr:cNvSpPr/>
      </xdr:nvSpPr>
      <xdr:spPr>
        <a:xfrm>
          <a:off x="12700" y="4705350"/>
          <a:ext cx="1847850" cy="258233"/>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3</xdr:col>
      <xdr:colOff>254000</xdr:colOff>
      <xdr:row>0</xdr:row>
      <xdr:rowOff>139700</xdr:rowOff>
    </xdr:from>
    <xdr:to>
      <xdr:col>3</xdr:col>
      <xdr:colOff>596900</xdr:colOff>
      <xdr:row>1</xdr:row>
      <xdr:rowOff>63500</xdr:rowOff>
    </xdr:to>
    <xdr:pic>
      <xdr:nvPicPr>
        <xdr:cNvPr id="551205"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5486400" y="1397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2</xdr:col>
      <xdr:colOff>0</xdr:colOff>
      <xdr:row>2</xdr:row>
      <xdr:rowOff>0</xdr:rowOff>
    </xdr:from>
    <xdr:to>
      <xdr:col>2</xdr:col>
      <xdr:colOff>1144704</xdr:colOff>
      <xdr:row>3</xdr:row>
      <xdr:rowOff>23417</xdr:rowOff>
    </xdr:to>
    <xdr:sp macro="" textlink="">
      <xdr:nvSpPr>
        <xdr:cNvPr id="21" name="Retângulo 20">
          <a:hlinkClick xmlns:r="http://schemas.openxmlformats.org/officeDocument/2006/relationships" r:id="rId15" tooltip="Clique para ir para Áreas da Empresa"/>
        </xdr:cNvPr>
        <xdr:cNvSpPr/>
      </xdr:nvSpPr>
      <xdr:spPr>
        <a:xfrm>
          <a:off x="2106083" y="698500"/>
          <a:ext cx="1188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a:solidFill>
                <a:schemeClr val="lt1"/>
              </a:solidFill>
              <a:latin typeface="+mn-lt"/>
              <a:ea typeface="+mn-ea"/>
              <a:cs typeface="+mn-cs"/>
            </a:rPr>
            <a:t>Funcionários</a:t>
          </a:r>
        </a:p>
      </xdr:txBody>
    </xdr:sp>
    <xdr:clientData/>
  </xdr:twoCellAnchor>
  <xdr:twoCellAnchor editAs="absolute">
    <xdr:from>
      <xdr:col>2</xdr:col>
      <xdr:colOff>1162041</xdr:colOff>
      <xdr:row>2</xdr:row>
      <xdr:rowOff>0</xdr:rowOff>
    </xdr:from>
    <xdr:to>
      <xdr:col>2</xdr:col>
      <xdr:colOff>2323638</xdr:colOff>
      <xdr:row>3</xdr:row>
      <xdr:rowOff>23417</xdr:rowOff>
    </xdr:to>
    <xdr:sp macro="" textlink="">
      <xdr:nvSpPr>
        <xdr:cNvPr id="22" name="Retângulo 21">
          <a:hlinkClick xmlns:r="http://schemas.openxmlformats.org/officeDocument/2006/relationships" r:id="rId16" tooltip="Clique para ir para Responsáveis"/>
        </xdr:cNvPr>
        <xdr:cNvSpPr/>
      </xdr:nvSpPr>
      <xdr:spPr>
        <a:xfrm>
          <a:off x="3331624" y="698500"/>
          <a:ext cx="1224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bg1"/>
              </a:solidFill>
              <a:latin typeface="+mn-lt"/>
              <a:ea typeface="+mn-ea"/>
              <a:cs typeface="+mn-cs"/>
            </a:rPr>
            <a:t>Resultados gerais</a:t>
          </a:r>
        </a:p>
      </xdr:txBody>
    </xdr:sp>
    <xdr:clientData/>
  </xdr:twoCellAnchor>
  <xdr:twoCellAnchor editAs="absolute">
    <xdr:from>
      <xdr:col>2</xdr:col>
      <xdr:colOff>2363257</xdr:colOff>
      <xdr:row>2</xdr:row>
      <xdr:rowOff>0</xdr:rowOff>
    </xdr:from>
    <xdr:to>
      <xdr:col>3</xdr:col>
      <xdr:colOff>260226</xdr:colOff>
      <xdr:row>3</xdr:row>
      <xdr:rowOff>23417</xdr:rowOff>
    </xdr:to>
    <xdr:sp macro="" textlink="">
      <xdr:nvSpPr>
        <xdr:cNvPr id="23" name="Retângulo 22">
          <a:hlinkClick xmlns:r="http://schemas.openxmlformats.org/officeDocument/2006/relationships" r:id="rId17" tooltip="Clique para ir para Responsáveis"/>
        </xdr:cNvPr>
        <xdr:cNvSpPr/>
      </xdr:nvSpPr>
      <xdr:spPr>
        <a:xfrm>
          <a:off x="4593165" y="698500"/>
          <a:ext cx="1188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a:solidFill>
                <a:schemeClr val="lt1"/>
              </a:solidFill>
              <a:latin typeface="+mn-lt"/>
              <a:ea typeface="+mn-ea"/>
              <a:cs typeface="+mn-cs"/>
            </a:rPr>
            <a:t>Área</a:t>
          </a:r>
        </a:p>
      </xdr:txBody>
    </xdr:sp>
    <xdr:clientData/>
  </xdr:twoCellAnchor>
</xdr:wsDr>
</file>

<file path=xl/drawings/drawing38.xml><?xml version="1.0" encoding="utf-8"?>
<xdr:wsDr xmlns:xdr="http://schemas.openxmlformats.org/drawingml/2006/spreadsheetDrawing" xmlns:a="http://schemas.openxmlformats.org/drawingml/2006/main">
  <xdr:twoCellAnchor editAs="absolute">
    <xdr:from>
      <xdr:col>6</xdr:col>
      <xdr:colOff>468842</xdr:colOff>
      <xdr:row>0</xdr:row>
      <xdr:rowOff>120650</xdr:rowOff>
    </xdr:from>
    <xdr:to>
      <xdr:col>12</xdr:col>
      <xdr:colOff>545015</xdr:colOff>
      <xdr:row>1</xdr:row>
      <xdr:rowOff>134103</xdr:rowOff>
    </xdr:to>
    <xdr:sp macro="" textlink="">
      <xdr:nvSpPr>
        <xdr:cNvPr id="2" name="CaixaDeTexto 1"/>
        <xdr:cNvSpPr txBox="1"/>
      </xdr:nvSpPr>
      <xdr:spPr>
        <a:xfrm>
          <a:off x="5802842" y="120650"/>
          <a:ext cx="6087506"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Veja o resultado geral do mês e o detalhamento para conferir o cálculo</a:t>
          </a:r>
          <a:r>
            <a:rPr lang="pt-BR" sz="1100" baseline="0"/>
            <a:t> total das horas extras, banco de horas e horas devidas ao longo do período.</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540957"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4</xdr:row>
      <xdr:rowOff>101600</xdr:rowOff>
    </xdr:to>
    <xdr:sp macro="" textlink="">
      <xdr:nvSpPr>
        <xdr:cNvPr id="540779" name="Rectangle 65"/>
        <xdr:cNvSpPr>
          <a:spLocks noChangeArrowheads="1"/>
        </xdr:cNvSpPr>
      </xdr:nvSpPr>
      <xdr:spPr bwMode="auto">
        <a:xfrm>
          <a:off x="63500" y="901700"/>
          <a:ext cx="1600200" cy="2667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13</xdr:row>
      <xdr:rowOff>299508</xdr:rowOff>
    </xdr:from>
    <xdr:to>
      <xdr:col>0</xdr:col>
      <xdr:colOff>1622973</xdr:colOff>
      <xdr:row>13</xdr:row>
      <xdr:rowOff>299508</xdr:rowOff>
    </xdr:to>
    <xdr:cxnSp macro="">
      <xdr:nvCxnSpPr>
        <xdr:cNvPr id="6" name="Conector reto 5"/>
        <xdr:cNvCxnSpPr/>
      </xdr:nvCxnSpPr>
      <xdr:spPr>
        <a:xfrm>
          <a:off x="152400" y="3934883"/>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5</xdr:row>
      <xdr:rowOff>117475</xdr:rowOff>
    </xdr:from>
    <xdr:to>
      <xdr:col>1</xdr:col>
      <xdr:colOff>15929</xdr:colOff>
      <xdr:row>5</xdr:row>
      <xdr:rowOff>347285</xdr:rowOff>
    </xdr:to>
    <xdr:sp macro="" textlink="">
      <xdr:nvSpPr>
        <xdr:cNvPr id="7" name="Retângulo 6">
          <a:hlinkClick xmlns:r="http://schemas.openxmlformats.org/officeDocument/2006/relationships" r:id="rId2"/>
        </xdr:cNvPr>
        <xdr:cNvSpPr/>
      </xdr:nvSpPr>
      <xdr:spPr>
        <a:xfrm>
          <a:off x="12700" y="132715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6</xdr:row>
      <xdr:rowOff>41275</xdr:rowOff>
    </xdr:from>
    <xdr:to>
      <xdr:col>1</xdr:col>
      <xdr:colOff>15929</xdr:colOff>
      <xdr:row>7</xdr:row>
      <xdr:rowOff>222432</xdr:rowOff>
    </xdr:to>
    <xdr:sp macro="" textlink="">
      <xdr:nvSpPr>
        <xdr:cNvPr id="8" name="Retângulo 7">
          <a:hlinkClick xmlns:r="http://schemas.openxmlformats.org/officeDocument/2006/relationships" r:id="rId3"/>
        </xdr:cNvPr>
        <xdr:cNvSpPr/>
      </xdr:nvSpPr>
      <xdr:spPr>
        <a:xfrm>
          <a:off x="12700" y="164465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7</xdr:row>
      <xdr:rowOff>276225</xdr:rowOff>
    </xdr:from>
    <xdr:to>
      <xdr:col>1</xdr:col>
      <xdr:colOff>15929</xdr:colOff>
      <xdr:row>8</xdr:row>
      <xdr:rowOff>149225</xdr:rowOff>
    </xdr:to>
    <xdr:sp macro="" textlink="">
      <xdr:nvSpPr>
        <xdr:cNvPr id="9" name="Retângulo 8">
          <a:hlinkClick xmlns:r="http://schemas.openxmlformats.org/officeDocument/2006/relationships" r:id="rId4"/>
        </xdr:cNvPr>
        <xdr:cNvSpPr/>
      </xdr:nvSpPr>
      <xdr:spPr>
        <a:xfrm>
          <a:off x="12700" y="196215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Lançamentos Mensais</a:t>
          </a:r>
        </a:p>
      </xdr:txBody>
    </xdr:sp>
    <xdr:clientData/>
  </xdr:twoCellAnchor>
  <xdr:twoCellAnchor editAs="absolute">
    <xdr:from>
      <xdr:col>0</xdr:col>
      <xdr:colOff>12700</xdr:colOff>
      <xdr:row>8</xdr:row>
      <xdr:rowOff>222250</xdr:rowOff>
    </xdr:from>
    <xdr:to>
      <xdr:col>1</xdr:col>
      <xdr:colOff>15929</xdr:colOff>
      <xdr:row>9</xdr:row>
      <xdr:rowOff>85843</xdr:rowOff>
    </xdr:to>
    <xdr:sp macro="" textlink="">
      <xdr:nvSpPr>
        <xdr:cNvPr id="10" name="Retângulo 9">
          <a:hlinkClick xmlns:r="http://schemas.openxmlformats.org/officeDocument/2006/relationships" r:id="rId5"/>
        </xdr:cNvPr>
        <xdr:cNvSpPr/>
      </xdr:nvSpPr>
      <xdr:spPr>
        <a:xfrm>
          <a:off x="12700" y="227965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3. Resultados Consolidados</a:t>
          </a:r>
        </a:p>
      </xdr:txBody>
    </xdr:sp>
    <xdr:clientData/>
  </xdr:twoCellAnchor>
  <xdr:twoCellAnchor editAs="absolute">
    <xdr:from>
      <xdr:col>0</xdr:col>
      <xdr:colOff>12700</xdr:colOff>
      <xdr:row>9</xdr:row>
      <xdr:rowOff>149225</xdr:rowOff>
    </xdr:from>
    <xdr:to>
      <xdr:col>1</xdr:col>
      <xdr:colOff>15929</xdr:colOff>
      <xdr:row>10</xdr:row>
      <xdr:rowOff>31994</xdr:rowOff>
    </xdr:to>
    <xdr:sp macro="" textlink="">
      <xdr:nvSpPr>
        <xdr:cNvPr id="11" name="Retângulo 10">
          <a:hlinkClick xmlns:r="http://schemas.openxmlformats.org/officeDocument/2006/relationships" r:id="rId6"/>
        </xdr:cNvPr>
        <xdr:cNvSpPr/>
      </xdr:nvSpPr>
      <xdr:spPr>
        <a:xfrm>
          <a:off x="12700" y="259715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10</xdr:row>
      <xdr:rowOff>85725</xdr:rowOff>
    </xdr:from>
    <xdr:to>
      <xdr:col>1</xdr:col>
      <xdr:colOff>15929</xdr:colOff>
      <xdr:row>10</xdr:row>
      <xdr:rowOff>339725</xdr:rowOff>
    </xdr:to>
    <xdr:sp macro="" textlink="">
      <xdr:nvSpPr>
        <xdr:cNvPr id="12" name="Retângulo 11">
          <a:hlinkClick xmlns:r="http://schemas.openxmlformats.org/officeDocument/2006/relationships" r:id="rId7"/>
        </xdr:cNvPr>
        <xdr:cNvSpPr/>
      </xdr:nvSpPr>
      <xdr:spPr>
        <a:xfrm>
          <a:off x="12700" y="291465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11</xdr:row>
      <xdr:rowOff>31750</xdr:rowOff>
    </xdr:from>
    <xdr:to>
      <xdr:col>1</xdr:col>
      <xdr:colOff>15929</xdr:colOff>
      <xdr:row>11</xdr:row>
      <xdr:rowOff>276343</xdr:rowOff>
    </xdr:to>
    <xdr:sp macro="" textlink="">
      <xdr:nvSpPr>
        <xdr:cNvPr id="13" name="Retângulo 12">
          <a:hlinkClick xmlns:r="http://schemas.openxmlformats.org/officeDocument/2006/relationships" r:id="rId8"/>
        </xdr:cNvPr>
        <xdr:cNvSpPr/>
      </xdr:nvSpPr>
      <xdr:spPr>
        <a:xfrm>
          <a:off x="12700" y="323215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11</xdr:row>
      <xdr:rowOff>339725</xdr:rowOff>
    </xdr:from>
    <xdr:to>
      <xdr:col>1</xdr:col>
      <xdr:colOff>15929</xdr:colOff>
      <xdr:row>13</xdr:row>
      <xdr:rowOff>172743</xdr:rowOff>
    </xdr:to>
    <xdr:sp macro="" textlink="">
      <xdr:nvSpPr>
        <xdr:cNvPr id="14" name="Retângulo 13">
          <a:hlinkClick xmlns:r="http://schemas.openxmlformats.org/officeDocument/2006/relationships" r:id="rId9"/>
        </xdr:cNvPr>
        <xdr:cNvSpPr/>
      </xdr:nvSpPr>
      <xdr:spPr>
        <a:xfrm>
          <a:off x="12700" y="3549650"/>
          <a:ext cx="1847850" cy="258233"/>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14</xdr:row>
      <xdr:rowOff>32808</xdr:rowOff>
    </xdr:from>
    <xdr:to>
      <xdr:col>1</xdr:col>
      <xdr:colOff>15929</xdr:colOff>
      <xdr:row>15</xdr:row>
      <xdr:rowOff>233891</xdr:rowOff>
    </xdr:to>
    <xdr:sp macro="" textlink="">
      <xdr:nvSpPr>
        <xdr:cNvPr id="15" name="Retângulo 14">
          <a:hlinkClick xmlns:r="http://schemas.openxmlformats.org/officeDocument/2006/relationships" r:id="rId10"/>
        </xdr:cNvPr>
        <xdr:cNvSpPr/>
      </xdr:nvSpPr>
      <xdr:spPr>
        <a:xfrm>
          <a:off x="12700" y="4061883"/>
          <a:ext cx="1847850" cy="258233"/>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15</xdr:row>
      <xdr:rowOff>297391</xdr:rowOff>
    </xdr:from>
    <xdr:to>
      <xdr:col>1</xdr:col>
      <xdr:colOff>15929</xdr:colOff>
      <xdr:row>17</xdr:row>
      <xdr:rowOff>117475</xdr:rowOff>
    </xdr:to>
    <xdr:sp macro="" textlink="">
      <xdr:nvSpPr>
        <xdr:cNvPr id="16" name="Retângulo 15">
          <a:hlinkClick xmlns:r="http://schemas.openxmlformats.org/officeDocument/2006/relationships" r:id="rId11"/>
        </xdr:cNvPr>
        <xdr:cNvSpPr/>
      </xdr:nvSpPr>
      <xdr:spPr>
        <a:xfrm>
          <a:off x="12700" y="4383616"/>
          <a:ext cx="1847850" cy="258234"/>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17</xdr:row>
      <xdr:rowOff>180975</xdr:rowOff>
    </xdr:from>
    <xdr:to>
      <xdr:col>1</xdr:col>
      <xdr:colOff>15929</xdr:colOff>
      <xdr:row>19</xdr:row>
      <xdr:rowOff>1058</xdr:rowOff>
    </xdr:to>
    <xdr:sp macro="" textlink="">
      <xdr:nvSpPr>
        <xdr:cNvPr id="17" name="Retângulo 16">
          <a:hlinkClick xmlns:r="http://schemas.openxmlformats.org/officeDocument/2006/relationships" r:id="rId12"/>
        </xdr:cNvPr>
        <xdr:cNvSpPr/>
      </xdr:nvSpPr>
      <xdr:spPr>
        <a:xfrm>
          <a:off x="12700" y="4705350"/>
          <a:ext cx="1847850" cy="258233"/>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6</xdr:col>
      <xdr:colOff>139700</xdr:colOff>
      <xdr:row>0</xdr:row>
      <xdr:rowOff>139700</xdr:rowOff>
    </xdr:from>
    <xdr:to>
      <xdr:col>6</xdr:col>
      <xdr:colOff>482600</xdr:colOff>
      <xdr:row>1</xdr:row>
      <xdr:rowOff>63500</xdr:rowOff>
    </xdr:to>
    <xdr:pic>
      <xdr:nvPicPr>
        <xdr:cNvPr id="540972"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5473700" y="1397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2</xdr:col>
      <xdr:colOff>0</xdr:colOff>
      <xdr:row>2</xdr:row>
      <xdr:rowOff>0</xdr:rowOff>
    </xdr:from>
    <xdr:to>
      <xdr:col>3</xdr:col>
      <xdr:colOff>682468</xdr:colOff>
      <xdr:row>3</xdr:row>
      <xdr:rowOff>23417</xdr:rowOff>
    </xdr:to>
    <xdr:sp macro="" textlink="">
      <xdr:nvSpPr>
        <xdr:cNvPr id="21" name="Retângulo 20">
          <a:hlinkClick xmlns:r="http://schemas.openxmlformats.org/officeDocument/2006/relationships" r:id="rId15" tooltip="Clique para ir para Áreas da Empresa"/>
        </xdr:cNvPr>
        <xdr:cNvSpPr/>
      </xdr:nvSpPr>
      <xdr:spPr>
        <a:xfrm>
          <a:off x="2106083" y="698500"/>
          <a:ext cx="1188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a:solidFill>
                <a:schemeClr val="lt1"/>
              </a:solidFill>
              <a:latin typeface="+mn-lt"/>
              <a:ea typeface="+mn-ea"/>
              <a:cs typeface="+mn-cs"/>
            </a:rPr>
            <a:t>Funcionários</a:t>
          </a:r>
        </a:p>
      </xdr:txBody>
    </xdr:sp>
    <xdr:clientData/>
  </xdr:twoCellAnchor>
  <xdr:twoCellAnchor editAs="absolute">
    <xdr:from>
      <xdr:col>3</xdr:col>
      <xdr:colOff>722414</xdr:colOff>
      <xdr:row>2</xdr:row>
      <xdr:rowOff>0</xdr:rowOff>
    </xdr:from>
    <xdr:to>
      <xdr:col>4</xdr:col>
      <xdr:colOff>929671</xdr:colOff>
      <xdr:row>3</xdr:row>
      <xdr:rowOff>23417</xdr:rowOff>
    </xdr:to>
    <xdr:sp macro="" textlink="">
      <xdr:nvSpPr>
        <xdr:cNvPr id="22" name="Retângulo 21">
          <a:hlinkClick xmlns:r="http://schemas.openxmlformats.org/officeDocument/2006/relationships" r:id="rId16" tooltip="Clique para ir para Responsáveis"/>
        </xdr:cNvPr>
        <xdr:cNvSpPr/>
      </xdr:nvSpPr>
      <xdr:spPr>
        <a:xfrm>
          <a:off x="3331206" y="698500"/>
          <a:ext cx="1188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a:solidFill>
                <a:schemeClr val="lt1"/>
              </a:solidFill>
              <a:latin typeface="+mn-lt"/>
              <a:ea typeface="+mn-ea"/>
              <a:cs typeface="+mn-cs"/>
            </a:rPr>
            <a:t>Resultados gerais</a:t>
          </a:r>
        </a:p>
      </xdr:txBody>
    </xdr:sp>
    <xdr:clientData/>
  </xdr:twoCellAnchor>
  <xdr:twoCellAnchor editAs="absolute">
    <xdr:from>
      <xdr:col>4</xdr:col>
      <xdr:colOff>984249</xdr:colOff>
      <xdr:row>2</xdr:row>
      <xdr:rowOff>0</xdr:rowOff>
    </xdr:from>
    <xdr:to>
      <xdr:col>6</xdr:col>
      <xdr:colOff>120132</xdr:colOff>
      <xdr:row>3</xdr:row>
      <xdr:rowOff>23417</xdr:rowOff>
    </xdr:to>
    <xdr:sp macro="" textlink="">
      <xdr:nvSpPr>
        <xdr:cNvPr id="23" name="Retângulo 22">
          <a:hlinkClick xmlns:r="http://schemas.openxmlformats.org/officeDocument/2006/relationships" r:id="rId17" tooltip="Clique para ir para Responsáveis"/>
        </xdr:cNvPr>
        <xdr:cNvSpPr/>
      </xdr:nvSpPr>
      <xdr:spPr>
        <a:xfrm>
          <a:off x="4561416" y="698500"/>
          <a:ext cx="1188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bg1"/>
              </a:solidFill>
              <a:latin typeface="+mn-lt"/>
              <a:ea typeface="+mn-ea"/>
              <a:cs typeface="+mn-cs"/>
            </a:rPr>
            <a:t>Área</a:t>
          </a:r>
        </a:p>
      </xdr:txBody>
    </xdr:sp>
    <xdr:clientData/>
  </xdr:twoCellAnchor>
</xdr:wsDr>
</file>

<file path=xl/drawings/drawing39.xml><?xml version="1.0" encoding="utf-8"?>
<xdr:wsDr xmlns:xdr="http://schemas.openxmlformats.org/drawingml/2006/spreadsheetDrawing" xmlns:a="http://schemas.openxmlformats.org/drawingml/2006/main">
  <xdr:twoCellAnchor editAs="absolute">
    <xdr:from>
      <xdr:col>7</xdr:col>
      <xdr:colOff>358774</xdr:colOff>
      <xdr:row>0</xdr:row>
      <xdr:rowOff>120650</xdr:rowOff>
    </xdr:from>
    <xdr:to>
      <xdr:col>18</xdr:col>
      <xdr:colOff>440360</xdr:colOff>
      <xdr:row>2</xdr:row>
      <xdr:rowOff>155430</xdr:rowOff>
    </xdr:to>
    <xdr:sp macro="" textlink="">
      <xdr:nvSpPr>
        <xdr:cNvPr id="2" name="CaixaDeTexto 1"/>
        <xdr:cNvSpPr txBox="1"/>
      </xdr:nvSpPr>
      <xdr:spPr>
        <a:xfrm>
          <a:off x="5184774" y="120650"/>
          <a:ext cx="6290475" cy="7262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pPr marL="0" marR="0" indent="0" defTabSz="914400" eaLnBrk="1" fontAlgn="auto" latinLnBrk="0" hangingPunct="1">
            <a:lnSpc>
              <a:spcPts val="1200"/>
            </a:lnSpc>
            <a:spcBef>
              <a:spcPts val="0"/>
            </a:spcBef>
            <a:spcAft>
              <a:spcPts val="0"/>
            </a:spcAft>
            <a:buClrTx/>
            <a:buSzTx/>
            <a:buFontTx/>
            <a:buNone/>
            <a:tabLst/>
            <a:defRPr/>
          </a:pPr>
          <a:r>
            <a:rPr lang="pt-BR" sz="1100">
              <a:solidFill>
                <a:schemeClr val="tx1"/>
              </a:solidFill>
              <a:effectLst/>
              <a:latin typeface="+mn-lt"/>
              <a:ea typeface="+mn-ea"/>
              <a:cs typeface="+mn-cs"/>
            </a:rPr>
            <a:t>Faça uma avaliação gráfica sobre o segmento.</a:t>
          </a:r>
          <a:r>
            <a:rPr lang="pt-BR" sz="1100" baseline="0">
              <a:solidFill>
                <a:schemeClr val="tx1"/>
              </a:solidFill>
              <a:effectLst/>
              <a:latin typeface="+mn-lt"/>
              <a:ea typeface="+mn-ea"/>
              <a:cs typeface="+mn-cs"/>
            </a:rPr>
            <a:t> Esse gráfico será gerado a partir de todas as informações cedidas por você nas "Premissas gerais". Esta é uma forma rápida para analisar dados e tomar decisões importantes.</a:t>
          </a:r>
          <a:endParaRPr lang="pt-BR">
            <a:effectLst/>
          </a:endParaRPr>
        </a:p>
        <a:p>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497048"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4</xdr:row>
      <xdr:rowOff>50800</xdr:rowOff>
    </xdr:to>
    <xdr:sp macro="" textlink="">
      <xdr:nvSpPr>
        <xdr:cNvPr id="496852"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11</xdr:row>
      <xdr:rowOff>307975</xdr:rowOff>
    </xdr:from>
    <xdr:to>
      <xdr:col>0</xdr:col>
      <xdr:colOff>1622973</xdr:colOff>
      <xdr:row>11</xdr:row>
      <xdr:rowOff>307975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4</xdr:row>
      <xdr:rowOff>180975</xdr:rowOff>
    </xdr:from>
    <xdr:to>
      <xdr:col>1</xdr:col>
      <xdr:colOff>15929</xdr:colOff>
      <xdr:row>5</xdr:row>
      <xdr:rowOff>53975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5</xdr:row>
      <xdr:rowOff>117475</xdr:rowOff>
    </xdr:from>
    <xdr:to>
      <xdr:col>1</xdr:col>
      <xdr:colOff>15929</xdr:colOff>
      <xdr:row>6</xdr:row>
      <xdr:rowOff>180975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244475</xdr:rowOff>
    </xdr:from>
    <xdr:to>
      <xdr:col>1</xdr:col>
      <xdr:colOff>15929</xdr:colOff>
      <xdr:row>7</xdr:row>
      <xdr:rowOff>117475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Lançamentos Mensais</a:t>
          </a:r>
        </a:p>
      </xdr:txBody>
    </xdr:sp>
    <xdr:clientData/>
  </xdr:twoCellAnchor>
  <xdr:twoCellAnchor editAs="absolute">
    <xdr:from>
      <xdr:col>0</xdr:col>
      <xdr:colOff>12700</xdr:colOff>
      <xdr:row>7</xdr:row>
      <xdr:rowOff>180975</xdr:rowOff>
    </xdr:from>
    <xdr:to>
      <xdr:col>1</xdr:col>
      <xdr:colOff>15929</xdr:colOff>
      <xdr:row>8</xdr:row>
      <xdr:rowOff>53975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117475</xdr:rowOff>
    </xdr:from>
    <xdr:to>
      <xdr:col>1</xdr:col>
      <xdr:colOff>15929</xdr:colOff>
      <xdr:row>8</xdr:row>
      <xdr:rowOff>371475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4. Gráficos</a:t>
          </a:r>
        </a:p>
      </xdr:txBody>
    </xdr:sp>
    <xdr:clientData/>
  </xdr:twoCellAnchor>
  <xdr:twoCellAnchor editAs="absolute">
    <xdr:from>
      <xdr:col>0</xdr:col>
      <xdr:colOff>12700</xdr:colOff>
      <xdr:row>9</xdr:row>
      <xdr:rowOff>53975</xdr:rowOff>
    </xdr:from>
    <xdr:to>
      <xdr:col>1</xdr:col>
      <xdr:colOff>15929</xdr:colOff>
      <xdr:row>9</xdr:row>
      <xdr:rowOff>307975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9</xdr:row>
      <xdr:rowOff>371475</xdr:rowOff>
    </xdr:from>
    <xdr:to>
      <xdr:col>1</xdr:col>
      <xdr:colOff>15929</xdr:colOff>
      <xdr:row>10</xdr:row>
      <xdr:rowOff>244475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10</xdr:row>
      <xdr:rowOff>307975</xdr:rowOff>
    </xdr:from>
    <xdr:to>
      <xdr:col>1</xdr:col>
      <xdr:colOff>15929</xdr:colOff>
      <xdr:row>11</xdr:row>
      <xdr:rowOff>180975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12</xdr:row>
      <xdr:rowOff>53975</xdr:rowOff>
    </xdr:from>
    <xdr:to>
      <xdr:col>1</xdr:col>
      <xdr:colOff>15929</xdr:colOff>
      <xdr:row>12</xdr:row>
      <xdr:rowOff>307975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371475</xdr:rowOff>
    </xdr:from>
    <xdr:to>
      <xdr:col>1</xdr:col>
      <xdr:colOff>15929</xdr:colOff>
      <xdr:row>13</xdr:row>
      <xdr:rowOff>244475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13</xdr:row>
      <xdr:rowOff>307975</xdr:rowOff>
    </xdr:from>
    <xdr:to>
      <xdr:col>1</xdr:col>
      <xdr:colOff>15929</xdr:colOff>
      <xdr:row>14</xdr:row>
      <xdr:rowOff>180975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xdr:from>
      <xdr:col>2</xdr:col>
      <xdr:colOff>0</xdr:colOff>
      <xdr:row>7</xdr:row>
      <xdr:rowOff>38100</xdr:rowOff>
    </xdr:from>
    <xdr:to>
      <xdr:col>17</xdr:col>
      <xdr:colOff>419100</xdr:colOff>
      <xdr:row>14</xdr:row>
      <xdr:rowOff>330200</xdr:rowOff>
    </xdr:to>
    <xdr:graphicFrame macro="">
      <xdr:nvGraphicFramePr>
        <xdr:cNvPr id="497063" name="Gráfico 38"/>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7</xdr:col>
      <xdr:colOff>76200</xdr:colOff>
      <xdr:row>0</xdr:row>
      <xdr:rowOff>165100</xdr:rowOff>
    </xdr:from>
    <xdr:to>
      <xdr:col>7</xdr:col>
      <xdr:colOff>419100</xdr:colOff>
      <xdr:row>1</xdr:row>
      <xdr:rowOff>88900</xdr:rowOff>
    </xdr:to>
    <xdr:pic>
      <xdr:nvPicPr>
        <xdr:cNvPr id="497064" name="Imagem 50">
          <a:hlinkClick xmlns:r="http://schemas.openxmlformats.org/officeDocument/2006/relationships" r:id="rId14"/>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4876800" y="1651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16</xdr:row>
      <xdr:rowOff>0</xdr:rowOff>
    </xdr:from>
    <xdr:to>
      <xdr:col>17</xdr:col>
      <xdr:colOff>419100</xdr:colOff>
      <xdr:row>23</xdr:row>
      <xdr:rowOff>292100</xdr:rowOff>
    </xdr:to>
    <xdr:graphicFrame macro="">
      <xdr:nvGraphicFramePr>
        <xdr:cNvPr id="497065" name="Gráfico 51"/>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0</xdr:colOff>
      <xdr:row>25</xdr:row>
      <xdr:rowOff>0</xdr:rowOff>
    </xdr:from>
    <xdr:to>
      <xdr:col>17</xdr:col>
      <xdr:colOff>419100</xdr:colOff>
      <xdr:row>32</xdr:row>
      <xdr:rowOff>292100</xdr:rowOff>
    </xdr:to>
    <xdr:graphicFrame macro="">
      <xdr:nvGraphicFramePr>
        <xdr:cNvPr id="497066" name="Gráfico 52"/>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2</xdr:col>
      <xdr:colOff>0</xdr:colOff>
      <xdr:row>1</xdr:row>
      <xdr:rowOff>241300</xdr:rowOff>
    </xdr:from>
    <xdr:to>
      <xdr:col>4</xdr:col>
      <xdr:colOff>2666</xdr:colOff>
      <xdr:row>3</xdr:row>
      <xdr:rowOff>26957</xdr:rowOff>
    </xdr:to>
    <xdr:sp macro="" textlink="">
      <xdr:nvSpPr>
        <xdr:cNvPr id="22" name="Retângulo 21">
          <a:hlinkClick xmlns:r="http://schemas.openxmlformats.org/officeDocument/2006/relationships" r:id="rId18" tooltip="Clique para ir para Áreas da Empresa"/>
        </xdr:cNvPr>
        <xdr:cNvSpPr/>
      </xdr:nvSpPr>
      <xdr:spPr>
        <a:xfrm>
          <a:off x="2106083" y="687917"/>
          <a:ext cx="1188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bg1"/>
              </a:solidFill>
              <a:latin typeface="+mn-lt"/>
              <a:ea typeface="+mn-ea"/>
              <a:cs typeface="+mn-cs"/>
            </a:rPr>
            <a:t>Funcionários</a:t>
          </a:r>
        </a:p>
      </xdr:txBody>
    </xdr:sp>
    <xdr:clientData/>
  </xdr:twoCellAnchor>
  <xdr:twoCellAnchor editAs="absolute">
    <xdr:from>
      <xdr:col>4</xdr:col>
      <xdr:colOff>39789</xdr:colOff>
      <xdr:row>1</xdr:row>
      <xdr:rowOff>241300</xdr:rowOff>
    </xdr:from>
    <xdr:to>
      <xdr:col>6</xdr:col>
      <xdr:colOff>42456</xdr:colOff>
      <xdr:row>3</xdr:row>
      <xdr:rowOff>26957</xdr:rowOff>
    </xdr:to>
    <xdr:sp macro="" textlink="">
      <xdr:nvSpPr>
        <xdr:cNvPr id="23" name="Retângulo 22">
          <a:hlinkClick xmlns:r="http://schemas.openxmlformats.org/officeDocument/2006/relationships" r:id="rId19" tooltip="Clique para ir para Responsáveis"/>
        </xdr:cNvPr>
        <xdr:cNvSpPr/>
      </xdr:nvSpPr>
      <xdr:spPr>
        <a:xfrm>
          <a:off x="3331206" y="687917"/>
          <a:ext cx="1188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a:solidFill>
                <a:schemeClr val="lt1"/>
              </a:solidFill>
              <a:latin typeface="+mn-lt"/>
              <a:ea typeface="+mn-ea"/>
              <a:cs typeface="+mn-cs"/>
            </a:rPr>
            <a:t>Áreas</a:t>
          </a:r>
        </a:p>
      </xdr:txBody>
    </xdr:sp>
    <xdr:clientData/>
  </xdr:twoCellAnchor>
</xdr:wsDr>
</file>

<file path=xl/drawings/drawing40.xml><?xml version="1.0" encoding="utf-8"?>
<xdr:wsDr xmlns:xdr="http://schemas.openxmlformats.org/drawingml/2006/spreadsheetDrawing" xmlns:a="http://schemas.openxmlformats.org/drawingml/2006/main">
  <xdr:twoCellAnchor editAs="absolute">
    <xdr:from>
      <xdr:col>7</xdr:col>
      <xdr:colOff>358774</xdr:colOff>
      <xdr:row>0</xdr:row>
      <xdr:rowOff>120650</xdr:rowOff>
    </xdr:from>
    <xdr:to>
      <xdr:col>18</xdr:col>
      <xdr:colOff>440360</xdr:colOff>
      <xdr:row>2</xdr:row>
      <xdr:rowOff>155430</xdr:rowOff>
    </xdr:to>
    <xdr:sp macro="" textlink="">
      <xdr:nvSpPr>
        <xdr:cNvPr id="2" name="CaixaDeTexto 1"/>
        <xdr:cNvSpPr txBox="1"/>
      </xdr:nvSpPr>
      <xdr:spPr>
        <a:xfrm>
          <a:off x="5184774" y="120650"/>
          <a:ext cx="6290475" cy="7262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pPr marL="0" marR="0" indent="0" defTabSz="914400" eaLnBrk="1" fontAlgn="auto" latinLnBrk="0" hangingPunct="1">
            <a:lnSpc>
              <a:spcPts val="1200"/>
            </a:lnSpc>
            <a:spcBef>
              <a:spcPts val="0"/>
            </a:spcBef>
            <a:spcAft>
              <a:spcPts val="0"/>
            </a:spcAft>
            <a:buClrTx/>
            <a:buSzTx/>
            <a:buFontTx/>
            <a:buNone/>
            <a:tabLst/>
            <a:defRPr/>
          </a:pPr>
          <a:r>
            <a:rPr lang="pt-BR" sz="1100">
              <a:solidFill>
                <a:schemeClr val="tx1"/>
              </a:solidFill>
              <a:effectLst/>
              <a:latin typeface="+mn-lt"/>
              <a:ea typeface="+mn-ea"/>
              <a:cs typeface="+mn-cs"/>
            </a:rPr>
            <a:t>Faça uma avaliação gráfica sobre o segmento.</a:t>
          </a:r>
          <a:r>
            <a:rPr lang="pt-BR" sz="1100" baseline="0">
              <a:solidFill>
                <a:schemeClr val="tx1"/>
              </a:solidFill>
              <a:effectLst/>
              <a:latin typeface="+mn-lt"/>
              <a:ea typeface="+mn-ea"/>
              <a:cs typeface="+mn-cs"/>
            </a:rPr>
            <a:t> Esse gráfico será gerado a partir de todas as informações cedidas por você nas "Premissas gerais". Esta é uma forma rápida para analisar dados e tomar decisões importantes.</a:t>
          </a:r>
          <a:endParaRPr lang="pt-BR">
            <a:effectLst/>
          </a:endParaRPr>
        </a:p>
        <a:p>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501144"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4</xdr:row>
      <xdr:rowOff>50800</xdr:rowOff>
    </xdr:to>
    <xdr:sp macro="" textlink="">
      <xdr:nvSpPr>
        <xdr:cNvPr id="500948"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11</xdr:row>
      <xdr:rowOff>307975</xdr:rowOff>
    </xdr:from>
    <xdr:to>
      <xdr:col>0</xdr:col>
      <xdr:colOff>1622973</xdr:colOff>
      <xdr:row>11</xdr:row>
      <xdr:rowOff>307975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4</xdr:row>
      <xdr:rowOff>180975</xdr:rowOff>
    </xdr:from>
    <xdr:to>
      <xdr:col>1</xdr:col>
      <xdr:colOff>15929</xdr:colOff>
      <xdr:row>5</xdr:row>
      <xdr:rowOff>53975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5</xdr:row>
      <xdr:rowOff>117475</xdr:rowOff>
    </xdr:from>
    <xdr:to>
      <xdr:col>1</xdr:col>
      <xdr:colOff>15929</xdr:colOff>
      <xdr:row>6</xdr:row>
      <xdr:rowOff>180975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244475</xdr:rowOff>
    </xdr:from>
    <xdr:to>
      <xdr:col>1</xdr:col>
      <xdr:colOff>15929</xdr:colOff>
      <xdr:row>7</xdr:row>
      <xdr:rowOff>117475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Lançamentos Mensais</a:t>
          </a:r>
        </a:p>
      </xdr:txBody>
    </xdr:sp>
    <xdr:clientData/>
  </xdr:twoCellAnchor>
  <xdr:twoCellAnchor editAs="absolute">
    <xdr:from>
      <xdr:col>0</xdr:col>
      <xdr:colOff>12700</xdr:colOff>
      <xdr:row>7</xdr:row>
      <xdr:rowOff>180975</xdr:rowOff>
    </xdr:from>
    <xdr:to>
      <xdr:col>1</xdr:col>
      <xdr:colOff>15929</xdr:colOff>
      <xdr:row>8</xdr:row>
      <xdr:rowOff>53975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117475</xdr:rowOff>
    </xdr:from>
    <xdr:to>
      <xdr:col>1</xdr:col>
      <xdr:colOff>15929</xdr:colOff>
      <xdr:row>8</xdr:row>
      <xdr:rowOff>371475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4. Gráficos</a:t>
          </a:r>
        </a:p>
      </xdr:txBody>
    </xdr:sp>
    <xdr:clientData/>
  </xdr:twoCellAnchor>
  <xdr:twoCellAnchor editAs="absolute">
    <xdr:from>
      <xdr:col>0</xdr:col>
      <xdr:colOff>12700</xdr:colOff>
      <xdr:row>9</xdr:row>
      <xdr:rowOff>53975</xdr:rowOff>
    </xdr:from>
    <xdr:to>
      <xdr:col>1</xdr:col>
      <xdr:colOff>15929</xdr:colOff>
      <xdr:row>9</xdr:row>
      <xdr:rowOff>307975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9</xdr:row>
      <xdr:rowOff>371475</xdr:rowOff>
    </xdr:from>
    <xdr:to>
      <xdr:col>1</xdr:col>
      <xdr:colOff>15929</xdr:colOff>
      <xdr:row>10</xdr:row>
      <xdr:rowOff>244475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10</xdr:row>
      <xdr:rowOff>307975</xdr:rowOff>
    </xdr:from>
    <xdr:to>
      <xdr:col>1</xdr:col>
      <xdr:colOff>15929</xdr:colOff>
      <xdr:row>11</xdr:row>
      <xdr:rowOff>180975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12</xdr:row>
      <xdr:rowOff>53975</xdr:rowOff>
    </xdr:from>
    <xdr:to>
      <xdr:col>1</xdr:col>
      <xdr:colOff>15929</xdr:colOff>
      <xdr:row>12</xdr:row>
      <xdr:rowOff>307975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12</xdr:row>
      <xdr:rowOff>371475</xdr:rowOff>
    </xdr:from>
    <xdr:to>
      <xdr:col>1</xdr:col>
      <xdr:colOff>15929</xdr:colOff>
      <xdr:row>13</xdr:row>
      <xdr:rowOff>244475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13</xdr:row>
      <xdr:rowOff>307975</xdr:rowOff>
    </xdr:from>
    <xdr:to>
      <xdr:col>1</xdr:col>
      <xdr:colOff>15929</xdr:colOff>
      <xdr:row>14</xdr:row>
      <xdr:rowOff>180975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xdr:from>
      <xdr:col>2</xdr:col>
      <xdr:colOff>0</xdr:colOff>
      <xdr:row>7</xdr:row>
      <xdr:rowOff>38100</xdr:rowOff>
    </xdr:from>
    <xdr:to>
      <xdr:col>17</xdr:col>
      <xdr:colOff>419100</xdr:colOff>
      <xdr:row>14</xdr:row>
      <xdr:rowOff>330200</xdr:rowOff>
    </xdr:to>
    <xdr:graphicFrame macro="">
      <xdr:nvGraphicFramePr>
        <xdr:cNvPr id="501159" name="Gráfico 17"/>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7</xdr:col>
      <xdr:colOff>76200</xdr:colOff>
      <xdr:row>0</xdr:row>
      <xdr:rowOff>165100</xdr:rowOff>
    </xdr:from>
    <xdr:to>
      <xdr:col>7</xdr:col>
      <xdr:colOff>419100</xdr:colOff>
      <xdr:row>1</xdr:row>
      <xdr:rowOff>88900</xdr:rowOff>
    </xdr:to>
    <xdr:pic>
      <xdr:nvPicPr>
        <xdr:cNvPr id="501160" name="Imagem 18">
          <a:hlinkClick xmlns:r="http://schemas.openxmlformats.org/officeDocument/2006/relationships" r:id="rId14"/>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4876800" y="1651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16</xdr:row>
      <xdr:rowOff>0</xdr:rowOff>
    </xdr:from>
    <xdr:to>
      <xdr:col>17</xdr:col>
      <xdr:colOff>419100</xdr:colOff>
      <xdr:row>23</xdr:row>
      <xdr:rowOff>292100</xdr:rowOff>
    </xdr:to>
    <xdr:graphicFrame macro="">
      <xdr:nvGraphicFramePr>
        <xdr:cNvPr id="501161" name="Gráfico 19"/>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0</xdr:colOff>
      <xdr:row>25</xdr:row>
      <xdr:rowOff>0</xdr:rowOff>
    </xdr:from>
    <xdr:to>
      <xdr:col>17</xdr:col>
      <xdr:colOff>419100</xdr:colOff>
      <xdr:row>32</xdr:row>
      <xdr:rowOff>292100</xdr:rowOff>
    </xdr:to>
    <xdr:graphicFrame macro="">
      <xdr:nvGraphicFramePr>
        <xdr:cNvPr id="501162" name="Gráfico 20"/>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2</xdr:col>
      <xdr:colOff>0</xdr:colOff>
      <xdr:row>1</xdr:row>
      <xdr:rowOff>241300</xdr:rowOff>
    </xdr:from>
    <xdr:to>
      <xdr:col>4</xdr:col>
      <xdr:colOff>2666</xdr:colOff>
      <xdr:row>3</xdr:row>
      <xdr:rowOff>26957</xdr:rowOff>
    </xdr:to>
    <xdr:sp macro="" textlink="">
      <xdr:nvSpPr>
        <xdr:cNvPr id="22" name="Retângulo 21">
          <a:hlinkClick xmlns:r="http://schemas.openxmlformats.org/officeDocument/2006/relationships" r:id="rId18" tooltip="Clique para ir para Áreas da Empresa"/>
        </xdr:cNvPr>
        <xdr:cNvSpPr/>
      </xdr:nvSpPr>
      <xdr:spPr>
        <a:xfrm>
          <a:off x="2106083" y="687917"/>
          <a:ext cx="1188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a:solidFill>
                <a:schemeClr val="lt1"/>
              </a:solidFill>
              <a:latin typeface="+mn-lt"/>
              <a:ea typeface="+mn-ea"/>
              <a:cs typeface="+mn-cs"/>
            </a:rPr>
            <a:t>Funcionários</a:t>
          </a:r>
        </a:p>
      </xdr:txBody>
    </xdr:sp>
    <xdr:clientData/>
  </xdr:twoCellAnchor>
  <xdr:twoCellAnchor editAs="absolute">
    <xdr:from>
      <xdr:col>4</xdr:col>
      <xdr:colOff>39789</xdr:colOff>
      <xdr:row>1</xdr:row>
      <xdr:rowOff>241300</xdr:rowOff>
    </xdr:from>
    <xdr:to>
      <xdr:col>6</xdr:col>
      <xdr:colOff>42456</xdr:colOff>
      <xdr:row>3</xdr:row>
      <xdr:rowOff>26957</xdr:rowOff>
    </xdr:to>
    <xdr:sp macro="" textlink="">
      <xdr:nvSpPr>
        <xdr:cNvPr id="23" name="Retângulo 22">
          <a:hlinkClick xmlns:r="http://schemas.openxmlformats.org/officeDocument/2006/relationships" r:id="rId19" tooltip="Clique para ir para Responsáveis"/>
        </xdr:cNvPr>
        <xdr:cNvSpPr/>
      </xdr:nvSpPr>
      <xdr:spPr>
        <a:xfrm>
          <a:off x="3331206" y="687917"/>
          <a:ext cx="1188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pt-BR" sz="1100" b="1">
              <a:solidFill>
                <a:schemeClr val="bg1"/>
              </a:solidFill>
              <a:latin typeface="+mn-lt"/>
              <a:ea typeface="+mn-ea"/>
              <a:cs typeface="+mn-cs"/>
            </a:rPr>
            <a:t>Áreas</a:t>
          </a:r>
        </a:p>
      </xdr:txBody>
    </xdr:sp>
    <xdr:clientData/>
  </xdr:twoCellAnchor>
</xdr:wsDr>
</file>

<file path=xl/drawings/drawing41.xml><?xml version="1.0" encoding="utf-8"?>
<xdr:wsDr xmlns:xdr="http://schemas.openxmlformats.org/drawingml/2006/spreadsheetDrawing" xmlns:a="http://schemas.openxmlformats.org/drawingml/2006/main">
  <xdr:twoCellAnchor editAs="absolute">
    <xdr:from>
      <xdr:col>5</xdr:col>
      <xdr:colOff>886881</xdr:colOff>
      <xdr:row>0</xdr:row>
      <xdr:rowOff>120651</xdr:rowOff>
    </xdr:from>
    <xdr:to>
      <xdr:col>11</xdr:col>
      <xdr:colOff>562025</xdr:colOff>
      <xdr:row>2</xdr:row>
      <xdr:rowOff>43972</xdr:rowOff>
    </xdr:to>
    <xdr:sp macro="" textlink="">
      <xdr:nvSpPr>
        <xdr:cNvPr id="2" name="CaixaDeTexto 1"/>
        <xdr:cNvSpPr txBox="1"/>
      </xdr:nvSpPr>
      <xdr:spPr>
        <a:xfrm>
          <a:off x="5546723" y="133351"/>
          <a:ext cx="6396567"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solidFill>
                <a:schemeClr val="tx1"/>
              </a:solidFill>
              <a:effectLst/>
              <a:latin typeface="+mn-lt"/>
              <a:ea typeface="+mn-ea"/>
              <a:cs typeface="+mn-cs"/>
            </a:rPr>
            <a:t>Confira os alertas e dicas que a planilha fornece a partir dos dados inseridos</a:t>
          </a:r>
          <a:r>
            <a:rPr lang="pt-BR" sz="1100" baseline="0">
              <a:solidFill>
                <a:schemeClr val="tx1"/>
              </a:solidFill>
              <a:effectLst/>
              <a:latin typeface="+mn-lt"/>
              <a:ea typeface="+mn-ea"/>
              <a:cs typeface="+mn-cs"/>
            </a:rPr>
            <a:t> nas "Premissas gerais". </a:t>
          </a:r>
          <a:endParaRPr lang="pt-BR">
            <a:effectLst/>
          </a:endParaRPr>
        </a:p>
        <a:p>
          <a:r>
            <a:rPr lang="pt-BR" sz="1100" baseline="0">
              <a:solidFill>
                <a:schemeClr val="tx1"/>
              </a:solidFill>
              <a:effectLst/>
              <a:latin typeface="+mn-lt"/>
              <a:ea typeface="+mn-ea"/>
              <a:cs typeface="+mn-cs"/>
            </a:rPr>
            <a:t>As informações colhidas aqui são muito úteis para suas análises e decisões.</a:t>
          </a:r>
          <a:endParaRPr lang="pt-BR">
            <a:effectLst/>
          </a:endParaRPr>
        </a:p>
        <a:p>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674899"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65468"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8</xdr:row>
      <xdr:rowOff>348191</xdr:rowOff>
    </xdr:from>
    <xdr:to>
      <xdr:col>0</xdr:col>
      <xdr:colOff>1622973</xdr:colOff>
      <xdr:row>8</xdr:row>
      <xdr:rowOff>348191</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4</xdr:row>
      <xdr:rowOff>561975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4</xdr:row>
      <xdr:rowOff>635000</xdr:rowOff>
    </xdr:from>
    <xdr:to>
      <xdr:col>1</xdr:col>
      <xdr:colOff>15929</xdr:colOff>
      <xdr:row>4</xdr:row>
      <xdr:rowOff>879593</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Lançamentos Mensais</a:t>
          </a:r>
        </a:p>
      </xdr:txBody>
    </xdr:sp>
    <xdr:clientData/>
  </xdr:twoCellAnchor>
  <xdr:twoCellAnchor editAs="absolute">
    <xdr:from>
      <xdr:col>0</xdr:col>
      <xdr:colOff>12700</xdr:colOff>
      <xdr:row>5</xdr:row>
      <xdr:rowOff>57150</xdr:rowOff>
    </xdr:from>
    <xdr:to>
      <xdr:col>1</xdr:col>
      <xdr:colOff>15929</xdr:colOff>
      <xdr:row>6</xdr:row>
      <xdr:rowOff>190148</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6</xdr:row>
      <xdr:rowOff>266700</xdr:rowOff>
    </xdr:from>
    <xdr:to>
      <xdr:col>1</xdr:col>
      <xdr:colOff>15929</xdr:colOff>
      <xdr:row>6</xdr:row>
      <xdr:rowOff>537063</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6</xdr:row>
      <xdr:rowOff>568325</xdr:rowOff>
    </xdr:from>
    <xdr:to>
      <xdr:col>1</xdr:col>
      <xdr:colOff>15929</xdr:colOff>
      <xdr:row>6</xdr:row>
      <xdr:rowOff>842239</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5. Alertas e Dicas</a:t>
          </a:r>
        </a:p>
      </xdr:txBody>
    </xdr:sp>
    <xdr:clientData/>
  </xdr:twoCellAnchor>
  <xdr:twoCellAnchor editAs="absolute">
    <xdr:from>
      <xdr:col>0</xdr:col>
      <xdr:colOff>12700</xdr:colOff>
      <xdr:row>7</xdr:row>
      <xdr:rowOff>37042</xdr:rowOff>
    </xdr:from>
    <xdr:to>
      <xdr:col>1</xdr:col>
      <xdr:colOff>15929</xdr:colOff>
      <xdr:row>7</xdr:row>
      <xdr:rowOff>300811</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7</xdr:row>
      <xdr:rowOff>354542</xdr:rowOff>
    </xdr:from>
    <xdr:to>
      <xdr:col>1</xdr:col>
      <xdr:colOff>15929</xdr:colOff>
      <xdr:row>8</xdr:row>
      <xdr:rowOff>227542</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9</xdr:row>
      <xdr:rowOff>116416</xdr:rowOff>
    </xdr:from>
    <xdr:to>
      <xdr:col>1</xdr:col>
      <xdr:colOff>15929</xdr:colOff>
      <xdr:row>9</xdr:row>
      <xdr:rowOff>349017</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10</xdr:row>
      <xdr:rowOff>43391</xdr:rowOff>
    </xdr:from>
    <xdr:to>
      <xdr:col>1</xdr:col>
      <xdr:colOff>15929</xdr:colOff>
      <xdr:row>11</xdr:row>
      <xdr:rowOff>195791</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11</xdr:row>
      <xdr:rowOff>268816</xdr:rowOff>
    </xdr:from>
    <xdr:to>
      <xdr:col>1</xdr:col>
      <xdr:colOff>15929</xdr:colOff>
      <xdr:row>11</xdr:row>
      <xdr:rowOff>501417</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558800</xdr:colOff>
      <xdr:row>0</xdr:row>
      <xdr:rowOff>165100</xdr:rowOff>
    </xdr:from>
    <xdr:to>
      <xdr:col>5</xdr:col>
      <xdr:colOff>901700</xdr:colOff>
      <xdr:row>1</xdr:row>
      <xdr:rowOff>88900</xdr:rowOff>
    </xdr:to>
    <xdr:pic>
      <xdr:nvPicPr>
        <xdr:cNvPr id="674914"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14900" y="1651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editAs="absolute">
    <xdr:from>
      <xdr:col>5</xdr:col>
      <xdr:colOff>542925</xdr:colOff>
      <xdr:row>0</xdr:row>
      <xdr:rowOff>120650</xdr:rowOff>
    </xdr:from>
    <xdr:to>
      <xdr:col>11</xdr:col>
      <xdr:colOff>510117</xdr:colOff>
      <xdr:row>1</xdr:row>
      <xdr:rowOff>134103</xdr:rowOff>
    </xdr:to>
    <xdr:sp macro="" textlink="">
      <xdr:nvSpPr>
        <xdr:cNvPr id="2" name="CaixaDeTexto 1"/>
        <xdr:cNvSpPr txBox="1"/>
      </xdr:nvSpPr>
      <xdr:spPr>
        <a:xfrm>
          <a:off x="5312481" y="120650"/>
          <a:ext cx="6105525"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Imprima</a:t>
          </a:r>
          <a:r>
            <a:rPr lang="pt-BR" sz="1100" baseline="0"/>
            <a:t> o relatório do Cálculo de Horas Extras com Folha de Ponto e Banco de Horas. Tudo com formatação econômica para gastar menos tinta e ter melhor aproveitamento do papel.</a:t>
          </a:r>
          <a:endParaRPr lang="pt-BR" sz="1100"/>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558359"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558181"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7</xdr:row>
      <xdr:rowOff>117475</xdr:rowOff>
    </xdr:from>
    <xdr:to>
      <xdr:col>0</xdr:col>
      <xdr:colOff>1622973</xdr:colOff>
      <xdr:row>7</xdr:row>
      <xdr:rowOff>117475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260509</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4</xdr:row>
      <xdr:rowOff>590868</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5</xdr:row>
      <xdr:rowOff>32808</xdr:rowOff>
    </xdr:from>
    <xdr:to>
      <xdr:col>1</xdr:col>
      <xdr:colOff>15929</xdr:colOff>
      <xdr:row>5</xdr:row>
      <xdr:rowOff>286808</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Lançamentos Mensais</a:t>
          </a:r>
        </a:p>
      </xdr:txBody>
    </xdr:sp>
    <xdr:clientData/>
  </xdr:twoCellAnchor>
  <xdr:twoCellAnchor editAs="absolute">
    <xdr:from>
      <xdr:col>0</xdr:col>
      <xdr:colOff>12700</xdr:colOff>
      <xdr:row>5</xdr:row>
      <xdr:rowOff>350308</xdr:rowOff>
    </xdr:from>
    <xdr:to>
      <xdr:col>1</xdr:col>
      <xdr:colOff>15929</xdr:colOff>
      <xdr:row>5</xdr:row>
      <xdr:rowOff>604308</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5</xdr:row>
      <xdr:rowOff>667808</xdr:rowOff>
    </xdr:from>
    <xdr:to>
      <xdr:col>1</xdr:col>
      <xdr:colOff>15929</xdr:colOff>
      <xdr:row>5</xdr:row>
      <xdr:rowOff>921808</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5</xdr:row>
      <xdr:rowOff>985308</xdr:rowOff>
    </xdr:from>
    <xdr:to>
      <xdr:col>1</xdr:col>
      <xdr:colOff>15929</xdr:colOff>
      <xdr:row>6</xdr:row>
      <xdr:rowOff>22225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6</xdr:row>
      <xdr:rowOff>85725</xdr:rowOff>
    </xdr:from>
    <xdr:to>
      <xdr:col>1</xdr:col>
      <xdr:colOff>15929</xdr:colOff>
      <xdr:row>6</xdr:row>
      <xdr:rowOff>339725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6. Relatórios de Impressão</a:t>
          </a:r>
        </a:p>
      </xdr:txBody>
    </xdr:sp>
    <xdr:clientData/>
  </xdr:twoCellAnchor>
  <xdr:twoCellAnchor editAs="absolute">
    <xdr:from>
      <xdr:col>0</xdr:col>
      <xdr:colOff>12700</xdr:colOff>
      <xdr:row>6</xdr:row>
      <xdr:rowOff>415925</xdr:rowOff>
    </xdr:from>
    <xdr:to>
      <xdr:col>1</xdr:col>
      <xdr:colOff>15929</xdr:colOff>
      <xdr:row>6</xdr:row>
      <xdr:rowOff>657830</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7</xdr:row>
      <xdr:rowOff>231775</xdr:rowOff>
    </xdr:from>
    <xdr:to>
      <xdr:col>1</xdr:col>
      <xdr:colOff>15929</xdr:colOff>
      <xdr:row>7</xdr:row>
      <xdr:rowOff>499143</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7</xdr:row>
      <xdr:rowOff>561975</xdr:rowOff>
    </xdr:from>
    <xdr:to>
      <xdr:col>1</xdr:col>
      <xdr:colOff>15929</xdr:colOff>
      <xdr:row>8</xdr:row>
      <xdr:rowOff>138642</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8</xdr:row>
      <xdr:rowOff>202142</xdr:rowOff>
    </xdr:from>
    <xdr:to>
      <xdr:col>1</xdr:col>
      <xdr:colOff>15929</xdr:colOff>
      <xdr:row>8</xdr:row>
      <xdr:rowOff>456142</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203200</xdr:colOff>
      <xdr:row>0</xdr:row>
      <xdr:rowOff>165100</xdr:rowOff>
    </xdr:from>
    <xdr:to>
      <xdr:col>5</xdr:col>
      <xdr:colOff>546100</xdr:colOff>
      <xdr:row>1</xdr:row>
      <xdr:rowOff>88900</xdr:rowOff>
    </xdr:to>
    <xdr:pic>
      <xdr:nvPicPr>
        <xdr:cNvPr id="558374"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4978400" y="1651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63</xdr:row>
      <xdr:rowOff>0</xdr:rowOff>
    </xdr:from>
    <xdr:to>
      <xdr:col>11</xdr:col>
      <xdr:colOff>1054100</xdr:colOff>
      <xdr:row>70</xdr:row>
      <xdr:rowOff>292100</xdr:rowOff>
    </xdr:to>
    <xdr:graphicFrame macro="">
      <xdr:nvGraphicFramePr>
        <xdr:cNvPr id="558376" name="Gráfico 21"/>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0</xdr:colOff>
      <xdr:row>72</xdr:row>
      <xdr:rowOff>0</xdr:rowOff>
    </xdr:from>
    <xdr:to>
      <xdr:col>11</xdr:col>
      <xdr:colOff>1054100</xdr:colOff>
      <xdr:row>79</xdr:row>
      <xdr:rowOff>292100</xdr:rowOff>
    </xdr:to>
    <xdr:graphicFrame macro="">
      <xdr:nvGraphicFramePr>
        <xdr:cNvPr id="558377" name="Gráfico 22"/>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296332</xdr:colOff>
      <xdr:row>54</xdr:row>
      <xdr:rowOff>56444</xdr:rowOff>
    </xdr:from>
    <xdr:to>
      <xdr:col>11</xdr:col>
      <xdr:colOff>1058332</xdr:colOff>
      <xdr:row>61</xdr:row>
      <xdr:rowOff>348544</xdr:rowOff>
    </xdr:to>
    <xdr:graphicFrame macro="">
      <xdr:nvGraphicFramePr>
        <xdr:cNvPr id="22" name="Gráfico 38"/>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43.xml><?xml version="1.0" encoding="utf-8"?>
<xdr:wsDr xmlns:xdr="http://schemas.openxmlformats.org/drawingml/2006/spreadsheetDrawing" xmlns:a="http://schemas.openxmlformats.org/drawingml/2006/main">
  <xdr:twoCellAnchor editAs="absolute">
    <xdr:from>
      <xdr:col>6</xdr:col>
      <xdr:colOff>223307</xdr:colOff>
      <xdr:row>0</xdr:row>
      <xdr:rowOff>120650</xdr:rowOff>
    </xdr:from>
    <xdr:to>
      <xdr:col>17</xdr:col>
      <xdr:colOff>364124</xdr:colOff>
      <xdr:row>1</xdr:row>
      <xdr:rowOff>134103</xdr:rowOff>
    </xdr:to>
    <xdr:sp macro="" textlink="">
      <xdr:nvSpPr>
        <xdr:cNvPr id="2" name="CaixaDeTexto 1"/>
        <xdr:cNvSpPr txBox="1"/>
      </xdr:nvSpPr>
      <xdr:spPr>
        <a:xfrm>
          <a:off x="5585529" y="120650"/>
          <a:ext cx="6109817"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Selecione o mês e imprima a folha de ponto. Uma forma fácil e simples para ter a folha de ponto do funcionário com apenas um clique e otimizada para impressão.</a:t>
          </a:r>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678996"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67517"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12</xdr:row>
      <xdr:rowOff>117475</xdr:rowOff>
    </xdr:from>
    <xdr:to>
      <xdr:col>0</xdr:col>
      <xdr:colOff>1622973</xdr:colOff>
      <xdr:row>12</xdr:row>
      <xdr:rowOff>117475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5</xdr:row>
      <xdr:rowOff>180975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5</xdr:row>
      <xdr:rowOff>244475</xdr:rowOff>
    </xdr:from>
    <xdr:to>
      <xdr:col>1</xdr:col>
      <xdr:colOff>15929</xdr:colOff>
      <xdr:row>7</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Lançamentos Mensais</a:t>
          </a:r>
        </a:p>
      </xdr:txBody>
    </xdr:sp>
    <xdr:clientData/>
  </xdr:twoCellAnchor>
  <xdr:twoCellAnchor editAs="absolute">
    <xdr:from>
      <xdr:col>0</xdr:col>
      <xdr:colOff>12700</xdr:colOff>
      <xdr:row>7</xdr:row>
      <xdr:rowOff>85725</xdr:rowOff>
    </xdr:from>
    <xdr:to>
      <xdr:col>1</xdr:col>
      <xdr:colOff>15929</xdr:colOff>
      <xdr:row>7</xdr:row>
      <xdr:rowOff>339725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8</xdr:row>
      <xdr:rowOff>22225</xdr:rowOff>
    </xdr:from>
    <xdr:to>
      <xdr:col>1</xdr:col>
      <xdr:colOff>15929</xdr:colOff>
      <xdr:row>9</xdr:row>
      <xdr:rowOff>180975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9</xdr:row>
      <xdr:rowOff>231775</xdr:rowOff>
    </xdr:from>
    <xdr:to>
      <xdr:col>1</xdr:col>
      <xdr:colOff>15929</xdr:colOff>
      <xdr:row>10</xdr:row>
      <xdr:rowOff>118143</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10</xdr:row>
      <xdr:rowOff>180975</xdr:rowOff>
    </xdr:from>
    <xdr:to>
      <xdr:col>1</xdr:col>
      <xdr:colOff>15929</xdr:colOff>
      <xdr:row>11</xdr:row>
      <xdr:rowOff>41880</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11</xdr:row>
      <xdr:rowOff>117475</xdr:rowOff>
    </xdr:from>
    <xdr:to>
      <xdr:col>1</xdr:col>
      <xdr:colOff>15929</xdr:colOff>
      <xdr:row>11</xdr:row>
      <xdr:rowOff>371475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7. Imprimir Folha de Ponto</a:t>
          </a:r>
        </a:p>
      </xdr:txBody>
    </xdr:sp>
    <xdr:clientData/>
  </xdr:twoCellAnchor>
  <xdr:twoCellAnchor editAs="absolute">
    <xdr:from>
      <xdr:col>0</xdr:col>
      <xdr:colOff>12700</xdr:colOff>
      <xdr:row>12</xdr:row>
      <xdr:rowOff>231775</xdr:rowOff>
    </xdr:from>
    <xdr:to>
      <xdr:col>1</xdr:col>
      <xdr:colOff>15929</xdr:colOff>
      <xdr:row>13</xdr:row>
      <xdr:rowOff>118143</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13</xdr:row>
      <xdr:rowOff>180975</xdr:rowOff>
    </xdr:from>
    <xdr:to>
      <xdr:col>1</xdr:col>
      <xdr:colOff>15929</xdr:colOff>
      <xdr:row>14</xdr:row>
      <xdr:rowOff>41880</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14</xdr:row>
      <xdr:rowOff>117475</xdr:rowOff>
    </xdr:from>
    <xdr:to>
      <xdr:col>1</xdr:col>
      <xdr:colOff>15929</xdr:colOff>
      <xdr:row>14</xdr:row>
      <xdr:rowOff>371475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787400</xdr:colOff>
      <xdr:row>0</xdr:row>
      <xdr:rowOff>139700</xdr:rowOff>
    </xdr:from>
    <xdr:to>
      <xdr:col>6</xdr:col>
      <xdr:colOff>228600</xdr:colOff>
      <xdr:row>1</xdr:row>
      <xdr:rowOff>63500</xdr:rowOff>
    </xdr:to>
    <xdr:pic>
      <xdr:nvPicPr>
        <xdr:cNvPr id="679011" name="Imagem 18">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5245100" y="139700"/>
          <a:ext cx="34290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editAs="absolute">
    <xdr:from>
      <xdr:col>7</xdr:col>
      <xdr:colOff>361950</xdr:colOff>
      <xdr:row>0</xdr:row>
      <xdr:rowOff>120650</xdr:rowOff>
    </xdr:from>
    <xdr:to>
      <xdr:col>18</xdr:col>
      <xdr:colOff>19088</xdr:colOff>
      <xdr:row>1</xdr:row>
      <xdr:rowOff>134103</xdr:rowOff>
    </xdr:to>
    <xdr:sp macro="" textlink="">
      <xdr:nvSpPr>
        <xdr:cNvPr id="2" name="CaixaDeTexto 1"/>
        <xdr:cNvSpPr txBox="1"/>
      </xdr:nvSpPr>
      <xdr:spPr>
        <a:xfrm>
          <a:off x="5258506" y="120650"/>
          <a:ext cx="6021249"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pPr algn="l" rtl="0">
            <a:defRPr sz="1000"/>
          </a:pPr>
          <a:r>
            <a:rPr lang="pt-BR" sz="1100" b="0" i="0" u="none" strike="noStrike" baseline="0">
              <a:solidFill>
                <a:srgbClr val="000000"/>
              </a:solidFill>
              <a:latin typeface="Calibri"/>
            </a:rPr>
            <a:t>Escolha sua dúvida entre as perguntas mais frequentes e veja as respostas. Se continuar com dúvidas no uso da planilha, entre em contato pelo nosso email </a:t>
          </a:r>
          <a:r>
            <a:rPr lang="pt-BR" sz="1100" b="0" i="0" u="none" strike="noStrike" baseline="0">
              <a:solidFill>
                <a:srgbClr val="00ABEA"/>
              </a:solidFill>
              <a:latin typeface="Calibri"/>
            </a:rPr>
            <a:t>contato@luz.vc</a:t>
          </a:r>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609428"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68596"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10</xdr:row>
      <xdr:rowOff>307975</xdr:rowOff>
    </xdr:from>
    <xdr:to>
      <xdr:col>0</xdr:col>
      <xdr:colOff>1622973</xdr:colOff>
      <xdr:row>10</xdr:row>
      <xdr:rowOff>307975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5</xdr:row>
      <xdr:rowOff>180975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5</xdr:row>
      <xdr:rowOff>244475</xdr:rowOff>
    </xdr:from>
    <xdr:to>
      <xdr:col>1</xdr:col>
      <xdr:colOff>15929</xdr:colOff>
      <xdr:row>6</xdr:row>
      <xdr:rowOff>117475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Lançamentos Mensais</a:t>
          </a:r>
        </a:p>
      </xdr:txBody>
    </xdr:sp>
    <xdr:clientData/>
  </xdr:twoCellAnchor>
  <xdr:twoCellAnchor editAs="absolute">
    <xdr:from>
      <xdr:col>0</xdr:col>
      <xdr:colOff>12700</xdr:colOff>
      <xdr:row>6</xdr:row>
      <xdr:rowOff>180975</xdr:rowOff>
    </xdr:from>
    <xdr:to>
      <xdr:col>1</xdr:col>
      <xdr:colOff>15929</xdr:colOff>
      <xdr:row>7</xdr:row>
      <xdr:rowOff>53975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7</xdr:row>
      <xdr:rowOff>117475</xdr:rowOff>
    </xdr:from>
    <xdr:to>
      <xdr:col>1</xdr:col>
      <xdr:colOff>15929</xdr:colOff>
      <xdr:row>7</xdr:row>
      <xdr:rowOff>371475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53975</xdr:rowOff>
    </xdr:from>
    <xdr:to>
      <xdr:col>1</xdr:col>
      <xdr:colOff>15929</xdr:colOff>
      <xdr:row>8</xdr:row>
      <xdr:rowOff>307975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8</xdr:row>
      <xdr:rowOff>371475</xdr:rowOff>
    </xdr:from>
    <xdr:to>
      <xdr:col>1</xdr:col>
      <xdr:colOff>15929</xdr:colOff>
      <xdr:row>9</xdr:row>
      <xdr:rowOff>244475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9</xdr:row>
      <xdr:rowOff>307975</xdr:rowOff>
    </xdr:from>
    <xdr:to>
      <xdr:col>1</xdr:col>
      <xdr:colOff>15929</xdr:colOff>
      <xdr:row>10</xdr:row>
      <xdr:rowOff>180975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53975</xdr:rowOff>
    </xdr:from>
    <xdr:to>
      <xdr:col>1</xdr:col>
      <xdr:colOff>15929</xdr:colOff>
      <xdr:row>11</xdr:row>
      <xdr:rowOff>307975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Dúvidas Frequentes</a:t>
          </a:r>
        </a:p>
      </xdr:txBody>
    </xdr:sp>
    <xdr:clientData/>
  </xdr:twoCellAnchor>
  <xdr:twoCellAnchor editAs="absolute">
    <xdr:from>
      <xdr:col>0</xdr:col>
      <xdr:colOff>12700</xdr:colOff>
      <xdr:row>11</xdr:row>
      <xdr:rowOff>371475</xdr:rowOff>
    </xdr:from>
    <xdr:to>
      <xdr:col>1</xdr:col>
      <xdr:colOff>15929</xdr:colOff>
      <xdr:row>12</xdr:row>
      <xdr:rowOff>244475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12</xdr:row>
      <xdr:rowOff>307975</xdr:rowOff>
    </xdr:from>
    <xdr:to>
      <xdr:col>1</xdr:col>
      <xdr:colOff>15929</xdr:colOff>
      <xdr:row>13</xdr:row>
      <xdr:rowOff>180975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oneCell">
    <xdr:from>
      <xdr:col>11</xdr:col>
      <xdr:colOff>76200</xdr:colOff>
      <xdr:row>4</xdr:row>
      <xdr:rowOff>0</xdr:rowOff>
    </xdr:from>
    <xdr:to>
      <xdr:col>19</xdr:col>
      <xdr:colOff>266700</xdr:colOff>
      <xdr:row>8</xdr:row>
      <xdr:rowOff>304800</xdr:rowOff>
    </xdr:to>
    <xdr:pic>
      <xdr:nvPicPr>
        <xdr:cNvPr id="609443" name="Imagem 28">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340600" y="1333500"/>
          <a:ext cx="486410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76200</xdr:colOff>
      <xdr:row>9</xdr:row>
      <xdr:rowOff>0</xdr:rowOff>
    </xdr:from>
    <xdr:to>
      <xdr:col>19</xdr:col>
      <xdr:colOff>266700</xdr:colOff>
      <xdr:row>13</xdr:row>
      <xdr:rowOff>304800</xdr:rowOff>
    </xdr:to>
    <xdr:pic>
      <xdr:nvPicPr>
        <xdr:cNvPr id="609444" name="Imagem 29">
          <a:hlinkClick xmlns:r="http://schemas.openxmlformats.org/officeDocument/2006/relationships" r:id="rId15"/>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7340600" y="3238500"/>
          <a:ext cx="486410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absolute">
    <xdr:from>
      <xdr:col>3</xdr:col>
      <xdr:colOff>2699808</xdr:colOff>
      <xdr:row>0</xdr:row>
      <xdr:rowOff>120650</xdr:rowOff>
    </xdr:from>
    <xdr:to>
      <xdr:col>7</xdr:col>
      <xdr:colOff>165966</xdr:colOff>
      <xdr:row>1</xdr:row>
      <xdr:rowOff>134103</xdr:rowOff>
    </xdr:to>
    <xdr:sp macro="" textlink="">
      <xdr:nvSpPr>
        <xdr:cNvPr id="2" name="CaixaDeTexto 1"/>
        <xdr:cNvSpPr txBox="1"/>
      </xdr:nvSpPr>
      <xdr:spPr>
        <a:xfrm>
          <a:off x="5268030" y="120650"/>
          <a:ext cx="6102158"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Além da planilha de fluxo de caixa, você pode usar outras planilhas para melhorar a gestão da sua empresa. Todas as planilhas da LUZ já estão prontas e são práticas de se usar!</a:t>
          </a:r>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580821"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4</xdr:row>
      <xdr:rowOff>50800</xdr:rowOff>
    </xdr:to>
    <xdr:sp macro="" textlink="">
      <xdr:nvSpPr>
        <xdr:cNvPr id="580652"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14</xdr:row>
      <xdr:rowOff>96308</xdr:rowOff>
    </xdr:from>
    <xdr:to>
      <xdr:col>0</xdr:col>
      <xdr:colOff>1622973</xdr:colOff>
      <xdr:row>14</xdr:row>
      <xdr:rowOff>96308</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4</xdr:row>
      <xdr:rowOff>180975</xdr:rowOff>
    </xdr:from>
    <xdr:to>
      <xdr:col>1</xdr:col>
      <xdr:colOff>15929</xdr:colOff>
      <xdr:row>5</xdr:row>
      <xdr:rowOff>202141</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5</xdr:row>
      <xdr:rowOff>265641</xdr:rowOff>
    </xdr:from>
    <xdr:to>
      <xdr:col>1</xdr:col>
      <xdr:colOff>15929</xdr:colOff>
      <xdr:row>6</xdr:row>
      <xdr:rowOff>148410</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6</xdr:row>
      <xdr:rowOff>202141</xdr:rowOff>
    </xdr:from>
    <xdr:to>
      <xdr:col>1</xdr:col>
      <xdr:colOff>15929</xdr:colOff>
      <xdr:row>8</xdr:row>
      <xdr:rowOff>32808</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Lançamentos Mensais</a:t>
          </a:r>
        </a:p>
      </xdr:txBody>
    </xdr:sp>
    <xdr:clientData/>
  </xdr:twoCellAnchor>
  <xdr:twoCellAnchor editAs="absolute">
    <xdr:from>
      <xdr:col>0</xdr:col>
      <xdr:colOff>12700</xdr:colOff>
      <xdr:row>8</xdr:row>
      <xdr:rowOff>96308</xdr:rowOff>
    </xdr:from>
    <xdr:to>
      <xdr:col>1</xdr:col>
      <xdr:colOff>15929</xdr:colOff>
      <xdr:row>9</xdr:row>
      <xdr:rowOff>117475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9</xdr:row>
      <xdr:rowOff>180975</xdr:rowOff>
    </xdr:from>
    <xdr:to>
      <xdr:col>1</xdr:col>
      <xdr:colOff>15929</xdr:colOff>
      <xdr:row>10</xdr:row>
      <xdr:rowOff>35509</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10</xdr:row>
      <xdr:rowOff>117475</xdr:rowOff>
    </xdr:from>
    <xdr:to>
      <xdr:col>1</xdr:col>
      <xdr:colOff>15929</xdr:colOff>
      <xdr:row>11</xdr:row>
      <xdr:rowOff>138641</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12</xdr:row>
      <xdr:rowOff>11641</xdr:rowOff>
    </xdr:from>
    <xdr:to>
      <xdr:col>1</xdr:col>
      <xdr:colOff>15929</xdr:colOff>
      <xdr:row>13</xdr:row>
      <xdr:rowOff>32808</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13</xdr:row>
      <xdr:rowOff>96308</xdr:rowOff>
    </xdr:from>
    <xdr:to>
      <xdr:col>1</xdr:col>
      <xdr:colOff>15929</xdr:colOff>
      <xdr:row>13</xdr:row>
      <xdr:rowOff>340901</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15</xdr:row>
      <xdr:rowOff>1058</xdr:rowOff>
    </xdr:from>
    <xdr:to>
      <xdr:col>1</xdr:col>
      <xdr:colOff>15929</xdr:colOff>
      <xdr:row>16</xdr:row>
      <xdr:rowOff>53975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16</xdr:row>
      <xdr:rowOff>117475</xdr:rowOff>
    </xdr:from>
    <xdr:to>
      <xdr:col>1</xdr:col>
      <xdr:colOff>15929</xdr:colOff>
      <xdr:row>17</xdr:row>
      <xdr:rowOff>138641</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Sugestões para você</a:t>
          </a:r>
        </a:p>
      </xdr:txBody>
    </xdr:sp>
    <xdr:clientData/>
  </xdr:twoCellAnchor>
  <xdr:twoCellAnchor editAs="absolute">
    <xdr:from>
      <xdr:col>0</xdr:col>
      <xdr:colOff>12700</xdr:colOff>
      <xdr:row>17</xdr:row>
      <xdr:rowOff>192616</xdr:rowOff>
    </xdr:from>
    <xdr:to>
      <xdr:col>1</xdr:col>
      <xdr:colOff>15929</xdr:colOff>
      <xdr:row>18</xdr:row>
      <xdr:rowOff>75385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oneCell">
    <xdr:from>
      <xdr:col>3</xdr:col>
      <xdr:colOff>3276600</xdr:colOff>
      <xdr:row>1</xdr:row>
      <xdr:rowOff>241300</xdr:rowOff>
    </xdr:from>
    <xdr:to>
      <xdr:col>5</xdr:col>
      <xdr:colOff>228600</xdr:colOff>
      <xdr:row>2</xdr:row>
      <xdr:rowOff>215900</xdr:rowOff>
    </xdr:to>
    <xdr:pic>
      <xdr:nvPicPr>
        <xdr:cNvPr id="580836"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5842000" y="660400"/>
          <a:ext cx="1130300" cy="24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63500</xdr:colOff>
      <xdr:row>4</xdr:row>
      <xdr:rowOff>0</xdr:rowOff>
    </xdr:from>
    <xdr:to>
      <xdr:col>4</xdr:col>
      <xdr:colOff>254000</xdr:colOff>
      <xdr:row>10</xdr:row>
      <xdr:rowOff>190500</xdr:rowOff>
    </xdr:to>
    <xdr:pic>
      <xdr:nvPicPr>
        <xdr:cNvPr id="580837" name="Imagem 28">
          <a:hlinkClick xmlns:r="http://schemas.openxmlformats.org/officeDocument/2006/relationships" r:id="rId15"/>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828800" y="1143000"/>
          <a:ext cx="488950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63500</xdr:colOff>
      <xdr:row>11</xdr:row>
      <xdr:rowOff>38100</xdr:rowOff>
    </xdr:from>
    <xdr:to>
      <xdr:col>4</xdr:col>
      <xdr:colOff>254000</xdr:colOff>
      <xdr:row>18</xdr:row>
      <xdr:rowOff>38100</xdr:rowOff>
    </xdr:to>
    <xdr:pic>
      <xdr:nvPicPr>
        <xdr:cNvPr id="580838" name="Imagem 29">
          <a:hlinkClick xmlns:r="http://schemas.openxmlformats.org/officeDocument/2006/relationships" r:id="rId17"/>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828800" y="3048000"/>
          <a:ext cx="488950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editAs="absolute">
    <xdr:from>
      <xdr:col>7</xdr:col>
      <xdr:colOff>355600</xdr:colOff>
      <xdr:row>0</xdr:row>
      <xdr:rowOff>120650</xdr:rowOff>
    </xdr:from>
    <xdr:to>
      <xdr:col>18</xdr:col>
      <xdr:colOff>15854</xdr:colOff>
      <xdr:row>2</xdr:row>
      <xdr:rowOff>37742</xdr:rowOff>
    </xdr:to>
    <xdr:sp macro="" textlink="">
      <xdr:nvSpPr>
        <xdr:cNvPr id="2" name="CaixaDeTexto 1"/>
        <xdr:cNvSpPr txBox="1"/>
      </xdr:nvSpPr>
      <xdr:spPr>
        <a:xfrm>
          <a:off x="5524500" y="133350"/>
          <a:ext cx="6350000"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A LUZ é uma empresa especializada no desenvolvimento de planilhas empresariais. Desde 2005 ajudamos empresários e gestores a vencer seus desafios em suas respectivas áreas de trabalho. Conheça um pouco mais da LUZ e descubra como podemos ajudar!</a:t>
          </a:r>
        </a:p>
      </xdr:txBody>
    </xdr:sp>
    <xdr:clientData/>
  </xdr:twoCellAnchor>
  <xdr:twoCellAnchor editAs="absolute">
    <xdr:from>
      <xdr:col>0</xdr:col>
      <xdr:colOff>127000</xdr:colOff>
      <xdr:row>0</xdr:row>
      <xdr:rowOff>203200</xdr:rowOff>
    </xdr:from>
    <xdr:to>
      <xdr:col>0</xdr:col>
      <xdr:colOff>1625600</xdr:colOff>
      <xdr:row>2</xdr:row>
      <xdr:rowOff>12700</xdr:rowOff>
    </xdr:to>
    <xdr:pic>
      <xdr:nvPicPr>
        <xdr:cNvPr id="449115"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203200"/>
          <a:ext cx="1498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138641</xdr:colOff>
      <xdr:row>2</xdr:row>
      <xdr:rowOff>113245</xdr:rowOff>
    </xdr:from>
    <xdr:to>
      <xdr:col>0</xdr:col>
      <xdr:colOff>1636846</xdr:colOff>
      <xdr:row>2</xdr:row>
      <xdr:rowOff>113245</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63500</xdr:colOff>
      <xdr:row>2</xdr:row>
      <xdr:rowOff>215900</xdr:rowOff>
    </xdr:from>
    <xdr:to>
      <xdr:col>0</xdr:col>
      <xdr:colOff>1663700</xdr:colOff>
      <xdr:row>3</xdr:row>
      <xdr:rowOff>241300</xdr:rowOff>
    </xdr:to>
    <xdr:sp macro="" textlink="">
      <xdr:nvSpPr>
        <xdr:cNvPr id="448892" name="Rectangle 65"/>
        <xdr:cNvSpPr>
          <a:spLocks noChangeArrowheads="1"/>
        </xdr:cNvSpPr>
      </xdr:nvSpPr>
      <xdr:spPr bwMode="auto">
        <a:xfrm>
          <a:off x="63500" y="901700"/>
          <a:ext cx="1600200" cy="292100"/>
        </a:xfrm>
        <a:prstGeom prst="rect">
          <a:avLst/>
        </a:prstGeom>
        <a:noFill/>
        <a:ln>
          <a:noFill/>
        </a:ln>
        <a:effectLst>
          <a:outerShdw blurRad="40000" dist="23000" dir="5400000" rotWithShape="0">
            <a:srgbClr val="000000">
              <a:alpha val="34998"/>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7432" rIns="0" bIns="27432" anchor="ctr" upright="1"/>
        <a:lstStyle/>
        <a:p>
          <a:pPr algn="l" rtl="0">
            <a:defRPr sz="1000"/>
          </a:pPr>
          <a:r>
            <a:rPr lang="pt-BR" sz="1400" b="1" i="0" u="none" strike="noStrike" baseline="0">
              <a:solidFill>
                <a:srgbClr val="FFFFFF"/>
              </a:solidFill>
              <a:latin typeface="Calibri"/>
              <a:ea typeface="Calibri"/>
              <a:cs typeface="Calibri"/>
            </a:rPr>
            <a:t>Menu</a:t>
          </a:r>
        </a:p>
      </xdr:txBody>
    </xdr:sp>
    <xdr:clientData/>
  </xdr:twoCellAnchor>
  <xdr:twoCellAnchor editAs="absolute">
    <xdr:from>
      <xdr:col>0</xdr:col>
      <xdr:colOff>123825</xdr:colOff>
      <xdr:row>10</xdr:row>
      <xdr:rowOff>307975</xdr:rowOff>
    </xdr:from>
    <xdr:to>
      <xdr:col>0</xdr:col>
      <xdr:colOff>1622973</xdr:colOff>
      <xdr:row>10</xdr:row>
      <xdr:rowOff>307975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12700</xdr:colOff>
      <xdr:row>3</xdr:row>
      <xdr:rowOff>371475</xdr:rowOff>
    </xdr:from>
    <xdr:to>
      <xdr:col>1</xdr:col>
      <xdr:colOff>15929</xdr:colOff>
      <xdr:row>4</xdr:row>
      <xdr:rowOff>244475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12700</xdr:colOff>
      <xdr:row>4</xdr:row>
      <xdr:rowOff>307975</xdr:rowOff>
    </xdr:from>
    <xdr:to>
      <xdr:col>1</xdr:col>
      <xdr:colOff>15929</xdr:colOff>
      <xdr:row>5</xdr:row>
      <xdr:rowOff>180975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12700</xdr:colOff>
      <xdr:row>5</xdr:row>
      <xdr:rowOff>244475</xdr:rowOff>
    </xdr:from>
    <xdr:to>
      <xdr:col>1</xdr:col>
      <xdr:colOff>15929</xdr:colOff>
      <xdr:row>6</xdr:row>
      <xdr:rowOff>117475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Lançamentos Mensais</a:t>
          </a:r>
        </a:p>
      </xdr:txBody>
    </xdr:sp>
    <xdr:clientData/>
  </xdr:twoCellAnchor>
  <xdr:twoCellAnchor editAs="absolute">
    <xdr:from>
      <xdr:col>0</xdr:col>
      <xdr:colOff>12700</xdr:colOff>
      <xdr:row>6</xdr:row>
      <xdr:rowOff>180975</xdr:rowOff>
    </xdr:from>
    <xdr:to>
      <xdr:col>1</xdr:col>
      <xdr:colOff>15929</xdr:colOff>
      <xdr:row>7</xdr:row>
      <xdr:rowOff>53975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12700</xdr:colOff>
      <xdr:row>7</xdr:row>
      <xdr:rowOff>117475</xdr:rowOff>
    </xdr:from>
    <xdr:to>
      <xdr:col>1</xdr:col>
      <xdr:colOff>15929</xdr:colOff>
      <xdr:row>7</xdr:row>
      <xdr:rowOff>371475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12700</xdr:colOff>
      <xdr:row>8</xdr:row>
      <xdr:rowOff>53975</xdr:rowOff>
    </xdr:from>
    <xdr:to>
      <xdr:col>1</xdr:col>
      <xdr:colOff>15929</xdr:colOff>
      <xdr:row>8</xdr:row>
      <xdr:rowOff>307975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12700</xdr:colOff>
      <xdr:row>8</xdr:row>
      <xdr:rowOff>371475</xdr:rowOff>
    </xdr:from>
    <xdr:to>
      <xdr:col>1</xdr:col>
      <xdr:colOff>15929</xdr:colOff>
      <xdr:row>9</xdr:row>
      <xdr:rowOff>244475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12700</xdr:colOff>
      <xdr:row>9</xdr:row>
      <xdr:rowOff>307975</xdr:rowOff>
    </xdr:from>
    <xdr:to>
      <xdr:col>1</xdr:col>
      <xdr:colOff>15929</xdr:colOff>
      <xdr:row>10</xdr:row>
      <xdr:rowOff>180975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12700</xdr:colOff>
      <xdr:row>11</xdr:row>
      <xdr:rowOff>53975</xdr:rowOff>
    </xdr:from>
    <xdr:to>
      <xdr:col>1</xdr:col>
      <xdr:colOff>15929</xdr:colOff>
      <xdr:row>11</xdr:row>
      <xdr:rowOff>307975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12700</xdr:colOff>
      <xdr:row>11</xdr:row>
      <xdr:rowOff>371475</xdr:rowOff>
    </xdr:from>
    <xdr:to>
      <xdr:col>1</xdr:col>
      <xdr:colOff>15929</xdr:colOff>
      <xdr:row>12</xdr:row>
      <xdr:rowOff>244475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12700</xdr:colOff>
      <xdr:row>12</xdr:row>
      <xdr:rowOff>307975</xdr:rowOff>
    </xdr:from>
    <xdr:to>
      <xdr:col>1</xdr:col>
      <xdr:colOff>15929</xdr:colOff>
      <xdr:row>13</xdr:row>
      <xdr:rowOff>180975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solidFill>
          <a:schemeClr val="bg1">
            <a:lumMod val="100000"/>
          </a:schemeClr>
        </a:solidFill>
        <a:ln w="25400" cap="flat" cmpd="sng" algn="ctr">
          <a:noFill/>
          <a:prstDash val="solid"/>
        </a:ln>
        <a:effectLs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Sobre a LUZ</a:t>
          </a:r>
        </a:p>
      </xdr:txBody>
    </xdr:sp>
    <xdr:clientData/>
  </xdr:twoCellAnchor>
  <xdr:twoCellAnchor editAs="absolute">
    <xdr:from>
      <xdr:col>7</xdr:col>
      <xdr:colOff>355600</xdr:colOff>
      <xdr:row>8</xdr:row>
      <xdr:rowOff>63500</xdr:rowOff>
    </xdr:from>
    <xdr:to>
      <xdr:col>10</xdr:col>
      <xdr:colOff>228600</xdr:colOff>
      <xdr:row>9</xdr:row>
      <xdr:rowOff>254000</xdr:rowOff>
    </xdr:to>
    <xdr:pic>
      <xdr:nvPicPr>
        <xdr:cNvPr id="449130" name="Imagem 20">
          <a:hlinkClick xmlns:r="http://schemas.openxmlformats.org/officeDocument/2006/relationships" r:id="rId13"/>
        </xdr:cNvPr>
        <xdr:cNvPicPr>
          <a:picLocks/>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5156200" y="2921000"/>
          <a:ext cx="154940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7</xdr:col>
      <xdr:colOff>355600</xdr:colOff>
      <xdr:row>9</xdr:row>
      <xdr:rowOff>292100</xdr:rowOff>
    </xdr:from>
    <xdr:to>
      <xdr:col>10</xdr:col>
      <xdr:colOff>228600</xdr:colOff>
      <xdr:row>11</xdr:row>
      <xdr:rowOff>101600</xdr:rowOff>
    </xdr:to>
    <xdr:pic>
      <xdr:nvPicPr>
        <xdr:cNvPr id="449131" name="Imagem 21">
          <a:hlinkClick xmlns:r="http://schemas.openxmlformats.org/officeDocument/2006/relationships" r:id="rId15"/>
        </xdr:cNvPr>
        <xdr:cNvPicPr>
          <a:picLocks/>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5156200" y="3530600"/>
          <a:ext cx="154940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7</xdr:col>
      <xdr:colOff>355600</xdr:colOff>
      <xdr:row>11</xdr:row>
      <xdr:rowOff>101600</xdr:rowOff>
    </xdr:from>
    <xdr:to>
      <xdr:col>10</xdr:col>
      <xdr:colOff>228600</xdr:colOff>
      <xdr:row>12</xdr:row>
      <xdr:rowOff>292100</xdr:rowOff>
    </xdr:to>
    <xdr:pic>
      <xdr:nvPicPr>
        <xdr:cNvPr id="449132" name="Imagem 22">
          <a:hlinkClick xmlns:r="http://schemas.openxmlformats.org/officeDocument/2006/relationships" r:id="rId17"/>
        </xdr:cNvPr>
        <xdr:cNvPicPr>
          <a:picLocks/>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5156200" y="4102100"/>
          <a:ext cx="154940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609600</xdr:colOff>
      <xdr:row>3</xdr:row>
      <xdr:rowOff>203200</xdr:rowOff>
    </xdr:from>
    <xdr:to>
      <xdr:col>19</xdr:col>
      <xdr:colOff>368300</xdr:colOff>
      <xdr:row>8</xdr:row>
      <xdr:rowOff>127000</xdr:rowOff>
    </xdr:to>
    <xdr:pic>
      <xdr:nvPicPr>
        <xdr:cNvPr id="449133" name="Imagem 28">
          <a:hlinkClick xmlns:r="http://schemas.openxmlformats.org/officeDocument/2006/relationships" r:id="rId19"/>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7035800" y="1155700"/>
          <a:ext cx="483870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609600</xdr:colOff>
      <xdr:row>8</xdr:row>
      <xdr:rowOff>203200</xdr:rowOff>
    </xdr:from>
    <xdr:to>
      <xdr:col>19</xdr:col>
      <xdr:colOff>368300</xdr:colOff>
      <xdr:row>13</xdr:row>
      <xdr:rowOff>127000</xdr:rowOff>
    </xdr:to>
    <xdr:pic>
      <xdr:nvPicPr>
        <xdr:cNvPr id="449134" name="Imagem 29">
          <a:hlinkClick xmlns:r="http://schemas.openxmlformats.org/officeDocument/2006/relationships" r:id="rId21"/>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7035800" y="3060700"/>
          <a:ext cx="483870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203200</xdr:colOff>
      <xdr:row>8</xdr:row>
      <xdr:rowOff>63500</xdr:rowOff>
    </xdr:from>
    <xdr:to>
      <xdr:col>7</xdr:col>
      <xdr:colOff>330200</xdr:colOff>
      <xdr:row>12</xdr:row>
      <xdr:rowOff>292100</xdr:rowOff>
    </xdr:to>
    <xdr:pic>
      <xdr:nvPicPr>
        <xdr:cNvPr id="449135" name="Imagem 28"/>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1968500" y="2921000"/>
          <a:ext cx="316230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355600</xdr:colOff>
      <xdr:row>3</xdr:row>
      <xdr:rowOff>241300</xdr:rowOff>
    </xdr:from>
    <xdr:to>
      <xdr:col>10</xdr:col>
      <xdr:colOff>241300</xdr:colOff>
      <xdr:row>8</xdr:row>
      <xdr:rowOff>50800</xdr:rowOff>
    </xdr:to>
    <xdr:pic>
      <xdr:nvPicPr>
        <xdr:cNvPr id="449136" name="Imagem 31">
          <a:hlinkClick xmlns:r="http://schemas.openxmlformats.org/officeDocument/2006/relationships" r:id="rId24"/>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5156200" y="1193800"/>
          <a:ext cx="156210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254000</xdr:colOff>
      <xdr:row>3</xdr:row>
      <xdr:rowOff>241300</xdr:rowOff>
    </xdr:from>
    <xdr:to>
      <xdr:col>4</xdr:col>
      <xdr:colOff>444500</xdr:colOff>
      <xdr:row>8</xdr:row>
      <xdr:rowOff>50800</xdr:rowOff>
    </xdr:to>
    <xdr:pic>
      <xdr:nvPicPr>
        <xdr:cNvPr id="449137" name="Imagem 32">
          <a:hlinkClick xmlns:r="http://schemas.openxmlformats.org/officeDocument/2006/relationships" r:id="rId26"/>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2006600" y="1193800"/>
          <a:ext cx="156210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457200</xdr:colOff>
      <xdr:row>3</xdr:row>
      <xdr:rowOff>241300</xdr:rowOff>
    </xdr:from>
    <xdr:to>
      <xdr:col>7</xdr:col>
      <xdr:colOff>355600</xdr:colOff>
      <xdr:row>8</xdr:row>
      <xdr:rowOff>50800</xdr:rowOff>
    </xdr:to>
    <xdr:pic>
      <xdr:nvPicPr>
        <xdr:cNvPr id="449138" name="Imagem 33">
          <a:hlinkClick xmlns:r="http://schemas.openxmlformats.org/officeDocument/2006/relationships" r:id="rId28"/>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3581400" y="1193800"/>
          <a:ext cx="157480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2" Type="http://schemas.openxmlformats.org/officeDocument/2006/relationships/vmlDrawing" Target="../drawings/vmlDrawing2.vml"/><Relationship Id="rId3" Type="http://schemas.openxmlformats.org/officeDocument/2006/relationships/comments" Target="../comments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2" Type="http://schemas.openxmlformats.org/officeDocument/2006/relationships/vmlDrawing" Target="../drawings/vmlDrawing3.vml"/><Relationship Id="rId3" Type="http://schemas.openxmlformats.org/officeDocument/2006/relationships/comments" Target="../comments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2" Type="http://schemas.openxmlformats.org/officeDocument/2006/relationships/vmlDrawing" Target="../drawings/vmlDrawing4.vml"/><Relationship Id="rId3"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2" Type="http://schemas.openxmlformats.org/officeDocument/2006/relationships/vmlDrawing" Target="../drawings/vmlDrawing5.vml"/><Relationship Id="rId3"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2" Type="http://schemas.openxmlformats.org/officeDocument/2006/relationships/vmlDrawing" Target="../drawings/vmlDrawing6.vml"/><Relationship Id="rId3" Type="http://schemas.openxmlformats.org/officeDocument/2006/relationships/comments" Target="../comments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2" Type="http://schemas.openxmlformats.org/officeDocument/2006/relationships/vmlDrawing" Target="../drawings/vmlDrawing7.vml"/><Relationship Id="rId3" Type="http://schemas.openxmlformats.org/officeDocument/2006/relationships/comments" Target="../comments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2" Type="http://schemas.openxmlformats.org/officeDocument/2006/relationships/vmlDrawing" Target="../drawings/vmlDrawing8.vml"/><Relationship Id="rId3" Type="http://schemas.openxmlformats.org/officeDocument/2006/relationships/comments" Target="../comments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2" Type="http://schemas.openxmlformats.org/officeDocument/2006/relationships/vmlDrawing" Target="../drawings/vmlDrawing9.vml"/><Relationship Id="rId3" Type="http://schemas.openxmlformats.org/officeDocument/2006/relationships/comments" Target="../comments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2" Type="http://schemas.openxmlformats.org/officeDocument/2006/relationships/vmlDrawing" Target="../drawings/vmlDrawing10.vml"/><Relationship Id="rId3" Type="http://schemas.openxmlformats.org/officeDocument/2006/relationships/comments" Target="../comments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2" Type="http://schemas.openxmlformats.org/officeDocument/2006/relationships/vmlDrawing" Target="../drawings/vmlDrawing11.vml"/><Relationship Id="rId3" Type="http://schemas.openxmlformats.org/officeDocument/2006/relationships/comments" Target="../comments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2" Type="http://schemas.openxmlformats.org/officeDocument/2006/relationships/vmlDrawing" Target="../drawings/vmlDrawing12.vml"/><Relationship Id="rId3" Type="http://schemas.openxmlformats.org/officeDocument/2006/relationships/comments" Target="../comments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2" Type="http://schemas.openxmlformats.org/officeDocument/2006/relationships/vmlDrawing" Target="../drawings/vmlDrawing13.vml"/><Relationship Id="rId3" Type="http://schemas.openxmlformats.org/officeDocument/2006/relationships/comments" Target="../comments13.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2" Type="http://schemas.openxmlformats.org/officeDocument/2006/relationships/vmlDrawing" Target="../drawings/vmlDrawing14.vml"/><Relationship Id="rId3" Type="http://schemas.openxmlformats.org/officeDocument/2006/relationships/comments" Target="../comments1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2" Type="http://schemas.openxmlformats.org/officeDocument/2006/relationships/vmlDrawing" Target="../drawings/vmlDrawing15.vml"/><Relationship Id="rId3" Type="http://schemas.openxmlformats.org/officeDocument/2006/relationships/comments" Target="../comments1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2" Type="http://schemas.openxmlformats.org/officeDocument/2006/relationships/vmlDrawing" Target="../drawings/vmlDrawing16.vml"/><Relationship Id="rId3" Type="http://schemas.openxmlformats.org/officeDocument/2006/relationships/comments" Target="../comments16.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2" Type="http://schemas.openxmlformats.org/officeDocument/2006/relationships/vmlDrawing" Target="../drawings/vmlDrawing17.vml"/><Relationship Id="rId3" Type="http://schemas.openxmlformats.org/officeDocument/2006/relationships/comments" Target="../comments17.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2" Type="http://schemas.openxmlformats.org/officeDocument/2006/relationships/vmlDrawing" Target="../drawings/vmlDrawing18.vml"/><Relationship Id="rId3" Type="http://schemas.openxmlformats.org/officeDocument/2006/relationships/comments" Target="../comments1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2" Type="http://schemas.openxmlformats.org/officeDocument/2006/relationships/vmlDrawing" Target="../drawings/vmlDrawing19.vml"/><Relationship Id="rId3" Type="http://schemas.openxmlformats.org/officeDocument/2006/relationships/comments" Target="../comments19.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2" Type="http://schemas.openxmlformats.org/officeDocument/2006/relationships/vmlDrawing" Target="../drawings/vmlDrawing20.vml"/><Relationship Id="rId3" Type="http://schemas.openxmlformats.org/officeDocument/2006/relationships/comments" Target="../comments2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2" Type="http://schemas.openxmlformats.org/officeDocument/2006/relationships/vmlDrawing" Target="../drawings/vmlDrawing21.vml"/><Relationship Id="rId3" Type="http://schemas.openxmlformats.org/officeDocument/2006/relationships/comments" Target="../comments21.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2" Type="http://schemas.openxmlformats.org/officeDocument/2006/relationships/vmlDrawing" Target="../drawings/vmlDrawing22.vml"/><Relationship Id="rId3" Type="http://schemas.openxmlformats.org/officeDocument/2006/relationships/comments" Target="../comments22.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2" Type="http://schemas.openxmlformats.org/officeDocument/2006/relationships/vmlDrawing" Target="../drawings/vmlDrawing23.vml"/><Relationship Id="rId3" Type="http://schemas.openxmlformats.org/officeDocument/2006/relationships/comments" Target="../comments23.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2" Type="http://schemas.openxmlformats.org/officeDocument/2006/relationships/vmlDrawing" Target="../drawings/vmlDrawing24.vml"/><Relationship Id="rId3" Type="http://schemas.openxmlformats.org/officeDocument/2006/relationships/comments" Target="../comments24.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5.vml"/><Relationship Id="rId3" Type="http://schemas.openxmlformats.org/officeDocument/2006/relationships/comments" Target="../comments25.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 Id="rId2" Type="http://schemas.openxmlformats.org/officeDocument/2006/relationships/vmlDrawing" Target="../drawings/vmlDrawing26.vml"/><Relationship Id="rId3" Type="http://schemas.openxmlformats.org/officeDocument/2006/relationships/comments" Target="../comments26.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 Id="rId2" Type="http://schemas.openxmlformats.org/officeDocument/2006/relationships/vmlDrawing" Target="../drawings/vmlDrawing27.vml"/><Relationship Id="rId3" Type="http://schemas.openxmlformats.org/officeDocument/2006/relationships/comments" Target="../comments27.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 Id="rId2" Type="http://schemas.openxmlformats.org/officeDocument/2006/relationships/vmlDrawing" Target="../drawings/vmlDrawing28.vml"/><Relationship Id="rId3" Type="http://schemas.openxmlformats.org/officeDocument/2006/relationships/comments" Target="../comments28.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 Id="rId2" Type="http://schemas.openxmlformats.org/officeDocument/2006/relationships/vmlDrawing" Target="../drawings/vmlDrawing30.vml"/><Relationship Id="rId3" Type="http://schemas.openxmlformats.org/officeDocument/2006/relationships/comments" Target="../comments30.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 Id="rId2" Type="http://schemas.openxmlformats.org/officeDocument/2006/relationships/vmlDrawing" Target="../drawings/vmlDrawing31.vml"/><Relationship Id="rId3" Type="http://schemas.openxmlformats.org/officeDocument/2006/relationships/comments" Target="../comments31.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 Id="rId2" Type="http://schemas.openxmlformats.org/officeDocument/2006/relationships/vmlDrawing" Target="../drawings/vmlDrawing32.vml"/><Relationship Id="rId3" Type="http://schemas.openxmlformats.org/officeDocument/2006/relationships/comments" Target="../comments32.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 Id="rId2" Type="http://schemas.openxmlformats.org/officeDocument/2006/relationships/vmlDrawing" Target="../drawings/vmlDrawing33.vml"/><Relationship Id="rId3" Type="http://schemas.openxmlformats.org/officeDocument/2006/relationships/comments" Target="../comments33.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 Id="rId2" Type="http://schemas.openxmlformats.org/officeDocument/2006/relationships/vmlDrawing" Target="../drawings/vmlDrawing34.vml"/><Relationship Id="rId3" Type="http://schemas.openxmlformats.org/officeDocument/2006/relationships/comments" Target="../comments34.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3" Type="http://schemas.openxmlformats.org/officeDocument/2006/relationships/hyperlink" Target="http://luz.vc/ferramentas/integracoes/planilha-de-fluxo-de-caixa-com-controle-de-estoque/?utm_source=referral&amp;utm_medium=produtos&amp;utm_campaign=hoex3" TargetMode="External"/><Relationship Id="rId4" Type="http://schemas.openxmlformats.org/officeDocument/2006/relationships/hyperlink" Target="http://luz.vc/ferramentas/integracoes/planilha-de-fluxo-de-caixa-com-controle-de-estoque/?utm_source=referral&amp;utm_medium=produtos&amp;utm_campaign=hoex3" TargetMode="External"/><Relationship Id="rId5" Type="http://schemas.openxmlformats.org/officeDocument/2006/relationships/hyperlink" Target="http://luz.vc/ferramentas/planilhas-prontas/planilha-de-analise-swot/?utm_source=referral&amp;utm_medium=produtos&amp;utm_campaign=hoex3" TargetMode="External"/><Relationship Id="rId6" Type="http://schemas.openxmlformats.org/officeDocument/2006/relationships/hyperlink" Target="http://luz.vc/ferramentas/planilhas-prontas/planilha-de-analise-swot/?utm_source=referral&amp;utm_medium=produtos&amp;utm_campaign=hoex3" TargetMode="External"/><Relationship Id="rId7" Type="http://schemas.openxmlformats.org/officeDocument/2006/relationships/hyperlink" Target="http://luz.vc/ferramentas/planilhas-prontas/planilha-avaliacao-desempenho-competencia/?utm_source=referral&amp;utm_medium=produtos&amp;utm_campaign=hoex3" TargetMode="External"/><Relationship Id="rId8" Type="http://schemas.openxmlformats.org/officeDocument/2006/relationships/hyperlink" Target="http://luz.vc/ferramentas/planilhas-prontas/planilha-avaliacao-desempenho-competencia/?utm_source=referral&amp;utm_medium=produtos&amp;utm_campaign=hoex3" TargetMode="External"/><Relationship Id="rId9" Type="http://schemas.openxmlformats.org/officeDocument/2006/relationships/hyperlink" Target="http://luz.vc/ferramentas/planilhas-prontas/planilha-de-controle-de-estoque/?utm_source=referral&amp;utm_medium=produtos&amp;utm_campaign=hoex3" TargetMode="External"/><Relationship Id="rId10" Type="http://schemas.openxmlformats.org/officeDocument/2006/relationships/hyperlink" Target="http://luz.vc/ferramentas/planilhas-prontas/planilha-de-controle-de-estoque/?utm_source=referral&amp;utm_medium=produtos&amp;utm_campaign=hoex3" TargetMode="External"/><Relationship Id="rId11" Type="http://schemas.openxmlformats.org/officeDocument/2006/relationships/drawing" Target="../drawings/drawing45.xml"/><Relationship Id="rId1" Type="http://schemas.openxmlformats.org/officeDocument/2006/relationships/hyperlink" Target="http://luz.vc/ferramentas/planilhas-prontas/planilha-de-fluxo-de-caixa/?utm_source=referral&amp;utm_medium=produtos&amp;utm_campaign=hoex3" TargetMode="External"/><Relationship Id="rId2" Type="http://schemas.openxmlformats.org/officeDocument/2006/relationships/hyperlink" Target="http://luz.vc/ferramentas/planilhas-prontas/planilha-de-fluxo-de-caixa/?utm_source=referral&amp;utm_medium=produtos&amp;utm_campaign=hoex3" TargetMode="Externa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1" enableFormatConditionsCalculation="0"/>
  <dimension ref="A1:IV100"/>
  <sheetViews>
    <sheetView showGridLines="0" tabSelected="1" zoomScale="90" zoomScaleNormal="90" zoomScalePageLayoutView="90" workbookViewId="0">
      <selection activeCell="C6" sqref="C6:D6"/>
    </sheetView>
  </sheetViews>
  <sheetFormatPr baseColWidth="10" defaultColWidth="0" defaultRowHeight="15" zeroHeight="1" x14ac:dyDescent="0.2"/>
  <cols>
    <col min="1" max="1" width="27.83203125" style="1" customWidth="1"/>
    <col min="2" max="2" width="3.83203125" customWidth="1"/>
    <col min="3" max="31" width="8.83203125" customWidth="1"/>
  </cols>
  <sheetData>
    <row r="1" spans="1:256" s="3" customFormat="1" ht="33.75" customHeight="1" x14ac:dyDescent="0.2">
      <c r="A1" s="56"/>
      <c r="B1" s="13"/>
      <c r="C1" s="259" t="s">
        <v>136</v>
      </c>
      <c r="D1" s="259"/>
      <c r="E1" s="259"/>
      <c r="F1" s="259"/>
      <c r="G1" s="259"/>
      <c r="H1" s="259"/>
      <c r="I1" s="259"/>
      <c r="J1" s="259"/>
      <c r="K1" s="259"/>
      <c r="L1" s="259"/>
      <c r="M1" s="259"/>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row>
    <row r="2" spans="1:256" s="3" customFormat="1" ht="53.25" customHeight="1" x14ac:dyDescent="0.7">
      <c r="A2" s="1"/>
      <c r="B2" s="13"/>
      <c r="C2" s="138" t="s">
        <v>283</v>
      </c>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13"/>
      <c r="EA2" s="13"/>
      <c r="EB2" s="13"/>
      <c r="EC2" s="13"/>
      <c r="ED2" s="13"/>
      <c r="EE2" s="13"/>
      <c r="EF2" s="13"/>
      <c r="EG2" s="13"/>
      <c r="EH2" s="13"/>
      <c r="EI2" s="13"/>
      <c r="EJ2" s="13"/>
      <c r="EK2" s="13"/>
      <c r="EL2" s="13"/>
      <c r="EM2" s="13"/>
      <c r="EN2" s="13"/>
      <c r="EO2" s="13"/>
      <c r="EP2" s="13"/>
      <c r="EQ2" s="13"/>
      <c r="ER2" s="13"/>
      <c r="ES2" s="13"/>
      <c r="ET2" s="13"/>
      <c r="EU2" s="13"/>
      <c r="EV2" s="13"/>
      <c r="EW2" s="13"/>
      <c r="EX2" s="13"/>
      <c r="EY2" s="13"/>
      <c r="EZ2" s="13"/>
      <c r="FA2" s="13"/>
      <c r="FB2" s="13"/>
      <c r="FC2" s="13"/>
      <c r="FD2" s="13"/>
      <c r="FE2" s="13"/>
      <c r="FF2" s="13"/>
      <c r="FG2" s="13"/>
      <c r="FH2" s="13"/>
      <c r="FI2" s="13"/>
      <c r="FJ2" s="13"/>
      <c r="FK2" s="13"/>
      <c r="FL2" s="13"/>
      <c r="FM2" s="13"/>
      <c r="FN2" s="13"/>
      <c r="FO2" s="13"/>
      <c r="FP2" s="13"/>
      <c r="FQ2" s="13"/>
      <c r="FR2" s="13"/>
      <c r="FS2" s="13"/>
      <c r="FT2" s="13"/>
      <c r="FU2" s="13"/>
      <c r="FV2" s="13"/>
      <c r="FW2" s="13"/>
      <c r="FX2" s="13"/>
      <c r="FY2" s="13"/>
      <c r="FZ2" s="13"/>
      <c r="GA2" s="13"/>
      <c r="GB2" s="13"/>
      <c r="GC2" s="13"/>
      <c r="GD2" s="13"/>
      <c r="GE2" s="13"/>
      <c r="GF2" s="13"/>
      <c r="GG2" s="13"/>
      <c r="GH2" s="13"/>
      <c r="GI2" s="13"/>
      <c r="GJ2" s="13"/>
      <c r="GK2" s="13"/>
      <c r="GL2" s="13"/>
      <c r="GM2" s="13"/>
      <c r="GN2" s="13"/>
      <c r="GO2" s="13"/>
      <c r="GP2" s="13"/>
      <c r="GQ2" s="13"/>
      <c r="GR2" s="13"/>
      <c r="GS2" s="13"/>
      <c r="GT2" s="13"/>
      <c r="GU2" s="13"/>
      <c r="GV2" s="13"/>
      <c r="GW2" s="13"/>
      <c r="GX2" s="13"/>
      <c r="GY2" s="13"/>
      <c r="GZ2" s="13"/>
      <c r="HA2" s="13"/>
      <c r="HB2" s="13"/>
      <c r="HC2" s="13"/>
      <c r="HD2" s="13"/>
      <c r="HE2" s="13"/>
      <c r="HF2" s="13"/>
      <c r="HG2" s="13"/>
      <c r="HH2" s="13"/>
      <c r="HI2" s="13"/>
      <c r="HJ2" s="13"/>
      <c r="HK2" s="13"/>
      <c r="HL2" s="13"/>
      <c r="HM2" s="13"/>
      <c r="HN2" s="13"/>
      <c r="HO2" s="13"/>
      <c r="HP2" s="13"/>
      <c r="HQ2" s="13"/>
      <c r="HR2" s="13"/>
      <c r="HS2" s="13"/>
      <c r="HT2" s="13"/>
      <c r="HU2" s="13"/>
      <c r="HV2" s="13"/>
      <c r="HW2" s="13"/>
      <c r="HX2" s="13"/>
      <c r="HY2" s="13"/>
      <c r="HZ2" s="13"/>
      <c r="IA2" s="13"/>
      <c r="IB2" s="13"/>
      <c r="IC2" s="13"/>
      <c r="ID2" s="13"/>
      <c r="IE2" s="13"/>
      <c r="IF2" s="13"/>
      <c r="IG2" s="13"/>
      <c r="IH2" s="13"/>
      <c r="II2" s="13"/>
      <c r="IJ2" s="13"/>
      <c r="IK2" s="13"/>
      <c r="IL2" s="13"/>
      <c r="IM2" s="13"/>
      <c r="IN2" s="13"/>
      <c r="IO2" s="13"/>
      <c r="IP2" s="13"/>
      <c r="IQ2" s="13"/>
      <c r="IR2" s="13"/>
      <c r="IS2" s="13"/>
      <c r="IT2" s="13"/>
      <c r="IU2" s="13"/>
      <c r="IV2" s="13"/>
    </row>
    <row r="3" spans="1:256" s="3" customFormat="1" ht="44.25" customHeight="1" x14ac:dyDescent="0.2">
      <c r="A3" s="1"/>
      <c r="B3" s="13"/>
      <c r="C3" s="260" t="s">
        <v>137</v>
      </c>
      <c r="D3" s="260"/>
      <c r="E3" s="260"/>
      <c r="F3" s="260"/>
      <c r="G3" s="260"/>
      <c r="H3" s="260"/>
      <c r="I3" s="260"/>
      <c r="J3" s="260"/>
      <c r="K3" s="260"/>
      <c r="L3" s="260"/>
      <c r="M3" s="260"/>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c r="DQ3" s="13"/>
      <c r="DR3" s="13"/>
      <c r="DS3" s="13"/>
      <c r="DT3" s="13"/>
      <c r="DU3" s="13"/>
      <c r="DV3" s="13"/>
      <c r="DW3" s="13"/>
      <c r="DX3" s="13"/>
      <c r="DY3" s="13"/>
      <c r="DZ3" s="13"/>
      <c r="EA3" s="13"/>
      <c r="EB3" s="13"/>
      <c r="EC3" s="13"/>
      <c r="ED3" s="13"/>
      <c r="EE3" s="13"/>
      <c r="EF3" s="13"/>
      <c r="EG3" s="13"/>
      <c r="EH3" s="13"/>
      <c r="EI3" s="13"/>
      <c r="EJ3" s="13"/>
      <c r="EK3" s="13"/>
      <c r="EL3" s="13"/>
      <c r="EM3" s="13"/>
      <c r="EN3" s="13"/>
      <c r="EO3" s="13"/>
      <c r="EP3" s="13"/>
      <c r="EQ3" s="13"/>
      <c r="ER3" s="13"/>
      <c r="ES3" s="13"/>
      <c r="ET3" s="13"/>
      <c r="EU3" s="13"/>
      <c r="EV3" s="13"/>
      <c r="EW3" s="13"/>
      <c r="EX3" s="13"/>
      <c r="EY3" s="13"/>
      <c r="EZ3" s="13"/>
      <c r="FA3" s="13"/>
      <c r="FB3" s="13"/>
      <c r="FC3" s="13"/>
      <c r="FD3" s="13"/>
      <c r="FE3" s="13"/>
      <c r="FF3" s="13"/>
      <c r="FG3" s="13"/>
      <c r="FH3" s="13"/>
      <c r="FI3" s="13"/>
      <c r="FJ3" s="13"/>
      <c r="FK3" s="13"/>
      <c r="FL3" s="13"/>
      <c r="FM3" s="13"/>
      <c r="FN3" s="13"/>
      <c r="FO3" s="13"/>
      <c r="FP3" s="13"/>
      <c r="FQ3" s="13"/>
      <c r="FR3" s="13"/>
      <c r="FS3" s="13"/>
      <c r="FT3" s="13"/>
      <c r="FU3" s="13"/>
      <c r="FV3" s="13"/>
      <c r="FW3" s="13"/>
      <c r="FX3" s="13"/>
      <c r="FY3" s="13"/>
      <c r="FZ3" s="13"/>
      <c r="GA3" s="13"/>
      <c r="GB3" s="13"/>
      <c r="GC3" s="13"/>
      <c r="GD3" s="13"/>
      <c r="GE3" s="13"/>
      <c r="GF3" s="13"/>
      <c r="GG3" s="13"/>
      <c r="GH3" s="13"/>
      <c r="GI3" s="13"/>
      <c r="GJ3" s="13"/>
      <c r="GK3" s="13"/>
      <c r="GL3" s="13"/>
      <c r="GM3" s="13"/>
      <c r="GN3" s="13"/>
      <c r="GO3" s="13"/>
      <c r="GP3" s="13"/>
      <c r="GQ3" s="13"/>
      <c r="GR3" s="13"/>
      <c r="GS3" s="13"/>
      <c r="GT3" s="13"/>
      <c r="GU3" s="13"/>
      <c r="GV3" s="13"/>
      <c r="GW3" s="13"/>
      <c r="GX3" s="13"/>
      <c r="GY3" s="13"/>
      <c r="GZ3" s="13"/>
      <c r="HA3" s="13"/>
      <c r="HB3" s="13"/>
      <c r="HC3" s="13"/>
      <c r="HD3" s="13"/>
      <c r="HE3" s="13"/>
      <c r="HF3" s="13"/>
      <c r="HG3" s="13"/>
      <c r="HH3" s="13"/>
      <c r="HI3" s="13"/>
      <c r="HJ3" s="13"/>
      <c r="HK3" s="13"/>
      <c r="HL3" s="13"/>
      <c r="HM3" s="13"/>
      <c r="HN3" s="13"/>
      <c r="HO3" s="13"/>
      <c r="HP3" s="13"/>
      <c r="HQ3" s="13"/>
      <c r="HR3" s="13"/>
      <c r="HS3" s="13"/>
      <c r="HT3" s="13"/>
      <c r="HU3" s="13"/>
      <c r="HV3" s="13"/>
      <c r="HW3" s="13"/>
      <c r="HX3" s="13"/>
      <c r="HY3" s="13"/>
      <c r="HZ3" s="13"/>
      <c r="IA3" s="13"/>
      <c r="IB3" s="13"/>
      <c r="IC3" s="13"/>
      <c r="ID3" s="13"/>
      <c r="IE3" s="13"/>
      <c r="IF3" s="13"/>
      <c r="IG3" s="13"/>
      <c r="IH3" s="13"/>
      <c r="II3" s="13"/>
      <c r="IJ3" s="13"/>
      <c r="IK3" s="13"/>
      <c r="IL3" s="13"/>
      <c r="IM3" s="13"/>
      <c r="IN3" s="13"/>
      <c r="IO3" s="13"/>
      <c r="IP3" s="13"/>
      <c r="IQ3" s="13"/>
      <c r="IR3" s="13"/>
      <c r="IS3" s="13"/>
      <c r="IT3" s="13"/>
      <c r="IU3" s="13"/>
      <c r="IV3" s="13"/>
    </row>
    <row r="4" spans="1:256" ht="30" customHeight="1" x14ac:dyDescent="0.2">
      <c r="C4" s="137" t="s">
        <v>126</v>
      </c>
      <c r="D4" s="137"/>
      <c r="E4" s="137"/>
      <c r="F4" s="137"/>
      <c r="G4" s="137"/>
      <c r="H4" s="137"/>
      <c r="I4" s="137"/>
      <c r="J4" s="137"/>
      <c r="K4" s="137"/>
      <c r="L4" s="137"/>
      <c r="M4" s="137"/>
    </row>
    <row r="5" spans="1:256" ht="30" customHeight="1" x14ac:dyDescent="0.25">
      <c r="E5" s="53"/>
    </row>
    <row r="6" spans="1:256" ht="30" customHeight="1" x14ac:dyDescent="0.2">
      <c r="C6" s="261" t="s">
        <v>127</v>
      </c>
      <c r="D6" s="261"/>
      <c r="E6" s="262" t="s">
        <v>128</v>
      </c>
      <c r="F6" s="262"/>
      <c r="G6" s="262"/>
      <c r="H6" s="262"/>
      <c r="I6" s="263"/>
      <c r="J6" s="263"/>
      <c r="K6" s="263"/>
      <c r="L6" s="30"/>
    </row>
    <row r="7" spans="1:256" ht="30" customHeight="1" x14ac:dyDescent="0.2">
      <c r="C7" s="264" t="s">
        <v>274</v>
      </c>
      <c r="D7" s="264"/>
      <c r="E7" s="264"/>
      <c r="F7" s="264"/>
      <c r="G7" s="264"/>
      <c r="H7" s="264"/>
      <c r="I7" s="264"/>
      <c r="J7" s="264"/>
      <c r="K7" s="264"/>
      <c r="L7" s="264"/>
      <c r="M7" s="264"/>
    </row>
    <row r="8" spans="1:256" ht="30" customHeight="1" x14ac:dyDescent="0.2">
      <c r="C8" s="264"/>
      <c r="D8" s="264"/>
      <c r="E8" s="264"/>
      <c r="F8" s="264"/>
      <c r="G8" s="264"/>
      <c r="H8" s="264"/>
      <c r="I8" s="264"/>
      <c r="J8" s="264"/>
      <c r="K8" s="264"/>
      <c r="L8" s="264"/>
      <c r="M8" s="264"/>
    </row>
    <row r="9" spans="1:256" ht="30" customHeight="1" x14ac:dyDescent="0.2">
      <c r="C9" s="261" t="s">
        <v>129</v>
      </c>
      <c r="D9" s="261"/>
      <c r="E9" s="262" t="s">
        <v>138</v>
      </c>
      <c r="F9" s="262"/>
      <c r="G9" s="262"/>
      <c r="H9" s="262"/>
      <c r="I9" s="262"/>
      <c r="J9" s="262"/>
      <c r="K9" s="262"/>
      <c r="L9" s="262"/>
      <c r="M9" s="262"/>
    </row>
    <row r="10" spans="1:256" ht="30" customHeight="1" x14ac:dyDescent="0.2">
      <c r="C10" s="264" t="s">
        <v>275</v>
      </c>
      <c r="D10" s="264"/>
      <c r="E10" s="264"/>
      <c r="F10" s="264"/>
      <c r="G10" s="264"/>
      <c r="H10" s="264"/>
      <c r="I10" s="264"/>
      <c r="J10" s="264"/>
      <c r="K10" s="264"/>
      <c r="L10" s="264"/>
      <c r="M10" s="264"/>
    </row>
    <row r="11" spans="1:256" ht="30" customHeight="1" x14ac:dyDescent="0.2">
      <c r="C11" s="264"/>
      <c r="D11" s="264"/>
      <c r="E11" s="264"/>
      <c r="F11" s="264"/>
      <c r="G11" s="264"/>
      <c r="H11" s="264"/>
      <c r="I11" s="264"/>
      <c r="J11" s="264"/>
      <c r="K11" s="264"/>
      <c r="L11" s="264"/>
      <c r="M11" s="264"/>
    </row>
    <row r="12" spans="1:256" ht="30" customHeight="1" x14ac:dyDescent="0.2">
      <c r="C12" s="261" t="s">
        <v>130</v>
      </c>
      <c r="D12" s="261"/>
      <c r="E12" s="262" t="s">
        <v>139</v>
      </c>
      <c r="F12" s="262"/>
      <c r="G12" s="262"/>
      <c r="H12" s="262"/>
      <c r="I12" s="262"/>
      <c r="J12" s="262"/>
      <c r="K12" s="262"/>
      <c r="L12" s="262"/>
      <c r="M12" s="262"/>
    </row>
    <row r="13" spans="1:256" ht="30" customHeight="1" x14ac:dyDescent="0.2">
      <c r="C13" s="264" t="s">
        <v>276</v>
      </c>
      <c r="D13" s="264"/>
      <c r="E13" s="264"/>
      <c r="F13" s="264"/>
      <c r="G13" s="264"/>
      <c r="H13" s="264"/>
      <c r="I13" s="264"/>
      <c r="J13" s="264"/>
      <c r="K13" s="264"/>
      <c r="L13" s="264"/>
      <c r="M13" s="264"/>
    </row>
    <row r="14" spans="1:256" ht="30" customHeight="1" x14ac:dyDescent="0.2">
      <c r="C14" s="264"/>
      <c r="D14" s="264"/>
      <c r="E14" s="264"/>
      <c r="F14" s="264"/>
      <c r="G14" s="264"/>
      <c r="H14" s="264"/>
      <c r="I14" s="264"/>
      <c r="J14" s="264"/>
      <c r="K14" s="264"/>
      <c r="L14" s="264"/>
      <c r="M14" s="264"/>
    </row>
    <row r="15" spans="1:256" ht="30" customHeight="1" x14ac:dyDescent="0.2">
      <c r="C15" s="261" t="s">
        <v>132</v>
      </c>
      <c r="D15" s="261"/>
      <c r="E15" s="262" t="s">
        <v>131</v>
      </c>
      <c r="F15" s="262"/>
      <c r="G15" s="262"/>
      <c r="H15" s="262"/>
      <c r="I15" s="262"/>
      <c r="J15" s="262"/>
      <c r="K15" s="262"/>
      <c r="L15" s="262"/>
      <c r="M15" s="262"/>
    </row>
    <row r="16" spans="1:256" ht="30" customHeight="1" x14ac:dyDescent="0.2">
      <c r="C16" s="264" t="s">
        <v>277</v>
      </c>
      <c r="D16" s="264"/>
      <c r="E16" s="264"/>
      <c r="F16" s="264"/>
      <c r="G16" s="264"/>
      <c r="H16" s="264"/>
      <c r="I16" s="264"/>
      <c r="J16" s="264"/>
      <c r="K16" s="264"/>
      <c r="L16" s="264"/>
      <c r="M16" s="264"/>
    </row>
    <row r="17" spans="3:13" ht="30" customHeight="1" x14ac:dyDescent="0.2">
      <c r="C17" s="264"/>
      <c r="D17" s="264"/>
      <c r="E17" s="264"/>
      <c r="F17" s="264"/>
      <c r="G17" s="264"/>
      <c r="H17" s="264"/>
      <c r="I17" s="264"/>
      <c r="J17" s="264"/>
      <c r="K17" s="264"/>
      <c r="L17" s="264"/>
      <c r="M17" s="264"/>
    </row>
    <row r="18" spans="3:13" ht="30" customHeight="1" x14ac:dyDescent="0.2">
      <c r="C18" s="261" t="s">
        <v>134</v>
      </c>
      <c r="D18" s="261"/>
      <c r="E18" s="31" t="s">
        <v>133</v>
      </c>
      <c r="F18" s="31"/>
      <c r="G18" s="31"/>
      <c r="H18" s="31"/>
      <c r="I18" s="31"/>
      <c r="J18" s="31"/>
      <c r="K18" s="31"/>
      <c r="L18" s="31"/>
      <c r="M18" s="31"/>
    </row>
    <row r="19" spans="3:13" ht="30" customHeight="1" x14ac:dyDescent="0.2">
      <c r="C19" s="264" t="s">
        <v>278</v>
      </c>
      <c r="D19" s="264"/>
      <c r="E19" s="264"/>
      <c r="F19" s="264"/>
      <c r="G19" s="264"/>
      <c r="H19" s="264"/>
      <c r="I19" s="264"/>
      <c r="J19" s="264"/>
      <c r="K19" s="264"/>
      <c r="L19" s="264"/>
      <c r="M19" s="264"/>
    </row>
    <row r="20" spans="3:13" ht="30" customHeight="1" x14ac:dyDescent="0.2">
      <c r="C20" s="264"/>
      <c r="D20" s="264"/>
      <c r="E20" s="264"/>
      <c r="F20" s="264"/>
      <c r="G20" s="264"/>
      <c r="H20" s="264"/>
      <c r="I20" s="264"/>
      <c r="J20" s="264"/>
      <c r="K20" s="264"/>
      <c r="L20" s="264"/>
      <c r="M20" s="264"/>
    </row>
    <row r="21" spans="3:13" ht="30" customHeight="1" x14ac:dyDescent="0.2">
      <c r="C21" s="261" t="s">
        <v>141</v>
      </c>
      <c r="D21" s="261"/>
      <c r="E21" s="31" t="s">
        <v>135</v>
      </c>
      <c r="F21" s="31"/>
      <c r="G21" s="31"/>
      <c r="H21" s="31"/>
      <c r="I21" s="31"/>
      <c r="J21" s="31"/>
      <c r="K21" s="31"/>
      <c r="L21" s="31"/>
      <c r="M21" s="31"/>
    </row>
    <row r="22" spans="3:13" ht="30" customHeight="1" x14ac:dyDescent="0.2">
      <c r="C22" s="264" t="s">
        <v>279</v>
      </c>
      <c r="D22" s="264"/>
      <c r="E22" s="264"/>
      <c r="F22" s="264"/>
      <c r="G22" s="264"/>
      <c r="H22" s="264"/>
      <c r="I22" s="264"/>
      <c r="J22" s="264"/>
      <c r="K22" s="264"/>
      <c r="L22" s="264"/>
      <c r="M22" s="264"/>
    </row>
    <row r="23" spans="3:13" ht="30" customHeight="1" x14ac:dyDescent="0.2">
      <c r="C23" s="264"/>
      <c r="D23" s="264"/>
      <c r="E23" s="264"/>
      <c r="F23" s="264"/>
      <c r="G23" s="264"/>
      <c r="H23" s="264"/>
      <c r="I23" s="264"/>
      <c r="J23" s="264"/>
      <c r="K23" s="264"/>
      <c r="L23" s="264"/>
      <c r="M23" s="264"/>
    </row>
    <row r="24" spans="3:13" ht="30" customHeight="1" x14ac:dyDescent="0.2">
      <c r="C24" s="261" t="s">
        <v>142</v>
      </c>
      <c r="D24" s="261"/>
      <c r="E24" s="31" t="s">
        <v>140</v>
      </c>
      <c r="F24" s="31"/>
      <c r="G24" s="31"/>
      <c r="H24" s="31"/>
      <c r="I24" s="31"/>
      <c r="J24" s="31"/>
      <c r="K24" s="31"/>
      <c r="L24" s="31"/>
      <c r="M24" s="31"/>
    </row>
    <row r="25" spans="3:13" ht="30" customHeight="1" x14ac:dyDescent="0.2">
      <c r="C25" s="264" t="s">
        <v>280</v>
      </c>
      <c r="D25" s="264"/>
      <c r="E25" s="264"/>
      <c r="F25" s="264"/>
      <c r="G25" s="264"/>
      <c r="H25" s="264"/>
      <c r="I25" s="264"/>
      <c r="J25" s="264"/>
      <c r="K25" s="264"/>
      <c r="L25" s="264"/>
      <c r="M25" s="264"/>
    </row>
    <row r="26" spans="3:13" ht="30" customHeight="1" x14ac:dyDescent="0.2">
      <c r="C26" s="264"/>
      <c r="D26" s="264"/>
      <c r="E26" s="264"/>
      <c r="F26" s="264"/>
      <c r="G26" s="264"/>
      <c r="H26" s="264"/>
      <c r="I26" s="264"/>
      <c r="J26" s="264"/>
      <c r="K26" s="264"/>
      <c r="L26" s="264"/>
      <c r="M26" s="264"/>
    </row>
    <row r="27" spans="3:13" ht="30" customHeight="1" x14ac:dyDescent="0.2"/>
    <row r="28" spans="3:13" ht="30" customHeight="1" x14ac:dyDescent="0.2"/>
    <row r="29" spans="3:13" ht="30" customHeight="1" x14ac:dyDescent="0.2"/>
    <row r="30" spans="3:13" ht="30" customHeight="1" x14ac:dyDescent="0.2"/>
    <row r="31" spans="3:13" ht="30" customHeight="1" x14ac:dyDescent="0.2"/>
    <row r="32" spans="3:13" ht="30" customHeight="1" x14ac:dyDescent="0.2"/>
    <row r="33" ht="30" customHeight="1" x14ac:dyDescent="0.2"/>
    <row r="34" ht="30" customHeight="1" x14ac:dyDescent="0.2"/>
    <row r="35" ht="30" customHeight="1" x14ac:dyDescent="0.2"/>
    <row r="36" ht="30" customHeight="1" x14ac:dyDescent="0.2"/>
    <row r="37" ht="30" customHeight="1" x14ac:dyDescent="0.2"/>
    <row r="38" ht="30" customHeight="1" x14ac:dyDescent="0.2"/>
    <row r="39" ht="30" customHeight="1" x14ac:dyDescent="0.2"/>
    <row r="40" ht="30" customHeight="1" x14ac:dyDescent="0.2"/>
    <row r="41" ht="30" customHeight="1" x14ac:dyDescent="0.2"/>
    <row r="42" ht="30" customHeight="1" x14ac:dyDescent="0.2"/>
    <row r="43" ht="30" customHeight="1" x14ac:dyDescent="0.2"/>
    <row r="44" ht="30" customHeight="1" x14ac:dyDescent="0.2"/>
    <row r="45" ht="30" customHeight="1" x14ac:dyDescent="0.2"/>
    <row r="46" ht="30" customHeight="1" x14ac:dyDescent="0.2"/>
    <row r="47" ht="30" customHeight="1" x14ac:dyDescent="0.2"/>
    <row r="48" ht="30" customHeight="1" x14ac:dyDescent="0.2"/>
    <row r="49" ht="30" customHeight="1" x14ac:dyDescent="0.2"/>
    <row r="50" ht="30" customHeight="1" x14ac:dyDescent="0.2"/>
    <row r="51" ht="30" customHeight="1" x14ac:dyDescent="0.2"/>
    <row r="52" ht="30" customHeight="1" x14ac:dyDescent="0.2"/>
    <row r="53" ht="30" customHeight="1" x14ac:dyDescent="0.2"/>
    <row r="54" ht="30" customHeight="1" x14ac:dyDescent="0.2"/>
    <row r="55" ht="30" customHeight="1" x14ac:dyDescent="0.2"/>
    <row r="56" ht="30" customHeight="1" x14ac:dyDescent="0.2"/>
    <row r="57" ht="30" customHeight="1" x14ac:dyDescent="0.2"/>
    <row r="58" ht="30" customHeight="1" x14ac:dyDescent="0.2"/>
    <row r="59" ht="30" customHeight="1" x14ac:dyDescent="0.2"/>
    <row r="60" ht="30" customHeight="1" x14ac:dyDescent="0.2"/>
    <row r="61" ht="30" customHeight="1" x14ac:dyDescent="0.2"/>
    <row r="62" ht="30" customHeight="1" x14ac:dyDescent="0.2"/>
    <row r="63" ht="30" customHeight="1" x14ac:dyDescent="0.2"/>
    <row r="64" ht="30" customHeight="1" x14ac:dyDescent="0.2"/>
    <row r="65" ht="30" customHeight="1" x14ac:dyDescent="0.2"/>
    <row r="66" ht="30" customHeight="1" x14ac:dyDescent="0.2"/>
    <row r="67" ht="30" customHeight="1" x14ac:dyDescent="0.2"/>
    <row r="68" ht="30" customHeight="1" x14ac:dyDescent="0.2"/>
    <row r="69" ht="30" customHeight="1" x14ac:dyDescent="0.2"/>
    <row r="70" ht="30" customHeight="1" x14ac:dyDescent="0.2"/>
    <row r="71" ht="30" customHeight="1" x14ac:dyDescent="0.2"/>
    <row r="72" ht="30" customHeight="1" x14ac:dyDescent="0.2"/>
    <row r="73" ht="30" customHeight="1" x14ac:dyDescent="0.2"/>
    <row r="74" ht="30" customHeight="1" x14ac:dyDescent="0.2"/>
    <row r="75" ht="30" customHeight="1" x14ac:dyDescent="0.2"/>
    <row r="76" ht="30" customHeight="1" x14ac:dyDescent="0.2"/>
    <row r="77" ht="30" customHeight="1" x14ac:dyDescent="0.2"/>
    <row r="78" ht="30" customHeight="1" x14ac:dyDescent="0.2"/>
    <row r="79" ht="30" customHeight="1" x14ac:dyDescent="0.2"/>
    <row r="80" ht="30" customHeight="1" x14ac:dyDescent="0.2"/>
    <row r="81" ht="30" customHeight="1" x14ac:dyDescent="0.2"/>
    <row r="82" ht="30" customHeight="1" x14ac:dyDescent="0.2"/>
    <row r="83" ht="30" customHeight="1" x14ac:dyDescent="0.2"/>
    <row r="84" ht="30" customHeight="1" x14ac:dyDescent="0.2"/>
    <row r="85" ht="30" customHeight="1" x14ac:dyDescent="0.2"/>
    <row r="86" ht="30" customHeight="1" x14ac:dyDescent="0.2"/>
    <row r="87" ht="30" customHeight="1" x14ac:dyDescent="0.2"/>
    <row r="88" ht="30" customHeight="1" x14ac:dyDescent="0.2"/>
    <row r="89" ht="30" customHeight="1" x14ac:dyDescent="0.2"/>
    <row r="90" ht="30" customHeight="1" x14ac:dyDescent="0.2"/>
    <row r="91" ht="30" customHeight="1" x14ac:dyDescent="0.2"/>
    <row r="92" ht="30" customHeight="1" x14ac:dyDescent="0.2"/>
    <row r="93" ht="30" customHeight="1" x14ac:dyDescent="0.2"/>
    <row r="94" ht="30" customHeight="1" x14ac:dyDescent="0.2"/>
    <row r="95" ht="30" customHeight="1" x14ac:dyDescent="0.2"/>
    <row r="96" ht="30" customHeight="1" x14ac:dyDescent="0.2"/>
    <row r="97" ht="30" customHeight="1" x14ac:dyDescent="0.2"/>
    <row r="98" x14ac:dyDescent="0.2"/>
    <row r="99" x14ac:dyDescent="0.2"/>
    <row r="100" x14ac:dyDescent="0.2"/>
  </sheetData>
  <sheetProtection sheet="1" objects="1" scenarios="1" selectLockedCells="1"/>
  <mergeCells count="21">
    <mergeCell ref="C16:M17"/>
    <mergeCell ref="C19:M20"/>
    <mergeCell ref="C22:M23"/>
    <mergeCell ref="C25:M26"/>
    <mergeCell ref="C24:D24"/>
    <mergeCell ref="C21:D21"/>
    <mergeCell ref="C18:D18"/>
    <mergeCell ref="C13:M14"/>
    <mergeCell ref="C15:D15"/>
    <mergeCell ref="E15:M15"/>
    <mergeCell ref="C7:M8"/>
    <mergeCell ref="C9:D9"/>
    <mergeCell ref="E9:M9"/>
    <mergeCell ref="C10:M11"/>
    <mergeCell ref="C12:D12"/>
    <mergeCell ref="E12:M12"/>
    <mergeCell ref="C1:M1"/>
    <mergeCell ref="C3:M3"/>
    <mergeCell ref="C6:D6"/>
    <mergeCell ref="E6:H6"/>
    <mergeCell ref="I6:K6"/>
  </mergeCells>
  <hyperlinks>
    <hyperlink ref="C6:D6" location="'P Gerais'!A1" display="Passo 1"/>
    <hyperlink ref="C9:D9" location="Lanç!A1" display="Passo 2"/>
    <hyperlink ref="C12:D12" location="Resul!A1" display="Passo 3"/>
    <hyperlink ref="C15:D15" location="Gra!A1" display="Passo 4"/>
    <hyperlink ref="C18:D18" location="Ale!A1" display="Passo 5"/>
    <hyperlink ref="C21:D21" location="Rel!A1" display="Passo 6"/>
    <hyperlink ref="C24:D24" location="Fol!A1" display="Passo 7"/>
  </hyperlinks>
  <printOptions horizontalCentered="1"/>
  <pageMargins left="0.23622047244094491" right="0.23622047244094491" top="0.74803149606299213" bottom="0.74803149606299213" header="0.31496062992125984" footer="0.31496062992125984"/>
  <pageSetup paperSize="9" scale="92"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2" enableFormatConditionsCalculation="0"/>
  <dimension ref="A1:AB107"/>
  <sheetViews>
    <sheetView showGridLines="0" zoomScale="90" zoomScaleNormal="90" zoomScalePageLayoutView="90" workbookViewId="0">
      <selection activeCell="C20" sqref="C20:M20"/>
    </sheetView>
  </sheetViews>
  <sheetFormatPr baseColWidth="10" defaultColWidth="0" defaultRowHeight="15" zeroHeight="1" x14ac:dyDescent="0.2"/>
  <cols>
    <col min="1" max="1" width="27.83203125" style="1" customWidth="1"/>
    <col min="2" max="2" width="3.83203125" customWidth="1"/>
    <col min="3" max="3" width="14.83203125" customWidth="1"/>
    <col min="4" max="4" width="2.83203125" customWidth="1"/>
    <col min="5" max="6" width="14.83203125" customWidth="1"/>
    <col min="7" max="7" width="2.83203125" customWidth="1"/>
    <col min="8" max="9" width="14.83203125" customWidth="1"/>
    <col min="10" max="10" width="2.83203125" customWidth="1"/>
    <col min="11" max="12" width="14.83203125" customWidth="1"/>
    <col min="13" max="13" width="14.83203125" style="2" customWidth="1"/>
    <col min="14" max="14" width="8.83203125" style="2" customWidth="1"/>
    <col min="15" max="17" width="8.83203125" style="32" customWidth="1"/>
    <col min="18" max="28" width="8.83203125" customWidth="1"/>
    <col min="29" max="16384" width="8.83203125" hidden="1"/>
  </cols>
  <sheetData>
    <row r="1" spans="1:17" s="3" customFormat="1" ht="33.75" customHeight="1" x14ac:dyDescent="0.3">
      <c r="A1" s="56"/>
      <c r="C1" s="4" t="s">
        <v>29</v>
      </c>
      <c r="M1" s="15"/>
      <c r="N1" s="15"/>
      <c r="O1" s="33"/>
      <c r="P1" s="33"/>
      <c r="Q1" s="33"/>
    </row>
    <row r="2" spans="1:17" s="3" customFormat="1" ht="21.5" customHeight="1" x14ac:dyDescent="0.2">
      <c r="A2" s="1"/>
      <c r="M2" s="15"/>
      <c r="N2" s="15"/>
      <c r="O2" s="33"/>
      <c r="P2" s="33"/>
      <c r="Q2" s="33"/>
    </row>
    <row r="3" spans="1:17" s="3" customFormat="1" ht="21.5" customHeight="1" x14ac:dyDescent="0.2">
      <c r="A3" s="1"/>
      <c r="M3" s="15"/>
      <c r="N3" s="15"/>
      <c r="O3" s="33"/>
      <c r="P3" s="33"/>
      <c r="Q3" s="33"/>
    </row>
    <row r="4" spans="1:17" ht="30" customHeight="1" x14ac:dyDescent="0.2"/>
    <row r="5" spans="1:17" ht="30" customHeight="1" x14ac:dyDescent="0.25">
      <c r="C5" s="265" t="s">
        <v>179</v>
      </c>
      <c r="D5" s="265"/>
      <c r="E5" s="265"/>
      <c r="F5" s="265"/>
      <c r="G5" s="265"/>
      <c r="H5" s="265"/>
      <c r="I5" s="265"/>
      <c r="J5" s="265"/>
      <c r="K5" s="265"/>
      <c r="L5" s="265"/>
    </row>
    <row r="6" spans="1:17" ht="30" customHeight="1" x14ac:dyDescent="0.2">
      <c r="C6" s="199" t="s">
        <v>163</v>
      </c>
      <c r="D6" s="266"/>
      <c r="E6" s="266"/>
      <c r="F6" s="266"/>
      <c r="G6" s="266"/>
      <c r="I6" s="200" t="s">
        <v>180</v>
      </c>
      <c r="J6" s="278"/>
      <c r="K6" s="279"/>
      <c r="L6" s="279"/>
      <c r="M6" s="280"/>
    </row>
    <row r="7" spans="1:17" ht="8" customHeight="1" x14ac:dyDescent="0.2"/>
    <row r="8" spans="1:17" ht="30" customHeight="1" x14ac:dyDescent="0.2">
      <c r="C8" s="267" t="s">
        <v>282</v>
      </c>
      <c r="D8" s="267"/>
      <c r="E8" s="267"/>
      <c r="F8" s="267"/>
      <c r="G8" s="267"/>
      <c r="H8" s="268"/>
      <c r="I8" s="269"/>
      <c r="J8" s="270"/>
      <c r="K8" s="270"/>
      <c r="L8" s="270"/>
      <c r="M8" s="271"/>
    </row>
    <row r="9" spans="1:17" ht="30" customHeight="1" x14ac:dyDescent="0.25">
      <c r="C9" s="265" t="s">
        <v>124</v>
      </c>
      <c r="D9" s="265"/>
      <c r="E9" s="265"/>
      <c r="F9" s="265"/>
      <c r="G9" s="265"/>
      <c r="H9" s="265"/>
      <c r="I9" s="265"/>
      <c r="J9" s="265"/>
      <c r="K9" s="265"/>
      <c r="L9" s="265"/>
    </row>
    <row r="10" spans="1:17" ht="30" customHeight="1" x14ac:dyDescent="0.2">
      <c r="C10" s="267" t="s">
        <v>48</v>
      </c>
      <c r="D10" s="267"/>
      <c r="E10" s="267"/>
      <c r="F10" s="267"/>
      <c r="G10" s="267"/>
      <c r="H10" s="268"/>
      <c r="I10" s="278"/>
      <c r="J10" s="279"/>
      <c r="K10" s="279"/>
      <c r="L10" s="279"/>
      <c r="M10" s="280"/>
    </row>
    <row r="11" spans="1:17" ht="8" customHeight="1" x14ac:dyDescent="0.2"/>
    <row r="12" spans="1:17" ht="30" customHeight="1" x14ac:dyDescent="0.25">
      <c r="C12" s="265" t="s">
        <v>125</v>
      </c>
      <c r="D12" s="265"/>
      <c r="E12" s="265"/>
      <c r="F12" s="265"/>
      <c r="G12" s="265"/>
      <c r="H12" s="265"/>
      <c r="I12" s="265"/>
      <c r="J12" s="265"/>
      <c r="K12" s="265"/>
      <c r="L12" s="265"/>
    </row>
    <row r="13" spans="1:17" ht="30" customHeight="1" x14ac:dyDescent="0.2">
      <c r="C13" s="127" t="s">
        <v>46</v>
      </c>
      <c r="E13" s="127" t="s">
        <v>44</v>
      </c>
      <c r="F13" s="127" t="s">
        <v>45</v>
      </c>
      <c r="H13" s="127" t="s">
        <v>143</v>
      </c>
      <c r="I13" s="127" t="s">
        <v>47</v>
      </c>
      <c r="K13" s="127" t="s">
        <v>102</v>
      </c>
      <c r="L13" s="127" t="s">
        <v>281</v>
      </c>
    </row>
    <row r="14" spans="1:17" ht="30" customHeight="1" x14ac:dyDescent="0.2">
      <c r="C14" s="128">
        <v>0.5</v>
      </c>
      <c r="D14" s="10"/>
      <c r="E14" s="128">
        <v>0.5</v>
      </c>
      <c r="F14" s="128">
        <v>1</v>
      </c>
      <c r="G14" s="10"/>
      <c r="H14" s="128">
        <v>1</v>
      </c>
      <c r="I14" s="128">
        <v>1</v>
      </c>
      <c r="K14" s="128">
        <v>0.3</v>
      </c>
      <c r="L14" s="128">
        <v>1</v>
      </c>
    </row>
    <row r="15" spans="1:17" ht="8" customHeight="1" thickBot="1" x14ac:dyDescent="0.25"/>
    <row r="16" spans="1:17" ht="30" customHeight="1" thickTop="1" thickBot="1" x14ac:dyDescent="0.25">
      <c r="C16" s="281" t="s">
        <v>144</v>
      </c>
      <c r="D16" s="282"/>
      <c r="E16" s="282"/>
      <c r="F16" s="282"/>
      <c r="G16" s="283"/>
      <c r="I16" s="281" t="s">
        <v>145</v>
      </c>
      <c r="J16" s="282"/>
      <c r="K16" s="282"/>
      <c r="L16" s="282"/>
      <c r="M16" s="283"/>
      <c r="N16"/>
    </row>
    <row r="17" spans="3:14" ht="30" customHeight="1" thickTop="1" x14ac:dyDescent="0.2">
      <c r="C17" s="284">
        <v>1</v>
      </c>
      <c r="D17" s="285"/>
      <c r="E17" s="285"/>
      <c r="F17" s="285"/>
      <c r="G17" s="286"/>
      <c r="I17" s="284">
        <v>0.5</v>
      </c>
      <c r="J17" s="285"/>
      <c r="K17" s="285"/>
      <c r="L17" s="285"/>
      <c r="M17" s="286"/>
      <c r="N17"/>
    </row>
    <row r="18" spans="3:14" ht="13.5" customHeight="1" thickBot="1" x14ac:dyDescent="0.25"/>
    <row r="19" spans="3:14" ht="30" customHeight="1" thickTop="1" thickBot="1" x14ac:dyDescent="0.25">
      <c r="C19" s="275" t="s">
        <v>181</v>
      </c>
      <c r="D19" s="276"/>
      <c r="E19" s="276"/>
      <c r="F19" s="276"/>
      <c r="G19" s="276"/>
      <c r="H19" s="276"/>
      <c r="I19" s="276"/>
      <c r="J19" s="276"/>
      <c r="K19" s="276"/>
      <c r="L19" s="276"/>
      <c r="M19" s="277"/>
    </row>
    <row r="20" spans="3:14" ht="30" customHeight="1" thickTop="1" x14ac:dyDescent="0.2">
      <c r="C20" s="272"/>
      <c r="D20" s="273"/>
      <c r="E20" s="273"/>
      <c r="F20" s="273"/>
      <c r="G20" s="273"/>
      <c r="H20" s="273"/>
      <c r="I20" s="273"/>
      <c r="J20" s="273"/>
      <c r="K20" s="273"/>
      <c r="L20" s="273"/>
      <c r="M20" s="274"/>
    </row>
    <row r="21" spans="3:14" ht="30" customHeight="1" x14ac:dyDescent="0.2"/>
    <row r="22" spans="3:14" ht="30" customHeight="1" x14ac:dyDescent="0.2"/>
    <row r="23" spans="3:14" ht="30" customHeight="1" x14ac:dyDescent="0.2"/>
    <row r="24" spans="3:14" ht="30" customHeight="1" x14ac:dyDescent="0.2"/>
    <row r="25" spans="3:14" ht="30" customHeight="1" x14ac:dyDescent="0.2"/>
    <row r="26" spans="3:14" ht="30" customHeight="1" x14ac:dyDescent="0.2"/>
    <row r="27" spans="3:14" ht="30" customHeight="1" x14ac:dyDescent="0.2"/>
    <row r="28" spans="3:14" ht="30" customHeight="1" x14ac:dyDescent="0.2"/>
    <row r="29" spans="3:14" ht="30" customHeight="1" x14ac:dyDescent="0.2"/>
    <row r="30" spans="3:14" ht="30" customHeight="1" x14ac:dyDescent="0.2"/>
    <row r="31" spans="3:14" ht="30" customHeight="1" x14ac:dyDescent="0.2"/>
    <row r="32" spans="3:14" ht="30" customHeight="1" x14ac:dyDescent="0.2"/>
    <row r="33" ht="30" customHeight="1" x14ac:dyDescent="0.2"/>
    <row r="34" ht="30" customHeight="1" x14ac:dyDescent="0.2"/>
    <row r="35" ht="30" customHeight="1" x14ac:dyDescent="0.2"/>
    <row r="36" ht="30" customHeight="1" x14ac:dyDescent="0.2"/>
    <row r="37" ht="30" customHeight="1" x14ac:dyDescent="0.2"/>
    <row r="38" ht="30" customHeight="1" x14ac:dyDescent="0.2"/>
    <row r="39" ht="30" customHeight="1" x14ac:dyDescent="0.2"/>
    <row r="40" ht="30" customHeight="1" x14ac:dyDescent="0.2"/>
    <row r="41" ht="30" customHeight="1" x14ac:dyDescent="0.2"/>
    <row r="42" ht="30" customHeight="1" x14ac:dyDescent="0.2"/>
    <row r="43" ht="30" customHeight="1" x14ac:dyDescent="0.2"/>
    <row r="44" ht="30" customHeight="1" x14ac:dyDescent="0.2"/>
    <row r="45" ht="30" customHeight="1" x14ac:dyDescent="0.2"/>
    <row r="46" ht="30" customHeight="1" x14ac:dyDescent="0.2"/>
    <row r="47" ht="30" customHeight="1" x14ac:dyDescent="0.2"/>
    <row r="48" ht="30" customHeight="1" x14ac:dyDescent="0.2"/>
    <row r="49" ht="30" customHeight="1" x14ac:dyDescent="0.2"/>
    <row r="50" ht="30" customHeight="1" x14ac:dyDescent="0.2"/>
    <row r="51" ht="30" customHeight="1" x14ac:dyDescent="0.2"/>
    <row r="52" ht="30" customHeight="1" x14ac:dyDescent="0.2"/>
    <row r="53" ht="30" customHeight="1" x14ac:dyDescent="0.2"/>
    <row r="54" ht="30" customHeight="1" x14ac:dyDescent="0.2"/>
    <row r="55" ht="30" customHeight="1" x14ac:dyDescent="0.2"/>
    <row r="56" ht="30" customHeight="1" x14ac:dyDescent="0.2"/>
    <row r="57" ht="30" customHeight="1" x14ac:dyDescent="0.2"/>
    <row r="58" ht="30" customHeight="1" x14ac:dyDescent="0.2"/>
    <row r="59" ht="30" customHeight="1" x14ac:dyDescent="0.2"/>
    <row r="60" ht="30" customHeight="1" x14ac:dyDescent="0.2"/>
    <row r="61" ht="30" customHeight="1" x14ac:dyDescent="0.2"/>
    <row r="62" ht="30" customHeight="1" x14ac:dyDescent="0.2"/>
    <row r="63" ht="30" customHeight="1" x14ac:dyDescent="0.2"/>
    <row r="64" ht="30" customHeight="1" x14ac:dyDescent="0.2"/>
    <row r="65" ht="30" customHeight="1" x14ac:dyDescent="0.2"/>
    <row r="66" ht="30" customHeight="1" x14ac:dyDescent="0.2"/>
    <row r="67" ht="30" customHeight="1" x14ac:dyDescent="0.2"/>
    <row r="68" ht="30" customHeight="1" x14ac:dyDescent="0.2"/>
    <row r="69" ht="30" customHeight="1" x14ac:dyDescent="0.2"/>
    <row r="70" ht="30" customHeight="1" x14ac:dyDescent="0.2"/>
    <row r="71" ht="30" customHeight="1" x14ac:dyDescent="0.2"/>
    <row r="72" ht="30" customHeight="1" x14ac:dyDescent="0.2"/>
    <row r="73" ht="30" customHeight="1" x14ac:dyDescent="0.2"/>
    <row r="74" ht="30" customHeight="1" x14ac:dyDescent="0.2"/>
    <row r="75" x14ac:dyDescent="0.2"/>
    <row r="76" x14ac:dyDescent="0.2"/>
    <row r="77" x14ac:dyDescent="0.2"/>
    <row r="78" x14ac:dyDescent="0.2"/>
    <row r="79" x14ac:dyDescent="0.2"/>
    <row r="80" x14ac:dyDescent="0.2"/>
    <row r="81" x14ac:dyDescent="0.2"/>
    <row r="82" x14ac:dyDescent="0.2"/>
    <row r="83" x14ac:dyDescent="0.2"/>
    <row r="84" x14ac:dyDescent="0.2"/>
    <row r="85" x14ac:dyDescent="0.2"/>
    <row r="86" x14ac:dyDescent="0.2"/>
    <row r="87" x14ac:dyDescent="0.2"/>
    <row r="88" x14ac:dyDescent="0.2"/>
    <row r="89" x14ac:dyDescent="0.2"/>
    <row r="90" x14ac:dyDescent="0.2"/>
    <row r="91" x14ac:dyDescent="0.2"/>
    <row r="92" x14ac:dyDescent="0.2"/>
    <row r="93" x14ac:dyDescent="0.2"/>
    <row r="94" x14ac:dyDescent="0.2"/>
    <row r="95" x14ac:dyDescent="0.2"/>
    <row r="96" x14ac:dyDescent="0.2"/>
    <row r="97" x14ac:dyDescent="0.2"/>
    <row r="98" x14ac:dyDescent="0.2"/>
    <row r="99" x14ac:dyDescent="0.2"/>
    <row r="100" x14ac:dyDescent="0.2"/>
    <row r="101" x14ac:dyDescent="0.2"/>
    <row r="102" x14ac:dyDescent="0.2"/>
    <row r="103" x14ac:dyDescent="0.2"/>
    <row r="104" x14ac:dyDescent="0.2"/>
    <row r="105" x14ac:dyDescent="0.2"/>
    <row r="106" x14ac:dyDescent="0.2"/>
    <row r="107" x14ac:dyDescent="0.2"/>
  </sheetData>
  <sheetProtection sheet="1" objects="1" scenarios="1" selectLockedCells="1"/>
  <mergeCells count="15">
    <mergeCell ref="C20:M20"/>
    <mergeCell ref="C19:M19"/>
    <mergeCell ref="I10:M10"/>
    <mergeCell ref="J6:M6"/>
    <mergeCell ref="C8:H8"/>
    <mergeCell ref="C16:G16"/>
    <mergeCell ref="C17:G17"/>
    <mergeCell ref="I16:M16"/>
    <mergeCell ref="I17:M17"/>
    <mergeCell ref="C5:L5"/>
    <mergeCell ref="D6:G6"/>
    <mergeCell ref="C9:L9"/>
    <mergeCell ref="C12:L12"/>
    <mergeCell ref="C10:H10"/>
    <mergeCell ref="I8:M8"/>
  </mergeCells>
  <conditionalFormatting sqref="C34:F34">
    <cfRule type="expression" priority="1">
      <formula>$I$10="Sistema de banco de horas"</formula>
    </cfRule>
  </conditionalFormatting>
  <dataValidations count="3">
    <dataValidation type="list" allowBlank="1" showInputMessage="1" showErrorMessage="1" sqref="I10">
      <formula1>"Pagas em Dinheiro,Sistema de banco de horas"</formula1>
    </dataValidation>
    <dataValidation type="whole" operator="greaterThanOrEqual" allowBlank="1" showInputMessage="1" showErrorMessage="1" sqref="D6:G6">
      <formula1>2000</formula1>
    </dataValidation>
    <dataValidation type="list" allowBlank="1" showInputMessage="1" showErrorMessage="1" sqref="J6">
      <formula1>"Janeiro,Fevereiro,Março,Abril,Maio,Junho,Julho,Agosto,Setembro,Outubro,Novembro,Dezembro"</formula1>
    </dataValidation>
  </dataValidations>
  <printOptions verticalCentered="1"/>
  <pageMargins left="0.25" right="0.25" top="0.984251969" bottom="0.984251969" header="0.3" footer="0.3"/>
  <pageSetup paperSize="9" orientation="landscape"/>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1" enableFormatConditionsCalculation="0"/>
  <dimension ref="A1:Z103"/>
  <sheetViews>
    <sheetView showGridLines="0" zoomScale="90" zoomScaleNormal="90" zoomScalePageLayoutView="90" workbookViewId="0">
      <selection activeCell="C9" sqref="C9"/>
    </sheetView>
  </sheetViews>
  <sheetFormatPr baseColWidth="10" defaultColWidth="0" defaultRowHeight="0" customHeight="1" zeroHeight="1" x14ac:dyDescent="0.2"/>
  <cols>
    <col min="1" max="1" width="27.83203125" style="1" customWidth="1"/>
    <col min="2" max="2" width="3.83203125" customWidth="1"/>
    <col min="3" max="3" width="30.83203125" customWidth="1"/>
    <col min="4" max="4" width="2.83203125" customWidth="1"/>
    <col min="5" max="6" width="14.83203125" customWidth="1"/>
    <col min="7" max="7" width="2.83203125" customWidth="1"/>
    <col min="8" max="9" width="14.83203125" customWidth="1"/>
    <col min="10" max="10" width="2.83203125" customWidth="1"/>
    <col min="11" max="12" width="14.83203125" customWidth="1"/>
    <col min="13" max="13" width="14.83203125" style="2" customWidth="1"/>
    <col min="14" max="14" width="8.83203125" style="2" customWidth="1"/>
    <col min="15" max="17" width="8.83203125" style="32" customWidth="1"/>
    <col min="18" max="26" width="8.83203125" customWidth="1"/>
    <col min="27" max="16384" width="8.83203125" hidden="1"/>
  </cols>
  <sheetData>
    <row r="1" spans="1:17" s="3" customFormat="1" ht="33.75" customHeight="1" x14ac:dyDescent="0.3">
      <c r="A1" s="56" t="s">
        <v>148</v>
      </c>
      <c r="C1" s="4" t="s">
        <v>29</v>
      </c>
      <c r="M1" s="15"/>
      <c r="N1" s="15"/>
      <c r="O1" s="33"/>
      <c r="P1" s="33"/>
      <c r="Q1" s="33"/>
    </row>
    <row r="2" spans="1:17" s="3" customFormat="1" ht="21.5" customHeight="1" x14ac:dyDescent="0.2">
      <c r="A2" s="1"/>
      <c r="M2" s="15"/>
      <c r="N2" s="15"/>
      <c r="O2" s="33"/>
      <c r="P2" s="33"/>
      <c r="Q2" s="33"/>
    </row>
    <row r="3" spans="1:17" s="3" customFormat="1" ht="21.5" customHeight="1" x14ac:dyDescent="0.2">
      <c r="A3" s="1"/>
      <c r="M3" s="15"/>
      <c r="N3" s="15"/>
      <c r="O3" s="33"/>
      <c r="P3" s="33"/>
      <c r="Q3" s="33"/>
    </row>
    <row r="4" spans="1:17" ht="30" customHeight="1" thickBot="1" x14ac:dyDescent="0.25"/>
    <row r="5" spans="1:17" s="2" customFormat="1" ht="30" customHeight="1" thickTop="1" thickBot="1" x14ac:dyDescent="0.25">
      <c r="A5" s="1"/>
      <c r="B5"/>
      <c r="C5" s="57" t="s">
        <v>156</v>
      </c>
      <c r="D5"/>
      <c r="E5"/>
      <c r="F5"/>
      <c r="G5"/>
      <c r="H5"/>
      <c r="I5"/>
      <c r="J5"/>
      <c r="K5"/>
      <c r="L5"/>
      <c r="O5" s="32"/>
      <c r="P5" s="32"/>
      <c r="Q5" s="32"/>
    </row>
    <row r="6" spans="1:17" s="2" customFormat="1" ht="30" customHeight="1" thickTop="1" x14ac:dyDescent="0.2">
      <c r="A6" s="1"/>
      <c r="B6"/>
      <c r="C6" s="58"/>
      <c r="D6"/>
      <c r="E6"/>
      <c r="F6"/>
      <c r="G6"/>
      <c r="H6"/>
      <c r="I6"/>
      <c r="J6"/>
      <c r="K6"/>
      <c r="L6"/>
      <c r="O6" s="32"/>
      <c r="P6" s="32"/>
      <c r="Q6" s="32"/>
    </row>
    <row r="7" spans="1:17" s="2" customFormat="1" ht="30" customHeight="1" x14ac:dyDescent="0.2">
      <c r="A7" s="1"/>
      <c r="B7"/>
      <c r="C7" s="59"/>
      <c r="D7"/>
      <c r="E7"/>
      <c r="F7"/>
      <c r="G7"/>
      <c r="H7"/>
      <c r="I7"/>
      <c r="J7"/>
      <c r="K7"/>
      <c r="L7"/>
      <c r="O7" s="32"/>
      <c r="P7" s="32"/>
      <c r="Q7" s="32"/>
    </row>
    <row r="8" spans="1:17" s="2" customFormat="1" ht="30" customHeight="1" x14ac:dyDescent="0.2">
      <c r="A8" s="1"/>
      <c r="B8"/>
      <c r="C8" s="59"/>
      <c r="D8"/>
      <c r="E8"/>
      <c r="F8"/>
      <c r="G8"/>
      <c r="H8"/>
      <c r="I8"/>
      <c r="J8"/>
      <c r="K8"/>
      <c r="L8"/>
      <c r="O8" s="32"/>
      <c r="P8" s="32"/>
      <c r="Q8" s="32"/>
    </row>
    <row r="9" spans="1:17" s="2" customFormat="1" ht="30" customHeight="1" x14ac:dyDescent="0.2">
      <c r="A9" s="1"/>
      <c r="B9"/>
      <c r="C9" s="59"/>
      <c r="D9"/>
      <c r="E9"/>
      <c r="F9"/>
      <c r="G9"/>
      <c r="H9"/>
      <c r="I9"/>
      <c r="J9"/>
      <c r="K9"/>
      <c r="L9"/>
      <c r="O9" s="32"/>
      <c r="P9" s="32"/>
      <c r="Q9" s="32"/>
    </row>
    <row r="10" spans="1:17" s="2" customFormat="1" ht="30" customHeight="1" x14ac:dyDescent="0.2">
      <c r="A10" s="1"/>
      <c r="B10"/>
      <c r="C10" s="59"/>
      <c r="D10"/>
      <c r="E10"/>
      <c r="F10"/>
      <c r="G10"/>
      <c r="H10"/>
      <c r="I10"/>
      <c r="J10"/>
      <c r="K10"/>
      <c r="L10"/>
      <c r="O10" s="32"/>
      <c r="P10" s="32"/>
      <c r="Q10" s="32"/>
    </row>
    <row r="11" spans="1:17" s="2" customFormat="1" ht="30" customHeight="1" x14ac:dyDescent="0.2">
      <c r="A11" s="1"/>
      <c r="B11"/>
      <c r="C11" s="59"/>
      <c r="D11"/>
      <c r="E11"/>
      <c r="F11"/>
      <c r="G11"/>
      <c r="H11"/>
      <c r="I11"/>
      <c r="J11"/>
      <c r="K11"/>
      <c r="L11"/>
      <c r="O11" s="32"/>
      <c r="P11" s="32"/>
      <c r="Q11" s="32"/>
    </row>
    <row r="12" spans="1:17" s="2" customFormat="1" ht="30" customHeight="1" x14ac:dyDescent="0.2">
      <c r="A12" s="1"/>
      <c r="B12"/>
      <c r="C12" s="59"/>
      <c r="D12"/>
      <c r="E12"/>
      <c r="F12"/>
      <c r="G12"/>
      <c r="H12"/>
      <c r="I12"/>
      <c r="J12"/>
      <c r="K12"/>
      <c r="L12"/>
      <c r="O12" s="32"/>
      <c r="P12" s="32"/>
      <c r="Q12" s="32"/>
    </row>
    <row r="13" spans="1:17" s="2" customFormat="1" ht="30" customHeight="1" x14ac:dyDescent="0.2">
      <c r="A13" s="1"/>
      <c r="B13"/>
      <c r="C13" s="59"/>
      <c r="D13"/>
      <c r="E13"/>
      <c r="F13"/>
      <c r="G13"/>
      <c r="H13"/>
      <c r="I13"/>
      <c r="J13"/>
      <c r="K13"/>
      <c r="L13"/>
      <c r="O13" s="32"/>
      <c r="P13" s="32"/>
      <c r="Q13" s="32"/>
    </row>
    <row r="14" spans="1:17" ht="30" customHeight="1" x14ac:dyDescent="0.2">
      <c r="C14" s="59"/>
    </row>
    <row r="15" spans="1:17" ht="15" customHeight="1" x14ac:dyDescent="0.2"/>
    <row r="16" spans="1:17" ht="15" customHeight="1" x14ac:dyDescent="0.2"/>
    <row r="17" ht="15" customHeight="1" x14ac:dyDescent="0.2"/>
    <row r="18" ht="15" customHeight="1" x14ac:dyDescent="0.2"/>
    <row r="19" ht="15" customHeight="1" x14ac:dyDescent="0.2"/>
    <row r="20" ht="15" customHeight="1" x14ac:dyDescent="0.2"/>
    <row r="21" ht="15" customHeight="1" x14ac:dyDescent="0.2"/>
    <row r="22" ht="15" customHeight="1" x14ac:dyDescent="0.2"/>
    <row r="23" ht="15" customHeight="1" x14ac:dyDescent="0.2"/>
    <row r="24" ht="15" customHeight="1" x14ac:dyDescent="0.2"/>
    <row r="25" ht="15" customHeight="1" x14ac:dyDescent="0.2"/>
    <row r="26" ht="15" customHeight="1" x14ac:dyDescent="0.2"/>
    <row r="27" ht="15" customHeight="1" x14ac:dyDescent="0.2"/>
    <row r="28" ht="15" customHeight="1" x14ac:dyDescent="0.2"/>
    <row r="29" ht="15" customHeight="1" x14ac:dyDescent="0.2"/>
    <row r="30" ht="15" customHeight="1" x14ac:dyDescent="0.2"/>
    <row r="31" ht="15" customHeight="1" x14ac:dyDescent="0.2"/>
    <row r="32" ht="15" customHeight="1" x14ac:dyDescent="0.2"/>
    <row r="33" ht="15" customHeight="1" x14ac:dyDescent="0.2"/>
    <row r="34" ht="15" customHeight="1" x14ac:dyDescent="0.2"/>
    <row r="35" ht="15" customHeight="1" x14ac:dyDescent="0.2"/>
    <row r="36" ht="15" customHeight="1" x14ac:dyDescent="0.2"/>
    <row r="37" ht="15" customHeight="1" x14ac:dyDescent="0.2"/>
    <row r="38" ht="15" customHeight="1" x14ac:dyDescent="0.2"/>
    <row r="39" ht="15" customHeight="1" x14ac:dyDescent="0.2"/>
    <row r="40" ht="15" customHeight="1" x14ac:dyDescent="0.2"/>
    <row r="41" ht="15" customHeight="1" x14ac:dyDescent="0.2"/>
    <row r="42" ht="15" customHeight="1" x14ac:dyDescent="0.2"/>
    <row r="43" ht="15" customHeight="1" x14ac:dyDescent="0.2"/>
    <row r="44" ht="15" customHeight="1" x14ac:dyDescent="0.2"/>
    <row r="45" ht="15" customHeight="1" x14ac:dyDescent="0.2"/>
    <row r="46" ht="15" customHeight="1" x14ac:dyDescent="0.2"/>
    <row r="47" ht="15" customHeight="1" x14ac:dyDescent="0.2"/>
    <row r="48" ht="15" customHeight="1" x14ac:dyDescent="0.2"/>
    <row r="49" ht="15" customHeight="1" x14ac:dyDescent="0.2"/>
    <row r="50" ht="15" customHeight="1" x14ac:dyDescent="0.2"/>
    <row r="51" ht="15" customHeight="1" x14ac:dyDescent="0.2"/>
    <row r="52" ht="15" customHeight="1" x14ac:dyDescent="0.2"/>
    <row r="53" ht="15" customHeight="1" x14ac:dyDescent="0.2"/>
    <row r="54" ht="15" customHeight="1" x14ac:dyDescent="0.2"/>
    <row r="55" ht="15" customHeight="1" x14ac:dyDescent="0.2"/>
    <row r="56" ht="15" customHeight="1" x14ac:dyDescent="0.2"/>
    <row r="57" ht="15" customHeight="1" x14ac:dyDescent="0.2"/>
    <row r="58" ht="15" customHeight="1" x14ac:dyDescent="0.2"/>
    <row r="59" ht="15" customHeight="1" x14ac:dyDescent="0.2"/>
    <row r="60" ht="15" customHeight="1" x14ac:dyDescent="0.2"/>
    <row r="61" ht="15" customHeight="1" x14ac:dyDescent="0.2"/>
    <row r="62" ht="15" customHeight="1" x14ac:dyDescent="0.2"/>
    <row r="63" ht="15" customHeight="1" x14ac:dyDescent="0.2"/>
    <row r="64" ht="15" customHeight="1" x14ac:dyDescent="0.2"/>
    <row r="65" ht="15" customHeight="1" x14ac:dyDescent="0.2"/>
    <row r="66" ht="15" customHeight="1" x14ac:dyDescent="0.2"/>
    <row r="67" ht="15" customHeight="1" x14ac:dyDescent="0.2"/>
    <row r="68" ht="15" customHeight="1" x14ac:dyDescent="0.2"/>
    <row r="69" ht="15" customHeight="1" x14ac:dyDescent="0.2"/>
    <row r="70" ht="15" customHeight="1" x14ac:dyDescent="0.2"/>
    <row r="71" ht="15" customHeight="1" x14ac:dyDescent="0.2"/>
    <row r="72" ht="15" customHeight="1" x14ac:dyDescent="0.2"/>
    <row r="73" ht="15" customHeight="1" x14ac:dyDescent="0.2"/>
    <row r="74" ht="15" customHeight="1" x14ac:dyDescent="0.2"/>
    <row r="75" ht="15" customHeight="1" x14ac:dyDescent="0.2"/>
    <row r="76" ht="15" customHeight="1" x14ac:dyDescent="0.2"/>
    <row r="77" ht="15" customHeight="1" x14ac:dyDescent="0.2"/>
    <row r="78" ht="15" customHeight="1" x14ac:dyDescent="0.2"/>
    <row r="79" ht="15" customHeight="1" x14ac:dyDescent="0.2"/>
    <row r="80" ht="15" customHeight="1" x14ac:dyDescent="0.2"/>
    <row r="81" ht="15" customHeight="1" x14ac:dyDescent="0.2"/>
    <row r="82" ht="15" customHeight="1" x14ac:dyDescent="0.2"/>
    <row r="83" ht="15" customHeight="1" x14ac:dyDescent="0.2"/>
    <row r="84" ht="15" customHeight="1" x14ac:dyDescent="0.2"/>
    <row r="85" ht="15" customHeight="1" x14ac:dyDescent="0.2"/>
    <row r="86" ht="15" customHeight="1" x14ac:dyDescent="0.2"/>
    <row r="87" ht="15" customHeight="1" x14ac:dyDescent="0.2"/>
    <row r="88" ht="15" customHeight="1" x14ac:dyDescent="0.2"/>
    <row r="89" ht="15" customHeight="1" x14ac:dyDescent="0.2"/>
    <row r="90" ht="15" customHeight="1" x14ac:dyDescent="0.2"/>
    <row r="91" ht="15" customHeight="1" x14ac:dyDescent="0.2"/>
    <row r="92" ht="15" customHeight="1" x14ac:dyDescent="0.2"/>
    <row r="93" ht="15" customHeight="1" x14ac:dyDescent="0.2"/>
    <row r="94" ht="15" customHeight="1" x14ac:dyDescent="0.2"/>
    <row r="95" ht="15" customHeight="1" x14ac:dyDescent="0.2"/>
    <row r="96" ht="15" customHeight="1" x14ac:dyDescent="0.2"/>
    <row r="97" ht="15" customHeight="1" x14ac:dyDescent="0.2"/>
    <row r="98" ht="15" customHeight="1" x14ac:dyDescent="0.2"/>
    <row r="99" ht="15" customHeight="1" x14ac:dyDescent="0.2"/>
    <row r="100" ht="15" customHeight="1" x14ac:dyDescent="0.2"/>
    <row r="101" ht="15" customHeight="1" x14ac:dyDescent="0.2"/>
    <row r="102" ht="15" customHeight="1" x14ac:dyDescent="0.2"/>
    <row r="103" ht="15" customHeight="1" x14ac:dyDescent="0.2"/>
  </sheetData>
  <sheetProtection sheet="1" objects="1" scenarios="1" selectLockedCells="1"/>
  <printOptions horizontalCentered="1"/>
  <pageMargins left="0.23622047244094491" right="0.23622047244094491" top="0.74803149606299213" bottom="0.74803149606299213" header="0.31496062992125984" footer="0.31496062992125984"/>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2" enableFormatConditionsCalculation="0"/>
  <dimension ref="A1:Z78"/>
  <sheetViews>
    <sheetView showGridLines="0" zoomScale="90" zoomScaleNormal="90" zoomScalePageLayoutView="90" workbookViewId="0">
      <selection activeCell="C10" sqref="C10"/>
    </sheetView>
  </sheetViews>
  <sheetFormatPr baseColWidth="10" defaultColWidth="0" defaultRowHeight="0" customHeight="1" zeroHeight="1" x14ac:dyDescent="0.2"/>
  <cols>
    <col min="1" max="1" width="27.83203125" style="1" customWidth="1"/>
    <col min="2" max="2" width="3.83203125" customWidth="1"/>
    <col min="3" max="3" width="50.83203125" customWidth="1"/>
    <col min="4" max="4" width="40.83203125" customWidth="1"/>
    <col min="5" max="5" width="15.83203125" customWidth="1"/>
    <col min="6" max="6" width="14.83203125" style="2" customWidth="1"/>
    <col min="7" max="7" width="2.83203125" style="2" customWidth="1"/>
    <col min="8" max="9" width="14.83203125" style="2" customWidth="1"/>
    <col min="10" max="10" width="2.83203125" style="14" customWidth="1"/>
    <col min="11" max="11" width="14.83203125" style="14" customWidth="1"/>
    <col min="12" max="12" width="14.83203125" style="2" customWidth="1"/>
    <col min="13" max="13" width="14.83203125" style="68" customWidth="1"/>
    <col min="14" max="26" width="8.83203125" style="68" customWidth="1"/>
    <col min="27" max="16384" width="8.83203125" hidden="1"/>
  </cols>
  <sheetData>
    <row r="1" spans="1:26" s="3" customFormat="1" ht="33.75" customHeight="1" x14ac:dyDescent="0.3">
      <c r="A1" s="56" t="s">
        <v>148</v>
      </c>
      <c r="C1" s="4" t="s">
        <v>29</v>
      </c>
      <c r="F1" s="15"/>
      <c r="G1" s="15"/>
      <c r="H1" s="15"/>
      <c r="I1" s="15"/>
      <c r="J1" s="50"/>
      <c r="K1" s="50"/>
      <c r="L1" s="15"/>
      <c r="M1" s="67"/>
      <c r="N1" s="67"/>
      <c r="O1" s="67"/>
      <c r="P1" s="67"/>
      <c r="Q1" s="67"/>
      <c r="R1" s="67"/>
      <c r="S1" s="67"/>
      <c r="T1" s="67"/>
      <c r="U1" s="67"/>
      <c r="V1" s="67"/>
      <c r="W1" s="67"/>
      <c r="X1" s="67"/>
      <c r="Y1" s="67"/>
      <c r="Z1" s="67"/>
    </row>
    <row r="2" spans="1:26" s="3" customFormat="1" ht="21.5" customHeight="1" x14ac:dyDescent="0.2">
      <c r="A2" s="1"/>
      <c r="F2" s="15"/>
      <c r="G2" s="15"/>
      <c r="H2" s="15"/>
      <c r="I2" s="15"/>
      <c r="J2" s="50"/>
      <c r="K2" s="50"/>
      <c r="L2" s="15"/>
      <c r="M2" s="67"/>
      <c r="N2" s="67"/>
      <c r="O2" s="67"/>
      <c r="P2" s="67"/>
      <c r="Q2" s="67"/>
      <c r="R2" s="67"/>
      <c r="S2" s="67"/>
      <c r="T2" s="67"/>
      <c r="U2" s="67"/>
      <c r="V2" s="67"/>
      <c r="W2" s="67"/>
      <c r="X2" s="67"/>
      <c r="Y2" s="67"/>
      <c r="Z2" s="67"/>
    </row>
    <row r="3" spans="1:26" s="3" customFormat="1" ht="21.5" customHeight="1" x14ac:dyDescent="0.2">
      <c r="A3" s="1"/>
      <c r="F3" s="15"/>
      <c r="G3" s="15"/>
      <c r="H3" s="15"/>
      <c r="I3" s="15"/>
      <c r="J3" s="50"/>
      <c r="K3" s="50"/>
      <c r="L3" s="15"/>
      <c r="M3" s="67"/>
      <c r="N3" s="67"/>
      <c r="O3" s="67"/>
      <c r="P3" s="67"/>
      <c r="Q3" s="67"/>
      <c r="R3" s="67"/>
      <c r="S3" s="67"/>
      <c r="T3" s="67"/>
      <c r="U3" s="67"/>
      <c r="V3" s="67"/>
      <c r="W3" s="67"/>
      <c r="X3" s="67"/>
      <c r="Y3" s="67"/>
      <c r="Z3" s="67"/>
    </row>
    <row r="4" spans="1:26" ht="30" customHeight="1" thickBot="1" x14ac:dyDescent="0.25"/>
    <row r="5" spans="1:26" s="2" customFormat="1" ht="30" customHeight="1" thickTop="1" thickBot="1" x14ac:dyDescent="0.25">
      <c r="A5" s="1"/>
      <c r="B5"/>
      <c r="C5" s="287" t="s">
        <v>158</v>
      </c>
      <c r="D5" s="288"/>
      <c r="E5" s="289"/>
      <c r="J5" s="14"/>
      <c r="K5" s="14"/>
      <c r="L5" s="2" t="s">
        <v>157</v>
      </c>
      <c r="M5" s="68"/>
      <c r="N5" s="68"/>
      <c r="O5" s="68"/>
      <c r="P5" s="68"/>
      <c r="Q5" s="68"/>
      <c r="R5" s="68"/>
      <c r="S5" s="68"/>
      <c r="T5" s="68"/>
      <c r="U5" s="68"/>
      <c r="V5" s="68"/>
      <c r="W5" s="68"/>
      <c r="X5" s="68"/>
      <c r="Y5" s="68"/>
      <c r="Z5" s="68"/>
    </row>
    <row r="6" spans="1:26" s="2" customFormat="1" ht="35" customHeight="1" thickTop="1" thickBot="1" x14ac:dyDescent="0.25">
      <c r="A6" s="1"/>
      <c r="B6"/>
      <c r="C6" s="61" t="s">
        <v>159</v>
      </c>
      <c r="D6" s="61" t="s">
        <v>161</v>
      </c>
      <c r="E6" s="61" t="s">
        <v>160</v>
      </c>
      <c r="F6" s="2" t="s">
        <v>296</v>
      </c>
      <c r="G6" s="2" t="s">
        <v>297</v>
      </c>
      <c r="J6" s="14"/>
      <c r="K6" s="14"/>
      <c r="L6" s="2" t="str">
        <f>IF(Departamentos!C6=0,"",Departamentos!C6)</f>
        <v/>
      </c>
      <c r="M6" s="68"/>
      <c r="N6" s="68"/>
      <c r="O6" s="68"/>
      <c r="P6" s="68"/>
      <c r="Q6" s="68"/>
      <c r="R6" s="68"/>
      <c r="S6" s="68"/>
      <c r="T6" s="68"/>
      <c r="U6" s="68"/>
      <c r="V6" s="68"/>
      <c r="W6" s="68"/>
      <c r="X6" s="68"/>
      <c r="Y6" s="68"/>
      <c r="Z6" s="68"/>
    </row>
    <row r="7" spans="1:26" s="2" customFormat="1" ht="30" customHeight="1" thickTop="1" x14ac:dyDescent="0.2">
      <c r="A7" s="1"/>
      <c r="B7"/>
      <c r="C7" s="60"/>
      <c r="D7" s="60"/>
      <c r="E7" s="62"/>
      <c r="F7" s="2" t="str">
        <f>IF(ISERROR(VLOOKUP($C7,Jornada!$C$8:$E$37,2,FALSE)),"",VLOOKUP($C7,Jornada!$C$8:$E$37,2,FALSE))</f>
        <v/>
      </c>
      <c r="G7" s="2" t="str">
        <f>IF(ISERROR(VLOOKUP($C7,Jornada!$C$8:$E$37,3,FALSE)),"",VLOOKUP($C7,Jornada!$C$8:$E$37,3,FALSE))</f>
        <v/>
      </c>
      <c r="H7" s="2">
        <f>IF(F7="Sim",E7*'P Gerais'!$L$14,0)+IF(G7="Sim",E7*'P Gerais'!$K$14,0)</f>
        <v>0</v>
      </c>
      <c r="I7" s="167">
        <f>E7+H7</f>
        <v>0</v>
      </c>
      <c r="J7" s="14"/>
      <c r="K7" s="14"/>
      <c r="L7" s="2" t="str">
        <f>IF(Departamentos!C7=0,"",Departamentos!C7)</f>
        <v/>
      </c>
      <c r="M7" s="68"/>
      <c r="N7" s="68"/>
      <c r="O7" s="68"/>
      <c r="P7" s="68"/>
      <c r="Q7" s="68"/>
      <c r="R7" s="68"/>
      <c r="S7" s="68"/>
      <c r="T7" s="68"/>
      <c r="U7" s="68"/>
      <c r="V7" s="68"/>
      <c r="W7" s="68"/>
      <c r="X7" s="68"/>
      <c r="Y7" s="68"/>
      <c r="Z7" s="68"/>
    </row>
    <row r="8" spans="1:26" s="2" customFormat="1" ht="30" customHeight="1" x14ac:dyDescent="0.2">
      <c r="A8" s="1"/>
      <c r="B8"/>
      <c r="C8" s="59"/>
      <c r="D8" s="59"/>
      <c r="E8" s="63"/>
      <c r="F8" s="2" t="str">
        <f>IF(ISERROR(VLOOKUP($C8,Jornada!$C$8:$E$37,2,FALSE)),"",VLOOKUP($C8,Jornada!$C$8:$E$37,2,FALSE))</f>
        <v/>
      </c>
      <c r="G8" s="2" t="str">
        <f>IF(ISERROR(VLOOKUP($C8,Jornada!$C$8:$E$37,3,FALSE)),"",VLOOKUP($C8,Jornada!$C$8:$E$37,3,FALSE))</f>
        <v/>
      </c>
      <c r="H8" s="2">
        <f>IF(F8="Sim",E8*'P Gerais'!$L$14,0)+IF(G8="Sim",E8*'P Gerais'!$K$14,0)</f>
        <v>0</v>
      </c>
      <c r="I8" s="167">
        <f t="shared" ref="I8:I36" si="0">E8+H8</f>
        <v>0</v>
      </c>
      <c r="J8" s="14"/>
      <c r="K8" s="14"/>
      <c r="L8" s="2" t="str">
        <f>IF(Departamentos!C8=0,"",Departamentos!C8)</f>
        <v/>
      </c>
      <c r="M8" s="68"/>
      <c r="N8" s="68"/>
      <c r="O8" s="68"/>
      <c r="P8" s="68"/>
      <c r="Q8" s="68"/>
      <c r="R8" s="68"/>
      <c r="S8" s="68"/>
      <c r="T8" s="68"/>
      <c r="U8" s="68"/>
      <c r="V8" s="68"/>
      <c r="W8" s="68"/>
      <c r="X8" s="68"/>
      <c r="Y8" s="68"/>
      <c r="Z8" s="68"/>
    </row>
    <row r="9" spans="1:26" s="2" customFormat="1" ht="30" customHeight="1" x14ac:dyDescent="0.2">
      <c r="A9" s="1"/>
      <c r="B9"/>
      <c r="C9" s="59"/>
      <c r="D9" s="59"/>
      <c r="E9" s="63"/>
      <c r="F9" s="2" t="str">
        <f>IF(ISERROR(VLOOKUP($C9,Jornada!$C$8:$E$37,2,FALSE)),"",VLOOKUP($C9,Jornada!$C$8:$E$37,2,FALSE))</f>
        <v/>
      </c>
      <c r="G9" s="2" t="str">
        <f>IF(ISERROR(VLOOKUP($C9,Jornada!$C$8:$E$37,3,FALSE)),"",VLOOKUP($C9,Jornada!$C$8:$E$37,3,FALSE))</f>
        <v/>
      </c>
      <c r="H9" s="2">
        <f>IF(F9="Sim",E9*'P Gerais'!$L$14,0)+IF(G9="Sim",E9*'P Gerais'!$K$14,0)</f>
        <v>0</v>
      </c>
      <c r="I9" s="167">
        <f t="shared" si="0"/>
        <v>0</v>
      </c>
      <c r="J9" s="14"/>
      <c r="K9" s="14"/>
      <c r="L9" s="2" t="str">
        <f>IF(Departamentos!C9=0,"",Departamentos!C9)</f>
        <v/>
      </c>
      <c r="M9" s="68"/>
      <c r="N9" s="68"/>
      <c r="O9" s="68"/>
      <c r="P9" s="68"/>
      <c r="Q9" s="68"/>
      <c r="R9" s="68"/>
      <c r="S9" s="68"/>
      <c r="T9" s="68"/>
      <c r="U9" s="68"/>
      <c r="V9" s="68"/>
      <c r="W9" s="68"/>
      <c r="X9" s="68"/>
      <c r="Y9" s="68"/>
      <c r="Z9" s="68"/>
    </row>
    <row r="10" spans="1:26" s="2" customFormat="1" ht="30" customHeight="1" x14ac:dyDescent="0.2">
      <c r="A10" s="1"/>
      <c r="B10"/>
      <c r="C10" s="59"/>
      <c r="D10" s="59"/>
      <c r="E10" s="63"/>
      <c r="F10" s="2" t="str">
        <f>IF(ISERROR(VLOOKUP($C10,Jornada!$C$8:$E$37,2,FALSE)),"",VLOOKUP($C10,Jornada!$C$8:$E$37,2,FALSE))</f>
        <v/>
      </c>
      <c r="G10" s="2" t="str">
        <f>IF(ISERROR(VLOOKUP($C10,Jornada!$C$8:$E$37,3,FALSE)),"",VLOOKUP($C10,Jornada!$C$8:$E$37,3,FALSE))</f>
        <v/>
      </c>
      <c r="H10" s="2">
        <f>IF(F10="Sim",E10*'P Gerais'!$L$14,0)+IF(G10="Sim",E10*'P Gerais'!$K$14,0)</f>
        <v>0</v>
      </c>
      <c r="I10" s="167">
        <f t="shared" si="0"/>
        <v>0</v>
      </c>
      <c r="J10" s="14"/>
      <c r="K10" s="14"/>
      <c r="L10" s="2" t="str">
        <f>IF(Departamentos!C10=0,"",Departamentos!C10)</f>
        <v/>
      </c>
      <c r="M10" s="68"/>
      <c r="N10" s="68"/>
      <c r="O10" s="68"/>
      <c r="P10" s="68"/>
      <c r="Q10" s="68"/>
      <c r="R10" s="68"/>
      <c r="S10" s="68"/>
      <c r="T10" s="68"/>
      <c r="U10" s="68"/>
      <c r="V10" s="68"/>
      <c r="W10" s="68"/>
      <c r="X10" s="68"/>
      <c r="Y10" s="68"/>
      <c r="Z10" s="68"/>
    </row>
    <row r="11" spans="1:26" s="2" customFormat="1" ht="30" customHeight="1" x14ac:dyDescent="0.2">
      <c r="A11" s="1"/>
      <c r="B11"/>
      <c r="C11" s="59"/>
      <c r="D11" s="59"/>
      <c r="E11" s="63"/>
      <c r="F11" s="2" t="str">
        <f>IF(ISERROR(VLOOKUP($C11,Jornada!$C$8:$E$37,2,FALSE)),"",VLOOKUP($C11,Jornada!$C$8:$E$37,2,FALSE))</f>
        <v/>
      </c>
      <c r="G11" s="2" t="str">
        <f>IF(ISERROR(VLOOKUP($C11,Jornada!$C$8:$E$37,3,FALSE)),"",VLOOKUP($C11,Jornada!$C$8:$E$37,3,FALSE))</f>
        <v/>
      </c>
      <c r="H11" s="2">
        <f>IF(F11="Sim",E11*'P Gerais'!$L$14,0)+IF(G11="Sim",E11*'P Gerais'!$K$14,0)</f>
        <v>0</v>
      </c>
      <c r="I11" s="167">
        <f t="shared" si="0"/>
        <v>0</v>
      </c>
      <c r="J11" s="14"/>
      <c r="K11" s="14"/>
      <c r="L11" s="2" t="str">
        <f>IF(Departamentos!C11=0,"",Departamentos!C11)</f>
        <v/>
      </c>
      <c r="M11" s="68"/>
      <c r="N11" s="68"/>
      <c r="O11" s="68"/>
      <c r="P11" s="68"/>
      <c r="Q11" s="68"/>
      <c r="R11" s="68"/>
      <c r="S11" s="68"/>
      <c r="T11" s="68"/>
      <c r="U11" s="68"/>
      <c r="V11" s="68"/>
      <c r="W11" s="68"/>
      <c r="X11" s="68"/>
      <c r="Y11" s="68"/>
      <c r="Z11" s="68"/>
    </row>
    <row r="12" spans="1:26" s="2" customFormat="1" ht="30" customHeight="1" x14ac:dyDescent="0.2">
      <c r="A12" s="1"/>
      <c r="B12"/>
      <c r="C12" s="59"/>
      <c r="D12" s="59"/>
      <c r="E12" s="63"/>
      <c r="F12" s="2" t="str">
        <f>IF(ISERROR(VLOOKUP($C12,Jornada!$C$8:$E$37,2,FALSE)),"",VLOOKUP($C12,Jornada!$C$8:$E$37,2,FALSE))</f>
        <v/>
      </c>
      <c r="H12" s="2">
        <f>IF(F12="Sim",E12*'P Gerais'!$L$14,0)+IF(L13="Sim",E12*'P Gerais'!$K$14,0)</f>
        <v>0</v>
      </c>
      <c r="I12" s="167">
        <f t="shared" si="0"/>
        <v>0</v>
      </c>
      <c r="J12" s="14"/>
      <c r="K12" s="14"/>
      <c r="L12" s="2" t="str">
        <f>IF(Departamentos!C12=0,"",Departamentos!C12)</f>
        <v/>
      </c>
      <c r="M12" s="68"/>
      <c r="N12" s="68"/>
      <c r="O12" s="68"/>
      <c r="P12" s="68"/>
      <c r="Q12" s="68"/>
      <c r="R12" s="68"/>
      <c r="S12" s="68"/>
      <c r="T12" s="68"/>
      <c r="U12" s="68"/>
      <c r="V12" s="68"/>
      <c r="W12" s="68"/>
      <c r="X12" s="68"/>
      <c r="Y12" s="68"/>
      <c r="Z12" s="68"/>
    </row>
    <row r="13" spans="1:26" s="2" customFormat="1" ht="30" customHeight="1" x14ac:dyDescent="0.2">
      <c r="A13" s="1"/>
      <c r="B13"/>
      <c r="C13" s="59"/>
      <c r="D13" s="59"/>
      <c r="E13" s="63"/>
      <c r="F13" s="2" t="str">
        <f>IF(ISERROR(VLOOKUP($C13,Jornada!$C$8:$E$37,2,FALSE)),"",VLOOKUP($C13,Jornada!$C$8:$E$37,2,FALSE))</f>
        <v/>
      </c>
      <c r="H13" s="2">
        <f>IF(F13="Sim",E13*'P Gerais'!$L$14,0)+IF(L14="Sim",E13*'P Gerais'!$K$14,0)</f>
        <v>0</v>
      </c>
      <c r="I13" s="167">
        <f t="shared" si="0"/>
        <v>0</v>
      </c>
      <c r="J13" s="14"/>
      <c r="K13" s="14"/>
      <c r="L13" s="2" t="str">
        <f>IF(Departamentos!C13=0,"",Departamentos!C13)</f>
        <v/>
      </c>
      <c r="M13" s="68"/>
      <c r="N13" s="68"/>
      <c r="O13" s="68"/>
      <c r="P13" s="68"/>
      <c r="Q13" s="68"/>
      <c r="R13" s="68"/>
      <c r="S13" s="68"/>
      <c r="T13" s="68"/>
      <c r="U13" s="68"/>
      <c r="V13" s="68"/>
      <c r="W13" s="68"/>
      <c r="X13" s="68"/>
      <c r="Y13" s="68"/>
      <c r="Z13" s="68"/>
    </row>
    <row r="14" spans="1:26" s="2" customFormat="1" ht="30" customHeight="1" x14ac:dyDescent="0.2">
      <c r="A14" s="1"/>
      <c r="B14"/>
      <c r="C14" s="59"/>
      <c r="D14" s="59"/>
      <c r="E14" s="63"/>
      <c r="F14" s="2" t="str">
        <f>IF(ISERROR(VLOOKUP($C14,Jornada!$C$8:$E$37,2,FALSE)),"",VLOOKUP($C14,Jornada!$C$8:$E$37,2,FALSE))</f>
        <v/>
      </c>
      <c r="H14" s="2">
        <f>IF(F14="Sim",E14*'P Gerais'!$L$14,0)+IF(L15="Sim",E14*'P Gerais'!$K$14,0)</f>
        <v>0</v>
      </c>
      <c r="I14" s="167">
        <f t="shared" si="0"/>
        <v>0</v>
      </c>
      <c r="J14" s="14"/>
      <c r="K14" s="14"/>
      <c r="L14" s="2" t="str">
        <f>IF(Departamentos!C14=0,"",Departamentos!C14)</f>
        <v/>
      </c>
      <c r="M14" s="68"/>
      <c r="N14" s="68"/>
      <c r="O14" s="68"/>
      <c r="P14" s="68"/>
      <c r="Q14" s="68"/>
      <c r="R14" s="68"/>
      <c r="S14" s="68"/>
      <c r="T14" s="68"/>
      <c r="U14" s="68"/>
      <c r="V14" s="68"/>
      <c r="W14" s="68"/>
      <c r="X14" s="68"/>
      <c r="Y14" s="68"/>
      <c r="Z14" s="68"/>
    </row>
    <row r="15" spans="1:26" ht="30" customHeight="1" x14ac:dyDescent="0.2">
      <c r="C15" s="59"/>
      <c r="D15" s="59"/>
      <c r="E15" s="63"/>
      <c r="F15" s="2" t="str">
        <f>IF(ISERROR(VLOOKUP($C15,Jornada!$C$8:$E$37,2,FALSE)),"",VLOOKUP($C15,Jornada!$C$8:$E$37,2,FALSE))</f>
        <v/>
      </c>
      <c r="H15" s="2">
        <f>IF(F15="Sim",E15*'P Gerais'!$L$14,0)+IF(L16="Sim",E15*'P Gerais'!$K$14,0)</f>
        <v>0</v>
      </c>
      <c r="I15" s="167">
        <f t="shared" si="0"/>
        <v>0</v>
      </c>
    </row>
    <row r="16" spans="1:26" ht="30" customHeight="1" x14ac:dyDescent="0.2">
      <c r="C16" s="59"/>
      <c r="D16" s="59"/>
      <c r="E16" s="63"/>
      <c r="F16" s="2" t="str">
        <f>IF(ISERROR(VLOOKUP($C16,Jornada!$C$8:$E$37,2,FALSE)),"",VLOOKUP($C16,Jornada!$C$8:$E$37,2,FALSE))</f>
        <v/>
      </c>
      <c r="H16" s="2">
        <f>IF(F16="Sim",E16*'P Gerais'!$L$14,0)+IF(L17="Sim",E16*'P Gerais'!$K$14,0)</f>
        <v>0</v>
      </c>
      <c r="I16" s="167">
        <f t="shared" si="0"/>
        <v>0</v>
      </c>
    </row>
    <row r="17" spans="3:9" ht="30" customHeight="1" x14ac:dyDescent="0.2">
      <c r="C17" s="59"/>
      <c r="D17" s="59"/>
      <c r="E17" s="63"/>
      <c r="F17" s="2" t="str">
        <f>IF(ISERROR(VLOOKUP($C17,Jornada!$C$8:$E$37,2,FALSE)),"",VLOOKUP($C17,Jornada!$C$8:$E$37,2,FALSE))</f>
        <v/>
      </c>
      <c r="H17" s="2">
        <f>IF(F17="Sim",E17*'P Gerais'!$L$14,0)+IF(L18="Sim",E17*'P Gerais'!$K$14,0)</f>
        <v>0</v>
      </c>
      <c r="I17" s="167">
        <f t="shared" si="0"/>
        <v>0</v>
      </c>
    </row>
    <row r="18" spans="3:9" ht="30" customHeight="1" x14ac:dyDescent="0.2">
      <c r="C18" s="59"/>
      <c r="D18" s="59"/>
      <c r="E18" s="63"/>
      <c r="F18" s="2" t="str">
        <f>IF(ISERROR(VLOOKUP($C18,Jornada!$C$8:$E$37,2,FALSE)),"",VLOOKUP($C18,Jornada!$C$8:$E$37,2,FALSE))</f>
        <v/>
      </c>
      <c r="H18" s="2">
        <f>IF(F18="Sim",E18*'P Gerais'!$L$14,0)+IF(L19="Sim",E18*'P Gerais'!$K$14,0)</f>
        <v>0</v>
      </c>
      <c r="I18" s="167">
        <f t="shared" si="0"/>
        <v>0</v>
      </c>
    </row>
    <row r="19" spans="3:9" ht="30" customHeight="1" x14ac:dyDescent="0.2">
      <c r="C19" s="59"/>
      <c r="D19" s="59"/>
      <c r="E19" s="63"/>
      <c r="F19" s="2" t="str">
        <f>IF(ISERROR(VLOOKUP($C19,Jornada!$C$8:$E$37,2,FALSE)),"",VLOOKUP($C19,Jornada!$C$8:$E$37,2,FALSE))</f>
        <v/>
      </c>
      <c r="H19" s="2">
        <f>IF(F19="Sim",E19*'P Gerais'!$L$14,0)+IF(L20="Sim",E19*'P Gerais'!$K$14,0)</f>
        <v>0</v>
      </c>
      <c r="I19" s="167">
        <f t="shared" si="0"/>
        <v>0</v>
      </c>
    </row>
    <row r="20" spans="3:9" ht="30" customHeight="1" x14ac:dyDescent="0.2">
      <c r="C20" s="59"/>
      <c r="D20" s="59"/>
      <c r="E20" s="63"/>
      <c r="F20" s="2" t="str">
        <f>IF(ISERROR(VLOOKUP($C20,Jornada!$C$8:$E$37,2,FALSE)),"",VLOOKUP($C20,Jornada!$C$8:$E$37,2,FALSE))</f>
        <v/>
      </c>
      <c r="H20" s="2">
        <f>IF(F20="Sim",E20*'P Gerais'!$L$14,0)+IF(L21="Sim",E20*'P Gerais'!$K$14,0)</f>
        <v>0</v>
      </c>
      <c r="I20" s="167">
        <f t="shared" si="0"/>
        <v>0</v>
      </c>
    </row>
    <row r="21" spans="3:9" ht="30" customHeight="1" x14ac:dyDescent="0.2">
      <c r="C21" s="59"/>
      <c r="D21" s="59"/>
      <c r="E21" s="63"/>
      <c r="F21" s="2" t="str">
        <f>IF(ISERROR(VLOOKUP($C21,Jornada!$C$8:$E$37,2,FALSE)),"",VLOOKUP($C21,Jornada!$C$8:$E$37,2,FALSE))</f>
        <v/>
      </c>
      <c r="H21" s="2">
        <f>IF(F21="Sim",E21*'P Gerais'!$L$14,0)+IF(L22="Sim",E21*'P Gerais'!$K$14,0)</f>
        <v>0</v>
      </c>
      <c r="I21" s="167">
        <f t="shared" si="0"/>
        <v>0</v>
      </c>
    </row>
    <row r="22" spans="3:9" ht="30" customHeight="1" x14ac:dyDescent="0.2">
      <c r="C22" s="59"/>
      <c r="D22" s="59"/>
      <c r="E22" s="63"/>
      <c r="F22" s="2" t="str">
        <f>IF(ISERROR(VLOOKUP($C22,Jornada!$C$8:$E$37,2,FALSE)),"",VLOOKUP($C22,Jornada!$C$8:$E$37,2,FALSE))</f>
        <v/>
      </c>
      <c r="H22" s="2">
        <f>IF(F22="Sim",E22*'P Gerais'!$L$14,0)+IF(L23="Sim",E22*'P Gerais'!$K$14,0)</f>
        <v>0</v>
      </c>
      <c r="I22" s="167">
        <f t="shared" si="0"/>
        <v>0</v>
      </c>
    </row>
    <row r="23" spans="3:9" ht="30" customHeight="1" x14ac:dyDescent="0.2">
      <c r="C23" s="59"/>
      <c r="D23" s="59"/>
      <c r="E23" s="63"/>
      <c r="F23" s="2" t="str">
        <f>IF(ISERROR(VLOOKUP($C23,Jornada!$C$8:$E$37,2,FALSE)),"",VLOOKUP($C23,Jornada!$C$8:$E$37,2,FALSE))</f>
        <v/>
      </c>
      <c r="H23" s="2">
        <f>IF(F23="Sim",E23*'P Gerais'!$L$14,0)+IF(L24="Sim",E23*'P Gerais'!$K$14,0)</f>
        <v>0</v>
      </c>
      <c r="I23" s="167">
        <f t="shared" si="0"/>
        <v>0</v>
      </c>
    </row>
    <row r="24" spans="3:9" ht="30" customHeight="1" x14ac:dyDescent="0.2">
      <c r="C24" s="59"/>
      <c r="D24" s="59"/>
      <c r="E24" s="63"/>
      <c r="F24" s="2" t="str">
        <f>IF(ISERROR(VLOOKUP($C24,Jornada!$C$8:$E$37,2,FALSE)),"",VLOOKUP($C24,Jornada!$C$8:$E$37,2,FALSE))</f>
        <v/>
      </c>
      <c r="H24" s="2">
        <f>IF(F24="Sim",E24*'P Gerais'!$L$14,0)+IF(L25="Sim",E24*'P Gerais'!$K$14,0)</f>
        <v>0</v>
      </c>
      <c r="I24" s="167">
        <f t="shared" si="0"/>
        <v>0</v>
      </c>
    </row>
    <row r="25" spans="3:9" ht="30" customHeight="1" x14ac:dyDescent="0.2">
      <c r="C25" s="59"/>
      <c r="D25" s="59"/>
      <c r="E25" s="63"/>
      <c r="F25" s="2" t="str">
        <f>IF(ISERROR(VLOOKUP($C25,Jornada!$C$8:$E$37,2,FALSE)),"",VLOOKUP($C25,Jornada!$C$8:$E$37,2,FALSE))</f>
        <v/>
      </c>
      <c r="H25" s="2">
        <f>IF(F25="Sim",E25*'P Gerais'!$L$14,0)+IF(L26="Sim",E25*'P Gerais'!$K$14,0)</f>
        <v>0</v>
      </c>
      <c r="I25" s="167">
        <f t="shared" si="0"/>
        <v>0</v>
      </c>
    </row>
    <row r="26" spans="3:9" ht="30" customHeight="1" x14ac:dyDescent="0.2">
      <c r="C26" s="59"/>
      <c r="D26" s="59"/>
      <c r="E26" s="63"/>
      <c r="F26" s="2" t="str">
        <f>IF(ISERROR(VLOOKUP($C26,Jornada!$C$8:$E$37,2,FALSE)),"",VLOOKUP($C26,Jornada!$C$8:$E$37,2,FALSE))</f>
        <v/>
      </c>
      <c r="H26" s="2">
        <f>IF(F26="Sim",E26*'P Gerais'!$L$14,0)+IF(L27="Sim",E26*'P Gerais'!$K$14,0)</f>
        <v>0</v>
      </c>
      <c r="I26" s="167">
        <f t="shared" si="0"/>
        <v>0</v>
      </c>
    </row>
    <row r="27" spans="3:9" ht="30" customHeight="1" x14ac:dyDescent="0.2">
      <c r="C27" s="59"/>
      <c r="D27" s="59"/>
      <c r="E27" s="63"/>
      <c r="F27" s="2" t="str">
        <f>IF(ISERROR(VLOOKUP($C27,Jornada!$C$8:$E$37,2,FALSE)),"",VLOOKUP($C27,Jornada!$C$8:$E$37,2,FALSE))</f>
        <v/>
      </c>
      <c r="H27" s="2">
        <f>IF(F27="Sim",E27*'P Gerais'!$L$14,0)+IF(L28="Sim",E27*'P Gerais'!$K$14,0)</f>
        <v>0</v>
      </c>
      <c r="I27" s="167">
        <f t="shared" si="0"/>
        <v>0</v>
      </c>
    </row>
    <row r="28" spans="3:9" ht="30" customHeight="1" x14ac:dyDescent="0.2">
      <c r="C28" s="59"/>
      <c r="D28" s="60"/>
      <c r="E28" s="62"/>
      <c r="F28" s="2" t="str">
        <f>IF(ISERROR(VLOOKUP($C28,Jornada!$C$8:$E$37,2,FALSE)),"",VLOOKUP($C28,Jornada!$C$8:$E$37,2,FALSE))</f>
        <v/>
      </c>
      <c r="H28" s="2">
        <f>IF(F28="Sim",E28*'P Gerais'!$L$14,0)+IF(L29="Sim",E28*'P Gerais'!$K$14,0)</f>
        <v>0</v>
      </c>
      <c r="I28" s="167">
        <f t="shared" si="0"/>
        <v>0</v>
      </c>
    </row>
    <row r="29" spans="3:9" ht="30" customHeight="1" x14ac:dyDescent="0.2">
      <c r="C29" s="59"/>
      <c r="D29" s="59"/>
      <c r="E29" s="63"/>
      <c r="F29" s="2" t="str">
        <f>IF(ISERROR(VLOOKUP($C29,Jornada!$C$8:$E$37,2,FALSE)),"",VLOOKUP($C29,Jornada!$C$8:$E$37,2,FALSE))</f>
        <v/>
      </c>
      <c r="H29" s="2">
        <f>IF(F29="Sim",E29*'P Gerais'!$L$14,0)+IF(L30="Sim",E29*'P Gerais'!$K$14,0)</f>
        <v>0</v>
      </c>
      <c r="I29" s="167">
        <f t="shared" si="0"/>
        <v>0</v>
      </c>
    </row>
    <row r="30" spans="3:9" ht="30" customHeight="1" x14ac:dyDescent="0.2">
      <c r="C30" s="59"/>
      <c r="D30" s="59"/>
      <c r="E30" s="63"/>
      <c r="F30" s="2" t="str">
        <f>IF(ISERROR(VLOOKUP($C30,Jornada!$C$8:$E$37,2,FALSE)),"",VLOOKUP($C30,Jornada!$C$8:$E$37,2,FALSE))</f>
        <v/>
      </c>
      <c r="H30" s="2">
        <f>IF(F30="Sim",E30*'P Gerais'!$L$14,0)+IF(L31="Sim",E30*'P Gerais'!$K$14,0)</f>
        <v>0</v>
      </c>
      <c r="I30" s="167">
        <f t="shared" si="0"/>
        <v>0</v>
      </c>
    </row>
    <row r="31" spans="3:9" ht="30" customHeight="1" x14ac:dyDescent="0.2">
      <c r="C31" s="59"/>
      <c r="D31" s="59"/>
      <c r="E31" s="63"/>
      <c r="F31" s="2" t="str">
        <f>IF(ISERROR(VLOOKUP($C31,Jornada!$C$8:$E$37,2,FALSE)),"",VLOOKUP($C31,Jornada!$C$8:$E$37,2,FALSE))</f>
        <v/>
      </c>
      <c r="H31" s="2">
        <f>IF(F31="Sim",E31*'P Gerais'!$L$14,0)+IF(L32="Sim",E31*'P Gerais'!$K$14,0)</f>
        <v>0</v>
      </c>
      <c r="I31" s="167">
        <f t="shared" si="0"/>
        <v>0</v>
      </c>
    </row>
    <row r="32" spans="3:9" ht="30" customHeight="1" x14ac:dyDescent="0.2">
      <c r="C32" s="59"/>
      <c r="D32" s="59"/>
      <c r="E32" s="63"/>
      <c r="F32" s="2" t="str">
        <f>IF(ISERROR(VLOOKUP($C32,Jornada!$C$8:$E$37,2,FALSE)),"",VLOOKUP($C32,Jornada!$C$8:$E$37,2,FALSE))</f>
        <v/>
      </c>
      <c r="H32" s="2">
        <f>IF(F32="Sim",E32*'P Gerais'!$L$14,0)+IF(L33="Sim",E32*'P Gerais'!$K$14,0)</f>
        <v>0</v>
      </c>
      <c r="I32" s="167">
        <f t="shared" si="0"/>
        <v>0</v>
      </c>
    </row>
    <row r="33" spans="3:9" ht="30" customHeight="1" x14ac:dyDescent="0.2">
      <c r="C33" s="59"/>
      <c r="D33" s="59"/>
      <c r="E33" s="63"/>
      <c r="F33" s="2" t="str">
        <f>IF(ISERROR(VLOOKUP($C33,Jornada!$C$8:$E$37,2,FALSE)),"",VLOOKUP($C33,Jornada!$C$8:$E$37,2,FALSE))</f>
        <v/>
      </c>
      <c r="H33" s="2">
        <f>IF(F33="Sim",E33*'P Gerais'!$L$14,0)+IF(L34="Sim",E33*'P Gerais'!$K$14,0)</f>
        <v>0</v>
      </c>
      <c r="I33" s="167">
        <f t="shared" si="0"/>
        <v>0</v>
      </c>
    </row>
    <row r="34" spans="3:9" ht="30" customHeight="1" x14ac:dyDescent="0.2">
      <c r="C34" s="59"/>
      <c r="D34" s="59"/>
      <c r="E34" s="63"/>
      <c r="F34" s="2" t="str">
        <f>IF(ISERROR(VLOOKUP($C34,Jornada!$C$8:$E$37,2,FALSE)),"",VLOOKUP($C34,Jornada!$C$8:$E$37,2,FALSE))</f>
        <v/>
      </c>
      <c r="H34" s="2">
        <f>IF(F34="Sim",E34*'P Gerais'!$L$14,0)+IF(L35="Sim",E34*'P Gerais'!$K$14,0)</f>
        <v>0</v>
      </c>
      <c r="I34" s="167">
        <f t="shared" si="0"/>
        <v>0</v>
      </c>
    </row>
    <row r="35" spans="3:9" ht="30" customHeight="1" x14ac:dyDescent="0.2">
      <c r="C35" s="59"/>
      <c r="D35" s="59"/>
      <c r="E35" s="63"/>
      <c r="F35" s="2" t="str">
        <f>IF(ISERROR(VLOOKUP($C35,Jornada!$C$8:$E$37,2,FALSE)),"",VLOOKUP($C35,Jornada!$C$8:$E$37,2,FALSE))</f>
        <v/>
      </c>
      <c r="H35" s="2">
        <f>IF(F35="Sim",E35*'P Gerais'!$L$14,0)+IF(L36="Sim",E35*'P Gerais'!$K$14,0)</f>
        <v>0</v>
      </c>
      <c r="I35" s="167">
        <f t="shared" si="0"/>
        <v>0</v>
      </c>
    </row>
    <row r="36" spans="3:9" ht="30" customHeight="1" x14ac:dyDescent="0.2">
      <c r="C36" s="59"/>
      <c r="D36" s="59"/>
      <c r="E36" s="63"/>
      <c r="F36" s="2" t="str">
        <f>IF(ISERROR(VLOOKUP($C36,Jornada!$C$8:$E$37,2,FALSE)),"",VLOOKUP($C36,Jornada!$C$8:$E$37,2,FALSE))</f>
        <v/>
      </c>
      <c r="H36" s="2">
        <f>IF(F36="Sim",E36*'P Gerais'!$L$14,0)+IF(L37="Sim",E36*'P Gerais'!$K$14,0)</f>
        <v>0</v>
      </c>
      <c r="I36" s="167">
        <f t="shared" si="0"/>
        <v>0</v>
      </c>
    </row>
    <row r="37" spans="3:9" ht="15" customHeight="1" x14ac:dyDescent="0.2"/>
    <row r="38" spans="3:9" ht="15" customHeight="1" x14ac:dyDescent="0.2"/>
    <row r="39" spans="3:9" ht="15" customHeight="1" x14ac:dyDescent="0.2"/>
    <row r="40" spans="3:9" ht="15" customHeight="1" x14ac:dyDescent="0.2"/>
    <row r="41" spans="3:9" ht="15" customHeight="1" x14ac:dyDescent="0.2"/>
    <row r="42" spans="3:9" ht="15" customHeight="1" x14ac:dyDescent="0.2"/>
    <row r="43" spans="3:9" ht="15" customHeight="1" x14ac:dyDescent="0.2"/>
    <row r="44" spans="3:9" ht="15" customHeight="1" x14ac:dyDescent="0.2"/>
    <row r="45" spans="3:9" ht="15" customHeight="1" x14ac:dyDescent="0.2"/>
    <row r="46" spans="3:9" ht="15" customHeight="1" x14ac:dyDescent="0.2"/>
    <row r="47" spans="3:9" ht="15" customHeight="1" x14ac:dyDescent="0.2"/>
    <row r="48" spans="3:9" ht="15" customHeight="1" x14ac:dyDescent="0.2"/>
    <row r="49" ht="15" customHeight="1" x14ac:dyDescent="0.2"/>
    <row r="50" ht="15" customHeight="1" x14ac:dyDescent="0.2"/>
    <row r="51" ht="15" customHeight="1" x14ac:dyDescent="0.2"/>
    <row r="52" ht="15" customHeight="1" x14ac:dyDescent="0.2"/>
    <row r="53" ht="15" customHeight="1" x14ac:dyDescent="0.2"/>
    <row r="54" ht="15" customHeight="1" x14ac:dyDescent="0.2"/>
    <row r="55" ht="15" customHeight="1" x14ac:dyDescent="0.2"/>
    <row r="56" ht="15" customHeight="1" x14ac:dyDescent="0.2"/>
    <row r="57" ht="15" customHeight="1" x14ac:dyDescent="0.2"/>
    <row r="58" ht="15" customHeight="1" x14ac:dyDescent="0.2"/>
    <row r="59" ht="15" customHeight="1" x14ac:dyDescent="0.2"/>
    <row r="60" ht="15" customHeight="1" x14ac:dyDescent="0.2"/>
    <row r="61" ht="15" customHeight="1" x14ac:dyDescent="0.2"/>
    <row r="62" ht="15" customHeight="1" x14ac:dyDescent="0.2"/>
    <row r="63" ht="15" customHeight="1" x14ac:dyDescent="0.2"/>
    <row r="64" ht="15" customHeight="1" x14ac:dyDescent="0.2"/>
    <row r="65" ht="15" customHeight="1" x14ac:dyDescent="0.2"/>
    <row r="66" ht="15" customHeight="1" x14ac:dyDescent="0.2"/>
    <row r="67" ht="15" customHeight="1" x14ac:dyDescent="0.2"/>
    <row r="68" ht="15" customHeight="1" x14ac:dyDescent="0.2"/>
    <row r="69" ht="15" customHeight="1" x14ac:dyDescent="0.2"/>
    <row r="70" ht="15" customHeight="1" x14ac:dyDescent="0.2"/>
    <row r="71" ht="15" customHeight="1" x14ac:dyDescent="0.2"/>
    <row r="72" ht="15" customHeight="1" x14ac:dyDescent="0.2"/>
    <row r="73" ht="15" customHeight="1" x14ac:dyDescent="0.2"/>
    <row r="74" ht="15" customHeight="1" x14ac:dyDescent="0.2"/>
    <row r="75" ht="15" customHeight="1" x14ac:dyDescent="0.2"/>
    <row r="76" ht="15" customHeight="1" x14ac:dyDescent="0.2"/>
    <row r="77" ht="15" customHeight="1" x14ac:dyDescent="0.2"/>
    <row r="78" ht="15" customHeight="1" x14ac:dyDescent="0.2"/>
  </sheetData>
  <sheetProtection sheet="1" objects="1" scenarios="1" selectLockedCells="1"/>
  <dataConsolidate/>
  <mergeCells count="1">
    <mergeCell ref="C5:E5"/>
  </mergeCells>
  <dataValidations count="1">
    <dataValidation type="list" allowBlank="1" showInputMessage="1" showErrorMessage="1" sqref="D7:D36">
      <formula1>OFFSET($L$6,,,9-COUNTBLANK($L$6:$L$14))</formula1>
    </dataValidation>
  </dataValidations>
  <printOptions horizontalCentered="1"/>
  <pageMargins left="0.23622047244094491" right="0.23622047244094491" top="0.74803149606299213" bottom="0.74803149606299213" header="0.31496062992125984" footer="0.31496062992125984"/>
  <pageSetup paperSize="9" scale="78"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3" enableFormatConditionsCalculation="0"/>
  <dimension ref="A1:BC82"/>
  <sheetViews>
    <sheetView showGridLines="0" zoomScale="90" zoomScaleNormal="90" zoomScalePageLayoutView="80" workbookViewId="0">
      <selection activeCell="I9" sqref="I9"/>
    </sheetView>
  </sheetViews>
  <sheetFormatPr baseColWidth="10" defaultColWidth="10.5" defaultRowHeight="0" customHeight="1" zeroHeight="1" x14ac:dyDescent="0.2"/>
  <cols>
    <col min="1" max="1" width="27.83203125" style="1" customWidth="1"/>
    <col min="2" max="2" width="3.83203125" customWidth="1"/>
    <col min="3" max="3" width="46.1640625" bestFit="1" customWidth="1"/>
    <col min="4" max="7" width="23" customWidth="1"/>
    <col min="8" max="8" width="23.1640625" bestFit="1" customWidth="1"/>
    <col min="9" max="11" width="7.33203125" customWidth="1"/>
    <col min="12" max="12" width="7.33203125" style="2" customWidth="1"/>
    <col min="13" max="13" width="7.33203125" style="32" customWidth="1"/>
    <col min="14" max="22" width="7.33203125" customWidth="1"/>
    <col min="23" max="30" width="8.83203125" style="219" customWidth="1"/>
    <col min="31" max="31" width="15" style="219" bestFit="1" customWidth="1"/>
    <col min="32" max="34" width="8.83203125" style="219" customWidth="1"/>
    <col min="35" max="49" width="10.5" style="219"/>
    <col min="50" max="52" width="10.5" style="2"/>
    <col min="53" max="16384" width="10.5" style="14"/>
  </cols>
  <sheetData>
    <row r="1" spans="1:55" s="50" customFormat="1" ht="33.75" customHeight="1" x14ac:dyDescent="0.3">
      <c r="A1" s="56"/>
      <c r="B1" s="3"/>
      <c r="C1" s="4" t="s">
        <v>29</v>
      </c>
      <c r="D1" s="4"/>
      <c r="E1" s="4"/>
      <c r="F1" s="4"/>
      <c r="G1" s="4"/>
      <c r="H1" s="4"/>
      <c r="I1" s="3"/>
      <c r="J1" s="3"/>
      <c r="K1" s="3"/>
      <c r="L1" s="15"/>
      <c r="M1" s="33"/>
      <c r="N1" s="3"/>
      <c r="O1" s="3"/>
      <c r="P1" s="3"/>
      <c r="Q1" s="3"/>
      <c r="R1" s="3"/>
      <c r="S1" s="3"/>
      <c r="T1" s="3"/>
      <c r="U1" s="3"/>
      <c r="V1" s="3"/>
      <c r="W1" s="174"/>
      <c r="X1" s="174"/>
      <c r="Y1" s="174"/>
      <c r="Z1" s="174"/>
      <c r="AA1" s="174"/>
      <c r="AB1" s="174"/>
      <c r="AC1" s="174"/>
      <c r="AD1" s="174"/>
      <c r="AE1" s="174"/>
      <c r="AF1" s="174"/>
      <c r="AG1" s="174"/>
      <c r="AH1" s="174"/>
      <c r="AI1" s="174"/>
      <c r="AJ1" s="174"/>
      <c r="AK1" s="174"/>
      <c r="AL1" s="174"/>
      <c r="AM1" s="174"/>
      <c r="AN1" s="174"/>
      <c r="AO1" s="174"/>
      <c r="AP1" s="174"/>
      <c r="AQ1" s="174"/>
      <c r="AR1" s="174"/>
      <c r="AS1" s="174"/>
      <c r="AT1" s="174"/>
      <c r="AU1" s="174"/>
      <c r="AV1" s="174"/>
      <c r="AW1" s="174"/>
      <c r="AX1" s="15"/>
      <c r="AY1" s="15"/>
      <c r="AZ1" s="15"/>
    </row>
    <row r="2" spans="1:55" s="50" customFormat="1" ht="21.5" customHeight="1" x14ac:dyDescent="0.2">
      <c r="A2" s="1"/>
      <c r="B2" s="3"/>
      <c r="C2" s="3"/>
      <c r="D2" s="3"/>
      <c r="E2" s="3"/>
      <c r="F2" s="3"/>
      <c r="G2" s="3"/>
      <c r="H2" s="3"/>
      <c r="I2" s="3"/>
      <c r="J2" s="3"/>
      <c r="K2" s="3"/>
      <c r="L2" s="15"/>
      <c r="M2" s="33"/>
      <c r="N2" s="3"/>
      <c r="O2" s="3"/>
      <c r="P2" s="3"/>
      <c r="Q2" s="3"/>
      <c r="R2" s="3"/>
      <c r="S2" s="3"/>
      <c r="T2" s="3"/>
      <c r="U2" s="3"/>
      <c r="V2" s="3"/>
      <c r="W2" s="174"/>
      <c r="X2" s="174"/>
      <c r="Y2" s="174"/>
      <c r="Z2" s="174"/>
      <c r="AA2" s="174"/>
      <c r="AB2" s="174"/>
      <c r="AC2" s="174"/>
      <c r="AD2" s="174"/>
      <c r="AE2" s="174"/>
      <c r="AF2" s="174"/>
      <c r="AG2" s="174"/>
      <c r="AH2" s="174"/>
      <c r="AI2" s="174"/>
      <c r="AJ2" s="174"/>
      <c r="AK2" s="174"/>
      <c r="AL2" s="174"/>
      <c r="AM2" s="174"/>
      <c r="AN2" s="174"/>
      <c r="AO2" s="174"/>
      <c r="AP2" s="174"/>
      <c r="AQ2" s="174"/>
      <c r="AR2" s="174"/>
      <c r="AS2" s="174"/>
      <c r="AT2" s="174"/>
      <c r="AU2" s="174"/>
      <c r="AV2" s="174"/>
      <c r="AW2" s="174"/>
      <c r="AX2" s="15"/>
      <c r="AY2" s="15"/>
      <c r="AZ2" s="15"/>
    </row>
    <row r="3" spans="1:55" s="50" customFormat="1" ht="21.5" customHeight="1" x14ac:dyDescent="0.2">
      <c r="A3" s="1"/>
      <c r="B3" s="3"/>
      <c r="C3" s="3"/>
      <c r="D3" s="3"/>
      <c r="E3" s="3"/>
      <c r="F3" s="3"/>
      <c r="G3" s="3"/>
      <c r="H3" s="3"/>
      <c r="I3" s="3"/>
      <c r="J3" s="3"/>
      <c r="K3" s="3"/>
      <c r="L3" s="15"/>
      <c r="M3" s="33"/>
      <c r="N3" s="3"/>
      <c r="O3" s="3"/>
      <c r="P3" s="3"/>
      <c r="Q3" s="3"/>
      <c r="R3" s="3"/>
      <c r="S3" s="3"/>
      <c r="T3" s="3"/>
      <c r="U3" s="3"/>
      <c r="V3" s="3"/>
      <c r="W3" s="174"/>
      <c r="X3" s="174"/>
      <c r="Y3" s="174"/>
      <c r="Z3" s="174"/>
      <c r="AA3" s="174"/>
      <c r="AB3" s="174"/>
      <c r="AC3" s="174"/>
      <c r="AD3" s="174"/>
      <c r="AE3" s="174"/>
      <c r="AF3" s="174"/>
      <c r="AG3" s="174"/>
      <c r="AH3" s="174"/>
      <c r="AI3" s="174"/>
      <c r="AJ3" s="174"/>
      <c r="AK3" s="174"/>
      <c r="AL3" s="174"/>
      <c r="AM3" s="174"/>
      <c r="AN3" s="174"/>
      <c r="AO3" s="174"/>
      <c r="AP3" s="174"/>
      <c r="AQ3" s="174"/>
      <c r="AR3" s="174"/>
      <c r="AS3" s="174"/>
      <c r="AT3" s="174"/>
      <c r="AU3" s="174"/>
      <c r="AV3" s="174"/>
      <c r="AW3" s="174"/>
      <c r="AX3" s="15"/>
      <c r="AY3" s="15"/>
      <c r="AZ3" s="15"/>
    </row>
    <row r="4" spans="1:55" ht="30" customHeight="1" x14ac:dyDescent="0.2">
      <c r="A4" s="70"/>
      <c r="B4" s="68"/>
      <c r="C4" s="68"/>
      <c r="D4" s="68"/>
      <c r="E4" s="68"/>
      <c r="F4" s="68"/>
      <c r="G4" s="68"/>
      <c r="H4" s="68"/>
      <c r="I4" s="2"/>
      <c r="J4" s="2" t="s">
        <v>52</v>
      </c>
      <c r="K4" s="2"/>
      <c r="L4" s="2" t="s">
        <v>53</v>
      </c>
      <c r="M4" s="2"/>
      <c r="N4" s="2" t="s">
        <v>54</v>
      </c>
      <c r="O4" s="2"/>
      <c r="P4" s="2" t="s">
        <v>55</v>
      </c>
      <c r="Q4" s="2"/>
      <c r="R4" s="2" t="s">
        <v>56</v>
      </c>
      <c r="S4" s="2"/>
      <c r="T4" s="2" t="s">
        <v>57</v>
      </c>
      <c r="U4" s="2"/>
      <c r="V4" s="2" t="s">
        <v>51</v>
      </c>
      <c r="AE4" s="231"/>
    </row>
    <row r="5" spans="1:55" ht="30" customHeight="1" thickBot="1" x14ac:dyDescent="0.25">
      <c r="A5" s="70"/>
      <c r="B5" s="68"/>
      <c r="C5" s="68"/>
      <c r="D5" s="68"/>
      <c r="E5" s="68"/>
      <c r="F5" s="68"/>
      <c r="G5" s="68"/>
      <c r="H5" s="68"/>
      <c r="I5" s="2" t="s">
        <v>52</v>
      </c>
      <c r="J5" s="2"/>
      <c r="K5" s="2" t="s">
        <v>53</v>
      </c>
      <c r="M5" s="2" t="s">
        <v>54</v>
      </c>
      <c r="N5" s="2"/>
      <c r="O5" s="2" t="s">
        <v>55</v>
      </c>
      <c r="P5" s="2"/>
      <c r="Q5" s="2" t="s">
        <v>56</v>
      </c>
      <c r="R5" s="2"/>
      <c r="S5" s="2" t="s">
        <v>57</v>
      </c>
      <c r="T5" s="2"/>
      <c r="U5" s="2" t="s">
        <v>51</v>
      </c>
      <c r="V5" s="2"/>
      <c r="AE5" s="231"/>
    </row>
    <row r="6" spans="1:55" ht="30" customHeight="1" thickTop="1" thickBot="1" x14ac:dyDescent="0.25">
      <c r="C6" s="2"/>
      <c r="D6" s="2"/>
      <c r="E6" s="2"/>
      <c r="F6" s="2"/>
      <c r="G6" s="2"/>
      <c r="H6" s="2"/>
      <c r="I6" s="290" t="s">
        <v>170</v>
      </c>
      <c r="J6" s="291"/>
      <c r="K6" s="290" t="s">
        <v>171</v>
      </c>
      <c r="L6" s="291"/>
      <c r="M6" s="290" t="s">
        <v>172</v>
      </c>
      <c r="N6" s="291"/>
      <c r="O6" s="290" t="s">
        <v>173</v>
      </c>
      <c r="P6" s="291"/>
      <c r="Q6" s="290" t="s">
        <v>174</v>
      </c>
      <c r="R6" s="291"/>
      <c r="S6" s="290" t="s">
        <v>44</v>
      </c>
      <c r="T6" s="291"/>
      <c r="U6" s="290" t="s">
        <v>45</v>
      </c>
      <c r="V6" s="291"/>
      <c r="X6" s="220">
        <v>0.25</v>
      </c>
      <c r="Z6" s="219" t="s">
        <v>295</v>
      </c>
      <c r="AN6" s="219" t="s">
        <v>301</v>
      </c>
    </row>
    <row r="7" spans="1:55" ht="35" customHeight="1" thickTop="1" thickBot="1" x14ac:dyDescent="0.25">
      <c r="C7" s="57" t="s">
        <v>159</v>
      </c>
      <c r="D7" s="71" t="s">
        <v>281</v>
      </c>
      <c r="E7" s="71" t="s">
        <v>102</v>
      </c>
      <c r="F7" s="71" t="s">
        <v>272</v>
      </c>
      <c r="G7" s="71" t="s">
        <v>271</v>
      </c>
      <c r="H7" s="71" t="s">
        <v>169</v>
      </c>
      <c r="I7" s="66" t="s">
        <v>0</v>
      </c>
      <c r="J7" s="65" t="s">
        <v>162</v>
      </c>
      <c r="K7" s="66" t="s">
        <v>0</v>
      </c>
      <c r="L7" s="65" t="s">
        <v>162</v>
      </c>
      <c r="M7" s="66" t="s">
        <v>0</v>
      </c>
      <c r="N7" s="65" t="s">
        <v>162</v>
      </c>
      <c r="O7" s="66" t="s">
        <v>0</v>
      </c>
      <c r="P7" s="65" t="s">
        <v>162</v>
      </c>
      <c r="Q7" s="66" t="s">
        <v>0</v>
      </c>
      <c r="R7" s="65" t="s">
        <v>162</v>
      </c>
      <c r="S7" s="66" t="s">
        <v>0</v>
      </c>
      <c r="T7" s="65" t="s">
        <v>162</v>
      </c>
      <c r="U7" s="66" t="s">
        <v>0</v>
      </c>
      <c r="V7" s="65" t="s">
        <v>162</v>
      </c>
      <c r="X7" s="219" t="s">
        <v>52</v>
      </c>
      <c r="Y7" s="219" t="s">
        <v>53</v>
      </c>
      <c r="Z7" s="219" t="s">
        <v>54</v>
      </c>
      <c r="AA7" s="219" t="s">
        <v>55</v>
      </c>
      <c r="AB7" s="219" t="s">
        <v>56</v>
      </c>
      <c r="AC7" s="219" t="s">
        <v>57</v>
      </c>
      <c r="AD7" s="219" t="s">
        <v>51</v>
      </c>
      <c r="AE7" s="219" t="s">
        <v>166</v>
      </c>
      <c r="AF7" s="219" t="s">
        <v>165</v>
      </c>
      <c r="AJ7" s="232">
        <v>0.25</v>
      </c>
      <c r="AK7" s="232">
        <v>0.625</v>
      </c>
      <c r="AN7" s="219" t="s">
        <v>52</v>
      </c>
      <c r="AO7" s="219" t="s">
        <v>53</v>
      </c>
      <c r="AP7" s="219" t="s">
        <v>54</v>
      </c>
      <c r="AQ7" s="219" t="s">
        <v>55</v>
      </c>
      <c r="AR7" s="219" t="s">
        <v>56</v>
      </c>
      <c r="AS7" s="219" t="s">
        <v>57</v>
      </c>
      <c r="AT7" s="219" t="s">
        <v>51</v>
      </c>
    </row>
    <row r="8" spans="1:55" ht="30" customHeight="1" thickTop="1" thickBot="1" x14ac:dyDescent="0.25">
      <c r="C8" s="64" t="str">
        <f>IF(Funcionários!C7=0,"",Funcionários!C7)</f>
        <v/>
      </c>
      <c r="D8" s="88"/>
      <c r="E8" s="135"/>
      <c r="F8" s="87"/>
      <c r="G8" s="131"/>
      <c r="H8" s="132"/>
      <c r="I8" s="89"/>
      <c r="J8" s="358"/>
      <c r="K8" s="89"/>
      <c r="L8" s="358"/>
      <c r="M8" s="87"/>
      <c r="N8" s="359"/>
      <c r="O8" s="87"/>
      <c r="P8" s="359"/>
      <c r="Q8" s="87"/>
      <c r="R8" s="359"/>
      <c r="S8" s="87"/>
      <c r="T8" s="359"/>
      <c r="U8" s="87"/>
      <c r="V8" s="359"/>
      <c r="W8" s="219">
        <v>2</v>
      </c>
      <c r="X8" s="220">
        <f>IF(I8-J8=0,0,IF(I8&gt;J8,"-",J8-I8-$H8))</f>
        <v>0</v>
      </c>
      <c r="Y8" s="220">
        <f>IF(K8-L8=0,0,IF(K8&gt;L8,"-",L8-K8-$H8))</f>
        <v>0</v>
      </c>
      <c r="Z8" s="220">
        <f>IF(M8-N8=0,0,IF(M8&gt;N8,"-",N8-M8-$H8))</f>
        <v>0</v>
      </c>
      <c r="AA8" s="220">
        <f>IF(O8-P8=0,0,IF(O8&gt;P8,"-",P8-O8-$H8))</f>
        <v>0</v>
      </c>
      <c r="AB8" s="220">
        <f>IF(Q8-R8=0,0,IF(Q8&gt;R8,"-",R8-Q8-$H8))</f>
        <v>0</v>
      </c>
      <c r="AC8" s="220">
        <f>IF(S8-T8=0,0,IF(S8&gt;T8,"-",T8-S8-$H8))</f>
        <v>0</v>
      </c>
      <c r="AD8" s="220">
        <f>IF(U8-V8=0,0,IF(U8&gt;V8,"-",V8-U8-$H8))</f>
        <v>0</v>
      </c>
      <c r="AE8" s="220">
        <f t="shared" ref="AE8:AE37" si="0">ROUNDUP(24*(SUM(X8:AD8)),0)</f>
        <v>0</v>
      </c>
      <c r="AF8" s="233">
        <f t="shared" ref="AF8:AF37" si="1">AE8*5</f>
        <v>0</v>
      </c>
      <c r="AG8" s="219" t="str">
        <f>IF(C8="","",VLOOKUP(C8,Funcionários!$C$7:$D$36,2,0))</f>
        <v/>
      </c>
      <c r="AJ8" s="232">
        <v>0.29166666666666669</v>
      </c>
      <c r="AK8" s="232">
        <v>0.66666666666666663</v>
      </c>
      <c r="AN8" s="219" t="str">
        <f>IF(I8-J8=0,"",IF(I8&gt;J8,"Erro","Ok"))</f>
        <v/>
      </c>
      <c r="AO8" s="219" t="str">
        <f t="shared" ref="AO8:AO37" si="2">IF(K8-L8=0,"",IF(K8&gt;L8,"Erro","Ok"))</f>
        <v/>
      </c>
      <c r="AP8" s="219" t="str">
        <f t="shared" ref="AP8:AP37" si="3">IF(M8-N8=0,"",IF(M8&gt;N8,"Erro","Ok"))</f>
        <v/>
      </c>
      <c r="AQ8" s="219" t="str">
        <f t="shared" ref="AQ8:AQ37" si="4">IF(O8-P8=0,"",IF(O8&gt;P8,"Erro","Ok"))</f>
        <v/>
      </c>
      <c r="AR8" s="219" t="str">
        <f t="shared" ref="AR8:AR37" si="5">IF(Q8-R8=0,"",IF(Q8&gt;R8,"Erro","Ok"))</f>
        <v/>
      </c>
      <c r="AS8" s="219" t="str">
        <f t="shared" ref="AS8:AS37" si="6">IF(S8-T8=0,"",IF(S8&gt;T8,"Erro","Ok"))</f>
        <v/>
      </c>
      <c r="AT8" s="219" t="str">
        <f t="shared" ref="AT8:AT37" si="7">IF(U8-V8=0,"",IF(U8&gt;V8,"Erro","Ok"))</f>
        <v/>
      </c>
      <c r="AY8" s="219"/>
      <c r="BA8" s="221"/>
      <c r="BB8" s="221"/>
      <c r="BC8" s="221"/>
    </row>
    <row r="9" spans="1:55" ht="30" customHeight="1" thickTop="1" thickBot="1" x14ac:dyDescent="0.25">
      <c r="C9" s="64" t="str">
        <f>IF(Funcionários!C8=0,"",Funcionários!C8)</f>
        <v/>
      </c>
      <c r="D9" s="90"/>
      <c r="E9" s="136"/>
      <c r="F9" s="89"/>
      <c r="G9" s="133"/>
      <c r="H9" s="134"/>
      <c r="I9" s="89"/>
      <c r="J9" s="358"/>
      <c r="K9" s="89"/>
      <c r="L9" s="358"/>
      <c r="M9" s="89"/>
      <c r="N9" s="358"/>
      <c r="O9" s="89"/>
      <c r="P9" s="358"/>
      <c r="Q9" s="89"/>
      <c r="R9" s="358"/>
      <c r="S9" s="89"/>
      <c r="T9" s="358"/>
      <c r="U9" s="89"/>
      <c r="V9" s="358"/>
      <c r="W9" s="219">
        <v>3</v>
      </c>
      <c r="X9" s="220">
        <f t="shared" ref="X9:X37" si="8">IF(I9-J9=0,0,IF(I9&gt;J9,"-",J9-I9-$H9))</f>
        <v>0</v>
      </c>
      <c r="Y9" s="220">
        <f t="shared" ref="Y9:Y37" si="9">IF(K9-L9=0,0,IF(K9&gt;L9,"-",L9-K9-$H9))</f>
        <v>0</v>
      </c>
      <c r="Z9" s="220">
        <f t="shared" ref="Z9:Z37" si="10">IF(M9-N9=0,0,IF(M9&gt;N9,"-",N9-M9-$H9))</f>
        <v>0</v>
      </c>
      <c r="AA9" s="220">
        <f t="shared" ref="AA9:AA37" si="11">IF(O9-P9=0,0,IF(O9&gt;P9,"-",P9-O9-$H9))</f>
        <v>0</v>
      </c>
      <c r="AB9" s="220">
        <f t="shared" ref="AB9:AB37" si="12">IF(Q9-R9=0,0,IF(Q9&gt;R9,"-",R9-Q9-$H9))</f>
        <v>0</v>
      </c>
      <c r="AC9" s="220">
        <f t="shared" ref="AC9:AC37" si="13">IF(S9-T9=0,0,IF(S9&gt;T9,"-",T9-S9-$H9))</f>
        <v>0</v>
      </c>
      <c r="AD9" s="220">
        <f t="shared" ref="AD9:AD37" si="14">IF(U9-V9=0,0,IF(U9&gt;V9,"-",V9-U9-$H9))</f>
        <v>0</v>
      </c>
      <c r="AE9" s="220">
        <f t="shared" si="0"/>
        <v>0</v>
      </c>
      <c r="AF9" s="233">
        <f t="shared" si="1"/>
        <v>0</v>
      </c>
      <c r="AG9" s="219" t="str">
        <f>IF(C9="","",VLOOKUP(C9,Funcionários!$C$7:$D$36,2,0))</f>
        <v/>
      </c>
      <c r="AJ9" s="232">
        <v>0.33333333333333331</v>
      </c>
      <c r="AK9" s="232">
        <v>0.70833333333333337</v>
      </c>
      <c r="AN9" s="219" t="str">
        <f t="shared" ref="AN9:AN37" si="15">IF(I9-J9=0,"",IF(I9&gt;J9,"Erro","Ok"))</f>
        <v/>
      </c>
      <c r="AO9" s="219" t="str">
        <f t="shared" si="2"/>
        <v/>
      </c>
      <c r="AP9" s="219" t="str">
        <f t="shared" si="3"/>
        <v/>
      </c>
      <c r="AQ9" s="219" t="str">
        <f t="shared" si="4"/>
        <v/>
      </c>
      <c r="AR9" s="219" t="str">
        <f t="shared" si="5"/>
        <v/>
      </c>
      <c r="AS9" s="219" t="str">
        <f t="shared" si="6"/>
        <v/>
      </c>
      <c r="AT9" s="219" t="str">
        <f t="shared" si="7"/>
        <v/>
      </c>
      <c r="AY9" s="219"/>
      <c r="BA9" s="221"/>
      <c r="BB9" s="221"/>
      <c r="BC9" s="221"/>
    </row>
    <row r="10" spans="1:55" ht="30" customHeight="1" thickTop="1" thickBot="1" x14ac:dyDescent="0.25">
      <c r="C10" s="64" t="str">
        <f>IF(Funcionários!C9=0,"",Funcionários!C9)</f>
        <v/>
      </c>
      <c r="D10" s="90"/>
      <c r="E10" s="136"/>
      <c r="F10" s="89"/>
      <c r="G10" s="133"/>
      <c r="H10" s="134"/>
      <c r="I10" s="89"/>
      <c r="J10" s="358"/>
      <c r="K10" s="89"/>
      <c r="L10" s="358"/>
      <c r="M10" s="89"/>
      <c r="N10" s="358"/>
      <c r="O10" s="89"/>
      <c r="P10" s="358"/>
      <c r="Q10" s="89"/>
      <c r="R10" s="358"/>
      <c r="S10" s="89"/>
      <c r="T10" s="358"/>
      <c r="U10" s="89"/>
      <c r="V10" s="358"/>
      <c r="W10" s="219">
        <v>4</v>
      </c>
      <c r="X10" s="220">
        <f t="shared" si="8"/>
        <v>0</v>
      </c>
      <c r="Y10" s="220">
        <f t="shared" si="9"/>
        <v>0</v>
      </c>
      <c r="Z10" s="220">
        <f t="shared" si="10"/>
        <v>0</v>
      </c>
      <c r="AA10" s="220">
        <f t="shared" si="11"/>
        <v>0</v>
      </c>
      <c r="AB10" s="220">
        <f t="shared" si="12"/>
        <v>0</v>
      </c>
      <c r="AC10" s="220">
        <f t="shared" si="13"/>
        <v>0</v>
      </c>
      <c r="AD10" s="220">
        <f t="shared" si="14"/>
        <v>0</v>
      </c>
      <c r="AE10" s="220">
        <f t="shared" si="0"/>
        <v>0</v>
      </c>
      <c r="AF10" s="233">
        <f t="shared" si="1"/>
        <v>0</v>
      </c>
      <c r="AG10" s="219" t="str">
        <f>IF(C10="","",VLOOKUP(C10,Funcionários!$C$7:$D$36,2,0))</f>
        <v/>
      </c>
      <c r="AJ10" s="232">
        <v>0.375</v>
      </c>
      <c r="AK10" s="232">
        <v>0.75</v>
      </c>
      <c r="AN10" s="219" t="str">
        <f t="shared" si="15"/>
        <v/>
      </c>
      <c r="AO10" s="219" t="str">
        <f t="shared" si="2"/>
        <v/>
      </c>
      <c r="AP10" s="219" t="str">
        <f t="shared" si="3"/>
        <v/>
      </c>
      <c r="AQ10" s="219" t="str">
        <f t="shared" si="4"/>
        <v/>
      </c>
      <c r="AR10" s="219" t="str">
        <f t="shared" si="5"/>
        <v/>
      </c>
      <c r="AS10" s="219" t="str">
        <f t="shared" si="6"/>
        <v/>
      </c>
      <c r="AT10" s="219" t="str">
        <f t="shared" si="7"/>
        <v/>
      </c>
      <c r="AY10" s="219"/>
      <c r="BA10" s="221"/>
      <c r="BB10" s="221"/>
      <c r="BC10" s="221"/>
    </row>
    <row r="11" spans="1:55" ht="30" customHeight="1" thickTop="1" thickBot="1" x14ac:dyDescent="0.25">
      <c r="C11" s="64" t="str">
        <f>IF(Funcionários!C10=0,"",Funcionários!C10)</f>
        <v/>
      </c>
      <c r="D11" s="90"/>
      <c r="E11" s="136"/>
      <c r="F11" s="89"/>
      <c r="G11" s="133"/>
      <c r="H11" s="134"/>
      <c r="I11" s="89"/>
      <c r="J11" s="360"/>
      <c r="K11" s="89"/>
      <c r="L11" s="360"/>
      <c r="M11" s="89"/>
      <c r="N11" s="360"/>
      <c r="O11" s="89"/>
      <c r="P11" s="360"/>
      <c r="Q11" s="89"/>
      <c r="R11" s="360"/>
      <c r="S11" s="89"/>
      <c r="T11" s="360"/>
      <c r="U11" s="89"/>
      <c r="V11" s="360"/>
      <c r="W11" s="219">
        <v>5</v>
      </c>
      <c r="X11" s="220">
        <f t="shared" si="8"/>
        <v>0</v>
      </c>
      <c r="Y11" s="220">
        <f t="shared" si="9"/>
        <v>0</v>
      </c>
      <c r="Z11" s="220">
        <f t="shared" si="10"/>
        <v>0</v>
      </c>
      <c r="AA11" s="220">
        <f t="shared" si="11"/>
        <v>0</v>
      </c>
      <c r="AB11" s="220">
        <f t="shared" si="12"/>
        <v>0</v>
      </c>
      <c r="AC11" s="220">
        <f t="shared" si="13"/>
        <v>0</v>
      </c>
      <c r="AD11" s="220">
        <f t="shared" si="14"/>
        <v>0</v>
      </c>
      <c r="AE11" s="220">
        <f t="shared" si="0"/>
        <v>0</v>
      </c>
      <c r="AF11" s="233">
        <f t="shared" si="1"/>
        <v>0</v>
      </c>
      <c r="AG11" s="219" t="str">
        <f>IF(C11="","",VLOOKUP(C11,Funcionários!$C$7:$D$36,2,0))</f>
        <v/>
      </c>
      <c r="AJ11" s="232">
        <v>0.41666666666666669</v>
      </c>
      <c r="AN11" s="219" t="str">
        <f t="shared" si="15"/>
        <v/>
      </c>
      <c r="AO11" s="219" t="str">
        <f t="shared" si="2"/>
        <v/>
      </c>
      <c r="AP11" s="219" t="str">
        <f t="shared" si="3"/>
        <v/>
      </c>
      <c r="AQ11" s="219" t="str">
        <f t="shared" si="4"/>
        <v/>
      </c>
      <c r="AR11" s="219" t="str">
        <f t="shared" si="5"/>
        <v/>
      </c>
      <c r="AS11" s="219" t="str">
        <f t="shared" si="6"/>
        <v/>
      </c>
      <c r="AT11" s="219" t="str">
        <f t="shared" si="7"/>
        <v/>
      </c>
      <c r="AY11" s="219"/>
      <c r="BA11" s="221"/>
      <c r="BB11" s="221"/>
      <c r="BC11" s="221"/>
    </row>
    <row r="12" spans="1:55" ht="30" customHeight="1" thickTop="1" thickBot="1" x14ac:dyDescent="0.25">
      <c r="C12" s="64" t="str">
        <f>IF(Funcionários!C11=0,"",Funcionários!C11)</f>
        <v/>
      </c>
      <c r="D12" s="90"/>
      <c r="E12" s="136"/>
      <c r="F12" s="89"/>
      <c r="G12" s="133"/>
      <c r="H12" s="134"/>
      <c r="I12" s="89"/>
      <c r="J12" s="358"/>
      <c r="K12" s="89"/>
      <c r="L12" s="358"/>
      <c r="M12" s="89"/>
      <c r="N12" s="358"/>
      <c r="O12" s="89"/>
      <c r="P12" s="358"/>
      <c r="Q12" s="89"/>
      <c r="R12" s="358"/>
      <c r="S12" s="89"/>
      <c r="T12" s="358"/>
      <c r="U12" s="89"/>
      <c r="V12" s="358"/>
      <c r="W12" s="219">
        <v>6</v>
      </c>
      <c r="X12" s="220">
        <f t="shared" si="8"/>
        <v>0</v>
      </c>
      <c r="Y12" s="220">
        <f t="shared" si="9"/>
        <v>0</v>
      </c>
      <c r="Z12" s="220">
        <f t="shared" si="10"/>
        <v>0</v>
      </c>
      <c r="AA12" s="220">
        <f t="shared" si="11"/>
        <v>0</v>
      </c>
      <c r="AB12" s="220">
        <f t="shared" si="12"/>
        <v>0</v>
      </c>
      <c r="AC12" s="220">
        <f t="shared" si="13"/>
        <v>0</v>
      </c>
      <c r="AD12" s="220">
        <f t="shared" si="14"/>
        <v>0</v>
      </c>
      <c r="AE12" s="220">
        <f t="shared" si="0"/>
        <v>0</v>
      </c>
      <c r="AF12" s="233">
        <f t="shared" si="1"/>
        <v>0</v>
      </c>
      <c r="AG12" s="219" t="str">
        <f>IF(C12="","",VLOOKUP(C12,Funcionários!$C$7:$D$36,2,0))</f>
        <v/>
      </c>
      <c r="AJ12" s="232">
        <v>0.45833333333333331</v>
      </c>
      <c r="AN12" s="219" t="str">
        <f t="shared" si="15"/>
        <v/>
      </c>
      <c r="AO12" s="219" t="str">
        <f t="shared" si="2"/>
        <v/>
      </c>
      <c r="AP12" s="219" t="str">
        <f t="shared" si="3"/>
        <v/>
      </c>
      <c r="AQ12" s="219" t="str">
        <f t="shared" si="4"/>
        <v/>
      </c>
      <c r="AR12" s="219" t="str">
        <f t="shared" si="5"/>
        <v/>
      </c>
      <c r="AS12" s="219" t="str">
        <f t="shared" si="6"/>
        <v/>
      </c>
      <c r="AT12" s="219" t="str">
        <f t="shared" si="7"/>
        <v/>
      </c>
      <c r="AY12" s="219"/>
      <c r="BA12" s="221"/>
      <c r="BB12" s="221"/>
      <c r="BC12" s="221"/>
    </row>
    <row r="13" spans="1:55" ht="30" customHeight="1" thickTop="1" thickBot="1" x14ac:dyDescent="0.25">
      <c r="C13" s="64" t="str">
        <f>IF(Funcionários!C12=0,"",Funcionários!C12)</f>
        <v/>
      </c>
      <c r="D13" s="90"/>
      <c r="E13" s="136"/>
      <c r="F13" s="89"/>
      <c r="G13" s="133"/>
      <c r="H13" s="134"/>
      <c r="I13" s="89"/>
      <c r="J13" s="360"/>
      <c r="K13" s="89"/>
      <c r="L13" s="360"/>
      <c r="M13" s="89"/>
      <c r="N13" s="360"/>
      <c r="O13" s="89"/>
      <c r="P13" s="360"/>
      <c r="Q13" s="89"/>
      <c r="R13" s="360"/>
      <c r="S13" s="89"/>
      <c r="T13" s="360"/>
      <c r="U13" s="89"/>
      <c r="V13" s="360"/>
      <c r="W13" s="219">
        <v>7</v>
      </c>
      <c r="X13" s="220">
        <f t="shared" si="8"/>
        <v>0</v>
      </c>
      <c r="Y13" s="220">
        <f t="shared" si="9"/>
        <v>0</v>
      </c>
      <c r="Z13" s="220">
        <f t="shared" si="10"/>
        <v>0</v>
      </c>
      <c r="AA13" s="220">
        <f t="shared" si="11"/>
        <v>0</v>
      </c>
      <c r="AB13" s="220">
        <f t="shared" si="12"/>
        <v>0</v>
      </c>
      <c r="AC13" s="220">
        <f t="shared" si="13"/>
        <v>0</v>
      </c>
      <c r="AD13" s="220">
        <f t="shared" si="14"/>
        <v>0</v>
      </c>
      <c r="AE13" s="220">
        <f t="shared" si="0"/>
        <v>0</v>
      </c>
      <c r="AF13" s="233">
        <f t="shared" si="1"/>
        <v>0</v>
      </c>
      <c r="AG13" s="219" t="str">
        <f>IF(C13="","",VLOOKUP(C13,Funcionários!$C$7:$D$36,2,0))</f>
        <v/>
      </c>
      <c r="AJ13" s="232">
        <v>0.5</v>
      </c>
      <c r="AN13" s="219" t="str">
        <f t="shared" si="15"/>
        <v/>
      </c>
      <c r="AO13" s="219" t="str">
        <f t="shared" si="2"/>
        <v/>
      </c>
      <c r="AP13" s="219" t="str">
        <f t="shared" si="3"/>
        <v/>
      </c>
      <c r="AQ13" s="219" t="str">
        <f t="shared" si="4"/>
        <v/>
      </c>
      <c r="AR13" s="219" t="str">
        <f t="shared" si="5"/>
        <v/>
      </c>
      <c r="AS13" s="219" t="str">
        <f t="shared" si="6"/>
        <v/>
      </c>
      <c r="AT13" s="219" t="str">
        <f t="shared" si="7"/>
        <v/>
      </c>
      <c r="AY13" s="219"/>
      <c r="BA13" s="221"/>
      <c r="BB13" s="221"/>
      <c r="BC13" s="221"/>
    </row>
    <row r="14" spans="1:55" ht="30" customHeight="1" thickTop="1" thickBot="1" x14ac:dyDescent="0.25">
      <c r="C14" s="64" t="str">
        <f>IF(Funcionários!C13=0,"",Funcionários!C13)</f>
        <v/>
      </c>
      <c r="D14" s="90"/>
      <c r="E14" s="136"/>
      <c r="F14" s="89"/>
      <c r="G14" s="133"/>
      <c r="H14" s="134"/>
      <c r="I14" s="89"/>
      <c r="J14" s="360"/>
      <c r="K14" s="89"/>
      <c r="L14" s="360"/>
      <c r="M14" s="89"/>
      <c r="N14" s="360"/>
      <c r="O14" s="89"/>
      <c r="P14" s="360"/>
      <c r="Q14" s="89"/>
      <c r="R14" s="360"/>
      <c r="S14" s="89"/>
      <c r="T14" s="360"/>
      <c r="U14" s="89"/>
      <c r="V14" s="360"/>
      <c r="W14" s="219">
        <v>8</v>
      </c>
      <c r="X14" s="220">
        <f t="shared" si="8"/>
        <v>0</v>
      </c>
      <c r="Y14" s="220">
        <f t="shared" si="9"/>
        <v>0</v>
      </c>
      <c r="Z14" s="220">
        <f t="shared" si="10"/>
        <v>0</v>
      </c>
      <c r="AA14" s="220">
        <f t="shared" si="11"/>
        <v>0</v>
      </c>
      <c r="AB14" s="220">
        <f t="shared" si="12"/>
        <v>0</v>
      </c>
      <c r="AC14" s="220">
        <f t="shared" si="13"/>
        <v>0</v>
      </c>
      <c r="AD14" s="220">
        <f t="shared" si="14"/>
        <v>0</v>
      </c>
      <c r="AE14" s="220">
        <f t="shared" si="0"/>
        <v>0</v>
      </c>
      <c r="AF14" s="233">
        <f t="shared" si="1"/>
        <v>0</v>
      </c>
      <c r="AG14" s="219" t="str">
        <f>IF(C14="","",VLOOKUP(C14,Funcionários!$C$7:$D$36,2,0))</f>
        <v/>
      </c>
      <c r="AJ14" s="232"/>
      <c r="AN14" s="219" t="str">
        <f t="shared" si="15"/>
        <v/>
      </c>
      <c r="AO14" s="219" t="str">
        <f t="shared" si="2"/>
        <v/>
      </c>
      <c r="AP14" s="219" t="str">
        <f t="shared" si="3"/>
        <v/>
      </c>
      <c r="AQ14" s="219" t="str">
        <f t="shared" si="4"/>
        <v/>
      </c>
      <c r="AR14" s="219" t="str">
        <f t="shared" si="5"/>
        <v/>
      </c>
      <c r="AS14" s="219" t="str">
        <f t="shared" si="6"/>
        <v/>
      </c>
      <c r="AT14" s="219" t="str">
        <f t="shared" si="7"/>
        <v/>
      </c>
      <c r="AY14" s="219"/>
      <c r="BA14" s="221"/>
      <c r="BB14" s="221"/>
      <c r="BC14" s="221"/>
    </row>
    <row r="15" spans="1:55" ht="30" customHeight="1" thickTop="1" thickBot="1" x14ac:dyDescent="0.25">
      <c r="C15" s="64" t="str">
        <f>IF(Funcionários!C14=0,"",Funcionários!C14)</f>
        <v/>
      </c>
      <c r="D15" s="90"/>
      <c r="E15" s="136"/>
      <c r="F15" s="89"/>
      <c r="G15" s="133"/>
      <c r="H15" s="134"/>
      <c r="I15" s="89"/>
      <c r="J15" s="360"/>
      <c r="K15" s="89"/>
      <c r="L15" s="360"/>
      <c r="M15" s="89"/>
      <c r="N15" s="360"/>
      <c r="O15" s="89"/>
      <c r="P15" s="360"/>
      <c r="Q15" s="89"/>
      <c r="R15" s="360"/>
      <c r="S15" s="89"/>
      <c r="T15" s="360"/>
      <c r="U15" s="89"/>
      <c r="V15" s="360"/>
      <c r="W15" s="219">
        <v>9</v>
      </c>
      <c r="X15" s="220">
        <f t="shared" si="8"/>
        <v>0</v>
      </c>
      <c r="Y15" s="220">
        <f t="shared" si="9"/>
        <v>0</v>
      </c>
      <c r="Z15" s="220">
        <f t="shared" si="10"/>
        <v>0</v>
      </c>
      <c r="AA15" s="220">
        <f t="shared" si="11"/>
        <v>0</v>
      </c>
      <c r="AB15" s="220">
        <f t="shared" si="12"/>
        <v>0</v>
      </c>
      <c r="AC15" s="220">
        <f t="shared" si="13"/>
        <v>0</v>
      </c>
      <c r="AD15" s="220">
        <f t="shared" si="14"/>
        <v>0</v>
      </c>
      <c r="AE15" s="220">
        <f t="shared" si="0"/>
        <v>0</v>
      </c>
      <c r="AF15" s="233">
        <f t="shared" si="1"/>
        <v>0</v>
      </c>
      <c r="AG15" s="219" t="str">
        <f>IF(C15="","",VLOOKUP(C15,Funcionários!$C$7:$D$36,2,0))</f>
        <v/>
      </c>
      <c r="AN15" s="219" t="str">
        <f t="shared" si="15"/>
        <v/>
      </c>
      <c r="AO15" s="219" t="str">
        <f t="shared" si="2"/>
        <v/>
      </c>
      <c r="AP15" s="219" t="str">
        <f t="shared" si="3"/>
        <v/>
      </c>
      <c r="AQ15" s="219" t="str">
        <f t="shared" si="4"/>
        <v/>
      </c>
      <c r="AR15" s="219" t="str">
        <f t="shared" si="5"/>
        <v/>
      </c>
      <c r="AS15" s="219" t="str">
        <f t="shared" si="6"/>
        <v/>
      </c>
      <c r="AT15" s="219" t="str">
        <f t="shared" si="7"/>
        <v/>
      </c>
      <c r="AY15" s="219"/>
      <c r="BA15" s="221"/>
      <c r="BB15" s="221"/>
      <c r="BC15" s="221"/>
    </row>
    <row r="16" spans="1:55" ht="30" customHeight="1" thickTop="1" thickBot="1" x14ac:dyDescent="0.25">
      <c r="C16" s="64" t="str">
        <f>IF(Funcionários!C15=0,"",Funcionários!C15)</f>
        <v/>
      </c>
      <c r="D16" s="90"/>
      <c r="E16" s="136"/>
      <c r="F16" s="89"/>
      <c r="G16" s="133"/>
      <c r="H16" s="134"/>
      <c r="I16" s="89"/>
      <c r="J16" s="360"/>
      <c r="K16" s="89"/>
      <c r="L16" s="360"/>
      <c r="M16" s="89"/>
      <c r="N16" s="360"/>
      <c r="O16" s="89"/>
      <c r="P16" s="360"/>
      <c r="Q16" s="89"/>
      <c r="R16" s="360"/>
      <c r="S16" s="89"/>
      <c r="T16" s="360"/>
      <c r="U16" s="89"/>
      <c r="V16" s="360"/>
      <c r="W16" s="219">
        <v>10</v>
      </c>
      <c r="X16" s="220">
        <f t="shared" si="8"/>
        <v>0</v>
      </c>
      <c r="Y16" s="220">
        <f t="shared" si="9"/>
        <v>0</v>
      </c>
      <c r="Z16" s="220">
        <f t="shared" si="10"/>
        <v>0</v>
      </c>
      <c r="AA16" s="220">
        <f t="shared" si="11"/>
        <v>0</v>
      </c>
      <c r="AB16" s="220">
        <f t="shared" si="12"/>
        <v>0</v>
      </c>
      <c r="AC16" s="220">
        <f t="shared" si="13"/>
        <v>0</v>
      </c>
      <c r="AD16" s="220">
        <f t="shared" si="14"/>
        <v>0</v>
      </c>
      <c r="AE16" s="220">
        <f t="shared" si="0"/>
        <v>0</v>
      </c>
      <c r="AF16" s="233">
        <f t="shared" si="1"/>
        <v>0</v>
      </c>
      <c r="AG16" s="219" t="str">
        <f>IF(C16="","",VLOOKUP(C16,Funcionários!$C$7:$D$36,2,0))</f>
        <v/>
      </c>
      <c r="AN16" s="219" t="str">
        <f t="shared" si="15"/>
        <v/>
      </c>
      <c r="AO16" s="219" t="str">
        <f t="shared" si="2"/>
        <v/>
      </c>
      <c r="AP16" s="219" t="str">
        <f t="shared" si="3"/>
        <v/>
      </c>
      <c r="AQ16" s="219" t="str">
        <f t="shared" si="4"/>
        <v/>
      </c>
      <c r="AR16" s="219" t="str">
        <f t="shared" si="5"/>
        <v/>
      </c>
      <c r="AS16" s="219" t="str">
        <f t="shared" si="6"/>
        <v/>
      </c>
      <c r="AT16" s="219" t="str">
        <f t="shared" si="7"/>
        <v/>
      </c>
      <c r="AY16" s="219"/>
      <c r="BA16" s="221"/>
      <c r="BB16" s="221"/>
      <c r="BC16" s="221"/>
    </row>
    <row r="17" spans="3:55" ht="30" customHeight="1" thickTop="1" thickBot="1" x14ac:dyDescent="0.25">
      <c r="C17" s="64" t="str">
        <f>IF(Funcionários!C16=0,"",Funcionários!C16)</f>
        <v/>
      </c>
      <c r="D17" s="90"/>
      <c r="E17" s="136"/>
      <c r="F17" s="89"/>
      <c r="G17" s="133"/>
      <c r="H17" s="134"/>
      <c r="I17" s="89"/>
      <c r="J17" s="360"/>
      <c r="K17" s="89"/>
      <c r="L17" s="360"/>
      <c r="M17" s="89"/>
      <c r="N17" s="360"/>
      <c r="O17" s="89"/>
      <c r="P17" s="360"/>
      <c r="Q17" s="89"/>
      <c r="R17" s="360"/>
      <c r="S17" s="89"/>
      <c r="T17" s="360"/>
      <c r="U17" s="89"/>
      <c r="V17" s="360"/>
      <c r="W17" s="219">
        <v>11</v>
      </c>
      <c r="X17" s="220">
        <f t="shared" si="8"/>
        <v>0</v>
      </c>
      <c r="Y17" s="220">
        <f t="shared" si="9"/>
        <v>0</v>
      </c>
      <c r="Z17" s="220">
        <f t="shared" si="10"/>
        <v>0</v>
      </c>
      <c r="AA17" s="220">
        <f t="shared" si="11"/>
        <v>0</v>
      </c>
      <c r="AB17" s="220">
        <f t="shared" si="12"/>
        <v>0</v>
      </c>
      <c r="AC17" s="220">
        <f t="shared" si="13"/>
        <v>0</v>
      </c>
      <c r="AD17" s="220">
        <f t="shared" si="14"/>
        <v>0</v>
      </c>
      <c r="AE17" s="220">
        <f t="shared" si="0"/>
        <v>0</v>
      </c>
      <c r="AF17" s="233">
        <f t="shared" si="1"/>
        <v>0</v>
      </c>
      <c r="AG17" s="219" t="str">
        <f>IF(C17="","",VLOOKUP(C17,Funcionários!$C$7:$D$36,2,0))</f>
        <v/>
      </c>
      <c r="AN17" s="219" t="str">
        <f t="shared" si="15"/>
        <v/>
      </c>
      <c r="AO17" s="219" t="str">
        <f t="shared" si="2"/>
        <v/>
      </c>
      <c r="AP17" s="219" t="str">
        <f t="shared" si="3"/>
        <v/>
      </c>
      <c r="AQ17" s="219" t="str">
        <f t="shared" si="4"/>
        <v/>
      </c>
      <c r="AR17" s="219" t="str">
        <f t="shared" si="5"/>
        <v/>
      </c>
      <c r="AS17" s="219" t="str">
        <f t="shared" si="6"/>
        <v/>
      </c>
      <c r="AT17" s="219" t="str">
        <f t="shared" si="7"/>
        <v/>
      </c>
      <c r="AY17" s="219"/>
      <c r="BA17" s="221"/>
      <c r="BB17" s="221"/>
      <c r="BC17" s="221"/>
    </row>
    <row r="18" spans="3:55" ht="30" customHeight="1" thickTop="1" thickBot="1" x14ac:dyDescent="0.25">
      <c r="C18" s="64" t="str">
        <f>IF(Funcionários!C17=0,"",Funcionários!C17)</f>
        <v/>
      </c>
      <c r="D18" s="90"/>
      <c r="E18" s="136"/>
      <c r="F18" s="89"/>
      <c r="G18" s="133"/>
      <c r="H18" s="134"/>
      <c r="I18" s="89"/>
      <c r="J18" s="360"/>
      <c r="K18" s="89"/>
      <c r="L18" s="360"/>
      <c r="M18" s="89"/>
      <c r="N18" s="360"/>
      <c r="O18" s="89"/>
      <c r="P18" s="360"/>
      <c r="Q18" s="89"/>
      <c r="R18" s="360"/>
      <c r="S18" s="89"/>
      <c r="T18" s="360"/>
      <c r="U18" s="89"/>
      <c r="V18" s="360"/>
      <c r="W18" s="219">
        <v>12</v>
      </c>
      <c r="X18" s="220">
        <f t="shared" si="8"/>
        <v>0</v>
      </c>
      <c r="Y18" s="220">
        <f t="shared" si="9"/>
        <v>0</v>
      </c>
      <c r="Z18" s="220">
        <f t="shared" si="10"/>
        <v>0</v>
      </c>
      <c r="AA18" s="220">
        <f t="shared" si="11"/>
        <v>0</v>
      </c>
      <c r="AB18" s="220">
        <f t="shared" si="12"/>
        <v>0</v>
      </c>
      <c r="AC18" s="220">
        <f t="shared" si="13"/>
        <v>0</v>
      </c>
      <c r="AD18" s="220">
        <f t="shared" si="14"/>
        <v>0</v>
      </c>
      <c r="AE18" s="220">
        <f t="shared" si="0"/>
        <v>0</v>
      </c>
      <c r="AF18" s="233">
        <f t="shared" si="1"/>
        <v>0</v>
      </c>
      <c r="AG18" s="219" t="str">
        <f>IF(C18="","",VLOOKUP(C18,Funcionários!$C$7:$D$36,2,0))</f>
        <v/>
      </c>
      <c r="AN18" s="219" t="str">
        <f t="shared" si="15"/>
        <v/>
      </c>
      <c r="AO18" s="219" t="str">
        <f t="shared" si="2"/>
        <v/>
      </c>
      <c r="AP18" s="219" t="str">
        <f t="shared" si="3"/>
        <v/>
      </c>
      <c r="AQ18" s="219" t="str">
        <f t="shared" si="4"/>
        <v/>
      </c>
      <c r="AR18" s="219" t="str">
        <f t="shared" si="5"/>
        <v/>
      </c>
      <c r="AS18" s="219" t="str">
        <f t="shared" si="6"/>
        <v/>
      </c>
      <c r="AT18" s="219" t="str">
        <f t="shared" si="7"/>
        <v/>
      </c>
      <c r="AY18" s="219"/>
      <c r="BA18" s="221"/>
      <c r="BB18" s="221"/>
      <c r="BC18" s="221"/>
    </row>
    <row r="19" spans="3:55" ht="30" customHeight="1" thickTop="1" thickBot="1" x14ac:dyDescent="0.25">
      <c r="C19" s="64" t="str">
        <f>IF(Funcionários!C18=0,"",Funcionários!C18)</f>
        <v/>
      </c>
      <c r="D19" s="90"/>
      <c r="E19" s="136"/>
      <c r="F19" s="89"/>
      <c r="G19" s="133"/>
      <c r="H19" s="134"/>
      <c r="I19" s="89"/>
      <c r="J19" s="360"/>
      <c r="K19" s="89"/>
      <c r="L19" s="360"/>
      <c r="M19" s="89"/>
      <c r="N19" s="360"/>
      <c r="O19" s="89"/>
      <c r="P19" s="360"/>
      <c r="Q19" s="89"/>
      <c r="R19" s="360"/>
      <c r="S19" s="89"/>
      <c r="T19" s="360"/>
      <c r="U19" s="89"/>
      <c r="V19" s="360"/>
      <c r="W19" s="219">
        <v>13</v>
      </c>
      <c r="X19" s="220">
        <f t="shared" si="8"/>
        <v>0</v>
      </c>
      <c r="Y19" s="220">
        <f t="shared" si="9"/>
        <v>0</v>
      </c>
      <c r="Z19" s="220">
        <f t="shared" si="10"/>
        <v>0</v>
      </c>
      <c r="AA19" s="220">
        <f t="shared" si="11"/>
        <v>0</v>
      </c>
      <c r="AB19" s="220">
        <f t="shared" si="12"/>
        <v>0</v>
      </c>
      <c r="AC19" s="220">
        <f t="shared" si="13"/>
        <v>0</v>
      </c>
      <c r="AD19" s="220">
        <f t="shared" si="14"/>
        <v>0</v>
      </c>
      <c r="AE19" s="220">
        <f t="shared" si="0"/>
        <v>0</v>
      </c>
      <c r="AF19" s="233">
        <f t="shared" si="1"/>
        <v>0</v>
      </c>
      <c r="AG19" s="219" t="str">
        <f>IF(C19="","",VLOOKUP(C19,Funcionários!$C$7:$D$36,2,0))</f>
        <v/>
      </c>
      <c r="AN19" s="219" t="str">
        <f t="shared" si="15"/>
        <v/>
      </c>
      <c r="AO19" s="219" t="str">
        <f t="shared" si="2"/>
        <v/>
      </c>
      <c r="AP19" s="219" t="str">
        <f t="shared" si="3"/>
        <v/>
      </c>
      <c r="AQ19" s="219" t="str">
        <f t="shared" si="4"/>
        <v/>
      </c>
      <c r="AR19" s="219" t="str">
        <f t="shared" si="5"/>
        <v/>
      </c>
      <c r="AS19" s="219" t="str">
        <f t="shared" si="6"/>
        <v/>
      </c>
      <c r="AT19" s="219" t="str">
        <f t="shared" si="7"/>
        <v/>
      </c>
      <c r="AY19" s="219"/>
      <c r="BA19" s="221"/>
      <c r="BB19" s="221"/>
      <c r="BC19" s="221"/>
    </row>
    <row r="20" spans="3:55" ht="30" customHeight="1" thickTop="1" thickBot="1" x14ac:dyDescent="0.25">
      <c r="C20" s="64" t="str">
        <f>IF(Funcionários!C19=0,"",Funcionários!C19)</f>
        <v/>
      </c>
      <c r="D20" s="90"/>
      <c r="E20" s="136"/>
      <c r="F20" s="89"/>
      <c r="G20" s="133"/>
      <c r="H20" s="134"/>
      <c r="I20" s="89"/>
      <c r="J20" s="360"/>
      <c r="K20" s="89"/>
      <c r="L20" s="360"/>
      <c r="M20" s="89"/>
      <c r="N20" s="360"/>
      <c r="O20" s="89"/>
      <c r="P20" s="360"/>
      <c r="Q20" s="89"/>
      <c r="R20" s="360"/>
      <c r="S20" s="89"/>
      <c r="T20" s="360"/>
      <c r="U20" s="89"/>
      <c r="V20" s="360"/>
      <c r="W20" s="219">
        <v>14</v>
      </c>
      <c r="X20" s="220">
        <f t="shared" si="8"/>
        <v>0</v>
      </c>
      <c r="Y20" s="220">
        <f t="shared" si="9"/>
        <v>0</v>
      </c>
      <c r="Z20" s="220">
        <f t="shared" si="10"/>
        <v>0</v>
      </c>
      <c r="AA20" s="220">
        <f t="shared" si="11"/>
        <v>0</v>
      </c>
      <c r="AB20" s="220">
        <f t="shared" si="12"/>
        <v>0</v>
      </c>
      <c r="AC20" s="220">
        <f t="shared" si="13"/>
        <v>0</v>
      </c>
      <c r="AD20" s="220">
        <f t="shared" si="14"/>
        <v>0</v>
      </c>
      <c r="AE20" s="220">
        <f t="shared" si="0"/>
        <v>0</v>
      </c>
      <c r="AF20" s="233">
        <f t="shared" si="1"/>
        <v>0</v>
      </c>
      <c r="AG20" s="219" t="str">
        <f>IF(C20="","",VLOOKUP(C20,Funcionários!$C$7:$D$36,2,0))</f>
        <v/>
      </c>
      <c r="AN20" s="219" t="str">
        <f t="shared" si="15"/>
        <v/>
      </c>
      <c r="AO20" s="219" t="str">
        <f t="shared" si="2"/>
        <v/>
      </c>
      <c r="AP20" s="219" t="str">
        <f t="shared" si="3"/>
        <v/>
      </c>
      <c r="AQ20" s="219" t="str">
        <f t="shared" si="4"/>
        <v/>
      </c>
      <c r="AR20" s="219" t="str">
        <f t="shared" si="5"/>
        <v/>
      </c>
      <c r="AS20" s="219" t="str">
        <f t="shared" si="6"/>
        <v/>
      </c>
      <c r="AT20" s="219" t="str">
        <f t="shared" si="7"/>
        <v/>
      </c>
      <c r="AY20" s="219"/>
      <c r="BA20" s="221"/>
      <c r="BB20" s="221"/>
      <c r="BC20" s="221"/>
    </row>
    <row r="21" spans="3:55" ht="30" customHeight="1" thickTop="1" thickBot="1" x14ac:dyDescent="0.25">
      <c r="C21" s="64" t="str">
        <f>IF(Funcionários!C20=0,"",Funcionários!C20)</f>
        <v/>
      </c>
      <c r="D21" s="90"/>
      <c r="E21" s="136"/>
      <c r="F21" s="89"/>
      <c r="G21" s="133"/>
      <c r="H21" s="134"/>
      <c r="I21" s="89"/>
      <c r="J21" s="360"/>
      <c r="K21" s="89"/>
      <c r="L21" s="360"/>
      <c r="M21" s="89"/>
      <c r="N21" s="360"/>
      <c r="O21" s="89"/>
      <c r="P21" s="360"/>
      <c r="Q21" s="89"/>
      <c r="R21" s="360"/>
      <c r="S21" s="89"/>
      <c r="T21" s="360"/>
      <c r="U21" s="89"/>
      <c r="V21" s="360"/>
      <c r="W21" s="219">
        <v>15</v>
      </c>
      <c r="X21" s="220">
        <f t="shared" si="8"/>
        <v>0</v>
      </c>
      <c r="Y21" s="220">
        <f t="shared" si="9"/>
        <v>0</v>
      </c>
      <c r="Z21" s="220">
        <f t="shared" si="10"/>
        <v>0</v>
      </c>
      <c r="AA21" s="220">
        <f t="shared" si="11"/>
        <v>0</v>
      </c>
      <c r="AB21" s="220">
        <f t="shared" si="12"/>
        <v>0</v>
      </c>
      <c r="AC21" s="220">
        <f t="shared" si="13"/>
        <v>0</v>
      </c>
      <c r="AD21" s="220">
        <f t="shared" si="14"/>
        <v>0</v>
      </c>
      <c r="AE21" s="220">
        <f t="shared" si="0"/>
        <v>0</v>
      </c>
      <c r="AF21" s="233">
        <f t="shared" si="1"/>
        <v>0</v>
      </c>
      <c r="AG21" s="219" t="str">
        <f>IF(C21="","",VLOOKUP(C21,Funcionários!$C$7:$D$36,2,0))</f>
        <v/>
      </c>
      <c r="AN21" s="219" t="str">
        <f t="shared" si="15"/>
        <v/>
      </c>
      <c r="AO21" s="219" t="str">
        <f t="shared" si="2"/>
        <v/>
      </c>
      <c r="AP21" s="219" t="str">
        <f t="shared" si="3"/>
        <v/>
      </c>
      <c r="AQ21" s="219" t="str">
        <f t="shared" si="4"/>
        <v/>
      </c>
      <c r="AR21" s="219" t="str">
        <f t="shared" si="5"/>
        <v/>
      </c>
      <c r="AS21" s="219" t="str">
        <f t="shared" si="6"/>
        <v/>
      </c>
      <c r="AT21" s="219" t="str">
        <f t="shared" si="7"/>
        <v/>
      </c>
      <c r="AY21" s="219"/>
      <c r="BA21" s="221"/>
      <c r="BB21" s="221"/>
      <c r="BC21" s="221"/>
    </row>
    <row r="22" spans="3:55" ht="30" customHeight="1" thickTop="1" thickBot="1" x14ac:dyDescent="0.25">
      <c r="C22" s="64" t="str">
        <f>IF(Funcionários!C21=0,"",Funcionários!C21)</f>
        <v/>
      </c>
      <c r="D22" s="90"/>
      <c r="E22" s="136"/>
      <c r="F22" s="89"/>
      <c r="G22" s="133"/>
      <c r="H22" s="134"/>
      <c r="I22" s="89"/>
      <c r="J22" s="360"/>
      <c r="K22" s="89"/>
      <c r="L22" s="360"/>
      <c r="M22" s="89"/>
      <c r="N22" s="360"/>
      <c r="O22" s="89"/>
      <c r="P22" s="360"/>
      <c r="Q22" s="89"/>
      <c r="R22" s="360"/>
      <c r="S22" s="89"/>
      <c r="T22" s="360"/>
      <c r="U22" s="89"/>
      <c r="V22" s="360"/>
      <c r="W22" s="219">
        <v>16</v>
      </c>
      <c r="X22" s="220">
        <f t="shared" si="8"/>
        <v>0</v>
      </c>
      <c r="Y22" s="220">
        <f t="shared" si="9"/>
        <v>0</v>
      </c>
      <c r="Z22" s="220">
        <f t="shared" si="10"/>
        <v>0</v>
      </c>
      <c r="AA22" s="220">
        <f t="shared" si="11"/>
        <v>0</v>
      </c>
      <c r="AB22" s="220">
        <f t="shared" si="12"/>
        <v>0</v>
      </c>
      <c r="AC22" s="220">
        <f t="shared" si="13"/>
        <v>0</v>
      </c>
      <c r="AD22" s="220">
        <f t="shared" si="14"/>
        <v>0</v>
      </c>
      <c r="AE22" s="220">
        <f t="shared" si="0"/>
        <v>0</v>
      </c>
      <c r="AF22" s="233">
        <f t="shared" si="1"/>
        <v>0</v>
      </c>
      <c r="AG22" s="219" t="str">
        <f>IF(C22="","",VLOOKUP(C22,Funcionários!$C$7:$D$36,2,0))</f>
        <v/>
      </c>
      <c r="AN22" s="219" t="str">
        <f t="shared" si="15"/>
        <v/>
      </c>
      <c r="AO22" s="219" t="str">
        <f t="shared" si="2"/>
        <v/>
      </c>
      <c r="AP22" s="219" t="str">
        <f t="shared" si="3"/>
        <v/>
      </c>
      <c r="AQ22" s="219" t="str">
        <f t="shared" si="4"/>
        <v/>
      </c>
      <c r="AR22" s="219" t="str">
        <f t="shared" si="5"/>
        <v/>
      </c>
      <c r="AS22" s="219" t="str">
        <f t="shared" si="6"/>
        <v/>
      </c>
      <c r="AT22" s="219" t="str">
        <f t="shared" si="7"/>
        <v/>
      </c>
      <c r="AY22" s="219"/>
      <c r="BA22" s="221"/>
      <c r="BB22" s="221"/>
      <c r="BC22" s="221"/>
    </row>
    <row r="23" spans="3:55" ht="30" customHeight="1" thickTop="1" thickBot="1" x14ac:dyDescent="0.25">
      <c r="C23" s="64" t="str">
        <f>IF(Funcionários!C22=0,"",Funcionários!C22)</f>
        <v/>
      </c>
      <c r="D23" s="90"/>
      <c r="E23" s="136"/>
      <c r="F23" s="89"/>
      <c r="G23" s="133"/>
      <c r="H23" s="134"/>
      <c r="I23" s="89"/>
      <c r="J23" s="360"/>
      <c r="K23" s="89"/>
      <c r="L23" s="360"/>
      <c r="M23" s="89"/>
      <c r="N23" s="360"/>
      <c r="O23" s="89"/>
      <c r="P23" s="360"/>
      <c r="Q23" s="89"/>
      <c r="R23" s="360"/>
      <c r="S23" s="89"/>
      <c r="T23" s="360"/>
      <c r="U23" s="89"/>
      <c r="V23" s="360"/>
      <c r="W23" s="219">
        <v>17</v>
      </c>
      <c r="X23" s="220">
        <f t="shared" si="8"/>
        <v>0</v>
      </c>
      <c r="Y23" s="220">
        <f t="shared" si="9"/>
        <v>0</v>
      </c>
      <c r="Z23" s="220">
        <f t="shared" si="10"/>
        <v>0</v>
      </c>
      <c r="AA23" s="220">
        <f t="shared" si="11"/>
        <v>0</v>
      </c>
      <c r="AB23" s="220">
        <f t="shared" si="12"/>
        <v>0</v>
      </c>
      <c r="AC23" s="220">
        <f t="shared" si="13"/>
        <v>0</v>
      </c>
      <c r="AD23" s="220">
        <f t="shared" si="14"/>
        <v>0</v>
      </c>
      <c r="AE23" s="220">
        <f t="shared" si="0"/>
        <v>0</v>
      </c>
      <c r="AF23" s="233">
        <f t="shared" si="1"/>
        <v>0</v>
      </c>
      <c r="AG23" s="219" t="str">
        <f>IF(C23="","",VLOOKUP(C23,Funcionários!$C$7:$D$36,2,0))</f>
        <v/>
      </c>
      <c r="AN23" s="219" t="str">
        <f t="shared" si="15"/>
        <v/>
      </c>
      <c r="AO23" s="219" t="str">
        <f t="shared" si="2"/>
        <v/>
      </c>
      <c r="AP23" s="219" t="str">
        <f t="shared" si="3"/>
        <v/>
      </c>
      <c r="AQ23" s="219" t="str">
        <f t="shared" si="4"/>
        <v/>
      </c>
      <c r="AR23" s="219" t="str">
        <f t="shared" si="5"/>
        <v/>
      </c>
      <c r="AS23" s="219" t="str">
        <f t="shared" si="6"/>
        <v/>
      </c>
      <c r="AT23" s="219" t="str">
        <f t="shared" si="7"/>
        <v/>
      </c>
      <c r="AY23" s="219"/>
      <c r="BA23" s="221"/>
      <c r="BB23" s="221"/>
      <c r="BC23" s="221"/>
    </row>
    <row r="24" spans="3:55" ht="30" customHeight="1" thickTop="1" thickBot="1" x14ac:dyDescent="0.25">
      <c r="C24" s="64" t="str">
        <f>IF(Funcionários!C23=0,"",Funcionários!C23)</f>
        <v/>
      </c>
      <c r="D24" s="90"/>
      <c r="E24" s="136"/>
      <c r="F24" s="89"/>
      <c r="G24" s="133"/>
      <c r="H24" s="134"/>
      <c r="I24" s="89"/>
      <c r="J24" s="360"/>
      <c r="K24" s="89"/>
      <c r="L24" s="360"/>
      <c r="M24" s="89"/>
      <c r="N24" s="360"/>
      <c r="O24" s="89"/>
      <c r="P24" s="360"/>
      <c r="Q24" s="89"/>
      <c r="R24" s="360"/>
      <c r="S24" s="89"/>
      <c r="T24" s="360"/>
      <c r="U24" s="89"/>
      <c r="V24" s="360"/>
      <c r="W24" s="219">
        <v>18</v>
      </c>
      <c r="X24" s="220">
        <f t="shared" si="8"/>
        <v>0</v>
      </c>
      <c r="Y24" s="220">
        <f t="shared" si="9"/>
        <v>0</v>
      </c>
      <c r="Z24" s="220">
        <f t="shared" si="10"/>
        <v>0</v>
      </c>
      <c r="AA24" s="220">
        <f t="shared" si="11"/>
        <v>0</v>
      </c>
      <c r="AB24" s="220">
        <f t="shared" si="12"/>
        <v>0</v>
      </c>
      <c r="AC24" s="220">
        <f t="shared" si="13"/>
        <v>0</v>
      </c>
      <c r="AD24" s="220">
        <f t="shared" si="14"/>
        <v>0</v>
      </c>
      <c r="AE24" s="220">
        <f t="shared" si="0"/>
        <v>0</v>
      </c>
      <c r="AF24" s="233">
        <f t="shared" si="1"/>
        <v>0</v>
      </c>
      <c r="AG24" s="219" t="str">
        <f>IF(C24="","",VLOOKUP(C24,Funcionários!$C$7:$D$36,2,0))</f>
        <v/>
      </c>
      <c r="AN24" s="219" t="str">
        <f t="shared" si="15"/>
        <v/>
      </c>
      <c r="AO24" s="219" t="str">
        <f t="shared" si="2"/>
        <v/>
      </c>
      <c r="AP24" s="219" t="str">
        <f t="shared" si="3"/>
        <v/>
      </c>
      <c r="AQ24" s="219" t="str">
        <f t="shared" si="4"/>
        <v/>
      </c>
      <c r="AR24" s="219" t="str">
        <f t="shared" si="5"/>
        <v/>
      </c>
      <c r="AS24" s="219" t="str">
        <f t="shared" si="6"/>
        <v/>
      </c>
      <c r="AT24" s="219" t="str">
        <f t="shared" si="7"/>
        <v/>
      </c>
      <c r="AY24" s="219"/>
      <c r="BA24" s="221"/>
      <c r="BB24" s="221"/>
      <c r="BC24" s="221"/>
    </row>
    <row r="25" spans="3:55" ht="30" customHeight="1" thickTop="1" thickBot="1" x14ac:dyDescent="0.25">
      <c r="C25" s="64" t="str">
        <f>IF(Funcionários!C24=0,"",Funcionários!C24)</f>
        <v/>
      </c>
      <c r="D25" s="90"/>
      <c r="E25" s="136"/>
      <c r="F25" s="89"/>
      <c r="G25" s="133"/>
      <c r="H25" s="134"/>
      <c r="I25" s="89"/>
      <c r="J25" s="360"/>
      <c r="K25" s="89"/>
      <c r="L25" s="360"/>
      <c r="M25" s="89"/>
      <c r="N25" s="360"/>
      <c r="O25" s="89"/>
      <c r="P25" s="360"/>
      <c r="Q25" s="89"/>
      <c r="R25" s="360"/>
      <c r="S25" s="89"/>
      <c r="T25" s="360"/>
      <c r="U25" s="89"/>
      <c r="V25" s="360"/>
      <c r="W25" s="219">
        <v>19</v>
      </c>
      <c r="X25" s="220">
        <f t="shared" si="8"/>
        <v>0</v>
      </c>
      <c r="Y25" s="220">
        <f t="shared" si="9"/>
        <v>0</v>
      </c>
      <c r="Z25" s="220">
        <f t="shared" si="10"/>
        <v>0</v>
      </c>
      <c r="AA25" s="220">
        <f t="shared" si="11"/>
        <v>0</v>
      </c>
      <c r="AB25" s="220">
        <f t="shared" si="12"/>
        <v>0</v>
      </c>
      <c r="AC25" s="220">
        <f t="shared" si="13"/>
        <v>0</v>
      </c>
      <c r="AD25" s="220">
        <f t="shared" si="14"/>
        <v>0</v>
      </c>
      <c r="AE25" s="220">
        <f t="shared" si="0"/>
        <v>0</v>
      </c>
      <c r="AF25" s="233">
        <f t="shared" si="1"/>
        <v>0</v>
      </c>
      <c r="AG25" s="219" t="str">
        <f>IF(C25="","",VLOOKUP(C25,Funcionários!$C$7:$D$36,2,0))</f>
        <v/>
      </c>
      <c r="AN25" s="219" t="str">
        <f t="shared" si="15"/>
        <v/>
      </c>
      <c r="AO25" s="219" t="str">
        <f t="shared" si="2"/>
        <v/>
      </c>
      <c r="AP25" s="219" t="str">
        <f t="shared" si="3"/>
        <v/>
      </c>
      <c r="AQ25" s="219" t="str">
        <f t="shared" si="4"/>
        <v/>
      </c>
      <c r="AR25" s="219" t="str">
        <f t="shared" si="5"/>
        <v/>
      </c>
      <c r="AS25" s="219" t="str">
        <f t="shared" si="6"/>
        <v/>
      </c>
      <c r="AT25" s="219" t="str">
        <f t="shared" si="7"/>
        <v/>
      </c>
      <c r="AY25" s="219"/>
      <c r="BA25" s="221"/>
      <c r="BB25" s="221"/>
      <c r="BC25" s="221"/>
    </row>
    <row r="26" spans="3:55" ht="30" customHeight="1" thickTop="1" thickBot="1" x14ac:dyDescent="0.25">
      <c r="C26" s="64" t="str">
        <f>IF(Funcionários!C25=0,"",Funcionários!C25)</f>
        <v/>
      </c>
      <c r="D26" s="90"/>
      <c r="E26" s="136"/>
      <c r="F26" s="89"/>
      <c r="G26" s="133"/>
      <c r="H26" s="134"/>
      <c r="I26" s="89"/>
      <c r="J26" s="360"/>
      <c r="K26" s="89"/>
      <c r="L26" s="360"/>
      <c r="M26" s="89"/>
      <c r="N26" s="360"/>
      <c r="O26" s="89"/>
      <c r="P26" s="360"/>
      <c r="Q26" s="89"/>
      <c r="R26" s="360"/>
      <c r="S26" s="89"/>
      <c r="T26" s="360"/>
      <c r="U26" s="89"/>
      <c r="V26" s="360"/>
      <c r="W26" s="219">
        <v>20</v>
      </c>
      <c r="X26" s="220">
        <f t="shared" si="8"/>
        <v>0</v>
      </c>
      <c r="Y26" s="220">
        <f t="shared" si="9"/>
        <v>0</v>
      </c>
      <c r="Z26" s="220">
        <f t="shared" si="10"/>
        <v>0</v>
      </c>
      <c r="AA26" s="220">
        <f t="shared" si="11"/>
        <v>0</v>
      </c>
      <c r="AB26" s="220">
        <f t="shared" si="12"/>
        <v>0</v>
      </c>
      <c r="AC26" s="220">
        <f t="shared" si="13"/>
        <v>0</v>
      </c>
      <c r="AD26" s="220">
        <f t="shared" si="14"/>
        <v>0</v>
      </c>
      <c r="AE26" s="220">
        <f t="shared" si="0"/>
        <v>0</v>
      </c>
      <c r="AF26" s="233">
        <f t="shared" si="1"/>
        <v>0</v>
      </c>
      <c r="AG26" s="219" t="str">
        <f>IF(C26="","",VLOOKUP(C26,Funcionários!$C$7:$D$36,2,0))</f>
        <v/>
      </c>
      <c r="AN26" s="219" t="str">
        <f t="shared" si="15"/>
        <v/>
      </c>
      <c r="AO26" s="219" t="str">
        <f t="shared" si="2"/>
        <v/>
      </c>
      <c r="AP26" s="219" t="str">
        <f t="shared" si="3"/>
        <v/>
      </c>
      <c r="AQ26" s="219" t="str">
        <f t="shared" si="4"/>
        <v/>
      </c>
      <c r="AR26" s="219" t="str">
        <f t="shared" si="5"/>
        <v/>
      </c>
      <c r="AS26" s="219" t="str">
        <f t="shared" si="6"/>
        <v/>
      </c>
      <c r="AT26" s="219" t="str">
        <f t="shared" si="7"/>
        <v/>
      </c>
      <c r="AY26" s="219"/>
      <c r="BA26" s="221"/>
      <c r="BB26" s="221"/>
      <c r="BC26" s="221"/>
    </row>
    <row r="27" spans="3:55" ht="30" customHeight="1" thickTop="1" thickBot="1" x14ac:dyDescent="0.25">
      <c r="C27" s="64" t="str">
        <f>IF(Funcionários!C26=0,"",Funcionários!C26)</f>
        <v/>
      </c>
      <c r="D27" s="90"/>
      <c r="E27" s="136"/>
      <c r="F27" s="89"/>
      <c r="G27" s="133"/>
      <c r="H27" s="134"/>
      <c r="I27" s="89"/>
      <c r="J27" s="360"/>
      <c r="K27" s="89"/>
      <c r="L27" s="360"/>
      <c r="M27" s="89"/>
      <c r="N27" s="360"/>
      <c r="O27" s="89"/>
      <c r="P27" s="360"/>
      <c r="Q27" s="89"/>
      <c r="R27" s="360"/>
      <c r="S27" s="89"/>
      <c r="T27" s="360"/>
      <c r="U27" s="89"/>
      <c r="V27" s="360"/>
      <c r="W27" s="219">
        <v>21</v>
      </c>
      <c r="X27" s="220">
        <f t="shared" si="8"/>
        <v>0</v>
      </c>
      <c r="Y27" s="220">
        <f t="shared" si="9"/>
        <v>0</v>
      </c>
      <c r="Z27" s="220">
        <f t="shared" si="10"/>
        <v>0</v>
      </c>
      <c r="AA27" s="220">
        <f t="shared" si="11"/>
        <v>0</v>
      </c>
      <c r="AB27" s="220">
        <f t="shared" si="12"/>
        <v>0</v>
      </c>
      <c r="AC27" s="220">
        <f t="shared" si="13"/>
        <v>0</v>
      </c>
      <c r="AD27" s="220">
        <f t="shared" si="14"/>
        <v>0</v>
      </c>
      <c r="AE27" s="220">
        <f t="shared" si="0"/>
        <v>0</v>
      </c>
      <c r="AF27" s="233">
        <f t="shared" si="1"/>
        <v>0</v>
      </c>
      <c r="AG27" s="219" t="str">
        <f>IF(C27="","",VLOOKUP(C27,Funcionários!$C$7:$D$36,2,0))</f>
        <v/>
      </c>
      <c r="AN27" s="219" t="str">
        <f t="shared" si="15"/>
        <v/>
      </c>
      <c r="AO27" s="219" t="str">
        <f t="shared" si="2"/>
        <v/>
      </c>
      <c r="AP27" s="219" t="str">
        <f t="shared" si="3"/>
        <v/>
      </c>
      <c r="AQ27" s="219" t="str">
        <f t="shared" si="4"/>
        <v/>
      </c>
      <c r="AR27" s="219" t="str">
        <f t="shared" si="5"/>
        <v/>
      </c>
      <c r="AS27" s="219" t="str">
        <f t="shared" si="6"/>
        <v/>
      </c>
      <c r="AT27" s="219" t="str">
        <f t="shared" si="7"/>
        <v/>
      </c>
      <c r="AY27" s="219"/>
      <c r="BA27" s="221"/>
      <c r="BB27" s="221"/>
      <c r="BC27" s="221"/>
    </row>
    <row r="28" spans="3:55" ht="30" customHeight="1" thickTop="1" thickBot="1" x14ac:dyDescent="0.25">
      <c r="C28" s="64" t="str">
        <f>IF(Funcionários!C27=0,"",Funcionários!C27)</f>
        <v/>
      </c>
      <c r="D28" s="90"/>
      <c r="E28" s="136"/>
      <c r="F28" s="89"/>
      <c r="G28" s="133"/>
      <c r="H28" s="134"/>
      <c r="I28" s="89"/>
      <c r="J28" s="360"/>
      <c r="K28" s="89"/>
      <c r="L28" s="360"/>
      <c r="M28" s="89"/>
      <c r="N28" s="360"/>
      <c r="O28" s="89"/>
      <c r="P28" s="360"/>
      <c r="Q28" s="89"/>
      <c r="R28" s="360"/>
      <c r="S28" s="89"/>
      <c r="T28" s="360"/>
      <c r="U28" s="89"/>
      <c r="V28" s="360"/>
      <c r="W28" s="219">
        <v>22</v>
      </c>
      <c r="X28" s="220">
        <f t="shared" si="8"/>
        <v>0</v>
      </c>
      <c r="Y28" s="220">
        <f t="shared" si="9"/>
        <v>0</v>
      </c>
      <c r="Z28" s="220">
        <f t="shared" si="10"/>
        <v>0</v>
      </c>
      <c r="AA28" s="220">
        <f t="shared" si="11"/>
        <v>0</v>
      </c>
      <c r="AB28" s="220">
        <f t="shared" si="12"/>
        <v>0</v>
      </c>
      <c r="AC28" s="220">
        <f t="shared" si="13"/>
        <v>0</v>
      </c>
      <c r="AD28" s="220">
        <f t="shared" si="14"/>
        <v>0</v>
      </c>
      <c r="AE28" s="220">
        <f t="shared" si="0"/>
        <v>0</v>
      </c>
      <c r="AF28" s="233">
        <f t="shared" si="1"/>
        <v>0</v>
      </c>
      <c r="AG28" s="219" t="str">
        <f>IF(C28="","",VLOOKUP(C28,Funcionários!$C$7:$D$36,2,0))</f>
        <v/>
      </c>
      <c r="AN28" s="219" t="str">
        <f t="shared" si="15"/>
        <v/>
      </c>
      <c r="AO28" s="219" t="str">
        <f t="shared" si="2"/>
        <v/>
      </c>
      <c r="AP28" s="219" t="str">
        <f t="shared" si="3"/>
        <v/>
      </c>
      <c r="AQ28" s="219" t="str">
        <f t="shared" si="4"/>
        <v/>
      </c>
      <c r="AR28" s="219" t="str">
        <f t="shared" si="5"/>
        <v/>
      </c>
      <c r="AS28" s="219" t="str">
        <f t="shared" si="6"/>
        <v/>
      </c>
      <c r="AT28" s="219" t="str">
        <f t="shared" si="7"/>
        <v/>
      </c>
      <c r="AY28" s="219"/>
      <c r="BA28" s="221"/>
      <c r="BB28" s="221"/>
      <c r="BC28" s="221"/>
    </row>
    <row r="29" spans="3:55" ht="30" customHeight="1" thickTop="1" thickBot="1" x14ac:dyDescent="0.25">
      <c r="C29" s="64" t="str">
        <f>IF(Funcionários!C28=0,"",Funcionários!C28)</f>
        <v/>
      </c>
      <c r="D29" s="90"/>
      <c r="E29" s="136"/>
      <c r="F29" s="89"/>
      <c r="G29" s="133"/>
      <c r="H29" s="134"/>
      <c r="I29" s="91"/>
      <c r="J29" s="358"/>
      <c r="K29" s="91"/>
      <c r="L29" s="358"/>
      <c r="M29" s="91"/>
      <c r="N29" s="358"/>
      <c r="O29" s="91"/>
      <c r="P29" s="358"/>
      <c r="Q29" s="91"/>
      <c r="R29" s="358"/>
      <c r="S29" s="91"/>
      <c r="T29" s="358"/>
      <c r="U29" s="91"/>
      <c r="V29" s="358"/>
      <c r="W29" s="219">
        <v>23</v>
      </c>
      <c r="X29" s="220">
        <f t="shared" si="8"/>
        <v>0</v>
      </c>
      <c r="Y29" s="220">
        <f t="shared" si="9"/>
        <v>0</v>
      </c>
      <c r="Z29" s="220">
        <f t="shared" si="10"/>
        <v>0</v>
      </c>
      <c r="AA29" s="220">
        <f t="shared" si="11"/>
        <v>0</v>
      </c>
      <c r="AB29" s="220">
        <f t="shared" si="12"/>
        <v>0</v>
      </c>
      <c r="AC29" s="220">
        <f t="shared" si="13"/>
        <v>0</v>
      </c>
      <c r="AD29" s="220">
        <f t="shared" si="14"/>
        <v>0</v>
      </c>
      <c r="AE29" s="220">
        <f t="shared" si="0"/>
        <v>0</v>
      </c>
      <c r="AF29" s="233">
        <f t="shared" si="1"/>
        <v>0</v>
      </c>
      <c r="AG29" s="219" t="str">
        <f>IF(C29="","",VLOOKUP(C29,Funcionários!$C$7:$D$36,2,0))</f>
        <v/>
      </c>
      <c r="AN29" s="219" t="str">
        <f t="shared" si="15"/>
        <v/>
      </c>
      <c r="AO29" s="219" t="str">
        <f t="shared" si="2"/>
        <v/>
      </c>
      <c r="AP29" s="219" t="str">
        <f t="shared" si="3"/>
        <v/>
      </c>
      <c r="AQ29" s="219" t="str">
        <f t="shared" si="4"/>
        <v/>
      </c>
      <c r="AR29" s="219" t="str">
        <f t="shared" si="5"/>
        <v/>
      </c>
      <c r="AS29" s="219" t="str">
        <f t="shared" si="6"/>
        <v/>
      </c>
      <c r="AT29" s="219" t="str">
        <f t="shared" si="7"/>
        <v/>
      </c>
      <c r="AY29" s="219"/>
      <c r="BA29" s="221"/>
      <c r="BB29" s="221"/>
      <c r="BC29" s="221"/>
    </row>
    <row r="30" spans="3:55" ht="30" customHeight="1" thickTop="1" thickBot="1" x14ac:dyDescent="0.25">
      <c r="C30" s="64" t="str">
        <f>IF(Funcionários!C29=0,"",Funcionários!C29)</f>
        <v/>
      </c>
      <c r="D30" s="90"/>
      <c r="E30" s="136"/>
      <c r="F30" s="89"/>
      <c r="G30" s="133"/>
      <c r="H30" s="134"/>
      <c r="I30" s="89"/>
      <c r="J30" s="360"/>
      <c r="K30" s="89"/>
      <c r="L30" s="360"/>
      <c r="M30" s="89"/>
      <c r="N30" s="360"/>
      <c r="O30" s="89"/>
      <c r="P30" s="360"/>
      <c r="Q30" s="89"/>
      <c r="R30" s="360"/>
      <c r="S30" s="89"/>
      <c r="T30" s="360"/>
      <c r="U30" s="89"/>
      <c r="V30" s="360"/>
      <c r="W30" s="219">
        <v>24</v>
      </c>
      <c r="X30" s="220">
        <f t="shared" si="8"/>
        <v>0</v>
      </c>
      <c r="Y30" s="220">
        <f t="shared" si="9"/>
        <v>0</v>
      </c>
      <c r="Z30" s="220">
        <f t="shared" si="10"/>
        <v>0</v>
      </c>
      <c r="AA30" s="220">
        <f t="shared" si="11"/>
        <v>0</v>
      </c>
      <c r="AB30" s="220">
        <f t="shared" si="12"/>
        <v>0</v>
      </c>
      <c r="AC30" s="220">
        <f t="shared" si="13"/>
        <v>0</v>
      </c>
      <c r="AD30" s="220">
        <f t="shared" si="14"/>
        <v>0</v>
      </c>
      <c r="AE30" s="220">
        <f t="shared" si="0"/>
        <v>0</v>
      </c>
      <c r="AF30" s="233">
        <f t="shared" si="1"/>
        <v>0</v>
      </c>
      <c r="AG30" s="219" t="str">
        <f>IF(C30="","",VLOOKUP(C30,Funcionários!$C$7:$D$36,2,0))</f>
        <v/>
      </c>
      <c r="AN30" s="219" t="str">
        <f t="shared" si="15"/>
        <v/>
      </c>
      <c r="AO30" s="219" t="str">
        <f t="shared" si="2"/>
        <v/>
      </c>
      <c r="AP30" s="219" t="str">
        <f t="shared" si="3"/>
        <v/>
      </c>
      <c r="AQ30" s="219" t="str">
        <f t="shared" si="4"/>
        <v/>
      </c>
      <c r="AR30" s="219" t="str">
        <f t="shared" si="5"/>
        <v/>
      </c>
      <c r="AS30" s="219" t="str">
        <f t="shared" si="6"/>
        <v/>
      </c>
      <c r="AT30" s="219" t="str">
        <f t="shared" si="7"/>
        <v/>
      </c>
      <c r="AY30" s="219"/>
      <c r="BA30" s="221"/>
      <c r="BB30" s="221"/>
      <c r="BC30" s="221"/>
    </row>
    <row r="31" spans="3:55" ht="30" customHeight="1" thickTop="1" thickBot="1" x14ac:dyDescent="0.25">
      <c r="C31" s="64" t="str">
        <f>IF(Funcionários!C30=0,"",Funcionários!C30)</f>
        <v/>
      </c>
      <c r="D31" s="90"/>
      <c r="E31" s="136"/>
      <c r="F31" s="89"/>
      <c r="G31" s="133"/>
      <c r="H31" s="134"/>
      <c r="I31" s="89"/>
      <c r="J31" s="360"/>
      <c r="K31" s="89"/>
      <c r="L31" s="360"/>
      <c r="M31" s="89"/>
      <c r="N31" s="360"/>
      <c r="O31" s="89"/>
      <c r="P31" s="360"/>
      <c r="Q31" s="89"/>
      <c r="R31" s="360"/>
      <c r="S31" s="89"/>
      <c r="T31" s="360"/>
      <c r="U31" s="89"/>
      <c r="V31" s="360"/>
      <c r="W31" s="219">
        <v>25</v>
      </c>
      <c r="X31" s="220">
        <f t="shared" si="8"/>
        <v>0</v>
      </c>
      <c r="Y31" s="220">
        <f t="shared" si="9"/>
        <v>0</v>
      </c>
      <c r="Z31" s="220">
        <f t="shared" si="10"/>
        <v>0</v>
      </c>
      <c r="AA31" s="220">
        <f t="shared" si="11"/>
        <v>0</v>
      </c>
      <c r="AB31" s="220">
        <f t="shared" si="12"/>
        <v>0</v>
      </c>
      <c r="AC31" s="220">
        <f t="shared" si="13"/>
        <v>0</v>
      </c>
      <c r="AD31" s="220">
        <f t="shared" si="14"/>
        <v>0</v>
      </c>
      <c r="AE31" s="220">
        <f t="shared" si="0"/>
        <v>0</v>
      </c>
      <c r="AF31" s="233">
        <f t="shared" si="1"/>
        <v>0</v>
      </c>
      <c r="AG31" s="219" t="str">
        <f>IF(C31="","",VLOOKUP(C31,Funcionários!$C$7:$D$36,2,0))</f>
        <v/>
      </c>
      <c r="AN31" s="219" t="str">
        <f t="shared" si="15"/>
        <v/>
      </c>
      <c r="AO31" s="219" t="str">
        <f t="shared" si="2"/>
        <v/>
      </c>
      <c r="AP31" s="219" t="str">
        <f t="shared" si="3"/>
        <v/>
      </c>
      <c r="AQ31" s="219" t="str">
        <f t="shared" si="4"/>
        <v/>
      </c>
      <c r="AR31" s="219" t="str">
        <f t="shared" si="5"/>
        <v/>
      </c>
      <c r="AS31" s="219" t="str">
        <f t="shared" si="6"/>
        <v/>
      </c>
      <c r="AT31" s="219" t="str">
        <f t="shared" si="7"/>
        <v/>
      </c>
      <c r="AY31" s="219"/>
      <c r="BA31" s="221"/>
      <c r="BB31" s="221"/>
      <c r="BC31" s="221"/>
    </row>
    <row r="32" spans="3:55" ht="30" customHeight="1" thickTop="1" thickBot="1" x14ac:dyDescent="0.25">
      <c r="C32" s="64" t="str">
        <f>IF(Funcionários!C31=0,"",Funcionários!C31)</f>
        <v/>
      </c>
      <c r="D32" s="90"/>
      <c r="E32" s="136"/>
      <c r="F32" s="89"/>
      <c r="G32" s="133"/>
      <c r="H32" s="134"/>
      <c r="I32" s="89"/>
      <c r="J32" s="360"/>
      <c r="K32" s="89"/>
      <c r="L32" s="360"/>
      <c r="M32" s="89"/>
      <c r="N32" s="360"/>
      <c r="O32" s="89"/>
      <c r="P32" s="360"/>
      <c r="Q32" s="89"/>
      <c r="R32" s="360"/>
      <c r="S32" s="89"/>
      <c r="T32" s="360"/>
      <c r="U32" s="89"/>
      <c r="V32" s="360"/>
      <c r="W32" s="219">
        <v>26</v>
      </c>
      <c r="X32" s="220">
        <f t="shared" si="8"/>
        <v>0</v>
      </c>
      <c r="Y32" s="220">
        <f t="shared" si="9"/>
        <v>0</v>
      </c>
      <c r="Z32" s="220">
        <f t="shared" si="10"/>
        <v>0</v>
      </c>
      <c r="AA32" s="220">
        <f t="shared" si="11"/>
        <v>0</v>
      </c>
      <c r="AB32" s="220">
        <f t="shared" si="12"/>
        <v>0</v>
      </c>
      <c r="AC32" s="220">
        <f t="shared" si="13"/>
        <v>0</v>
      </c>
      <c r="AD32" s="220">
        <f t="shared" si="14"/>
        <v>0</v>
      </c>
      <c r="AE32" s="220">
        <f t="shared" si="0"/>
        <v>0</v>
      </c>
      <c r="AF32" s="233">
        <f t="shared" si="1"/>
        <v>0</v>
      </c>
      <c r="AG32" s="219" t="str">
        <f>IF(C32="","",VLOOKUP(C32,Funcionários!$C$7:$D$36,2,0))</f>
        <v/>
      </c>
      <c r="AN32" s="219" t="str">
        <f t="shared" si="15"/>
        <v/>
      </c>
      <c r="AO32" s="219" t="str">
        <f t="shared" si="2"/>
        <v/>
      </c>
      <c r="AP32" s="219" t="str">
        <f t="shared" si="3"/>
        <v/>
      </c>
      <c r="AQ32" s="219" t="str">
        <f t="shared" si="4"/>
        <v/>
      </c>
      <c r="AR32" s="219" t="str">
        <f t="shared" si="5"/>
        <v/>
      </c>
      <c r="AS32" s="219" t="str">
        <f t="shared" si="6"/>
        <v/>
      </c>
      <c r="AT32" s="219" t="str">
        <f t="shared" si="7"/>
        <v/>
      </c>
      <c r="AY32" s="219"/>
      <c r="BA32" s="221"/>
      <c r="BB32" s="221"/>
      <c r="BC32" s="221"/>
    </row>
    <row r="33" spans="3:55" ht="30" customHeight="1" thickTop="1" thickBot="1" x14ac:dyDescent="0.25">
      <c r="C33" s="64" t="str">
        <f>IF(Funcionários!C32=0,"",Funcionários!C32)</f>
        <v/>
      </c>
      <c r="D33" s="90"/>
      <c r="E33" s="136"/>
      <c r="F33" s="89"/>
      <c r="G33" s="133"/>
      <c r="H33" s="134"/>
      <c r="I33" s="89"/>
      <c r="J33" s="360"/>
      <c r="K33" s="89"/>
      <c r="L33" s="360"/>
      <c r="M33" s="89"/>
      <c r="N33" s="360"/>
      <c r="O33" s="89"/>
      <c r="P33" s="360"/>
      <c r="Q33" s="89"/>
      <c r="R33" s="360"/>
      <c r="S33" s="89"/>
      <c r="T33" s="360"/>
      <c r="U33" s="89"/>
      <c r="V33" s="360"/>
      <c r="W33" s="219">
        <v>27</v>
      </c>
      <c r="X33" s="220">
        <f t="shared" si="8"/>
        <v>0</v>
      </c>
      <c r="Y33" s="220">
        <f t="shared" si="9"/>
        <v>0</v>
      </c>
      <c r="Z33" s="220">
        <f t="shared" si="10"/>
        <v>0</v>
      </c>
      <c r="AA33" s="220">
        <f t="shared" si="11"/>
        <v>0</v>
      </c>
      <c r="AB33" s="220">
        <f t="shared" si="12"/>
        <v>0</v>
      </c>
      <c r="AC33" s="220">
        <f t="shared" si="13"/>
        <v>0</v>
      </c>
      <c r="AD33" s="220">
        <f t="shared" si="14"/>
        <v>0</v>
      </c>
      <c r="AE33" s="220">
        <f t="shared" si="0"/>
        <v>0</v>
      </c>
      <c r="AF33" s="233">
        <f t="shared" si="1"/>
        <v>0</v>
      </c>
      <c r="AG33" s="219" t="str">
        <f>IF(C33="","",VLOOKUP(C33,Funcionários!$C$7:$D$36,2,0))</f>
        <v/>
      </c>
      <c r="AN33" s="219" t="str">
        <f t="shared" si="15"/>
        <v/>
      </c>
      <c r="AO33" s="219" t="str">
        <f t="shared" si="2"/>
        <v/>
      </c>
      <c r="AP33" s="219" t="str">
        <f t="shared" si="3"/>
        <v/>
      </c>
      <c r="AQ33" s="219" t="str">
        <f t="shared" si="4"/>
        <v/>
      </c>
      <c r="AR33" s="219" t="str">
        <f t="shared" si="5"/>
        <v/>
      </c>
      <c r="AS33" s="219" t="str">
        <f t="shared" si="6"/>
        <v/>
      </c>
      <c r="AT33" s="219" t="str">
        <f t="shared" si="7"/>
        <v/>
      </c>
      <c r="AY33" s="219"/>
      <c r="BA33" s="221"/>
      <c r="BB33" s="221"/>
      <c r="BC33" s="221"/>
    </row>
    <row r="34" spans="3:55" ht="30" customHeight="1" thickTop="1" thickBot="1" x14ac:dyDescent="0.25">
      <c r="C34" s="64" t="str">
        <f>IF(Funcionários!C33=0,"",Funcionários!C33)</f>
        <v/>
      </c>
      <c r="D34" s="90"/>
      <c r="E34" s="136"/>
      <c r="F34" s="89"/>
      <c r="G34" s="133"/>
      <c r="H34" s="134"/>
      <c r="I34" s="89"/>
      <c r="J34" s="360"/>
      <c r="K34" s="89"/>
      <c r="L34" s="360"/>
      <c r="M34" s="89"/>
      <c r="N34" s="360"/>
      <c r="O34" s="89"/>
      <c r="P34" s="360"/>
      <c r="Q34" s="89"/>
      <c r="R34" s="360"/>
      <c r="S34" s="89"/>
      <c r="T34" s="360"/>
      <c r="U34" s="89"/>
      <c r="V34" s="360"/>
      <c r="W34" s="219">
        <v>28</v>
      </c>
      <c r="X34" s="220">
        <f t="shared" si="8"/>
        <v>0</v>
      </c>
      <c r="Y34" s="220">
        <f t="shared" si="9"/>
        <v>0</v>
      </c>
      <c r="Z34" s="220">
        <f t="shared" si="10"/>
        <v>0</v>
      </c>
      <c r="AA34" s="220">
        <f t="shared" si="11"/>
        <v>0</v>
      </c>
      <c r="AB34" s="220">
        <f t="shared" si="12"/>
        <v>0</v>
      </c>
      <c r="AC34" s="220">
        <f t="shared" si="13"/>
        <v>0</v>
      </c>
      <c r="AD34" s="220">
        <f t="shared" si="14"/>
        <v>0</v>
      </c>
      <c r="AE34" s="220">
        <f t="shared" si="0"/>
        <v>0</v>
      </c>
      <c r="AF34" s="233">
        <f t="shared" si="1"/>
        <v>0</v>
      </c>
      <c r="AG34" s="219" t="str">
        <f>IF(C34="","",VLOOKUP(C34,Funcionários!$C$7:$D$36,2,0))</f>
        <v/>
      </c>
      <c r="AN34" s="219" t="str">
        <f t="shared" si="15"/>
        <v/>
      </c>
      <c r="AO34" s="219" t="str">
        <f t="shared" si="2"/>
        <v/>
      </c>
      <c r="AP34" s="219" t="str">
        <f t="shared" si="3"/>
        <v/>
      </c>
      <c r="AQ34" s="219" t="str">
        <f t="shared" si="4"/>
        <v/>
      </c>
      <c r="AR34" s="219" t="str">
        <f t="shared" si="5"/>
        <v/>
      </c>
      <c r="AS34" s="219" t="str">
        <f t="shared" si="6"/>
        <v/>
      </c>
      <c r="AT34" s="219" t="str">
        <f t="shared" si="7"/>
        <v/>
      </c>
      <c r="AY34" s="219"/>
      <c r="BA34" s="221"/>
      <c r="BB34" s="221"/>
      <c r="BC34" s="221"/>
    </row>
    <row r="35" spans="3:55" ht="30" customHeight="1" thickTop="1" thickBot="1" x14ac:dyDescent="0.25">
      <c r="C35" s="64" t="str">
        <f>IF(Funcionários!C34=0,"",Funcionários!C34)</f>
        <v/>
      </c>
      <c r="D35" s="90"/>
      <c r="E35" s="136"/>
      <c r="F35" s="89"/>
      <c r="G35" s="133"/>
      <c r="H35" s="134"/>
      <c r="I35" s="89"/>
      <c r="J35" s="360"/>
      <c r="K35" s="89"/>
      <c r="L35" s="360"/>
      <c r="M35" s="89"/>
      <c r="N35" s="360"/>
      <c r="O35" s="89"/>
      <c r="P35" s="360"/>
      <c r="Q35" s="89"/>
      <c r="R35" s="360"/>
      <c r="S35" s="89"/>
      <c r="T35" s="360"/>
      <c r="U35" s="89"/>
      <c r="V35" s="360"/>
      <c r="W35" s="219">
        <v>29</v>
      </c>
      <c r="X35" s="220">
        <f t="shared" si="8"/>
        <v>0</v>
      </c>
      <c r="Y35" s="220">
        <f t="shared" si="9"/>
        <v>0</v>
      </c>
      <c r="Z35" s="220">
        <f t="shared" si="10"/>
        <v>0</v>
      </c>
      <c r="AA35" s="220">
        <f t="shared" si="11"/>
        <v>0</v>
      </c>
      <c r="AB35" s="220">
        <f t="shared" si="12"/>
        <v>0</v>
      </c>
      <c r="AC35" s="220">
        <f t="shared" si="13"/>
        <v>0</v>
      </c>
      <c r="AD35" s="220">
        <f t="shared" si="14"/>
        <v>0</v>
      </c>
      <c r="AE35" s="220">
        <f t="shared" si="0"/>
        <v>0</v>
      </c>
      <c r="AF35" s="233">
        <f t="shared" si="1"/>
        <v>0</v>
      </c>
      <c r="AG35" s="219" t="str">
        <f>IF(C35="","",VLOOKUP(C35,Funcionários!$C$7:$D$36,2,0))</f>
        <v/>
      </c>
      <c r="AN35" s="219" t="str">
        <f t="shared" si="15"/>
        <v/>
      </c>
      <c r="AO35" s="219" t="str">
        <f t="shared" si="2"/>
        <v/>
      </c>
      <c r="AP35" s="219" t="str">
        <f t="shared" si="3"/>
        <v/>
      </c>
      <c r="AQ35" s="219" t="str">
        <f t="shared" si="4"/>
        <v/>
      </c>
      <c r="AR35" s="219" t="str">
        <f t="shared" si="5"/>
        <v/>
      </c>
      <c r="AS35" s="219" t="str">
        <f t="shared" si="6"/>
        <v/>
      </c>
      <c r="AT35" s="219" t="str">
        <f t="shared" si="7"/>
        <v/>
      </c>
      <c r="AY35" s="219"/>
      <c r="BA35" s="221"/>
      <c r="BB35" s="221"/>
      <c r="BC35" s="221"/>
    </row>
    <row r="36" spans="3:55" ht="30" customHeight="1" thickTop="1" thickBot="1" x14ac:dyDescent="0.25">
      <c r="C36" s="64" t="str">
        <f>IF(Funcionários!C35=0,"",Funcionários!C35)</f>
        <v/>
      </c>
      <c r="D36" s="90"/>
      <c r="E36" s="136"/>
      <c r="F36" s="89"/>
      <c r="G36" s="133"/>
      <c r="H36" s="134"/>
      <c r="I36" s="89"/>
      <c r="J36" s="360"/>
      <c r="K36" s="89"/>
      <c r="L36" s="360"/>
      <c r="M36" s="89"/>
      <c r="N36" s="360"/>
      <c r="O36" s="89"/>
      <c r="P36" s="360"/>
      <c r="Q36" s="89"/>
      <c r="R36" s="360"/>
      <c r="S36" s="89"/>
      <c r="T36" s="360"/>
      <c r="U36" s="89"/>
      <c r="V36" s="360"/>
      <c r="W36" s="219">
        <v>30</v>
      </c>
      <c r="X36" s="220">
        <f t="shared" si="8"/>
        <v>0</v>
      </c>
      <c r="Y36" s="220">
        <f t="shared" si="9"/>
        <v>0</v>
      </c>
      <c r="Z36" s="220">
        <f t="shared" si="10"/>
        <v>0</v>
      </c>
      <c r="AA36" s="220">
        <f t="shared" si="11"/>
        <v>0</v>
      </c>
      <c r="AB36" s="220">
        <f t="shared" si="12"/>
        <v>0</v>
      </c>
      <c r="AC36" s="220">
        <f t="shared" si="13"/>
        <v>0</v>
      </c>
      <c r="AD36" s="220">
        <f t="shared" si="14"/>
        <v>0</v>
      </c>
      <c r="AE36" s="220">
        <f t="shared" si="0"/>
        <v>0</v>
      </c>
      <c r="AF36" s="233">
        <f t="shared" si="1"/>
        <v>0</v>
      </c>
      <c r="AG36" s="219" t="str">
        <f>IF(C36="","",VLOOKUP(C36,Funcionários!$C$7:$D$36,2,0))</f>
        <v/>
      </c>
      <c r="AN36" s="219" t="str">
        <f t="shared" si="15"/>
        <v/>
      </c>
      <c r="AO36" s="219" t="str">
        <f t="shared" si="2"/>
        <v/>
      </c>
      <c r="AP36" s="219" t="str">
        <f t="shared" si="3"/>
        <v/>
      </c>
      <c r="AQ36" s="219" t="str">
        <f t="shared" si="4"/>
        <v/>
      </c>
      <c r="AR36" s="219" t="str">
        <f t="shared" si="5"/>
        <v/>
      </c>
      <c r="AS36" s="219" t="str">
        <f t="shared" si="6"/>
        <v/>
      </c>
      <c r="AT36" s="219" t="str">
        <f t="shared" si="7"/>
        <v/>
      </c>
      <c r="AY36" s="219"/>
      <c r="BA36" s="221"/>
      <c r="BB36" s="221"/>
      <c r="BC36" s="221"/>
    </row>
    <row r="37" spans="3:55" ht="30" customHeight="1" thickTop="1" thickBot="1" x14ac:dyDescent="0.25">
      <c r="C37" s="64" t="str">
        <f>IF(Funcionários!C36=0,"",Funcionários!C36)</f>
        <v/>
      </c>
      <c r="D37" s="90"/>
      <c r="E37" s="136"/>
      <c r="F37" s="89"/>
      <c r="G37" s="133"/>
      <c r="H37" s="134"/>
      <c r="I37" s="89"/>
      <c r="J37" s="360"/>
      <c r="K37" s="89"/>
      <c r="L37" s="360"/>
      <c r="M37" s="89"/>
      <c r="N37" s="360"/>
      <c r="O37" s="89"/>
      <c r="P37" s="360"/>
      <c r="Q37" s="89"/>
      <c r="R37" s="360"/>
      <c r="S37" s="89"/>
      <c r="T37" s="360"/>
      <c r="U37" s="89"/>
      <c r="V37" s="360"/>
      <c r="W37" s="219">
        <v>31</v>
      </c>
      <c r="X37" s="220">
        <f t="shared" si="8"/>
        <v>0</v>
      </c>
      <c r="Y37" s="220">
        <f t="shared" si="9"/>
        <v>0</v>
      </c>
      <c r="Z37" s="220">
        <f t="shared" si="10"/>
        <v>0</v>
      </c>
      <c r="AA37" s="220">
        <f t="shared" si="11"/>
        <v>0</v>
      </c>
      <c r="AB37" s="220">
        <f t="shared" si="12"/>
        <v>0</v>
      </c>
      <c r="AC37" s="220">
        <f t="shared" si="13"/>
        <v>0</v>
      </c>
      <c r="AD37" s="220">
        <f t="shared" si="14"/>
        <v>0</v>
      </c>
      <c r="AE37" s="220">
        <f t="shared" si="0"/>
        <v>0</v>
      </c>
      <c r="AF37" s="233">
        <f t="shared" si="1"/>
        <v>0</v>
      </c>
      <c r="AG37" s="219" t="str">
        <f>IF(C37="","",VLOOKUP(C37,Funcionários!$C$7:$D$36,2,0))</f>
        <v/>
      </c>
      <c r="AN37" s="219" t="str">
        <f t="shared" si="15"/>
        <v/>
      </c>
      <c r="AO37" s="219" t="str">
        <f t="shared" si="2"/>
        <v/>
      </c>
      <c r="AP37" s="219" t="str">
        <f t="shared" si="3"/>
        <v/>
      </c>
      <c r="AQ37" s="219" t="str">
        <f t="shared" si="4"/>
        <v/>
      </c>
      <c r="AR37" s="219" t="str">
        <f t="shared" si="5"/>
        <v/>
      </c>
      <c r="AS37" s="219" t="str">
        <f t="shared" si="6"/>
        <v/>
      </c>
      <c r="AT37" s="219" t="str">
        <f t="shared" si="7"/>
        <v/>
      </c>
      <c r="AY37" s="219"/>
      <c r="BA37" s="221"/>
      <c r="BB37" s="221"/>
      <c r="BC37" s="221"/>
    </row>
    <row r="38" spans="3:55" ht="15" customHeight="1" thickTop="1" x14ac:dyDescent="0.2">
      <c r="I38" s="2" t="s">
        <v>302</v>
      </c>
      <c r="J38" s="229" t="s">
        <v>302</v>
      </c>
      <c r="K38" s="2" t="s">
        <v>302</v>
      </c>
      <c r="L38" s="229" t="s">
        <v>302</v>
      </c>
      <c r="M38" s="2" t="s">
        <v>302</v>
      </c>
      <c r="N38" s="229" t="s">
        <v>302</v>
      </c>
      <c r="O38" s="2" t="s">
        <v>302</v>
      </c>
      <c r="P38" s="229" t="s">
        <v>302</v>
      </c>
      <c r="Q38" s="2" t="s">
        <v>302</v>
      </c>
      <c r="R38" s="229" t="s">
        <v>302</v>
      </c>
      <c r="S38" s="2" t="s">
        <v>302</v>
      </c>
      <c r="T38" s="229" t="s">
        <v>302</v>
      </c>
      <c r="U38" s="2" t="s">
        <v>302</v>
      </c>
      <c r="V38" s="229" t="s">
        <v>302</v>
      </c>
      <c r="W38" s="219" t="s">
        <v>302</v>
      </c>
      <c r="X38" s="230"/>
      <c r="Y38" s="230"/>
      <c r="Z38" s="230"/>
      <c r="AA38" s="230"/>
      <c r="AB38" s="230"/>
      <c r="AC38" s="230"/>
      <c r="AD38" s="230"/>
    </row>
    <row r="39" spans="3:55" ht="15" customHeight="1" x14ac:dyDescent="0.2">
      <c r="J39" s="216"/>
      <c r="L39" s="216"/>
      <c r="M39"/>
      <c r="N39" s="216"/>
      <c r="P39" s="216"/>
      <c r="R39" s="216"/>
      <c r="T39" s="216"/>
      <c r="V39" s="216"/>
    </row>
    <row r="40" spans="3:55" ht="15" customHeight="1" x14ac:dyDescent="0.2">
      <c r="J40" s="216"/>
      <c r="L40" s="216"/>
      <c r="M40"/>
      <c r="N40" s="216"/>
      <c r="P40" s="216"/>
      <c r="R40" s="216"/>
      <c r="T40" s="216"/>
      <c r="V40" s="216"/>
    </row>
    <row r="41" spans="3:55" ht="15" customHeight="1" x14ac:dyDescent="0.2">
      <c r="J41" s="216"/>
      <c r="L41" s="216"/>
      <c r="M41"/>
      <c r="N41" s="216"/>
      <c r="P41" s="216"/>
      <c r="R41" s="216"/>
      <c r="T41" s="216"/>
      <c r="V41" s="216"/>
    </row>
    <row r="42" spans="3:55" ht="15" customHeight="1" x14ac:dyDescent="0.2">
      <c r="J42" s="216"/>
      <c r="L42" s="216"/>
      <c r="M42"/>
      <c r="N42" s="216"/>
      <c r="P42" s="216"/>
      <c r="R42" s="216"/>
      <c r="T42" s="216"/>
      <c r="V42" s="216"/>
    </row>
    <row r="43" spans="3:55" ht="15" customHeight="1" x14ac:dyDescent="0.2">
      <c r="J43" s="216"/>
      <c r="L43" s="216"/>
      <c r="M43"/>
      <c r="N43" s="216"/>
      <c r="P43" s="216"/>
      <c r="R43" s="216"/>
      <c r="T43" s="216"/>
      <c r="V43" s="216"/>
    </row>
    <row r="44" spans="3:55" ht="15" customHeight="1" x14ac:dyDescent="0.2">
      <c r="J44" s="216"/>
      <c r="L44" s="216"/>
      <c r="M44"/>
      <c r="N44" s="216"/>
      <c r="P44" s="216"/>
      <c r="R44" s="216"/>
      <c r="T44" s="216"/>
      <c r="V44" s="216"/>
    </row>
    <row r="45" spans="3:55" ht="15" customHeight="1" x14ac:dyDescent="0.2">
      <c r="J45" s="216"/>
      <c r="L45" s="216"/>
      <c r="M45"/>
      <c r="N45" s="216"/>
      <c r="P45" s="216"/>
      <c r="R45" s="216"/>
      <c r="T45" s="216"/>
      <c r="V45" s="216"/>
    </row>
    <row r="46" spans="3:55" ht="15" customHeight="1" x14ac:dyDescent="0.2">
      <c r="J46" s="216"/>
      <c r="L46" s="216"/>
      <c r="M46"/>
      <c r="N46" s="216"/>
      <c r="P46" s="216"/>
      <c r="R46" s="216"/>
      <c r="T46" s="216"/>
      <c r="V46" s="216"/>
    </row>
    <row r="47" spans="3:55" ht="15" customHeight="1" x14ac:dyDescent="0.2">
      <c r="J47" s="216"/>
      <c r="L47" s="216"/>
      <c r="M47"/>
      <c r="N47" s="216"/>
      <c r="P47" s="216"/>
      <c r="R47" s="216"/>
      <c r="T47" s="216"/>
      <c r="V47" s="216"/>
    </row>
    <row r="48" spans="3:55" ht="15" customHeight="1" x14ac:dyDescent="0.2">
      <c r="J48" s="216"/>
      <c r="L48" s="216"/>
      <c r="M48"/>
      <c r="N48" s="216"/>
      <c r="P48" s="216"/>
      <c r="R48" s="216"/>
      <c r="T48" s="216"/>
      <c r="V48" s="216"/>
    </row>
    <row r="49" spans="10:22" ht="15" customHeight="1" x14ac:dyDescent="0.2">
      <c r="J49" s="216"/>
      <c r="L49" s="216"/>
      <c r="M49"/>
      <c r="N49" s="216"/>
      <c r="P49" s="216"/>
      <c r="R49" s="216"/>
      <c r="T49" s="216"/>
      <c r="V49" s="216"/>
    </row>
    <row r="50" spans="10:22" ht="15" customHeight="1" x14ac:dyDescent="0.2">
      <c r="J50" s="216"/>
      <c r="L50" s="216"/>
      <c r="M50"/>
      <c r="N50" s="216"/>
      <c r="P50" s="216"/>
      <c r="R50" s="216"/>
      <c r="T50" s="216"/>
      <c r="V50" s="216"/>
    </row>
    <row r="51" spans="10:22" ht="15" customHeight="1" x14ac:dyDescent="0.2">
      <c r="J51" s="216"/>
      <c r="L51" s="216"/>
      <c r="M51"/>
      <c r="N51" s="216"/>
      <c r="P51" s="216"/>
      <c r="R51" s="216"/>
      <c r="T51" s="216"/>
      <c r="V51" s="216"/>
    </row>
    <row r="52" spans="10:22" ht="15" customHeight="1" x14ac:dyDescent="0.2">
      <c r="J52" s="216"/>
      <c r="L52" s="216"/>
      <c r="M52"/>
      <c r="N52" s="216"/>
      <c r="P52" s="216"/>
      <c r="R52" s="216"/>
      <c r="T52" s="216"/>
      <c r="V52" s="216"/>
    </row>
    <row r="53" spans="10:22" ht="15" customHeight="1" x14ac:dyDescent="0.2">
      <c r="J53" s="216"/>
      <c r="L53" s="216"/>
      <c r="M53"/>
      <c r="N53" s="216"/>
      <c r="P53" s="216"/>
      <c r="R53" s="216"/>
      <c r="T53" s="216"/>
      <c r="V53" s="216"/>
    </row>
    <row r="54" spans="10:22" ht="15" customHeight="1" x14ac:dyDescent="0.2">
      <c r="J54" s="216"/>
      <c r="L54" s="216"/>
      <c r="M54"/>
      <c r="N54" s="216"/>
      <c r="P54" s="216"/>
      <c r="R54" s="216"/>
      <c r="T54" s="216"/>
      <c r="V54" s="216"/>
    </row>
    <row r="55" spans="10:22" ht="15" customHeight="1" x14ac:dyDescent="0.2">
      <c r="J55" s="216"/>
      <c r="L55" s="216"/>
      <c r="M55"/>
      <c r="N55" s="216"/>
      <c r="P55" s="216"/>
      <c r="R55" s="216"/>
      <c r="T55" s="216"/>
      <c r="V55" s="216"/>
    </row>
    <row r="56" spans="10:22" ht="15" customHeight="1" x14ac:dyDescent="0.2">
      <c r="J56" s="216"/>
      <c r="L56" s="216"/>
      <c r="M56"/>
      <c r="N56" s="216"/>
      <c r="P56" s="216"/>
      <c r="R56" s="216"/>
      <c r="T56" s="216"/>
      <c r="V56" s="216"/>
    </row>
    <row r="57" spans="10:22" ht="15" customHeight="1" x14ac:dyDescent="0.2">
      <c r="J57" s="216"/>
      <c r="L57" s="216"/>
      <c r="M57"/>
      <c r="N57" s="216"/>
      <c r="P57" s="216"/>
      <c r="R57" s="216"/>
      <c r="T57" s="216"/>
      <c r="V57" s="216"/>
    </row>
    <row r="58" spans="10:22" ht="15" customHeight="1" x14ac:dyDescent="0.2">
      <c r="J58" s="216"/>
      <c r="L58" s="216"/>
      <c r="M58"/>
      <c r="N58" s="216"/>
      <c r="P58" s="216"/>
      <c r="R58" s="216"/>
      <c r="T58" s="216"/>
      <c r="V58" s="216"/>
    </row>
    <row r="59" spans="10:22" ht="15" customHeight="1" x14ac:dyDescent="0.2">
      <c r="J59" s="216"/>
      <c r="L59" s="216"/>
      <c r="M59"/>
      <c r="N59" s="216"/>
      <c r="P59" s="216"/>
      <c r="R59" s="216"/>
      <c r="T59" s="216"/>
      <c r="V59" s="216"/>
    </row>
    <row r="60" spans="10:22" ht="15" customHeight="1" x14ac:dyDescent="0.2">
      <c r="J60" s="216"/>
      <c r="L60" s="216"/>
      <c r="M60"/>
      <c r="N60" s="216"/>
      <c r="P60" s="216"/>
      <c r="R60" s="216"/>
      <c r="T60" s="216"/>
      <c r="V60" s="216"/>
    </row>
    <row r="61" spans="10:22" ht="15" customHeight="1" x14ac:dyDescent="0.2">
      <c r="J61" s="216"/>
      <c r="L61" s="216"/>
      <c r="M61"/>
      <c r="N61" s="216"/>
      <c r="P61" s="216"/>
      <c r="R61" s="216"/>
      <c r="T61" s="216"/>
      <c r="V61" s="216"/>
    </row>
    <row r="62" spans="10:22" ht="15" customHeight="1" x14ac:dyDescent="0.2">
      <c r="J62" s="216"/>
      <c r="L62" s="216"/>
      <c r="M62"/>
      <c r="N62" s="216"/>
      <c r="P62" s="216"/>
      <c r="R62" s="216"/>
      <c r="T62" s="216"/>
      <c r="V62" s="216"/>
    </row>
    <row r="63" spans="10:22" ht="15" customHeight="1" x14ac:dyDescent="0.2">
      <c r="J63" s="216"/>
      <c r="L63" s="216"/>
      <c r="M63"/>
      <c r="N63" s="216"/>
      <c r="P63" s="216"/>
      <c r="R63" s="216"/>
      <c r="T63" s="216"/>
      <c r="V63" s="216"/>
    </row>
    <row r="64" spans="10:22" ht="15" customHeight="1" x14ac:dyDescent="0.2">
      <c r="J64" s="216"/>
      <c r="L64" s="216"/>
      <c r="M64"/>
      <c r="N64" s="216"/>
      <c r="P64" s="216"/>
      <c r="R64" s="216"/>
      <c r="T64" s="216"/>
      <c r="V64" s="216"/>
    </row>
    <row r="65" spans="10:22" ht="15" customHeight="1" x14ac:dyDescent="0.2">
      <c r="J65" s="216"/>
      <c r="L65" s="216"/>
      <c r="M65"/>
      <c r="N65" s="216"/>
      <c r="P65" s="216"/>
      <c r="R65" s="216"/>
      <c r="T65" s="216"/>
      <c r="V65" s="216"/>
    </row>
    <row r="66" spans="10:22" ht="15" customHeight="1" x14ac:dyDescent="0.2">
      <c r="J66" s="216"/>
      <c r="L66" s="216"/>
      <c r="M66"/>
      <c r="N66" s="216"/>
      <c r="P66" s="216"/>
      <c r="R66" s="216"/>
      <c r="T66" s="216"/>
      <c r="V66" s="216"/>
    </row>
    <row r="67" spans="10:22" ht="15" customHeight="1" x14ac:dyDescent="0.2">
      <c r="J67" s="216"/>
      <c r="L67" s="216"/>
      <c r="M67"/>
      <c r="N67" s="216"/>
      <c r="P67" s="216"/>
      <c r="R67" s="216"/>
      <c r="T67" s="216"/>
      <c r="V67" s="216"/>
    </row>
    <row r="68" spans="10:22" ht="15" customHeight="1" x14ac:dyDescent="0.2">
      <c r="J68" s="216"/>
      <c r="L68" s="216"/>
      <c r="M68"/>
      <c r="N68" s="216"/>
      <c r="P68" s="216"/>
      <c r="R68" s="216"/>
      <c r="T68" s="216"/>
      <c r="V68" s="216"/>
    </row>
    <row r="69" spans="10:22" ht="15" customHeight="1" x14ac:dyDescent="0.2">
      <c r="J69" s="216"/>
      <c r="L69" s="216"/>
      <c r="M69"/>
      <c r="N69" s="216"/>
      <c r="P69" s="216"/>
      <c r="R69" s="216"/>
      <c r="T69" s="216"/>
      <c r="V69" s="216"/>
    </row>
    <row r="70" spans="10:22" ht="15" customHeight="1" x14ac:dyDescent="0.2">
      <c r="J70" s="216"/>
      <c r="L70" s="216"/>
      <c r="M70"/>
      <c r="N70" s="216"/>
      <c r="P70" s="216"/>
      <c r="R70" s="216"/>
      <c r="T70" s="216"/>
      <c r="V70" s="216"/>
    </row>
    <row r="71" spans="10:22" ht="15" customHeight="1" x14ac:dyDescent="0.2">
      <c r="J71" s="216"/>
      <c r="L71" s="216"/>
      <c r="M71"/>
      <c r="N71" s="216"/>
      <c r="P71" s="216"/>
      <c r="R71" s="216"/>
      <c r="T71" s="216"/>
      <c r="V71" s="216"/>
    </row>
    <row r="72" spans="10:22" ht="15" customHeight="1" x14ac:dyDescent="0.2">
      <c r="J72" s="216"/>
      <c r="L72" s="216"/>
      <c r="M72"/>
      <c r="N72" s="216"/>
      <c r="P72" s="216"/>
      <c r="R72" s="216"/>
      <c r="T72" s="216"/>
      <c r="V72" s="216"/>
    </row>
    <row r="73" spans="10:22" ht="15" customHeight="1" x14ac:dyDescent="0.2">
      <c r="J73" s="216"/>
      <c r="L73" s="216"/>
      <c r="M73"/>
      <c r="N73" s="216"/>
      <c r="P73" s="216"/>
      <c r="R73" s="216"/>
      <c r="T73" s="216"/>
      <c r="V73" s="216"/>
    </row>
    <row r="74" spans="10:22" ht="15" customHeight="1" x14ac:dyDescent="0.2">
      <c r="J74" s="216"/>
      <c r="L74" s="216"/>
      <c r="M74"/>
      <c r="N74" s="216"/>
      <c r="P74" s="216"/>
      <c r="R74" s="216"/>
      <c r="T74" s="216"/>
      <c r="V74" s="216"/>
    </row>
    <row r="75" spans="10:22" ht="15" customHeight="1" x14ac:dyDescent="0.2">
      <c r="J75" s="216"/>
      <c r="L75" s="216"/>
      <c r="M75"/>
      <c r="N75" s="216"/>
      <c r="P75" s="216"/>
      <c r="R75" s="216"/>
      <c r="T75" s="216"/>
      <c r="V75" s="216"/>
    </row>
    <row r="76" spans="10:22" ht="15" customHeight="1" x14ac:dyDescent="0.2">
      <c r="J76" s="216"/>
      <c r="L76" s="216"/>
      <c r="M76"/>
      <c r="N76" s="216"/>
      <c r="P76" s="216"/>
      <c r="R76" s="216"/>
      <c r="T76" s="216"/>
      <c r="V76" s="216"/>
    </row>
    <row r="77" spans="10:22" ht="15" customHeight="1" x14ac:dyDescent="0.2">
      <c r="J77" s="216"/>
      <c r="L77" s="216"/>
      <c r="M77"/>
      <c r="N77" s="216"/>
      <c r="P77" s="216"/>
      <c r="R77" s="216"/>
      <c r="T77" s="216"/>
      <c r="V77" s="216"/>
    </row>
    <row r="78" spans="10:22" ht="15" customHeight="1" x14ac:dyDescent="0.2">
      <c r="J78" s="216"/>
      <c r="L78" s="216"/>
      <c r="M78"/>
      <c r="N78" s="216"/>
      <c r="P78" s="216"/>
      <c r="R78" s="216"/>
      <c r="T78" s="216"/>
      <c r="V78" s="216"/>
    </row>
    <row r="79" spans="10:22" ht="15" customHeight="1" x14ac:dyDescent="0.2">
      <c r="J79" s="216"/>
      <c r="L79" s="216"/>
      <c r="M79"/>
      <c r="N79" s="216"/>
      <c r="P79" s="216"/>
      <c r="R79" s="216"/>
      <c r="T79" s="216"/>
      <c r="V79" s="216"/>
    </row>
    <row r="80" spans="10:22" ht="15" customHeight="1" x14ac:dyDescent="0.2">
      <c r="J80" s="216"/>
      <c r="L80" s="216"/>
      <c r="M80"/>
      <c r="N80" s="216"/>
      <c r="P80" s="216"/>
      <c r="R80" s="216"/>
      <c r="T80" s="216"/>
      <c r="V80" s="216"/>
    </row>
    <row r="81" spans="10:22" ht="15" customHeight="1" x14ac:dyDescent="0.2">
      <c r="J81" s="216"/>
      <c r="L81" s="216"/>
      <c r="M81"/>
      <c r="N81" s="216"/>
      <c r="P81" s="216"/>
      <c r="R81" s="216"/>
      <c r="T81" s="216"/>
      <c r="V81" s="216"/>
    </row>
    <row r="82" spans="10:22" ht="15" customHeight="1" x14ac:dyDescent="0.2">
      <c r="J82" s="216"/>
      <c r="L82" s="216"/>
      <c r="M82"/>
      <c r="N82" s="216"/>
      <c r="P82" s="216"/>
      <c r="R82" s="216"/>
      <c r="T82" s="216"/>
      <c r="V82" s="216"/>
    </row>
  </sheetData>
  <sheetProtection sheet="1" objects="1" scenarios="1" selectLockedCells="1"/>
  <dataConsolidate/>
  <mergeCells count="7">
    <mergeCell ref="U6:V6"/>
    <mergeCell ref="I6:J6"/>
    <mergeCell ref="K6:L6"/>
    <mergeCell ref="M6:N6"/>
    <mergeCell ref="O6:P6"/>
    <mergeCell ref="Q6:R6"/>
    <mergeCell ref="S6:T6"/>
  </mergeCells>
  <conditionalFormatting sqref="C8:C37 F22:J37 F16:G21 I16:J21">
    <cfRule type="expression" dxfId="1523" priority="153">
      <formula>$C8=""</formula>
    </cfRule>
  </conditionalFormatting>
  <conditionalFormatting sqref="D16:E37">
    <cfRule type="expression" dxfId="1522" priority="152">
      <formula>$C16=""</formula>
    </cfRule>
  </conditionalFormatting>
  <conditionalFormatting sqref="F14:G15 I14:J21">
    <cfRule type="expression" dxfId="1521" priority="149">
      <formula>$C14=""</formula>
    </cfRule>
  </conditionalFormatting>
  <conditionalFormatting sqref="D14:E15">
    <cfRule type="expression" dxfId="1520" priority="148">
      <formula>$C14=""</formula>
    </cfRule>
  </conditionalFormatting>
  <conditionalFormatting sqref="F13:G13 H13:J21">
    <cfRule type="expression" dxfId="1519" priority="147">
      <formula>$C13=""</formula>
    </cfRule>
  </conditionalFormatting>
  <conditionalFormatting sqref="D13:E13">
    <cfRule type="expression" dxfId="1518" priority="146">
      <formula>$C13=""</formula>
    </cfRule>
  </conditionalFormatting>
  <conditionalFormatting sqref="F9:J12 F8:H8">
    <cfRule type="expression" dxfId="1517" priority="144">
      <formula>$C8=""</formula>
    </cfRule>
  </conditionalFormatting>
  <conditionalFormatting sqref="D8:E12">
    <cfRule type="expression" dxfId="1516" priority="143">
      <formula>$C8=""</formula>
    </cfRule>
  </conditionalFormatting>
  <conditionalFormatting sqref="N8:N12">
    <cfRule type="expression" dxfId="1515" priority="54">
      <formula>$C8=""</formula>
    </cfRule>
  </conditionalFormatting>
  <conditionalFormatting sqref="T13:T21">
    <cfRule type="expression" dxfId="1514" priority="43">
      <formula>$C13=""</formula>
    </cfRule>
  </conditionalFormatting>
  <conditionalFormatting sqref="R8:R12">
    <cfRule type="expression" dxfId="1513" priority="46">
      <formula>$C8=""</formula>
    </cfRule>
  </conditionalFormatting>
  <conditionalFormatting sqref="N13:N21">
    <cfRule type="expression" dxfId="1512" priority="55">
      <formula>$C13=""</formula>
    </cfRule>
  </conditionalFormatting>
  <conditionalFormatting sqref="L16:L37">
    <cfRule type="expression" dxfId="1511" priority="61">
      <formula>$C16=""</formula>
    </cfRule>
  </conditionalFormatting>
  <conditionalFormatting sqref="L14:L21">
    <cfRule type="expression" dxfId="1510" priority="60">
      <formula>$C14=""</formula>
    </cfRule>
  </conditionalFormatting>
  <conditionalFormatting sqref="L13:L21">
    <cfRule type="expression" dxfId="1509" priority="59">
      <formula>$C13=""</formula>
    </cfRule>
  </conditionalFormatting>
  <conditionalFormatting sqref="L9:L12">
    <cfRule type="expression" dxfId="1508" priority="58">
      <formula>$C9=""</formula>
    </cfRule>
  </conditionalFormatting>
  <conditionalFormatting sqref="N16:N37">
    <cfRule type="expression" dxfId="1507" priority="57">
      <formula>$C16=""</formula>
    </cfRule>
  </conditionalFormatting>
  <conditionalFormatting sqref="N14:N21">
    <cfRule type="expression" dxfId="1506" priority="56">
      <formula>$C14=""</formula>
    </cfRule>
  </conditionalFormatting>
  <conditionalFormatting sqref="P16:P37">
    <cfRule type="expression" dxfId="1505" priority="53">
      <formula>$C16=""</formula>
    </cfRule>
  </conditionalFormatting>
  <conditionalFormatting sqref="P14:P21">
    <cfRule type="expression" dxfId="1504" priority="52">
      <formula>$C14=""</formula>
    </cfRule>
  </conditionalFormatting>
  <conditionalFormatting sqref="P13:P21">
    <cfRule type="expression" dxfId="1503" priority="51">
      <formula>$C13=""</formula>
    </cfRule>
  </conditionalFormatting>
  <conditionalFormatting sqref="P8:P12">
    <cfRule type="expression" dxfId="1502" priority="50">
      <formula>$C8=""</formula>
    </cfRule>
  </conditionalFormatting>
  <conditionalFormatting sqref="R16:R37">
    <cfRule type="expression" dxfId="1501" priority="49">
      <formula>$C16=""</formula>
    </cfRule>
  </conditionalFormatting>
  <conditionalFormatting sqref="R14:R21">
    <cfRule type="expression" dxfId="1500" priority="48">
      <formula>$C14=""</formula>
    </cfRule>
  </conditionalFormatting>
  <conditionalFormatting sqref="R13:R21">
    <cfRule type="expression" dxfId="1499" priority="47">
      <formula>$C13=""</formula>
    </cfRule>
  </conditionalFormatting>
  <conditionalFormatting sqref="T16:T37">
    <cfRule type="expression" dxfId="1498" priority="45">
      <formula>$C16=""</formula>
    </cfRule>
  </conditionalFormatting>
  <conditionalFormatting sqref="T14:T21">
    <cfRule type="expression" dxfId="1497" priority="44">
      <formula>$C14=""</formula>
    </cfRule>
  </conditionalFormatting>
  <conditionalFormatting sqref="T8:T12">
    <cfRule type="expression" dxfId="1496" priority="42">
      <formula>$C8=""</formula>
    </cfRule>
  </conditionalFormatting>
  <conditionalFormatting sqref="V16:V37">
    <cfRule type="expression" dxfId="1495" priority="41">
      <formula>$C16=""</formula>
    </cfRule>
  </conditionalFormatting>
  <conditionalFormatting sqref="V14:V21">
    <cfRule type="expression" dxfId="1494" priority="40">
      <formula>$C14=""</formula>
    </cfRule>
  </conditionalFormatting>
  <conditionalFormatting sqref="V13:V21">
    <cfRule type="expression" dxfId="1493" priority="39">
      <formula>$C13=""</formula>
    </cfRule>
  </conditionalFormatting>
  <conditionalFormatting sqref="V8:V12">
    <cfRule type="expression" dxfId="1492" priority="38">
      <formula>$C8=""</formula>
    </cfRule>
  </conditionalFormatting>
  <conditionalFormatting sqref="K16:K37">
    <cfRule type="expression" dxfId="1491" priority="37">
      <formula>$C16=""</formula>
    </cfRule>
  </conditionalFormatting>
  <conditionalFormatting sqref="K14:K21">
    <cfRule type="expression" dxfId="1490" priority="36">
      <formula>$C14=""</formula>
    </cfRule>
  </conditionalFormatting>
  <conditionalFormatting sqref="K13:K21">
    <cfRule type="expression" dxfId="1489" priority="35">
      <formula>$C13=""</formula>
    </cfRule>
  </conditionalFormatting>
  <conditionalFormatting sqref="K9:K12">
    <cfRule type="expression" dxfId="1488" priority="34">
      <formula>$C9=""</formula>
    </cfRule>
  </conditionalFormatting>
  <conditionalFormatting sqref="M16:M37">
    <cfRule type="expression" dxfId="1487" priority="33">
      <formula>$C16=""</formula>
    </cfRule>
  </conditionalFormatting>
  <conditionalFormatting sqref="M14:M21">
    <cfRule type="expression" dxfId="1486" priority="32">
      <formula>$C14=""</formula>
    </cfRule>
  </conditionalFormatting>
  <conditionalFormatting sqref="M13:M21">
    <cfRule type="expression" dxfId="1485" priority="31">
      <formula>$C13=""</formula>
    </cfRule>
  </conditionalFormatting>
  <conditionalFormatting sqref="M8:M12">
    <cfRule type="expression" dxfId="1484" priority="30">
      <formula>$C8=""</formula>
    </cfRule>
  </conditionalFormatting>
  <conditionalFormatting sqref="O16:O37">
    <cfRule type="expression" dxfId="1483" priority="29">
      <formula>$C16=""</formula>
    </cfRule>
  </conditionalFormatting>
  <conditionalFormatting sqref="O14:O21">
    <cfRule type="expression" dxfId="1482" priority="28">
      <formula>$C14=""</formula>
    </cfRule>
  </conditionalFormatting>
  <conditionalFormatting sqref="O13:O21">
    <cfRule type="expression" dxfId="1481" priority="27">
      <formula>$C13=""</formula>
    </cfRule>
  </conditionalFormatting>
  <conditionalFormatting sqref="O8:O12">
    <cfRule type="expression" dxfId="1480" priority="26">
      <formula>$C8=""</formula>
    </cfRule>
  </conditionalFormatting>
  <conditionalFormatting sqref="Q16:Q37">
    <cfRule type="expression" dxfId="1479" priority="25">
      <formula>$C16=""</formula>
    </cfRule>
  </conditionalFormatting>
  <conditionalFormatting sqref="Q14:Q21">
    <cfRule type="expression" dxfId="1478" priority="24">
      <formula>$C14=""</formula>
    </cfRule>
  </conditionalFormatting>
  <conditionalFormatting sqref="Q13:Q21">
    <cfRule type="expression" dxfId="1477" priority="23">
      <formula>$C13=""</formula>
    </cfRule>
  </conditionalFormatting>
  <conditionalFormatting sqref="Q8:Q12">
    <cfRule type="expression" dxfId="1476" priority="22">
      <formula>$C8=""</formula>
    </cfRule>
  </conditionalFormatting>
  <conditionalFormatting sqref="S16:S37">
    <cfRule type="expression" dxfId="1475" priority="21">
      <formula>$C16=""</formula>
    </cfRule>
  </conditionalFormatting>
  <conditionalFormatting sqref="S14:S21">
    <cfRule type="expression" dxfId="1474" priority="20">
      <formula>$C14=""</formula>
    </cfRule>
  </conditionalFormatting>
  <conditionalFormatting sqref="S13:S21">
    <cfRule type="expression" dxfId="1473" priority="19">
      <formula>$C13=""</formula>
    </cfRule>
  </conditionalFormatting>
  <conditionalFormatting sqref="S8:S12">
    <cfRule type="expression" dxfId="1472" priority="18">
      <formula>$C8=""</formula>
    </cfRule>
  </conditionalFormatting>
  <conditionalFormatting sqref="U16:U37">
    <cfRule type="expression" dxfId="1471" priority="17">
      <formula>$C16=""</formula>
    </cfRule>
  </conditionalFormatting>
  <conditionalFormatting sqref="U14:U21">
    <cfRule type="expression" dxfId="1470" priority="16">
      <formula>$C14=""</formula>
    </cfRule>
  </conditionalFormatting>
  <conditionalFormatting sqref="U13:U21">
    <cfRule type="expression" dxfId="1469" priority="15">
      <formula>$C13=""</formula>
    </cfRule>
  </conditionalFormatting>
  <conditionalFormatting sqref="U8:U12">
    <cfRule type="expression" dxfId="1468" priority="14">
      <formula>$C8=""</formula>
    </cfRule>
  </conditionalFormatting>
  <conditionalFormatting sqref="I9:J37">
    <cfRule type="expression" dxfId="1467" priority="12">
      <formula>$AN9="Erro"</formula>
    </cfRule>
  </conditionalFormatting>
  <conditionalFormatting sqref="K9:L37">
    <cfRule type="expression" dxfId="1466" priority="11">
      <formula>$AO9="Erro"</formula>
    </cfRule>
  </conditionalFormatting>
  <conditionalFormatting sqref="I8:J8">
    <cfRule type="expression" dxfId="1465" priority="10">
      <formula>$C8=""</formula>
    </cfRule>
  </conditionalFormatting>
  <conditionalFormatting sqref="L8">
    <cfRule type="expression" dxfId="1464" priority="9">
      <formula>$C8=""</formula>
    </cfRule>
  </conditionalFormatting>
  <conditionalFormatting sqref="K8">
    <cfRule type="expression" dxfId="1463" priority="8">
      <formula>$C8=""</formula>
    </cfRule>
  </conditionalFormatting>
  <conditionalFormatting sqref="I8:J8">
    <cfRule type="expression" dxfId="1462" priority="7">
      <formula>$AN8="Erro"</formula>
    </cfRule>
  </conditionalFormatting>
  <conditionalFormatting sqref="K8:L8">
    <cfRule type="expression" dxfId="1461" priority="6">
      <formula>$AO8="Erro"</formula>
    </cfRule>
  </conditionalFormatting>
  <conditionalFormatting sqref="M8:N37">
    <cfRule type="expression" dxfId="1460" priority="5">
      <formula>$AP8="Erro"</formula>
    </cfRule>
  </conditionalFormatting>
  <conditionalFormatting sqref="O8:P37">
    <cfRule type="expression" dxfId="1459" priority="4">
      <formula>$AQ8="Erro"</formula>
    </cfRule>
  </conditionalFormatting>
  <conditionalFormatting sqref="Q8:R37">
    <cfRule type="expression" dxfId="1458" priority="3">
      <formula>$AR8="Erro"</formula>
    </cfRule>
  </conditionalFormatting>
  <conditionalFormatting sqref="S8:T37">
    <cfRule type="expression" dxfId="1457" priority="2">
      <formula>$AS8="Erro"</formula>
    </cfRule>
  </conditionalFormatting>
  <conditionalFormatting sqref="U8:V37">
    <cfRule type="expression" dxfId="1456" priority="1">
      <formula>$AT8="Erro"</formula>
    </cfRule>
  </conditionalFormatting>
  <dataValidations count="4">
    <dataValidation type="time" allowBlank="1" showInputMessage="1" showErrorMessage="1" sqref="H8:H37">
      <formula1>0</formula1>
      <formula2>0.999988425925926</formula2>
    </dataValidation>
    <dataValidation type="list" allowBlank="1" showInputMessage="1" showErrorMessage="1" sqref="G8:G37">
      <formula1>"Horas extras,Horas devidas"</formula1>
    </dataValidation>
    <dataValidation type="list" allowBlank="1" showInputMessage="1" showErrorMessage="1" sqref="D8:E37">
      <formula1>"Sim,Não"</formula1>
    </dataValidation>
    <dataValidation type="time" allowBlank="1" showInputMessage="1" showErrorMessage="1" sqref="I8:J37">
      <formula1>0.25</formula1>
      <formula2>0.915972222222222</formula2>
    </dataValidation>
  </dataValidations>
  <printOptions verticalCentered="1"/>
  <pageMargins left="0.25" right="0.25" top="0.984251969" bottom="0.984251969" header="0.3" footer="0.3"/>
  <pageSetup paperSize="9" scale="51" orientation="landscape"/>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3" enableFormatConditionsCalculation="0"/>
  <dimension ref="A1:BG67"/>
  <sheetViews>
    <sheetView showGridLines="0" zoomScale="90" zoomScaleNormal="90" zoomScalePageLayoutView="90" workbookViewId="0">
      <selection activeCell="C9" sqref="C9"/>
    </sheetView>
  </sheetViews>
  <sheetFormatPr baseColWidth="10" defaultColWidth="9.1640625" defaultRowHeight="30" customHeight="1" x14ac:dyDescent="0.2"/>
  <cols>
    <col min="1" max="1" width="27.83203125" style="194" customWidth="1"/>
    <col min="2" max="2" width="3.83203125" style="14" customWidth="1"/>
    <col min="3" max="3" width="33.33203125" style="14" customWidth="1"/>
    <col min="4" max="4" width="2.83203125" style="14" customWidth="1"/>
    <col min="5" max="5" width="5.83203125" style="14" customWidth="1"/>
    <col min="6" max="6" width="13.1640625" style="14" customWidth="1"/>
    <col min="7" max="7" width="14.33203125" style="195" customWidth="1"/>
    <col min="8" max="8" width="11.33203125" style="14" bestFit="1" customWidth="1"/>
    <col min="9" max="9" width="9.83203125" style="14" customWidth="1"/>
    <col min="10" max="10" width="11.33203125" style="14" bestFit="1" customWidth="1"/>
    <col min="11" max="11" width="9.83203125" style="14" customWidth="1"/>
    <col min="12" max="12" width="1.83203125" style="14" customWidth="1"/>
    <col min="13" max="13" width="13.33203125" style="14" customWidth="1"/>
    <col min="14" max="14" width="1.83203125" style="14" customWidth="1"/>
    <col min="15" max="15" width="13.33203125" style="14" customWidth="1"/>
    <col min="16" max="16" width="1.83203125" style="14" customWidth="1"/>
    <col min="17" max="17" width="13.33203125" style="14" customWidth="1"/>
    <col min="18" max="18" width="4.83203125" style="2" bestFit="1" customWidth="1"/>
    <col min="19" max="21" width="11.83203125" style="14" customWidth="1"/>
    <col min="22" max="23" width="8.83203125" style="2" customWidth="1"/>
    <col min="24" max="24" width="11.33203125" style="2" bestFit="1" customWidth="1"/>
    <col min="25" max="25" width="8.83203125" style="2" customWidth="1"/>
    <col min="26" max="26" width="8.1640625" style="219" bestFit="1" customWidth="1"/>
    <col min="27" max="27" width="8.83203125" style="2" customWidth="1"/>
    <col min="28" max="28" width="11.33203125" style="2" bestFit="1" customWidth="1"/>
    <col min="29" max="43" width="8.83203125" style="2" customWidth="1"/>
    <col min="44" max="50" width="11.33203125" style="2" customWidth="1"/>
    <col min="51" max="57" width="11.33203125" style="14" customWidth="1"/>
    <col min="58" max="16384" width="9.1640625" style="14"/>
  </cols>
  <sheetData>
    <row r="1" spans="1:59" s="15" customFormat="1" ht="33.75" customHeight="1" x14ac:dyDescent="0.3">
      <c r="A1" s="56"/>
      <c r="B1" s="3"/>
      <c r="C1" s="4" t="s">
        <v>30</v>
      </c>
      <c r="D1" s="50"/>
      <c r="E1" s="3"/>
      <c r="F1" s="3"/>
      <c r="G1" s="77"/>
      <c r="H1" s="3"/>
      <c r="I1" s="3"/>
      <c r="J1" s="3"/>
      <c r="K1" s="3"/>
      <c r="M1" s="3"/>
      <c r="O1" s="3"/>
      <c r="Q1" s="3"/>
      <c r="S1" s="3"/>
      <c r="T1" s="3"/>
      <c r="U1" s="3"/>
      <c r="Z1" s="174"/>
    </row>
    <row r="2" spans="1:59" s="15" customFormat="1" ht="21.5" customHeight="1" x14ac:dyDescent="0.2">
      <c r="A2" s="1"/>
      <c r="B2" s="3"/>
      <c r="C2" s="3"/>
      <c r="D2" s="50"/>
      <c r="E2" s="3"/>
      <c r="F2" s="3"/>
      <c r="G2" s="77"/>
      <c r="H2" s="3"/>
      <c r="I2" s="3"/>
      <c r="J2" s="3"/>
      <c r="K2" s="3"/>
      <c r="M2" s="3"/>
      <c r="O2" s="3"/>
      <c r="Q2" s="3"/>
      <c r="S2" s="3"/>
      <c r="T2" s="3"/>
      <c r="U2" s="3"/>
      <c r="Z2" s="174"/>
    </row>
    <row r="3" spans="1:59" s="15" customFormat="1" ht="21.5" customHeight="1" x14ac:dyDescent="0.2">
      <c r="A3" s="1"/>
      <c r="B3" s="3"/>
      <c r="C3" s="3"/>
      <c r="D3" s="50"/>
      <c r="E3" s="3"/>
      <c r="F3" s="3"/>
      <c r="G3" s="77"/>
      <c r="H3" s="3"/>
      <c r="I3" s="3"/>
      <c r="J3" s="3"/>
      <c r="K3" s="3"/>
      <c r="M3" s="3"/>
      <c r="O3" s="3"/>
      <c r="Q3" s="3"/>
      <c r="S3" s="3"/>
      <c r="T3" s="3"/>
      <c r="U3" s="3"/>
      <c r="Z3" s="174"/>
    </row>
    <row r="4" spans="1:59" ht="30" customHeight="1" x14ac:dyDescent="0.2">
      <c r="O4" s="214"/>
      <c r="AN4" s="175"/>
    </row>
    <row r="5" spans="1:59" ht="30" customHeight="1" x14ac:dyDescent="0.2">
      <c r="C5" s="258" t="s">
        <v>177</v>
      </c>
      <c r="G5" s="14"/>
      <c r="K5" s="157">
        <f ca="1">IF(ISERROR(VLOOKUP(INDIRECT($C$5),Jornada!$C$8:$F$37,4,0)),0,VLOOKUP(INDIRECT($C$5),Jornada!$C$8:$F$37,4,0))</f>
        <v>0</v>
      </c>
      <c r="L5" s="158"/>
      <c r="M5" s="157">
        <f ca="1">IF(ISERROR(VLOOKUP(INDIRECT($C$5),Jornada!$C$8:$G$37,5,0)),0,VLOOKUP(INDIRECT($C$5),Jornada!$C$8:$G$37,5,0))</f>
        <v>0</v>
      </c>
      <c r="O5" s="211"/>
      <c r="U5" s="211"/>
      <c r="AC5" s="12"/>
      <c r="AK5" s="179">
        <v>0.25</v>
      </c>
      <c r="AL5" s="155">
        <v>0.91666666666666663</v>
      </c>
      <c r="AM5" s="155">
        <v>0.20833333333333334</v>
      </c>
      <c r="AN5" s="155">
        <v>1</v>
      </c>
      <c r="AO5" s="155">
        <v>0.70833333333333337</v>
      </c>
    </row>
    <row r="6" spans="1:59" ht="7" customHeight="1" thickBot="1" x14ac:dyDescent="0.25">
      <c r="C6" s="212"/>
      <c r="K6" s="2"/>
      <c r="L6" s="2"/>
      <c r="M6" s="220">
        <v>1</v>
      </c>
      <c r="O6" s="213"/>
      <c r="Q6" s="213"/>
      <c r="Z6" s="176"/>
    </row>
    <row r="7" spans="1:59" s="2" customFormat="1" ht="30" customHeight="1" thickTop="1" thickBot="1" x14ac:dyDescent="0.25">
      <c r="A7" s="1"/>
      <c r="B7"/>
      <c r="C7" s="76" t="s">
        <v>176</v>
      </c>
      <c r="D7" s="14"/>
      <c r="E7" s="281" t="str">
        <f>IF('P Gerais'!J6=0,"Janeiro",'P Gerais'!J6)</f>
        <v>Janeiro</v>
      </c>
      <c r="F7" s="283"/>
      <c r="G7" s="79" t="s">
        <v>58</v>
      </c>
      <c r="H7" s="72" t="s">
        <v>0</v>
      </c>
      <c r="I7" s="293" t="s">
        <v>59</v>
      </c>
      <c r="J7" s="293"/>
      <c r="K7" s="72" t="s">
        <v>60</v>
      </c>
      <c r="M7" s="73" t="s">
        <v>61</v>
      </c>
      <c r="O7" s="73" t="s">
        <v>62</v>
      </c>
      <c r="Q7" s="73" t="s">
        <v>63</v>
      </c>
      <c r="R7" s="155">
        <v>8.3333333333333329E-2</v>
      </c>
      <c r="S7" s="293" t="s">
        <v>64</v>
      </c>
      <c r="T7" s="293"/>
      <c r="U7" s="293"/>
      <c r="W7" s="2" t="s">
        <v>90</v>
      </c>
      <c r="X7" s="156">
        <v>1</v>
      </c>
      <c r="AB7" s="2">
        <f>VLOOKUP($E$7,$W$7:$X$18,2,0)</f>
        <v>1</v>
      </c>
      <c r="AG7" s="176" t="s">
        <v>167</v>
      </c>
      <c r="AH7" s="176" t="s">
        <v>168</v>
      </c>
      <c r="AI7" s="155">
        <v>0</v>
      </c>
      <c r="AJ7" s="155">
        <v>1</v>
      </c>
      <c r="AK7" s="155">
        <v>0.45833333333333331</v>
      </c>
      <c r="AL7" s="2" t="s">
        <v>0</v>
      </c>
      <c r="AM7" s="2" t="s">
        <v>162</v>
      </c>
      <c r="AN7" s="2" t="s">
        <v>184</v>
      </c>
      <c r="BE7" s="223"/>
      <c r="BF7" s="223"/>
      <c r="BG7" s="223"/>
    </row>
    <row r="8" spans="1:59" s="2" customFormat="1" ht="30" customHeight="1" thickTop="1" thickBot="1" x14ac:dyDescent="0.25">
      <c r="A8" s="1"/>
      <c r="B8"/>
      <c r="C8" s="171" t="str">
        <f>IF(Funcionários!C7=0,"",Funcionários!C7)</f>
        <v/>
      </c>
      <c r="D8" s="14">
        <f>WEEKDAY(DATE('P Gerais'!$D$6,VLOOKUP(Lanç!$E$7,$W$7:$X$18,2,FALSE),E8))</f>
        <v>1</v>
      </c>
      <c r="E8" s="126">
        <v>1</v>
      </c>
      <c r="F8" s="187" t="str">
        <f>VLOOKUP(D8,$AE$8:$AF$14,2,FALSE)</f>
        <v>Dom</v>
      </c>
      <c r="G8" s="80"/>
      <c r="H8" s="93"/>
      <c r="I8" s="93"/>
      <c r="J8" s="93"/>
      <c r="K8" s="93"/>
      <c r="L8" s="197"/>
      <c r="M8" s="95">
        <f>IF(AND(H8=K8,H8&lt;&gt;0),$M$6-IF(J8&lt;I8,$AJ$7+J8-I8,J8-I8),IF(H8&gt;K8,(K8+1-H8)-IF(J8&lt;I8,$AJ$7+J8-I8,J8-I8),(K8-H8)-IF(J8&lt;I8,$AJ$7+J8-I8,J8-I8)))</f>
        <v>0</v>
      </c>
      <c r="N8" s="196"/>
      <c r="O8" s="95">
        <f ca="1">IF(OR(G8=0,G8="Férias",G8="Falta Justificada",G8="Feriado",G8="Folga (DSR)"),0,IF(G8="Falta Injustificada",HLOOKUP($F8,Jornada!$X$7:$AD$37,VLOOKUP(INDIRECT($C$5),Jornada!$C$8:$W$37,21,0),0),IF(HLOOKUP($F8,Jornada!$X$7:$AD$37,VLOOKUP(INDIRECT($C$5),Jornada!$C$8:$W$37,21,0),0)-M8&gt;0,HLOOKUP($F8,Jornada!$X$7:$AD$37,VLOOKUP(INDIRECT($C$5),Jornada!$C$8:$W$37,21,0),0)-M8,0)))</f>
        <v>0</v>
      </c>
      <c r="P8" s="193">
        <f ca="1">IF(HLOOKUP($F8,Jornada!$X$7:$AD$37,VLOOKUP(INDIRECT($C$5),Jornada!$C$8:$W$37,21,0),0)-M8&lt;0,ABS(HLOOKUP($F8,Jornada!$X$7:$AD$37,VLOOKUP(INDIRECT($C$5),Jornada!$C$8:$W$37,21,0),0)-M8),0)</f>
        <v>0</v>
      </c>
      <c r="Q8" s="95">
        <f t="shared" ref="Q8:Q38" si="0">IF(G8="Normal",P8,IF(G8=0,0,IF(OR(G8="Feriado",G8="Férias"),IF(H8&gt;K8,(K8+1-H8)-IF(J8&lt;I8,$AJ$7+J8-I8,J8-I8),(K8-H8)-IF(J8&lt;I8,$AJ$7+J8-I8,J8-I8)),IF(G8="Folga (DSR)",IF(H8&gt;K8,(K8+1-H8)-IF(J8&lt;I8,$AJ$7+J8-I8,J8-I8),(K8-H8)-IF(J8&lt;I8,$AJ$7+J8-I8,J8-I8)),IF(G8="Falta Justificada",IF(H8&gt;K8,(K8+1-H8)-IF(J8&lt;I8,$AJ$7+J8-I8,J8-I8),(K8-H8)-IF(J8&lt;I8,$AJ$7+J8-I8,J8-I8)),0)))))</f>
        <v>0</v>
      </c>
      <c r="R8" s="2">
        <f>IF(Q8&gt;$R$7,1,0)</f>
        <v>0</v>
      </c>
      <c r="S8" s="294" t="s">
        <v>65</v>
      </c>
      <c r="T8" s="294"/>
      <c r="U8" s="295">
        <f>SUM(M8:M38)</f>
        <v>0</v>
      </c>
      <c r="W8" s="2" t="s">
        <v>91</v>
      </c>
      <c r="X8" s="156">
        <v>2</v>
      </c>
      <c r="AB8" s="177">
        <f>DATE('P Gerais'!$D$6,AB7,1)</f>
        <v>1</v>
      </c>
      <c r="AC8" s="2">
        <f>WEEKDAY(AB8)</f>
        <v>1</v>
      </c>
      <c r="AE8" s="2">
        <v>1</v>
      </c>
      <c r="AF8" s="2" t="s">
        <v>51</v>
      </c>
      <c r="AG8" s="220">
        <f>IF(J8&lt;I8,$AJ$7+J8-I8,J8-I8)</f>
        <v>0</v>
      </c>
      <c r="AH8" s="220">
        <f ca="1">IF(HLOOKUP($F8,Jornada!$X$7:$AD$37,VLOOKUP(INDIRECT($C$5),Jornada!$C$8:$W$37,21,0),0)=0,0,VLOOKUP(INDIRECT($C$5),Jornada!$C$8:$H$37,4,0))</f>
        <v>0</v>
      </c>
      <c r="AI8" s="155">
        <f ca="1">IF(AND(I8=0,J8=0,OR(H8&lt;&gt;0,K8&lt;&gt;0),HLOOKUP($F8,Jornada!$X$7:$AD$37,VLOOKUP(INDIRECT($C$5),Jornada!$C$8:$W$37,21,0),0)&gt;$AK$5,M8&gt;$AK$5),VLOOKUP(INDIRECT($C$5),Jornada!$C$8:$H$37,6,0),IF(AG8&gt;VLOOKUP(INDIRECT($C$5),Jornada!$C$8:$H$37,6,0),IF(VLOOKUP(INDIRECT($C$5),Jornada!$C$8:$H$37,6,0)&lt;AG8,0,ABS(VLOOKUP(INDIRECT($C$5),Jornada!$C$8:$H$37,6,0))-AG8),0))</f>
        <v>0</v>
      </c>
      <c r="AJ8" s="155">
        <f>($AJ$7-K8)+H8</f>
        <v>1</v>
      </c>
      <c r="AK8" s="155">
        <f>IF(AJ8&lt;$AK$7,$AK$7-AJ8,$AI$7)</f>
        <v>0</v>
      </c>
      <c r="AL8" s="155">
        <f ca="1">HLOOKUP($F8,Jornada!$I$5:$V$37,VLOOKUP(INDIRECT($C$5),Jornada!$C$8:$W$37,21,0)+2,0)</f>
        <v>0</v>
      </c>
      <c r="AM8" s="155">
        <f ca="1">HLOOKUP($F8,Jornada!$I$4:$V$37,VLOOKUP(INDIRECT($C$5),Jornada!$C$8:$W$37,21,0)+3,0)</f>
        <v>0</v>
      </c>
      <c r="AN8" s="155">
        <f ca="1">IF(AND(AL8&gt;=$AL$5,AL8&lt;$AN$5,H8&gt;=$AL$5,H8&lt;AL8),AL8-H8,IF(AND(AL8&gt;$AI$7,AL8&lt;=$AM$5,H8&gt;=$AL$5,H8&lt;=$AN$5),$AN$5-H8+AL8,IF(AND(AL8&gt;=$AI$7,AL8&lt;=$AM$5,H8&gt;=$AI$7,H8&lt;=$AM$5,H8&lt;AL8),H8-AL8,0)))</f>
        <v>0</v>
      </c>
      <c r="AO8" s="155">
        <f>IF(AP8&gt;Q8,0,AP8)</f>
        <v>0</v>
      </c>
      <c r="AP8" s="155">
        <f>IF(Q8=0,0,IF(AND(AM8&gt;=$AL$5,AM8&lt;$AN$5,K8&gt;=$AL$5,K8&lt;$AM$5,K8&gt;AM8),K8-AM8,IF(AND(AM8&gt;=$AL$5,AM8&lt;$AN$5,K8&lt;$AN$5,K8&gt;AM8),K8-$AL$5,IF(AND(AM8&gt;=$AI$7,AM8&lt;$AM$5,K8&lt;$AM$5),K8-AM8,IF(AND(AM8&lt;&gt;AI7,AM8&gt;=$AI$7,AM8&lt;=$AM$5,K8&gt;$AM$5,K8&gt;AM8),$AM$5-AM8,IF(AND(K8&gt;$AL$5,K8&lt;$AN$5),K8-$AL$5,IF(AND(K8&gt;$AI$7,K8&lt;$AM$5),$AN$5-$AL$5+K8,IF(AND(OR(K8&gt;$AL$5,H8&gt;$AO$5),AM8&gt;=$AI$7,AM8&lt;$AM$5,K8&gt;$AM$5),(1+$AM$5-$AL$5)-AG8,0))))))))</f>
        <v>0</v>
      </c>
      <c r="BE8" s="223"/>
      <c r="BF8" s="223"/>
      <c r="BG8" s="223"/>
    </row>
    <row r="9" spans="1:59" s="2" customFormat="1" ht="30" customHeight="1" thickTop="1" thickBot="1" x14ac:dyDescent="0.25">
      <c r="A9" s="1"/>
      <c r="B9"/>
      <c r="C9" s="172" t="str">
        <f>IF(Funcionários!C8=0,"",Funcionários!C8)</f>
        <v/>
      </c>
      <c r="D9" s="14">
        <f>IF(D8=7,1,D8+1)</f>
        <v>2</v>
      </c>
      <c r="E9" s="187">
        <f>IF(DAY(DATE('P Gerais'!$D$6,VLOOKUP($E$7,$W$7:$X$18,2,0),E8+1))&gt;DAY(EOMONTH(DATE('P Gerais'!$D$6,VLOOKUP($E$7,$W$7:$X$18,2,0),E8),0)),DAY(DATE('P Gerais'!$D$6,VLOOKUP($E$7,$W$7:$X$18,2,0)+1,1)),DAY(DATE('P Gerais'!$D$6,VLOOKUP($E$7,$W$7:$X$18,2,0),E8+1)))</f>
        <v>2</v>
      </c>
      <c r="F9" s="187" t="str">
        <f t="shared" ref="F9:F38" si="1">VLOOKUP(D9,$AE$8:$AF$14,2,FALSE)</f>
        <v>Seg</v>
      </c>
      <c r="G9" s="81"/>
      <c r="H9" s="94"/>
      <c r="I9" s="94"/>
      <c r="J9" s="94"/>
      <c r="K9" s="94"/>
      <c r="L9" s="197"/>
      <c r="M9" s="95">
        <f t="shared" ref="M9:M38" si="2">IF(AND(H9=K9,H9&lt;&gt;0),$M$6-IF(J9&lt;I9,$AJ$7+J9-I9,J9-I9),IF(H9&gt;K9,(K9+1-H9)-IF(J9&lt;I9,$AJ$7+J9-I9,J9-I9),(K9-H9)-IF(J9&lt;I9,$AJ$7+J9-I9,J9-I9)))</f>
        <v>0</v>
      </c>
      <c r="N9" s="196"/>
      <c r="O9" s="95">
        <f ca="1">IF(OR(G9=0,G9="Férias",G9="Falta Justificada",G9="Feriado",G9="Folga (DSR)"),0,IF(G9="Falta Injustificada",HLOOKUP($F9,Jornada!$X$7:$AD$37,VLOOKUP(INDIRECT($C$5),Jornada!$C$8:$W$37,21,0),0),IF(HLOOKUP($F9,Jornada!$X$7:$AD$37,VLOOKUP(INDIRECT($C$5),Jornada!$C$8:$W$37,21,0),0)-M9&gt;0,HLOOKUP($F9,Jornada!$X$7:$AD$37,VLOOKUP(INDIRECT($C$5),Jornada!$C$8:$W$37,21,0),0)-M9,0)))</f>
        <v>0</v>
      </c>
      <c r="P9" s="193">
        <f ca="1">IF(HLOOKUP($F9,Jornada!$X$7:$AD$37,VLOOKUP(INDIRECT($C$5),Jornada!$C$8:$W$37,21,0),0)-M9&lt;0,ABS(HLOOKUP($F9,Jornada!$X$7:$AD$37,VLOOKUP(INDIRECT($C$5),Jornada!$C$8:$W$37,21,0),0)-M9),0)</f>
        <v>0</v>
      </c>
      <c r="Q9" s="95">
        <f t="shared" si="0"/>
        <v>0</v>
      </c>
      <c r="R9" s="2">
        <f t="shared" ref="R9:R38" si="3">IF(Q9&gt;$R$7,1,0)</f>
        <v>0</v>
      </c>
      <c r="S9" s="294"/>
      <c r="T9" s="294"/>
      <c r="U9" s="295"/>
      <c r="W9" s="2" t="s">
        <v>92</v>
      </c>
      <c r="X9" s="156">
        <v>3</v>
      </c>
      <c r="AB9" s="177">
        <f>AB8+1</f>
        <v>2</v>
      </c>
      <c r="AC9" s="2">
        <f t="shared" ref="AC9:AC35" si="4">WEEKDAY(AB9)</f>
        <v>2</v>
      </c>
      <c r="AE9" s="2">
        <v>2</v>
      </c>
      <c r="AF9" s="2" t="s">
        <v>52</v>
      </c>
      <c r="AG9" s="220">
        <f t="shared" ref="AG9:AG26" si="5">IF(J9&lt;I9,$AJ$7+J9-I9,J9-I9)</f>
        <v>0</v>
      </c>
      <c r="AH9" s="220">
        <f ca="1">IF(HLOOKUP($F9,Jornada!$X$7:$AD$37,VLOOKUP(INDIRECT($C$5),Jornada!$C$8:$W$37,21,0),0)=0,0,VLOOKUP(INDIRECT($C$5),Jornada!$C$8:$H$37,4,0))</f>
        <v>0</v>
      </c>
      <c r="AI9" s="155">
        <f ca="1">IF(AND(I9=0,J9=0,OR(H9&lt;&gt;0,K9&lt;&gt;0),HLOOKUP($F9,Jornada!$X$7:$AD$37,VLOOKUP(INDIRECT($C$5),Jornada!$C$8:$W$37,21,0),0)&gt;$AK$5,M9&gt;$AK$5),VLOOKUP(INDIRECT($C$5),Jornada!$C$8:$H$37,6,0),IF(AG9&gt;VLOOKUP(INDIRECT($C$5),Jornada!$C$8:$H$37,6,0),IF(VLOOKUP(INDIRECT($C$5),Jornada!$C$8:$H$37,6,0)&lt;AG9,0,ABS(VLOOKUP(INDIRECT($C$5),Jornada!$C$8:$H$37,6,0))-AG9),0))</f>
        <v>0</v>
      </c>
      <c r="AJ9" s="155">
        <f t="shared" ref="AJ9:AJ26" si="6">($AJ$7-K9)+H9</f>
        <v>1</v>
      </c>
      <c r="AK9" s="155">
        <f t="shared" ref="AK9:AK26" si="7">IF(AJ9&lt;$AK$7,$AK$7-AJ9,$AI$7)</f>
        <v>0</v>
      </c>
      <c r="AL9" s="155">
        <f ca="1">HLOOKUP($F9,Jornada!$I$5:$V$37,VLOOKUP(INDIRECT($C$5),Jornada!$C$8:$W$37,21,0)+2,0)</f>
        <v>0</v>
      </c>
      <c r="AM9" s="155">
        <f ca="1">HLOOKUP($F9,Jornada!$I$4:$V$37,VLOOKUP(INDIRECT($C$5),Jornada!$C$8:$W$37,21,0)+3,0)</f>
        <v>0</v>
      </c>
      <c r="AN9" s="155">
        <f t="shared" ref="AN9:AN26" ca="1" si="8">IF(AND(AL9&gt;=$AL$5,AL9&lt;$AN$5,H9&gt;=$AL$5,H9&lt;AL9),AL9-H9,IF(AND(AL9&gt;$AI$7,AL9&lt;=$AM$5,H9&gt;=$AL$5,H9&lt;=$AN$5),$AN$5-H9+AL9,IF(AND(AL9&gt;=$AI$7,AL9&lt;=$AM$5,H9&gt;=$AI$7,H9&lt;=$AM$5,H9&lt;AL9),H9-AL9,0)))</f>
        <v>0</v>
      </c>
      <c r="AO9" s="155">
        <f>IF(AP9&gt;Q9,0,AP9)</f>
        <v>0</v>
      </c>
      <c r="AP9" s="155">
        <f t="shared" ref="AP9:AP38" si="9">IF(Q9=0,0,IF(AND(AM9&gt;=$AL$5,AM9&lt;$AN$5,K9&gt;=$AL$5,K9&lt;$AM$5,K9&gt;AM9),K9-AM9,IF(AND(AM9&gt;=$AL$5,AM9&lt;$AN$5,K9&lt;$AN$5,K9&gt;AM9),K9-$AL$5,IF(AND(AM9&gt;=$AI$7,AM9&lt;$AM$5,K9&lt;$AM$5),K9-AM9,IF(AND(AM9&lt;&gt;AI8,AM9&gt;=$AI$7,AM9&lt;=$AM$5,K9&gt;$AM$5,K9&gt;AM9),$AM$5-AM9,IF(AND(K9&gt;$AL$5,K9&lt;$AN$5),K9-$AL$5,IF(AND(K9&gt;$AI$7,K9&lt;$AM$5),$AN$5-$AL$5+K9,IF(AND(OR(K9&gt;$AL$5,H9&gt;$AO$5),AM9&gt;=$AI$7,AM9&lt;$AM$5,K9&gt;$AM$5),(1+$AM$5-$AL$5)-AG9,0))))))))</f>
        <v>0</v>
      </c>
      <c r="BE9" s="223"/>
      <c r="BF9" s="223"/>
      <c r="BG9" s="223"/>
    </row>
    <row r="10" spans="1:59" s="2" customFormat="1" ht="30" customHeight="1" thickTop="1" thickBot="1" x14ac:dyDescent="0.25">
      <c r="A10" s="1"/>
      <c r="B10"/>
      <c r="C10" s="172" t="str">
        <f>IF(Funcionários!C9=0,"",Funcionários!C9)</f>
        <v/>
      </c>
      <c r="D10" s="14">
        <f t="shared" ref="D10:D38" si="10">IF(D9=7,1,D9+1)</f>
        <v>3</v>
      </c>
      <c r="E10" s="187">
        <f>IF(DAY(DATE('P Gerais'!$D$6,VLOOKUP($E$7,$W$7:$X$18,2,0),E9+1))&gt;DAY(EOMONTH(DATE('P Gerais'!$D$6,VLOOKUP($E$7,$W$7:$X$18,2,0),E9),0)),DAY(DATE('P Gerais'!$D$6,VLOOKUP($E$7,$W$7:$X$18,2,0)+1,1)),DAY(DATE('P Gerais'!$D$6,VLOOKUP($E$7,$W$7:$X$18,2,0),E9+1)))</f>
        <v>3</v>
      </c>
      <c r="F10" s="187" t="str">
        <f t="shared" si="1"/>
        <v>Ter</v>
      </c>
      <c r="G10" s="81"/>
      <c r="H10" s="94"/>
      <c r="I10" s="94"/>
      <c r="J10" s="94"/>
      <c r="K10" s="94"/>
      <c r="L10" s="197"/>
      <c r="M10" s="95">
        <f t="shared" si="2"/>
        <v>0</v>
      </c>
      <c r="N10" s="196"/>
      <c r="O10" s="95">
        <f ca="1">IF(OR(G10=0,G10="Férias",G10="Falta Justificada",G10="Feriado",G10="Folga (DSR)"),0,IF(G10="Falta Injustificada",HLOOKUP($F10,Jornada!$X$7:$AD$37,VLOOKUP(INDIRECT($C$5),Jornada!$C$8:$W$37,21,0),0),IF(HLOOKUP($F10,Jornada!$X$7:$AD$37,VLOOKUP(INDIRECT($C$5),Jornada!$C$8:$W$37,21,0),0)-M10&gt;0,HLOOKUP($F10,Jornada!$X$7:$AD$37,VLOOKUP(INDIRECT($C$5),Jornada!$C$8:$W$37,21,0),0)-M10,0)))</f>
        <v>0</v>
      </c>
      <c r="P10" s="193">
        <f ca="1">IF(HLOOKUP($F10,Jornada!$X$7:$AD$37,VLOOKUP(INDIRECT($C$5),Jornada!$C$8:$W$37,21,0),0)-M10&lt;0,ABS(HLOOKUP($F10,Jornada!$X$7:$AD$37,VLOOKUP(INDIRECT($C$5),Jornada!$C$8:$W$37,21,0),0)-M10),0)</f>
        <v>0</v>
      </c>
      <c r="Q10" s="95">
        <f t="shared" si="0"/>
        <v>0</v>
      </c>
      <c r="R10" s="2">
        <f t="shared" si="3"/>
        <v>0</v>
      </c>
      <c r="S10" s="294" t="s">
        <v>66</v>
      </c>
      <c r="T10" s="294"/>
      <c r="U10" s="295">
        <f ca="1">IF(M5="Horas devidas",ABS(-K5+F58-U14),ABS(K5+F58-U14))</f>
        <v>0</v>
      </c>
      <c r="W10" s="2" t="s">
        <v>93</v>
      </c>
      <c r="X10" s="156">
        <v>4</v>
      </c>
      <c r="AB10" s="177">
        <f t="shared" ref="AB10:AB34" si="11">AB9+1</f>
        <v>3</v>
      </c>
      <c r="AC10" s="2">
        <f t="shared" si="4"/>
        <v>3</v>
      </c>
      <c r="AE10" s="2">
        <v>3</v>
      </c>
      <c r="AF10" s="2" t="s">
        <v>53</v>
      </c>
      <c r="AG10" s="220">
        <f t="shared" si="5"/>
        <v>0</v>
      </c>
      <c r="AH10" s="220">
        <f ca="1">IF(HLOOKUP($F10,Jornada!$X$7:$AD$37,VLOOKUP(INDIRECT($C$5),Jornada!$C$8:$W$37,21,0),0)=0,0,VLOOKUP(INDIRECT($C$5),Jornada!$C$8:$H$37,4,0))</f>
        <v>0</v>
      </c>
      <c r="AI10" s="155">
        <f ca="1">IF(AND(I10=0,J10=0,OR(H10&lt;&gt;0,K10&lt;&gt;0),HLOOKUP($F10,Jornada!$X$7:$AD$37,VLOOKUP(INDIRECT($C$5),Jornada!$C$8:$W$37,21,0),0)&gt;$AK$5,M10&gt;$AK$5),VLOOKUP(INDIRECT($C$5),Jornada!$C$8:$H$37,6,0),IF(AG10&gt;VLOOKUP(INDIRECT($C$5),Jornada!$C$8:$H$37,6,0),IF(VLOOKUP(INDIRECT($C$5),Jornada!$C$8:$H$37,6,0)&lt;AG10,0,ABS(VLOOKUP(INDIRECT($C$5),Jornada!$C$8:$H$37,6,0))-AG10),0))</f>
        <v>0</v>
      </c>
      <c r="AJ10" s="155">
        <f t="shared" si="6"/>
        <v>1</v>
      </c>
      <c r="AK10" s="155">
        <f t="shared" si="7"/>
        <v>0</v>
      </c>
      <c r="AL10" s="155">
        <f ca="1">HLOOKUP($F10,Jornada!$I$5:$V$37,VLOOKUP(INDIRECT($C$5),Jornada!$C$8:$W$37,21,0)+2,0)</f>
        <v>0</v>
      </c>
      <c r="AM10" s="155">
        <f ca="1">HLOOKUP($F10,Jornada!$I$4:$V$37,VLOOKUP(INDIRECT($C$5),Jornada!$C$8:$W$37,21,0)+3,0)</f>
        <v>0</v>
      </c>
      <c r="AN10" s="155">
        <f t="shared" ca="1" si="8"/>
        <v>0</v>
      </c>
      <c r="AO10" s="155">
        <f t="shared" ref="AO10:AO26" si="12">IF(AP10&gt;Q10,0,AP10)</f>
        <v>0</v>
      </c>
      <c r="AP10" s="155">
        <f t="shared" si="9"/>
        <v>0</v>
      </c>
      <c r="BE10" s="223"/>
      <c r="BF10" s="223"/>
      <c r="BG10" s="223"/>
    </row>
    <row r="11" spans="1:59" s="2" customFormat="1" ht="30" customHeight="1" thickTop="1" thickBot="1" x14ac:dyDescent="0.25">
      <c r="A11" s="1"/>
      <c r="B11"/>
      <c r="C11" s="172" t="str">
        <f>IF(Funcionários!C10=0,"",Funcionários!C10)</f>
        <v/>
      </c>
      <c r="D11" s="14">
        <f t="shared" si="10"/>
        <v>4</v>
      </c>
      <c r="E11" s="187">
        <f>IF(DAY(DATE('P Gerais'!$D$6,VLOOKUP($E$7,$W$7:$X$18,2,0),E10+1))&gt;DAY(EOMONTH(DATE('P Gerais'!$D$6,VLOOKUP($E$7,$W$7:$X$18,2,0),E10),0)),DAY(DATE('P Gerais'!$D$6,VLOOKUP($E$7,$W$7:$X$18,2,0)+1,1)),DAY(DATE('P Gerais'!$D$6,VLOOKUP($E$7,$W$7:$X$18,2,0),E10+1)))</f>
        <v>4</v>
      </c>
      <c r="F11" s="187" t="str">
        <f t="shared" si="1"/>
        <v>Qua</v>
      </c>
      <c r="G11" s="81"/>
      <c r="H11" s="94"/>
      <c r="I11" s="94"/>
      <c r="J11" s="94"/>
      <c r="K11" s="94"/>
      <c r="L11" s="197"/>
      <c r="M11" s="95">
        <f t="shared" si="2"/>
        <v>0</v>
      </c>
      <c r="N11" s="196"/>
      <c r="O11" s="95">
        <f ca="1">IF(OR(G11=0,G11="Férias",G11="Falta Justificada",G11="Feriado",G11="Folga (DSR)"),0,IF(G11="Falta Injustificada",HLOOKUP($F11,Jornada!$X$7:$AD$37,VLOOKUP(INDIRECT($C$5),Jornada!$C$8:$W$37,21,0),0),IF(HLOOKUP($F11,Jornada!$X$7:$AD$37,VLOOKUP(INDIRECT($C$5),Jornada!$C$8:$W$37,21,0),0)-M11&gt;0,HLOOKUP($F11,Jornada!$X$7:$AD$37,VLOOKUP(INDIRECT($C$5),Jornada!$C$8:$W$37,21,0),0)-M11,0)))</f>
        <v>0</v>
      </c>
      <c r="P11" s="193">
        <f ca="1">IF(HLOOKUP($F11,Jornada!$X$7:$AD$37,VLOOKUP(INDIRECT($C$5),Jornada!$C$8:$W$37,21,0),0)-M11&lt;0,ABS(HLOOKUP($F11,Jornada!$X$7:$AD$37,VLOOKUP(INDIRECT($C$5),Jornada!$C$8:$W$37,21,0),0)-M11),0)</f>
        <v>0</v>
      </c>
      <c r="Q11" s="95">
        <f t="shared" si="0"/>
        <v>0</v>
      </c>
      <c r="R11" s="2">
        <f t="shared" si="3"/>
        <v>0</v>
      </c>
      <c r="S11" s="294"/>
      <c r="T11" s="294"/>
      <c r="U11" s="295"/>
      <c r="V11" s="2">
        <f ca="1">IF(AND(K5&gt;U12,M5="Horas devidas"),"Negativo",IF(AND(U12&gt;K5,U14&gt;F58),"Negativo",0))</f>
        <v>0</v>
      </c>
      <c r="W11" s="2" t="s">
        <v>94</v>
      </c>
      <c r="X11" s="156">
        <v>5</v>
      </c>
      <c r="Z11" s="2" t="str">
        <f ca="1">IF(AND(M5="horas extras",Z13="positivo"),"positivo",IF(AND(M5="horas devidas",Z13="Negativo"),"Negativo",IF(AND(Z13="positivo",M5="horas devidas",U12&gt;K5),"Positivo","Negativo")))</f>
        <v>Negativo</v>
      </c>
      <c r="AB11" s="177">
        <f t="shared" si="11"/>
        <v>4</v>
      </c>
      <c r="AC11" s="2">
        <f t="shared" si="4"/>
        <v>4</v>
      </c>
      <c r="AE11" s="2">
        <v>4</v>
      </c>
      <c r="AF11" s="2" t="s">
        <v>54</v>
      </c>
      <c r="AG11" s="220">
        <f t="shared" si="5"/>
        <v>0</v>
      </c>
      <c r="AH11" s="220">
        <f ca="1">IF(HLOOKUP($F11,Jornada!$X$7:$AD$37,VLOOKUP(INDIRECT($C$5),Jornada!$C$8:$W$37,21,0),0)=0,0,VLOOKUP(INDIRECT($C$5),Jornada!$C$8:$H$37,4,0))</f>
        <v>0</v>
      </c>
      <c r="AI11" s="155">
        <f ca="1">IF(AND(I11=0,J11=0,OR(H11&lt;&gt;0,K11&lt;&gt;0),HLOOKUP($F11,Jornada!$X$7:$AD$37,VLOOKUP(INDIRECT($C$5),Jornada!$C$8:$W$37,21,0),0)&gt;$AK$5,M11&gt;$AK$5),VLOOKUP(INDIRECT($C$5),Jornada!$C$8:$H$37,6,0),IF(AG11&gt;VLOOKUP(INDIRECT($C$5),Jornada!$C$8:$H$37,6,0),IF(VLOOKUP(INDIRECT($C$5),Jornada!$C$8:$H$37,6,0)&lt;AG11,0,ABS(VLOOKUP(INDIRECT($C$5),Jornada!$C$8:$H$37,6,0))-AG11),0))</f>
        <v>0</v>
      </c>
      <c r="AJ11" s="155">
        <f t="shared" si="6"/>
        <v>1</v>
      </c>
      <c r="AK11" s="155">
        <f t="shared" si="7"/>
        <v>0</v>
      </c>
      <c r="AL11" s="155">
        <f ca="1">HLOOKUP($F11,Jornada!$I$5:$V$37,VLOOKUP(INDIRECT($C$5),Jornada!$C$8:$W$37,21,0)+2,0)</f>
        <v>0</v>
      </c>
      <c r="AM11" s="155">
        <f ca="1">HLOOKUP($F11,Jornada!$I$4:$V$37,VLOOKUP(INDIRECT($C$5),Jornada!$C$8:$W$37,21,0)+3,0)</f>
        <v>0</v>
      </c>
      <c r="AN11" s="155">
        <f t="shared" ca="1" si="8"/>
        <v>0</v>
      </c>
      <c r="AO11" s="155">
        <f t="shared" si="12"/>
        <v>0</v>
      </c>
      <c r="AP11" s="155">
        <f t="shared" si="9"/>
        <v>0</v>
      </c>
      <c r="BE11" s="223"/>
      <c r="BF11" s="223"/>
      <c r="BG11" s="223"/>
    </row>
    <row r="12" spans="1:59" s="2" customFormat="1" ht="30" customHeight="1" thickTop="1" thickBot="1" x14ac:dyDescent="0.25">
      <c r="A12" s="1"/>
      <c r="B12"/>
      <c r="C12" s="172" t="str">
        <f>IF(Funcionários!C11=0,"",Funcionários!C11)</f>
        <v/>
      </c>
      <c r="D12" s="14">
        <f t="shared" si="10"/>
        <v>5</v>
      </c>
      <c r="E12" s="187">
        <f>IF(DAY(DATE('P Gerais'!$D$6,VLOOKUP($E$7,$W$7:$X$18,2,0),E11+1))&gt;DAY(EOMONTH(DATE('P Gerais'!$D$6,VLOOKUP($E$7,$W$7:$X$18,2,0),E11),0)),DAY(DATE('P Gerais'!$D$6,VLOOKUP($E$7,$W$7:$X$18,2,0)+1,1)),DAY(DATE('P Gerais'!$D$6,VLOOKUP($E$7,$W$7:$X$18,2,0),E11+1)))</f>
        <v>5</v>
      </c>
      <c r="F12" s="187" t="str">
        <f t="shared" si="1"/>
        <v>Qui</v>
      </c>
      <c r="G12" s="81"/>
      <c r="H12" s="94"/>
      <c r="I12" s="94"/>
      <c r="J12" s="94"/>
      <c r="K12" s="94"/>
      <c r="L12" s="197"/>
      <c r="M12" s="95">
        <f t="shared" si="2"/>
        <v>0</v>
      </c>
      <c r="N12" s="196"/>
      <c r="O12" s="95">
        <f ca="1">IF(OR(G12=0,G12="Férias",G12="Falta Justificada",G12="Feriado",G12="Folga (DSR)"),0,IF(G12="Falta Injustificada",HLOOKUP($F12,Jornada!$X$7:$AD$37,VLOOKUP(INDIRECT($C$5),Jornada!$C$8:$W$37,21,0),0),IF(HLOOKUP($F12,Jornada!$X$7:$AD$37,VLOOKUP(INDIRECT($C$5),Jornada!$C$8:$W$37,21,0),0)-M12&gt;0,HLOOKUP($F12,Jornada!$X$7:$AD$37,VLOOKUP(INDIRECT($C$5),Jornada!$C$8:$W$37,21,0),0)-M12,0)))</f>
        <v>0</v>
      </c>
      <c r="P12" s="193">
        <f ca="1">IF(HLOOKUP($F12,Jornada!$X$7:$AD$37,VLOOKUP(INDIRECT($C$5),Jornada!$C$8:$W$37,21,0),0)-M12&lt;0,ABS(HLOOKUP($F12,Jornada!$X$7:$AD$37,VLOOKUP(INDIRECT($C$5),Jornada!$C$8:$W$37,21,0),0)-M12),0)</f>
        <v>0</v>
      </c>
      <c r="Q12" s="95">
        <f t="shared" si="0"/>
        <v>0</v>
      </c>
      <c r="R12" s="2">
        <f t="shared" si="3"/>
        <v>0</v>
      </c>
      <c r="S12" s="294" t="s">
        <v>175</v>
      </c>
      <c r="T12" s="294"/>
      <c r="U12" s="295">
        <f ca="1">IF(U14&gt;=F58,(U14)-F58,(F58-U14))</f>
        <v>0</v>
      </c>
      <c r="W12" s="2" t="s">
        <v>95</v>
      </c>
      <c r="X12" s="156">
        <v>6</v>
      </c>
      <c r="AB12" s="177">
        <f t="shared" si="11"/>
        <v>5</v>
      </c>
      <c r="AC12" s="2">
        <f t="shared" si="4"/>
        <v>5</v>
      </c>
      <c r="AE12" s="2">
        <v>5</v>
      </c>
      <c r="AF12" s="2" t="s">
        <v>55</v>
      </c>
      <c r="AG12" s="220">
        <f t="shared" si="5"/>
        <v>0</v>
      </c>
      <c r="AH12" s="220">
        <f ca="1">IF(HLOOKUP($F12,Jornada!$X$7:$AD$37,VLOOKUP(INDIRECT($C$5),Jornada!$C$8:$W$37,21,0),0)=0,0,VLOOKUP(INDIRECT($C$5),Jornada!$C$8:$H$37,4,0))</f>
        <v>0</v>
      </c>
      <c r="AI12" s="155">
        <f ca="1">IF(AND(I12=0,J12=0,OR(H12&lt;&gt;0,K12&lt;&gt;0),HLOOKUP($F12,Jornada!$X$7:$AD$37,VLOOKUP(INDIRECT($C$5),Jornada!$C$8:$W$37,21,0),0)&gt;$AK$5,M12&gt;$AK$5),VLOOKUP(INDIRECT($C$5),Jornada!$C$8:$H$37,6,0),IF(AG12&gt;VLOOKUP(INDIRECT($C$5),Jornada!$C$8:$H$37,6,0),IF(VLOOKUP(INDIRECT($C$5),Jornada!$C$8:$H$37,6,0)&lt;AG12,0,ABS(VLOOKUP(INDIRECT($C$5),Jornada!$C$8:$H$37,6,0))-AG12),0))</f>
        <v>0</v>
      </c>
      <c r="AJ12" s="155">
        <f t="shared" si="6"/>
        <v>1</v>
      </c>
      <c r="AK12" s="155">
        <f t="shared" si="7"/>
        <v>0</v>
      </c>
      <c r="AL12" s="155">
        <f ca="1">HLOOKUP($F12,Jornada!$I$5:$V$37,VLOOKUP(INDIRECT($C$5),Jornada!$C$8:$W$37,21,0)+2,0)</f>
        <v>0</v>
      </c>
      <c r="AM12" s="155">
        <f ca="1">HLOOKUP($F12,Jornada!$I$4:$V$37,VLOOKUP(INDIRECT($C$5),Jornada!$C$8:$W$37,21,0)+3,0)</f>
        <v>0</v>
      </c>
      <c r="AN12" s="155">
        <f t="shared" ca="1" si="8"/>
        <v>0</v>
      </c>
      <c r="AO12" s="155">
        <f t="shared" si="12"/>
        <v>0</v>
      </c>
      <c r="AP12" s="155">
        <f t="shared" si="9"/>
        <v>0</v>
      </c>
      <c r="BE12" s="223"/>
      <c r="BF12" s="223"/>
      <c r="BG12" s="223"/>
    </row>
    <row r="13" spans="1:59" s="2" customFormat="1" ht="30" customHeight="1" thickTop="1" thickBot="1" x14ac:dyDescent="0.25">
      <c r="A13" s="1"/>
      <c r="B13"/>
      <c r="C13" s="172" t="str">
        <f>IF(Funcionários!C12=0,"",Funcionários!C12)</f>
        <v/>
      </c>
      <c r="D13" s="14">
        <f t="shared" si="10"/>
        <v>6</v>
      </c>
      <c r="E13" s="187">
        <f>IF(DAY(DATE('P Gerais'!$D$6,VLOOKUP($E$7,$W$7:$X$18,2,0),E12+1))&gt;DAY(EOMONTH(DATE('P Gerais'!$D$6,VLOOKUP($E$7,$W$7:$X$18,2,0),E12),0)),DAY(DATE('P Gerais'!$D$6,VLOOKUP($E$7,$W$7:$X$18,2,0)+1,1)),DAY(DATE('P Gerais'!$D$6,VLOOKUP($E$7,$W$7:$X$18,2,0),E12+1)))</f>
        <v>6</v>
      </c>
      <c r="F13" s="187" t="str">
        <f t="shared" si="1"/>
        <v>Sex</v>
      </c>
      <c r="G13" s="81"/>
      <c r="H13" s="94"/>
      <c r="I13" s="94"/>
      <c r="J13" s="94"/>
      <c r="K13" s="94"/>
      <c r="L13" s="197"/>
      <c r="M13" s="95">
        <f t="shared" si="2"/>
        <v>0</v>
      </c>
      <c r="N13" s="196"/>
      <c r="O13" s="95">
        <f ca="1">IF(OR(G13=0,G13="Férias",G13="Falta Justificada",G13="Feriado",G13="Folga (DSR)"),0,IF(G13="Falta Injustificada",HLOOKUP($F13,Jornada!$X$7:$AD$37,VLOOKUP(INDIRECT($C$5),Jornada!$C$8:$W$37,21,0),0),IF(HLOOKUP($F13,Jornada!$X$7:$AD$37,VLOOKUP(INDIRECT($C$5),Jornada!$C$8:$W$37,21,0),0)-M13&gt;0,HLOOKUP($F13,Jornada!$X$7:$AD$37,VLOOKUP(INDIRECT($C$5),Jornada!$C$8:$W$37,21,0),0)-M13,0)))</f>
        <v>0</v>
      </c>
      <c r="P13" s="193">
        <f ca="1">IF(HLOOKUP($F13,Jornada!$X$7:$AD$37,VLOOKUP(INDIRECT($C$5),Jornada!$C$8:$W$37,21,0),0)-M13&lt;0,ABS(HLOOKUP($F13,Jornada!$X$7:$AD$37,VLOOKUP(INDIRECT($C$5),Jornada!$C$8:$W$37,21,0),0)-M13),0)</f>
        <v>0</v>
      </c>
      <c r="Q13" s="95">
        <f t="shared" si="0"/>
        <v>0</v>
      </c>
      <c r="R13" s="2">
        <f t="shared" si="3"/>
        <v>0</v>
      </c>
      <c r="S13" s="294"/>
      <c r="T13" s="294"/>
      <c r="U13" s="295"/>
      <c r="W13" s="2" t="s">
        <v>96</v>
      </c>
      <c r="X13" s="156">
        <v>7</v>
      </c>
      <c r="Z13" s="2" t="str">
        <f ca="1">IF(U14&gt;F58,"Negativo","Positivo")</f>
        <v>Positivo</v>
      </c>
      <c r="AB13" s="177">
        <f t="shared" si="11"/>
        <v>6</v>
      </c>
      <c r="AC13" s="2">
        <f t="shared" si="4"/>
        <v>6</v>
      </c>
      <c r="AE13" s="2">
        <v>6</v>
      </c>
      <c r="AF13" s="2" t="s">
        <v>56</v>
      </c>
      <c r="AG13" s="220">
        <f t="shared" si="5"/>
        <v>0</v>
      </c>
      <c r="AH13" s="220">
        <f ca="1">IF(HLOOKUP($F13,Jornada!$X$7:$AD$37,VLOOKUP(INDIRECT($C$5),Jornada!$C$8:$W$37,21,0),0)=0,0,VLOOKUP(INDIRECT($C$5),Jornada!$C$8:$H$37,4,0))</f>
        <v>0</v>
      </c>
      <c r="AI13" s="155">
        <f ca="1">IF(AND(I13=0,J13=0,OR(H13&lt;&gt;0,K13&lt;&gt;0),HLOOKUP($F13,Jornada!$X$7:$AD$37,VLOOKUP(INDIRECT($C$5),Jornada!$C$8:$W$37,21,0),0)&gt;$AK$5,M13&gt;$AK$5),VLOOKUP(INDIRECT($C$5),Jornada!$C$8:$H$37,6,0),IF(AG13&gt;VLOOKUP(INDIRECT($C$5),Jornada!$C$8:$H$37,6,0),IF(VLOOKUP(INDIRECT($C$5),Jornada!$C$8:$H$37,6,0)&lt;AG13,0,ABS(VLOOKUP(INDIRECT($C$5),Jornada!$C$8:$H$37,6,0))-AG13),0))</f>
        <v>0</v>
      </c>
      <c r="AJ13" s="155">
        <f t="shared" si="6"/>
        <v>1</v>
      </c>
      <c r="AK13" s="155">
        <f t="shared" si="7"/>
        <v>0</v>
      </c>
      <c r="AL13" s="155">
        <f ca="1">HLOOKUP($F13,Jornada!$I$5:$V$37,VLOOKUP(INDIRECT($C$5),Jornada!$C$8:$W$37,21,0)+2,0)</f>
        <v>0</v>
      </c>
      <c r="AM13" s="155">
        <f ca="1">HLOOKUP($F13,Jornada!$I$4:$V$37,VLOOKUP(INDIRECT($C$5),Jornada!$C$8:$W$37,21,0)+3,0)</f>
        <v>0</v>
      </c>
      <c r="AN13" s="155">
        <f t="shared" ca="1" si="8"/>
        <v>0</v>
      </c>
      <c r="AO13" s="155">
        <f t="shared" si="12"/>
        <v>0</v>
      </c>
      <c r="AP13" s="155">
        <f t="shared" si="9"/>
        <v>0</v>
      </c>
      <c r="BE13" s="224"/>
      <c r="BF13" s="223"/>
      <c r="BG13" s="223"/>
    </row>
    <row r="14" spans="1:59" s="2" customFormat="1" ht="30" customHeight="1" thickTop="1" thickBot="1" x14ac:dyDescent="0.25">
      <c r="A14" s="1"/>
      <c r="B14"/>
      <c r="C14" s="172" t="str">
        <f>IF(Funcionários!C13=0,"",Funcionários!C13)</f>
        <v/>
      </c>
      <c r="D14" s="14">
        <f t="shared" si="10"/>
        <v>7</v>
      </c>
      <c r="E14" s="187">
        <f>IF(DAY(DATE('P Gerais'!$D$6,VLOOKUP($E$7,$W$7:$X$18,2,0),E13+1))&gt;DAY(EOMONTH(DATE('P Gerais'!$D$6,VLOOKUP($E$7,$W$7:$X$18,2,0),E13),0)),DAY(DATE('P Gerais'!$D$6,VLOOKUP($E$7,$W$7:$X$18,2,0)+1,1)),DAY(DATE('P Gerais'!$D$6,VLOOKUP($E$7,$W$7:$X$18,2,0),E13+1)))</f>
        <v>7</v>
      </c>
      <c r="F14" s="187" t="str">
        <f t="shared" si="1"/>
        <v>Sáb</v>
      </c>
      <c r="G14" s="81"/>
      <c r="H14" s="94"/>
      <c r="I14" s="94"/>
      <c r="J14" s="94"/>
      <c r="K14" s="94"/>
      <c r="L14" s="197"/>
      <c r="M14" s="95">
        <f t="shared" si="2"/>
        <v>0</v>
      </c>
      <c r="N14" s="196"/>
      <c r="O14" s="95">
        <f ca="1">IF(OR(G14=0,G14="Férias",G14="Falta Justificada",G14="Feriado",G14="Folga (DSR)"),0,IF(G14="Falta Injustificada",HLOOKUP($F14,Jornada!$X$7:$AD$37,VLOOKUP(INDIRECT($C$5),Jornada!$C$8:$W$37,21,0),0),IF(HLOOKUP($F14,Jornada!$X$7:$AD$37,VLOOKUP(INDIRECT($C$5),Jornada!$C$8:$W$37,21,0),0)-M14&gt;0,HLOOKUP($F14,Jornada!$X$7:$AD$37,VLOOKUP(INDIRECT($C$5),Jornada!$C$8:$W$37,21,0),0)-M14,0)))</f>
        <v>0</v>
      </c>
      <c r="P14" s="193">
        <f ca="1">IF(HLOOKUP($F14,Jornada!$X$7:$AD$37,VLOOKUP(INDIRECT($C$5),Jornada!$C$8:$W$37,21,0),0)-M14&lt;0,ABS(HLOOKUP($F14,Jornada!$X$7:$AD$37,VLOOKUP(INDIRECT($C$5),Jornada!$C$8:$W$37,21,0),0)-M14),0)</f>
        <v>0</v>
      </c>
      <c r="Q14" s="95">
        <f t="shared" si="0"/>
        <v>0</v>
      </c>
      <c r="R14" s="2">
        <f t="shared" si="3"/>
        <v>0</v>
      </c>
      <c r="S14" s="294" t="s">
        <v>68</v>
      </c>
      <c r="T14" s="294"/>
      <c r="U14" s="295">
        <f ca="1">SUM(O8:O38)</f>
        <v>0</v>
      </c>
      <c r="W14" s="2" t="s">
        <v>97</v>
      </c>
      <c r="X14" s="156">
        <v>8</v>
      </c>
      <c r="AB14" s="177">
        <f t="shared" si="11"/>
        <v>7</v>
      </c>
      <c r="AC14" s="2">
        <f t="shared" si="4"/>
        <v>7</v>
      </c>
      <c r="AE14" s="2">
        <v>7</v>
      </c>
      <c r="AF14" s="2" t="s">
        <v>57</v>
      </c>
      <c r="AG14" s="220">
        <f t="shared" si="5"/>
        <v>0</v>
      </c>
      <c r="AH14" s="220">
        <f ca="1">IF(HLOOKUP($F14,Jornada!$X$7:$AD$37,VLOOKUP(INDIRECT($C$5),Jornada!$C$8:$W$37,21,0),0)=0,0,VLOOKUP(INDIRECT($C$5),Jornada!$C$8:$H$37,4,0))</f>
        <v>0</v>
      </c>
      <c r="AI14" s="155">
        <f ca="1">IF(AND(I14=0,J14=0,OR(H14&lt;&gt;0,K14&lt;&gt;0),HLOOKUP($F14,Jornada!$X$7:$AD$37,VLOOKUP(INDIRECT($C$5),Jornada!$C$8:$W$37,21,0),0)&gt;$AK$5,M14&gt;$AK$5),VLOOKUP(INDIRECT($C$5),Jornada!$C$8:$H$37,6,0),IF(AG14&gt;VLOOKUP(INDIRECT($C$5),Jornada!$C$8:$H$37,6,0),IF(VLOOKUP(INDIRECT($C$5),Jornada!$C$8:$H$37,6,0)&lt;AG14,0,ABS(VLOOKUP(INDIRECT($C$5),Jornada!$C$8:$H$37,6,0))-AG14),0))</f>
        <v>0</v>
      </c>
      <c r="AJ14" s="155">
        <f t="shared" si="6"/>
        <v>1</v>
      </c>
      <c r="AK14" s="155">
        <f t="shared" si="7"/>
        <v>0</v>
      </c>
      <c r="AL14" s="155">
        <f ca="1">HLOOKUP($F14,Jornada!$I$5:$V$37,VLOOKUP(INDIRECT($C$5),Jornada!$C$8:$W$37,21,0)+2,0)</f>
        <v>0</v>
      </c>
      <c r="AM14" s="155">
        <f ca="1">HLOOKUP($F14,Jornada!$I$4:$V$37,VLOOKUP(INDIRECT($C$5),Jornada!$C$8:$W$37,21,0)+3,0)</f>
        <v>0</v>
      </c>
      <c r="AN14" s="155">
        <f t="shared" ca="1" si="8"/>
        <v>0</v>
      </c>
      <c r="AO14" s="155">
        <f t="shared" si="12"/>
        <v>0</v>
      </c>
      <c r="AP14" s="155">
        <f t="shared" si="9"/>
        <v>0</v>
      </c>
      <c r="BE14" s="223"/>
      <c r="BF14" s="223"/>
      <c r="BG14" s="223"/>
    </row>
    <row r="15" spans="1:59" s="2" customFormat="1" ht="30" customHeight="1" thickTop="1" thickBot="1" x14ac:dyDescent="0.25">
      <c r="A15" s="1"/>
      <c r="B15"/>
      <c r="C15" s="172" t="str">
        <f>IF(Funcionários!C14=0,"",Funcionários!C14)</f>
        <v/>
      </c>
      <c r="D15" s="14">
        <f t="shared" si="10"/>
        <v>1</v>
      </c>
      <c r="E15" s="187">
        <f>IF(DAY(DATE('P Gerais'!$D$6,VLOOKUP($E$7,$W$7:$X$18,2,0),E14+1))&gt;DAY(EOMONTH(DATE('P Gerais'!$D$6,VLOOKUP($E$7,$W$7:$X$18,2,0),E14),0)),DAY(DATE('P Gerais'!$D$6,VLOOKUP($E$7,$W$7:$X$18,2,0)+1,1)),DAY(DATE('P Gerais'!$D$6,VLOOKUP($E$7,$W$7:$X$18,2,0),E14+1)))</f>
        <v>8</v>
      </c>
      <c r="F15" s="187" t="str">
        <f t="shared" si="1"/>
        <v>Dom</v>
      </c>
      <c r="G15" s="81"/>
      <c r="H15" s="94"/>
      <c r="I15" s="94"/>
      <c r="J15" s="94"/>
      <c r="K15" s="94"/>
      <c r="L15" s="197"/>
      <c r="M15" s="95">
        <f t="shared" si="2"/>
        <v>0</v>
      </c>
      <c r="N15" s="196"/>
      <c r="O15" s="95">
        <f ca="1">IF(OR(G15=0,G15="Férias",G15="Falta Justificada",G15="Feriado",G15="Folga (DSR)"),0,IF(G15="Falta Injustificada",HLOOKUP($F15,Jornada!$X$7:$AD$37,VLOOKUP(INDIRECT($C$5),Jornada!$C$8:$W$37,21,0),0),IF(HLOOKUP($F15,Jornada!$X$7:$AD$37,VLOOKUP(INDIRECT($C$5),Jornada!$C$8:$W$37,21,0),0)-M15&gt;0,HLOOKUP($F15,Jornada!$X$7:$AD$37,VLOOKUP(INDIRECT($C$5),Jornada!$C$8:$W$37,21,0),0)-M15,0)))</f>
        <v>0</v>
      </c>
      <c r="P15" s="193">
        <f ca="1">IF(HLOOKUP($F15,Jornada!$X$7:$AD$37,VLOOKUP(INDIRECT($C$5),Jornada!$C$8:$W$37,21,0),0)-M15&lt;0,ABS(HLOOKUP($F15,Jornada!$X$7:$AD$37,VLOOKUP(INDIRECT($C$5),Jornada!$C$8:$W$37,21,0),0)-M15),0)</f>
        <v>0</v>
      </c>
      <c r="Q15" s="95">
        <f t="shared" si="0"/>
        <v>0</v>
      </c>
      <c r="R15" s="2">
        <f t="shared" si="3"/>
        <v>0</v>
      </c>
      <c r="S15" s="294"/>
      <c r="T15" s="294"/>
      <c r="U15" s="295"/>
      <c r="W15" s="2" t="s">
        <v>98</v>
      </c>
      <c r="X15" s="156">
        <v>9</v>
      </c>
      <c r="AB15" s="177">
        <f t="shared" si="11"/>
        <v>8</v>
      </c>
      <c r="AC15" s="2">
        <f t="shared" si="4"/>
        <v>1</v>
      </c>
      <c r="AG15" s="220">
        <f t="shared" si="5"/>
        <v>0</v>
      </c>
      <c r="AH15" s="220">
        <f ca="1">IF(HLOOKUP($F15,Jornada!$X$7:$AD$37,VLOOKUP(INDIRECT($C$5),Jornada!$C$8:$W$37,21,0),0)=0,0,VLOOKUP(INDIRECT($C$5),Jornada!$C$8:$H$37,4,0))</f>
        <v>0</v>
      </c>
      <c r="AI15" s="155">
        <f ca="1">IF(AND(I15=0,J15=0,OR(H15&lt;&gt;0,K15&lt;&gt;0),HLOOKUP($F15,Jornada!$X$7:$AD$37,VLOOKUP(INDIRECT($C$5),Jornada!$C$8:$W$37,21,0),0)&gt;$AK$5,M15&gt;$AK$5),VLOOKUP(INDIRECT($C$5),Jornada!$C$8:$H$37,6,0),IF(AG15&gt;VLOOKUP(INDIRECT($C$5),Jornada!$C$8:$H$37,6,0),IF(VLOOKUP(INDIRECT($C$5),Jornada!$C$8:$H$37,6,0)&lt;AG15,0,ABS(VLOOKUP(INDIRECT($C$5),Jornada!$C$8:$H$37,6,0))-AG15),0))</f>
        <v>0</v>
      </c>
      <c r="AJ15" s="155">
        <f t="shared" si="6"/>
        <v>1</v>
      </c>
      <c r="AK15" s="155">
        <f t="shared" si="7"/>
        <v>0</v>
      </c>
      <c r="AL15" s="155">
        <f ca="1">HLOOKUP($F15,Jornada!$I$5:$V$37,VLOOKUP(INDIRECT($C$5),Jornada!$C$8:$W$37,21,0)+2,0)</f>
        <v>0</v>
      </c>
      <c r="AM15" s="155">
        <f ca="1">HLOOKUP($F15,Jornada!$I$4:$V$37,VLOOKUP(INDIRECT($C$5),Jornada!$C$8:$W$37,21,0)+3,0)</f>
        <v>0</v>
      </c>
      <c r="AN15" s="155">
        <f t="shared" ca="1" si="8"/>
        <v>0</v>
      </c>
      <c r="AO15" s="155">
        <f t="shared" si="12"/>
        <v>0</v>
      </c>
      <c r="AP15" s="155">
        <f t="shared" si="9"/>
        <v>0</v>
      </c>
      <c r="BE15" s="223"/>
      <c r="BF15" s="223"/>
      <c r="BG15" s="223"/>
    </row>
    <row r="16" spans="1:59" s="2" customFormat="1" ht="30" customHeight="1" thickTop="1" thickBot="1" x14ac:dyDescent="0.25">
      <c r="A16" s="1"/>
      <c r="B16"/>
      <c r="C16" s="172" t="str">
        <f>IF(Funcionários!C15=0,"",Funcionários!C15)</f>
        <v/>
      </c>
      <c r="D16" s="14">
        <f t="shared" si="10"/>
        <v>2</v>
      </c>
      <c r="E16" s="187">
        <f>IF(DAY(DATE('P Gerais'!$D$6,VLOOKUP($E$7,$W$7:$X$18,2,0),E15+1))&gt;DAY(EOMONTH(DATE('P Gerais'!$D$6,VLOOKUP($E$7,$W$7:$X$18,2,0),E15),0)),DAY(DATE('P Gerais'!$D$6,VLOOKUP($E$7,$W$7:$X$18,2,0)+1,1)),DAY(DATE('P Gerais'!$D$6,VLOOKUP($E$7,$W$7:$X$18,2,0),E15+1)))</f>
        <v>9</v>
      </c>
      <c r="F16" s="187" t="str">
        <f t="shared" si="1"/>
        <v>Seg</v>
      </c>
      <c r="G16" s="81"/>
      <c r="H16" s="94"/>
      <c r="I16" s="94"/>
      <c r="J16" s="94"/>
      <c r="K16" s="94"/>
      <c r="L16" s="197"/>
      <c r="M16" s="95">
        <f t="shared" si="2"/>
        <v>0</v>
      </c>
      <c r="N16" s="196"/>
      <c r="O16" s="95">
        <f ca="1">IF(OR(G16=0,G16="Férias",G16="Falta Justificada",G16="Feriado",G16="Folga (DSR)"),0,IF(G16="Falta Injustificada",HLOOKUP($F16,Jornada!$X$7:$AD$37,VLOOKUP(INDIRECT($C$5),Jornada!$C$8:$W$37,21,0),0),IF(HLOOKUP($F16,Jornada!$X$7:$AD$37,VLOOKUP(INDIRECT($C$5),Jornada!$C$8:$W$37,21,0),0)-M16&gt;0,HLOOKUP($F16,Jornada!$X$7:$AD$37,VLOOKUP(INDIRECT($C$5),Jornada!$C$8:$W$37,21,0),0)-M16,0)))</f>
        <v>0</v>
      </c>
      <c r="P16" s="193">
        <f ca="1">IF(HLOOKUP($F16,Jornada!$X$7:$AD$37,VLOOKUP(INDIRECT($C$5),Jornada!$C$8:$W$37,21,0),0)-M16&lt;0,ABS(HLOOKUP($F16,Jornada!$X$7:$AD$37,VLOOKUP(INDIRECT($C$5),Jornada!$C$8:$W$37,21,0),0)-M16),0)</f>
        <v>0</v>
      </c>
      <c r="Q16" s="95">
        <f t="shared" si="0"/>
        <v>0</v>
      </c>
      <c r="R16" s="2">
        <f t="shared" si="3"/>
        <v>0</v>
      </c>
      <c r="S16" s="294" t="s">
        <v>67</v>
      </c>
      <c r="T16" s="294"/>
      <c r="U16" s="295">
        <f>SUM(Q8:Q38)</f>
        <v>0</v>
      </c>
      <c r="W16" s="2" t="s">
        <v>99</v>
      </c>
      <c r="X16" s="156">
        <v>10</v>
      </c>
      <c r="AB16" s="177">
        <f t="shared" si="11"/>
        <v>9</v>
      </c>
      <c r="AC16" s="2">
        <f t="shared" si="4"/>
        <v>2</v>
      </c>
      <c r="AG16" s="220">
        <f t="shared" si="5"/>
        <v>0</v>
      </c>
      <c r="AH16" s="220">
        <f ca="1">IF(HLOOKUP($F16,Jornada!$X$7:$AD$37,VLOOKUP(INDIRECT($C$5),Jornada!$C$8:$W$37,21,0),0)=0,0,VLOOKUP(INDIRECT($C$5),Jornada!$C$8:$H$37,4,0))</f>
        <v>0</v>
      </c>
      <c r="AI16" s="155">
        <f ca="1">IF(AND(I16=0,J16=0,OR(H16&lt;&gt;0,K16&lt;&gt;0),HLOOKUP($F16,Jornada!$X$7:$AD$37,VLOOKUP(INDIRECT($C$5),Jornada!$C$8:$W$37,21,0),0)&gt;$AK$5,M16&gt;$AK$5),VLOOKUP(INDIRECT($C$5),Jornada!$C$8:$H$37,6,0),IF(AG16&gt;VLOOKUP(INDIRECT($C$5),Jornada!$C$8:$H$37,6,0),IF(VLOOKUP(INDIRECT($C$5),Jornada!$C$8:$H$37,6,0)&lt;AG16,0,ABS(VLOOKUP(INDIRECT($C$5),Jornada!$C$8:$H$37,6,0))-AG16),0))</f>
        <v>0</v>
      </c>
      <c r="AJ16" s="155">
        <f t="shared" si="6"/>
        <v>1</v>
      </c>
      <c r="AK16" s="155">
        <f t="shared" si="7"/>
        <v>0</v>
      </c>
      <c r="AL16" s="155">
        <f ca="1">HLOOKUP($F16,Jornada!$I$5:$V$37,VLOOKUP(INDIRECT($C$5),Jornada!$C$8:$W$37,21,0)+2,0)</f>
        <v>0</v>
      </c>
      <c r="AM16" s="155">
        <f ca="1">HLOOKUP($F16,Jornada!$I$4:$V$37,VLOOKUP(INDIRECT($C$5),Jornada!$C$8:$W$37,21,0)+3,0)</f>
        <v>0</v>
      </c>
      <c r="AN16" s="155">
        <f t="shared" ca="1" si="8"/>
        <v>0</v>
      </c>
      <c r="AO16" s="155">
        <f t="shared" si="12"/>
        <v>0</v>
      </c>
      <c r="AP16" s="155">
        <f t="shared" si="9"/>
        <v>0</v>
      </c>
      <c r="BE16" s="223"/>
      <c r="BF16" s="223"/>
      <c r="BG16" s="223"/>
    </row>
    <row r="17" spans="1:59" s="2" customFormat="1" ht="30" customHeight="1" thickTop="1" thickBot="1" x14ac:dyDescent="0.25">
      <c r="A17" s="1"/>
      <c r="B17"/>
      <c r="C17" s="172" t="str">
        <f>IF(Funcionários!C16=0,"",Funcionários!C16)</f>
        <v/>
      </c>
      <c r="D17" s="14">
        <f t="shared" si="10"/>
        <v>3</v>
      </c>
      <c r="E17" s="187">
        <f>IF(DAY(DATE('P Gerais'!$D$6,VLOOKUP($E$7,$W$7:$X$18,2,0),E16+1))&gt;DAY(EOMONTH(DATE('P Gerais'!$D$6,VLOOKUP($E$7,$W$7:$X$18,2,0),E16),0)),DAY(DATE('P Gerais'!$D$6,VLOOKUP($E$7,$W$7:$X$18,2,0)+1,1)),DAY(DATE('P Gerais'!$D$6,VLOOKUP($E$7,$W$7:$X$18,2,0),E16+1)))</f>
        <v>10</v>
      </c>
      <c r="F17" s="187" t="str">
        <f t="shared" si="1"/>
        <v>Ter</v>
      </c>
      <c r="G17" s="81"/>
      <c r="H17" s="94"/>
      <c r="I17" s="94"/>
      <c r="J17" s="94"/>
      <c r="K17" s="94"/>
      <c r="L17" s="197"/>
      <c r="M17" s="95">
        <f t="shared" si="2"/>
        <v>0</v>
      </c>
      <c r="N17" s="196"/>
      <c r="O17" s="95">
        <f ca="1">IF(OR(G17=0,G17="Férias",G17="Falta Justificada",G17="Feriado",G17="Folga (DSR)"),0,IF(G17="Falta Injustificada",HLOOKUP($F17,Jornada!$X$7:$AD$37,VLOOKUP(INDIRECT($C$5),Jornada!$C$8:$W$37,21,0),0),IF(HLOOKUP($F17,Jornada!$X$7:$AD$37,VLOOKUP(INDIRECT($C$5),Jornada!$C$8:$W$37,21,0),0)-M17&gt;0,HLOOKUP($F17,Jornada!$X$7:$AD$37,VLOOKUP(INDIRECT($C$5),Jornada!$C$8:$W$37,21,0),0)-M17,0)))</f>
        <v>0</v>
      </c>
      <c r="P17" s="193">
        <f ca="1">IF(HLOOKUP($F17,Jornada!$X$7:$AD$37,VLOOKUP(INDIRECT($C$5),Jornada!$C$8:$W$37,21,0),0)-M17&lt;0,ABS(HLOOKUP($F17,Jornada!$X$7:$AD$37,VLOOKUP(INDIRECT($C$5),Jornada!$C$8:$W$37,21,0),0)-M17),0)</f>
        <v>0</v>
      </c>
      <c r="Q17" s="95">
        <f t="shared" si="0"/>
        <v>0</v>
      </c>
      <c r="R17" s="2">
        <f t="shared" si="3"/>
        <v>0</v>
      </c>
      <c r="S17" s="294"/>
      <c r="T17" s="294"/>
      <c r="U17" s="295"/>
      <c r="W17" s="2" t="s">
        <v>100</v>
      </c>
      <c r="X17" s="156">
        <v>11</v>
      </c>
      <c r="AB17" s="177">
        <f t="shared" si="11"/>
        <v>10</v>
      </c>
      <c r="AC17" s="2">
        <f t="shared" si="4"/>
        <v>3</v>
      </c>
      <c r="AG17" s="220">
        <f t="shared" si="5"/>
        <v>0</v>
      </c>
      <c r="AH17" s="220">
        <f ca="1">IF(HLOOKUP($F17,Jornada!$X$7:$AD$37,VLOOKUP(INDIRECT($C$5),Jornada!$C$8:$W$37,21,0),0)=0,0,VLOOKUP(INDIRECT($C$5),Jornada!$C$8:$H$37,4,0))</f>
        <v>0</v>
      </c>
      <c r="AI17" s="155">
        <f ca="1">IF(AND(I17=0,J17=0,OR(H17&lt;&gt;0,K17&lt;&gt;0),HLOOKUP($F17,Jornada!$X$7:$AD$37,VLOOKUP(INDIRECT($C$5),Jornada!$C$8:$W$37,21,0),0)&gt;$AK$5,M17&gt;$AK$5),VLOOKUP(INDIRECT($C$5),Jornada!$C$8:$H$37,6,0),IF(AG17&gt;VLOOKUP(INDIRECT($C$5),Jornada!$C$8:$H$37,6,0),IF(VLOOKUP(INDIRECT($C$5),Jornada!$C$8:$H$37,6,0)&lt;AG17,0,ABS(VLOOKUP(INDIRECT($C$5),Jornada!$C$8:$H$37,6,0))-AG17),0))</f>
        <v>0</v>
      </c>
      <c r="AJ17" s="155">
        <f t="shared" si="6"/>
        <v>1</v>
      </c>
      <c r="AK17" s="155">
        <f t="shared" si="7"/>
        <v>0</v>
      </c>
      <c r="AL17" s="155">
        <f ca="1">HLOOKUP($F17,Jornada!$I$5:$V$37,VLOOKUP(INDIRECT($C$5),Jornada!$C$8:$W$37,21,0)+2,0)</f>
        <v>0</v>
      </c>
      <c r="AM17" s="155">
        <f ca="1">HLOOKUP($F17,Jornada!$I$4:$V$37,VLOOKUP(INDIRECT($C$5),Jornada!$C$8:$W$37,21,0)+3,0)</f>
        <v>0</v>
      </c>
      <c r="AN17" s="155">
        <f t="shared" ca="1" si="8"/>
        <v>0</v>
      </c>
      <c r="AO17" s="155">
        <f t="shared" si="12"/>
        <v>0</v>
      </c>
      <c r="AP17" s="155">
        <f t="shared" si="9"/>
        <v>0</v>
      </c>
      <c r="BE17" s="223"/>
      <c r="BF17" s="223"/>
      <c r="BG17" s="223"/>
    </row>
    <row r="18" spans="1:59" s="2" customFormat="1" ht="30" customHeight="1" thickTop="1" thickBot="1" x14ac:dyDescent="0.25">
      <c r="A18" s="1"/>
      <c r="B18"/>
      <c r="C18" s="172" t="str">
        <f>IF(Funcionários!C17=0,"",Funcionários!C17)</f>
        <v/>
      </c>
      <c r="D18" s="14">
        <f t="shared" si="10"/>
        <v>4</v>
      </c>
      <c r="E18" s="187">
        <f>IF(DAY(DATE('P Gerais'!$D$6,VLOOKUP($E$7,$W$7:$X$18,2,0),E17+1))&gt;DAY(EOMONTH(DATE('P Gerais'!$D$6,VLOOKUP($E$7,$W$7:$X$18,2,0),E17),0)),DAY(DATE('P Gerais'!$D$6,VLOOKUP($E$7,$W$7:$X$18,2,0)+1,1)),DAY(DATE('P Gerais'!$D$6,VLOOKUP($E$7,$W$7:$X$18,2,0),E17+1)))</f>
        <v>11</v>
      </c>
      <c r="F18" s="187" t="str">
        <f t="shared" si="1"/>
        <v>Qua</v>
      </c>
      <c r="G18" s="81"/>
      <c r="H18" s="94"/>
      <c r="I18" s="94"/>
      <c r="J18" s="94"/>
      <c r="K18" s="94"/>
      <c r="L18" s="197"/>
      <c r="M18" s="95">
        <f t="shared" si="2"/>
        <v>0</v>
      </c>
      <c r="N18" s="196"/>
      <c r="O18" s="95">
        <f ca="1">IF(OR(G18=0,G18="Férias",G18="Falta Justificada",G18="Feriado",G18="Folga (DSR)"),0,IF(G18="Falta Injustificada",HLOOKUP($F18,Jornada!$X$7:$AD$37,VLOOKUP(INDIRECT($C$5),Jornada!$C$8:$W$37,21,0),0),IF(HLOOKUP($F18,Jornada!$X$7:$AD$37,VLOOKUP(INDIRECT($C$5),Jornada!$C$8:$W$37,21,0),0)-M18&gt;0,HLOOKUP($F18,Jornada!$X$7:$AD$37,VLOOKUP(INDIRECT($C$5),Jornada!$C$8:$W$37,21,0),0)-M18,0)))</f>
        <v>0</v>
      </c>
      <c r="P18" s="193">
        <f ca="1">IF(HLOOKUP($F18,Jornada!$X$7:$AD$37,VLOOKUP(INDIRECT($C$5),Jornada!$C$8:$W$37,21,0),0)-M18&lt;0,ABS(HLOOKUP($F18,Jornada!$X$7:$AD$37,VLOOKUP(INDIRECT($C$5),Jornada!$C$8:$W$37,21,0),0)-M18),0)</f>
        <v>0</v>
      </c>
      <c r="Q18" s="95">
        <f t="shared" si="0"/>
        <v>0</v>
      </c>
      <c r="R18" s="2">
        <f t="shared" si="3"/>
        <v>0</v>
      </c>
      <c r="S18" s="294" t="s">
        <v>69</v>
      </c>
      <c r="T18" s="294"/>
      <c r="U18" s="299">
        <f ca="1">F54</f>
        <v>0</v>
      </c>
      <c r="W18" s="2" t="s">
        <v>101</v>
      </c>
      <c r="X18" s="156">
        <v>12</v>
      </c>
      <c r="AB18" s="177">
        <f t="shared" si="11"/>
        <v>11</v>
      </c>
      <c r="AC18" s="2">
        <f t="shared" si="4"/>
        <v>4</v>
      </c>
      <c r="AG18" s="220">
        <f t="shared" si="5"/>
        <v>0</v>
      </c>
      <c r="AH18" s="220">
        <f ca="1">IF(HLOOKUP($F18,Jornada!$X$7:$AD$37,VLOOKUP(INDIRECT($C$5),Jornada!$C$8:$W$37,21,0),0)=0,0,VLOOKUP(INDIRECT($C$5),Jornada!$C$8:$H$37,4,0))</f>
        <v>0</v>
      </c>
      <c r="AI18" s="155">
        <f ca="1">IF(AND(I18=0,J18=0,OR(H18&lt;&gt;0,K18&lt;&gt;0),HLOOKUP($F18,Jornada!$X$7:$AD$37,VLOOKUP(INDIRECT($C$5),Jornada!$C$8:$W$37,21,0),0)&gt;$AK$5,M18&gt;$AK$5),VLOOKUP(INDIRECT($C$5),Jornada!$C$8:$H$37,6,0),IF(AG18&gt;VLOOKUP(INDIRECT($C$5),Jornada!$C$8:$H$37,6,0),IF(VLOOKUP(INDIRECT($C$5),Jornada!$C$8:$H$37,6,0)&lt;AG18,0,ABS(VLOOKUP(INDIRECT($C$5),Jornada!$C$8:$H$37,6,0))-AG18),0))</f>
        <v>0</v>
      </c>
      <c r="AJ18" s="155">
        <f t="shared" si="6"/>
        <v>1</v>
      </c>
      <c r="AK18" s="155">
        <f t="shared" si="7"/>
        <v>0</v>
      </c>
      <c r="AL18" s="155">
        <f ca="1">HLOOKUP($F18,Jornada!$I$5:$V$37,VLOOKUP(INDIRECT($C$5),Jornada!$C$8:$W$37,21,0)+2,0)</f>
        <v>0</v>
      </c>
      <c r="AM18" s="155">
        <f ca="1">HLOOKUP($F18,Jornada!$I$4:$V$37,VLOOKUP(INDIRECT($C$5),Jornada!$C$8:$W$37,21,0)+3,0)</f>
        <v>0</v>
      </c>
      <c r="AN18" s="155">
        <f t="shared" ca="1" si="8"/>
        <v>0</v>
      </c>
      <c r="AO18" s="155">
        <f t="shared" si="12"/>
        <v>0</v>
      </c>
      <c r="AP18" s="155">
        <f t="shared" si="9"/>
        <v>0</v>
      </c>
      <c r="BE18" s="223"/>
      <c r="BF18" s="223"/>
      <c r="BG18" s="223"/>
    </row>
    <row r="19" spans="1:59" s="2" customFormat="1" ht="30" customHeight="1" thickTop="1" thickBot="1" x14ac:dyDescent="0.25">
      <c r="A19" s="1"/>
      <c r="B19"/>
      <c r="C19" s="172" t="str">
        <f>IF(Funcionários!C18=0,"",Funcionários!C18)</f>
        <v/>
      </c>
      <c r="D19" s="14">
        <f t="shared" si="10"/>
        <v>5</v>
      </c>
      <c r="E19" s="187">
        <f>IF(DAY(DATE('P Gerais'!$D$6,VLOOKUP($E$7,$W$7:$X$18,2,0),E18+1))&gt;DAY(EOMONTH(DATE('P Gerais'!$D$6,VLOOKUP($E$7,$W$7:$X$18,2,0),E18),0)),DAY(DATE('P Gerais'!$D$6,VLOOKUP($E$7,$W$7:$X$18,2,0)+1,1)),DAY(DATE('P Gerais'!$D$6,VLOOKUP($E$7,$W$7:$X$18,2,0),E18+1)))</f>
        <v>12</v>
      </c>
      <c r="F19" s="187" t="str">
        <f t="shared" si="1"/>
        <v>Qui</v>
      </c>
      <c r="G19" s="81"/>
      <c r="H19" s="94"/>
      <c r="I19" s="94"/>
      <c r="J19" s="94"/>
      <c r="K19" s="94"/>
      <c r="L19" s="197"/>
      <c r="M19" s="95">
        <f t="shared" si="2"/>
        <v>0</v>
      </c>
      <c r="N19" s="196"/>
      <c r="O19" s="95">
        <f ca="1">IF(OR(G19=0,G19="Férias",G19="Falta Justificada",G19="Feriado",G19="Folga (DSR)"),0,IF(G19="Falta Injustificada",HLOOKUP($F19,Jornada!$X$7:$AD$37,VLOOKUP(INDIRECT($C$5),Jornada!$C$8:$W$37,21,0),0),IF(HLOOKUP($F19,Jornada!$X$7:$AD$37,VLOOKUP(INDIRECT($C$5),Jornada!$C$8:$W$37,21,0),0)-M19&gt;0,HLOOKUP($F19,Jornada!$X$7:$AD$37,VLOOKUP(INDIRECT($C$5),Jornada!$C$8:$W$37,21,0),0)-M19,0)))</f>
        <v>0</v>
      </c>
      <c r="P19" s="193">
        <f ca="1">IF(HLOOKUP($F19,Jornada!$X$7:$AD$37,VLOOKUP(INDIRECT($C$5),Jornada!$C$8:$W$37,21,0),0)-M19&lt;0,ABS(HLOOKUP($F19,Jornada!$X$7:$AD$37,VLOOKUP(INDIRECT($C$5),Jornada!$C$8:$W$37,21,0),0)-M19),0)</f>
        <v>0</v>
      </c>
      <c r="Q19" s="95">
        <f t="shared" si="0"/>
        <v>0</v>
      </c>
      <c r="R19" s="2">
        <f t="shared" si="3"/>
        <v>0</v>
      </c>
      <c r="S19" s="294"/>
      <c r="T19" s="294"/>
      <c r="U19" s="299"/>
      <c r="X19" s="177"/>
      <c r="AB19" s="177">
        <f t="shared" si="11"/>
        <v>12</v>
      </c>
      <c r="AC19" s="2">
        <f t="shared" si="4"/>
        <v>5</v>
      </c>
      <c r="AG19" s="220">
        <f t="shared" si="5"/>
        <v>0</v>
      </c>
      <c r="AH19" s="220">
        <f ca="1">IF(HLOOKUP($F19,Jornada!$X$7:$AD$37,VLOOKUP(INDIRECT($C$5),Jornada!$C$8:$W$37,21,0),0)=0,0,VLOOKUP(INDIRECT($C$5),Jornada!$C$8:$H$37,4,0))</f>
        <v>0</v>
      </c>
      <c r="AI19" s="155">
        <f ca="1">IF(AND(I19=0,J19=0,OR(H19&lt;&gt;0,K19&lt;&gt;0),HLOOKUP($F19,Jornada!$X$7:$AD$37,VLOOKUP(INDIRECT($C$5),Jornada!$C$8:$W$37,21,0),0)&gt;$AK$5,M19&gt;$AK$5),VLOOKUP(INDIRECT($C$5),Jornada!$C$8:$H$37,6,0),IF(AG19&gt;VLOOKUP(INDIRECT($C$5),Jornada!$C$8:$H$37,6,0),IF(VLOOKUP(INDIRECT($C$5),Jornada!$C$8:$H$37,6,0)&lt;AG19,0,ABS(VLOOKUP(INDIRECT($C$5),Jornada!$C$8:$H$37,6,0))-AG19),0))</f>
        <v>0</v>
      </c>
      <c r="AJ19" s="155">
        <f t="shared" si="6"/>
        <v>1</v>
      </c>
      <c r="AK19" s="155">
        <f t="shared" si="7"/>
        <v>0</v>
      </c>
      <c r="AL19" s="155">
        <f ca="1">HLOOKUP($F19,Jornada!$I$5:$V$37,VLOOKUP(INDIRECT($C$5),Jornada!$C$8:$W$37,21,0)+2,0)</f>
        <v>0</v>
      </c>
      <c r="AM19" s="155">
        <f ca="1">HLOOKUP($F19,Jornada!$I$4:$V$37,VLOOKUP(INDIRECT($C$5),Jornada!$C$8:$W$37,21,0)+3,0)</f>
        <v>0</v>
      </c>
      <c r="AN19" s="155">
        <f t="shared" ca="1" si="8"/>
        <v>0</v>
      </c>
      <c r="AO19" s="155">
        <f t="shared" si="12"/>
        <v>0</v>
      </c>
      <c r="AP19" s="155">
        <f t="shared" si="9"/>
        <v>0</v>
      </c>
      <c r="BE19" s="223"/>
      <c r="BF19" s="223"/>
      <c r="BG19" s="223"/>
    </row>
    <row r="20" spans="1:59" s="2" customFormat="1" ht="30" customHeight="1" thickTop="1" thickBot="1" x14ac:dyDescent="0.25">
      <c r="A20" s="1"/>
      <c r="B20"/>
      <c r="C20" s="172" t="str">
        <f>IF(Funcionários!C19=0,"",Funcionários!C19)</f>
        <v/>
      </c>
      <c r="D20" s="14">
        <f t="shared" si="10"/>
        <v>6</v>
      </c>
      <c r="E20" s="187">
        <f>IF(DAY(DATE('P Gerais'!$D$6,VLOOKUP($E$7,$W$7:$X$18,2,0),E19+1))&gt;DAY(EOMONTH(DATE('P Gerais'!$D$6,VLOOKUP($E$7,$W$7:$X$18,2,0),E19),0)),DAY(DATE('P Gerais'!$D$6,VLOOKUP($E$7,$W$7:$X$18,2,0)+1,1)),DAY(DATE('P Gerais'!$D$6,VLOOKUP($E$7,$W$7:$X$18,2,0),E19+1)))</f>
        <v>13</v>
      </c>
      <c r="F20" s="187" t="str">
        <f t="shared" si="1"/>
        <v>Sex</v>
      </c>
      <c r="G20" s="81"/>
      <c r="H20" s="94"/>
      <c r="I20" s="94"/>
      <c r="J20" s="94"/>
      <c r="K20" s="94"/>
      <c r="L20" s="197"/>
      <c r="M20" s="95">
        <f t="shared" si="2"/>
        <v>0</v>
      </c>
      <c r="N20" s="196"/>
      <c r="O20" s="95">
        <f ca="1">IF(OR(G20=0,G20="Férias",G20="Falta Justificada",G20="Feriado",G20="Folga (DSR)"),0,IF(G20="Falta Injustificada",HLOOKUP($F20,Jornada!$X$7:$AD$37,VLOOKUP(INDIRECT($C$5),Jornada!$C$8:$W$37,21,0),0),IF(HLOOKUP($F20,Jornada!$X$7:$AD$37,VLOOKUP(INDIRECT($C$5),Jornada!$C$8:$W$37,21,0),0)-M20&gt;0,HLOOKUP($F20,Jornada!$X$7:$AD$37,VLOOKUP(INDIRECT($C$5),Jornada!$C$8:$W$37,21,0),0)-M20,0)))</f>
        <v>0</v>
      </c>
      <c r="P20" s="193">
        <f ca="1">IF(HLOOKUP($F20,Jornada!$X$7:$AD$37,VLOOKUP(INDIRECT($C$5),Jornada!$C$8:$W$37,21,0),0)-M20&lt;0,ABS(HLOOKUP($F20,Jornada!$X$7:$AD$37,VLOOKUP(INDIRECT($C$5),Jornada!$C$8:$W$37,21,0),0)-M20),0)</f>
        <v>0</v>
      </c>
      <c r="Q20" s="95">
        <f t="shared" si="0"/>
        <v>0</v>
      </c>
      <c r="R20" s="2">
        <f t="shared" si="3"/>
        <v>0</v>
      </c>
      <c r="S20"/>
      <c r="T20"/>
      <c r="U20"/>
      <c r="X20" s="177"/>
      <c r="AB20" s="177">
        <f t="shared" si="11"/>
        <v>13</v>
      </c>
      <c r="AC20" s="2">
        <f t="shared" si="4"/>
        <v>6</v>
      </c>
      <c r="AG20" s="220">
        <f t="shared" si="5"/>
        <v>0</v>
      </c>
      <c r="AH20" s="220">
        <f ca="1">IF(HLOOKUP($F20,Jornada!$X$7:$AD$37,VLOOKUP(INDIRECT($C$5),Jornada!$C$8:$W$37,21,0),0)=0,0,VLOOKUP(INDIRECT($C$5),Jornada!$C$8:$H$37,4,0))</f>
        <v>0</v>
      </c>
      <c r="AI20" s="155">
        <f ca="1">IF(AND(I20=0,J20=0,OR(H20&lt;&gt;0,K20&lt;&gt;0),HLOOKUP($F20,Jornada!$X$7:$AD$37,VLOOKUP(INDIRECT($C$5),Jornada!$C$8:$W$37,21,0),0)&gt;$AK$5,M20&gt;$AK$5),VLOOKUP(INDIRECT($C$5),Jornada!$C$8:$H$37,6,0),IF(AG20&gt;VLOOKUP(INDIRECT($C$5),Jornada!$C$8:$H$37,6,0),IF(VLOOKUP(INDIRECT($C$5),Jornada!$C$8:$H$37,6,0)&lt;AG20,0,ABS(VLOOKUP(INDIRECT($C$5),Jornada!$C$8:$H$37,6,0))-AG20),0))</f>
        <v>0</v>
      </c>
      <c r="AJ20" s="155">
        <f t="shared" si="6"/>
        <v>1</v>
      </c>
      <c r="AK20" s="155">
        <f t="shared" si="7"/>
        <v>0</v>
      </c>
      <c r="AL20" s="155">
        <f ca="1">HLOOKUP($F20,Jornada!$I$5:$V$37,VLOOKUP(INDIRECT($C$5),Jornada!$C$8:$W$37,21,0)+2,0)</f>
        <v>0</v>
      </c>
      <c r="AM20" s="155">
        <f ca="1">HLOOKUP($F20,Jornada!$I$4:$V$37,VLOOKUP(INDIRECT($C$5),Jornada!$C$8:$W$37,21,0)+3,0)</f>
        <v>0</v>
      </c>
      <c r="AN20" s="155">
        <f t="shared" ca="1" si="8"/>
        <v>0</v>
      </c>
      <c r="AO20" s="155">
        <f t="shared" si="12"/>
        <v>0</v>
      </c>
      <c r="AP20" s="155">
        <f t="shared" si="9"/>
        <v>0</v>
      </c>
      <c r="BE20" s="223"/>
      <c r="BF20" s="223"/>
      <c r="BG20" s="223"/>
    </row>
    <row r="21" spans="1:59" s="2" customFormat="1" ht="30" customHeight="1" thickTop="1" thickBot="1" x14ac:dyDescent="0.25">
      <c r="A21" s="1"/>
      <c r="B21"/>
      <c r="C21" s="172" t="str">
        <f>IF(Funcionários!C20=0,"",Funcionários!C20)</f>
        <v/>
      </c>
      <c r="D21" s="14">
        <f t="shared" si="10"/>
        <v>7</v>
      </c>
      <c r="E21" s="187">
        <f>IF(DAY(DATE('P Gerais'!$D$6,VLOOKUP($E$7,$W$7:$X$18,2,0),E20+1))&gt;DAY(EOMONTH(DATE('P Gerais'!$D$6,VLOOKUP($E$7,$W$7:$X$18,2,0),E20),0)),DAY(DATE('P Gerais'!$D$6,VLOOKUP($E$7,$W$7:$X$18,2,0)+1,1)),DAY(DATE('P Gerais'!$D$6,VLOOKUP($E$7,$W$7:$X$18,2,0),E20+1)))</f>
        <v>14</v>
      </c>
      <c r="F21" s="187" t="str">
        <f t="shared" si="1"/>
        <v>Sáb</v>
      </c>
      <c r="G21" s="81"/>
      <c r="H21" s="94"/>
      <c r="I21" s="94"/>
      <c r="J21" s="94"/>
      <c r="K21" s="94"/>
      <c r="L21" s="197"/>
      <c r="M21" s="95">
        <f t="shared" si="2"/>
        <v>0</v>
      </c>
      <c r="N21" s="196"/>
      <c r="O21" s="95">
        <f ca="1">IF(OR(G21=0,G21="Férias",G21="Falta Justificada",G21="Feriado",G21="Folga (DSR)"),0,IF(G21="Falta Injustificada",HLOOKUP($F21,Jornada!$X$7:$AD$37,VLOOKUP(INDIRECT($C$5),Jornada!$C$8:$W$37,21,0),0),IF(HLOOKUP($F21,Jornada!$X$7:$AD$37,VLOOKUP(INDIRECT($C$5),Jornada!$C$8:$W$37,21,0),0)-M21&gt;0,HLOOKUP($F21,Jornada!$X$7:$AD$37,VLOOKUP(INDIRECT($C$5),Jornada!$C$8:$W$37,21,0),0)-M21,0)))</f>
        <v>0</v>
      </c>
      <c r="P21" s="193">
        <f ca="1">IF(HLOOKUP($F21,Jornada!$X$7:$AD$37,VLOOKUP(INDIRECT($C$5),Jornada!$C$8:$W$37,21,0),0)-M21&lt;0,ABS(HLOOKUP($F21,Jornada!$X$7:$AD$37,VLOOKUP(INDIRECT($C$5),Jornada!$C$8:$W$37,21,0),0)-M21),0)</f>
        <v>0</v>
      </c>
      <c r="Q21" s="95">
        <f t="shared" si="0"/>
        <v>0</v>
      </c>
      <c r="R21" s="2">
        <f t="shared" si="3"/>
        <v>0</v>
      </c>
      <c r="S21"/>
      <c r="T21"/>
      <c r="U21"/>
      <c r="X21" s="177"/>
      <c r="AB21" s="177">
        <f t="shared" si="11"/>
        <v>14</v>
      </c>
      <c r="AC21" s="2">
        <f t="shared" si="4"/>
        <v>7</v>
      </c>
      <c r="AG21" s="220">
        <f t="shared" si="5"/>
        <v>0</v>
      </c>
      <c r="AH21" s="220">
        <f ca="1">IF(HLOOKUP($F21,Jornada!$X$7:$AD$37,VLOOKUP(INDIRECT($C$5),Jornada!$C$8:$W$37,21,0),0)=0,0,VLOOKUP(INDIRECT($C$5),Jornada!$C$8:$H$37,4,0))</f>
        <v>0</v>
      </c>
      <c r="AI21" s="155">
        <f ca="1">IF(AND(I21=0,J21=0,OR(H21&lt;&gt;0,K21&lt;&gt;0),HLOOKUP($F21,Jornada!$X$7:$AD$37,VLOOKUP(INDIRECT($C$5),Jornada!$C$8:$W$37,21,0),0)&gt;$AK$5,M21&gt;$AK$5),VLOOKUP(INDIRECT($C$5),Jornada!$C$8:$H$37,6,0),IF(AG21&gt;VLOOKUP(INDIRECT($C$5),Jornada!$C$8:$H$37,6,0),IF(VLOOKUP(INDIRECT($C$5),Jornada!$C$8:$H$37,6,0)&lt;AG21,0,ABS(VLOOKUP(INDIRECT($C$5),Jornada!$C$8:$H$37,6,0))-AG21),0))</f>
        <v>0</v>
      </c>
      <c r="AJ21" s="155">
        <f t="shared" si="6"/>
        <v>1</v>
      </c>
      <c r="AK21" s="155">
        <f t="shared" si="7"/>
        <v>0</v>
      </c>
      <c r="AL21" s="155">
        <f ca="1">HLOOKUP($F21,Jornada!$I$5:$V$37,VLOOKUP(INDIRECT($C$5),Jornada!$C$8:$W$37,21,0)+2,0)</f>
        <v>0</v>
      </c>
      <c r="AM21" s="155">
        <f ca="1">HLOOKUP($F21,Jornada!$I$4:$V$37,VLOOKUP(INDIRECT($C$5),Jornada!$C$8:$W$37,21,0)+3,0)</f>
        <v>0</v>
      </c>
      <c r="AN21" s="155">
        <f t="shared" ca="1" si="8"/>
        <v>0</v>
      </c>
      <c r="AO21" s="155">
        <f t="shared" si="12"/>
        <v>0</v>
      </c>
      <c r="AP21" s="155">
        <f t="shared" si="9"/>
        <v>0</v>
      </c>
      <c r="BE21" s="223"/>
      <c r="BF21" s="223"/>
      <c r="BG21" s="223"/>
    </row>
    <row r="22" spans="1:59" s="2" customFormat="1" ht="30" customHeight="1" thickTop="1" thickBot="1" x14ac:dyDescent="0.25">
      <c r="A22" s="1"/>
      <c r="B22"/>
      <c r="C22" s="172" t="str">
        <f>IF(Funcionários!C21=0,"",Funcionários!C21)</f>
        <v/>
      </c>
      <c r="D22" s="14">
        <f t="shared" si="10"/>
        <v>1</v>
      </c>
      <c r="E22" s="187">
        <f>IF(DAY(DATE('P Gerais'!$D$6,VLOOKUP($E$7,$W$7:$X$18,2,0),E21+1))&gt;DAY(EOMONTH(DATE('P Gerais'!$D$6,VLOOKUP($E$7,$W$7:$X$18,2,0),E21),0)),DAY(DATE('P Gerais'!$D$6,VLOOKUP($E$7,$W$7:$X$18,2,0)+1,1)),DAY(DATE('P Gerais'!$D$6,VLOOKUP($E$7,$W$7:$X$18,2,0),E21+1)))</f>
        <v>15</v>
      </c>
      <c r="F22" s="187" t="str">
        <f t="shared" si="1"/>
        <v>Dom</v>
      </c>
      <c r="G22" s="81"/>
      <c r="H22" s="94"/>
      <c r="I22" s="94"/>
      <c r="J22" s="94"/>
      <c r="K22" s="94"/>
      <c r="L22" s="197"/>
      <c r="M22" s="95">
        <f t="shared" si="2"/>
        <v>0</v>
      </c>
      <c r="N22" s="196"/>
      <c r="O22" s="95">
        <f ca="1">IF(OR(G22=0,G22="Férias",G22="Falta Justificada",G22="Feriado",G22="Folga (DSR)"),0,IF(G22="Falta Injustificada",HLOOKUP($F22,Jornada!$X$7:$AD$37,VLOOKUP(INDIRECT($C$5),Jornada!$C$8:$W$37,21,0),0),IF(HLOOKUP($F22,Jornada!$X$7:$AD$37,VLOOKUP(INDIRECT($C$5),Jornada!$C$8:$W$37,21,0),0)-M22&gt;0,HLOOKUP($F22,Jornada!$X$7:$AD$37,VLOOKUP(INDIRECT($C$5),Jornada!$C$8:$W$37,21,0),0)-M22,0)))</f>
        <v>0</v>
      </c>
      <c r="P22" s="193">
        <f ca="1">IF(HLOOKUP($F22,Jornada!$X$7:$AD$37,VLOOKUP(INDIRECT($C$5),Jornada!$C$8:$W$37,21,0),0)-M22&lt;0,ABS(HLOOKUP($F22,Jornada!$X$7:$AD$37,VLOOKUP(INDIRECT($C$5),Jornada!$C$8:$W$37,21,0),0)-M22),0)</f>
        <v>0</v>
      </c>
      <c r="Q22" s="95">
        <f t="shared" si="0"/>
        <v>0</v>
      </c>
      <c r="R22" s="2">
        <f t="shared" si="3"/>
        <v>0</v>
      </c>
      <c r="S22" s="300" t="s">
        <v>63</v>
      </c>
      <c r="T22" s="301"/>
      <c r="U22" s="302"/>
      <c r="X22" s="177"/>
      <c r="AB22" s="177">
        <f t="shared" si="11"/>
        <v>15</v>
      </c>
      <c r="AC22" s="2">
        <f t="shared" si="4"/>
        <v>1</v>
      </c>
      <c r="AG22" s="220">
        <f t="shared" si="5"/>
        <v>0</v>
      </c>
      <c r="AH22" s="220">
        <f ca="1">IF(HLOOKUP($F22,Jornada!$X$7:$AD$37,VLOOKUP(INDIRECT($C$5),Jornada!$C$8:$W$37,21,0),0)=0,0,VLOOKUP(INDIRECT($C$5),Jornada!$C$8:$H$37,4,0))</f>
        <v>0</v>
      </c>
      <c r="AI22" s="155">
        <f ca="1">IF(AND(I22=0,J22=0,OR(H22&lt;&gt;0,K22&lt;&gt;0),HLOOKUP($F22,Jornada!$X$7:$AD$37,VLOOKUP(INDIRECT($C$5),Jornada!$C$8:$W$37,21,0),0)&gt;$AK$5,M22&gt;$AK$5),VLOOKUP(INDIRECT($C$5),Jornada!$C$8:$H$37,6,0),IF(AG22&gt;VLOOKUP(INDIRECT($C$5),Jornada!$C$8:$H$37,6,0),IF(VLOOKUP(INDIRECT($C$5),Jornada!$C$8:$H$37,6,0)&lt;AG22,0,ABS(VLOOKUP(INDIRECT($C$5),Jornada!$C$8:$H$37,6,0))-AG22),0))</f>
        <v>0</v>
      </c>
      <c r="AJ22" s="155">
        <f t="shared" si="6"/>
        <v>1</v>
      </c>
      <c r="AK22" s="155">
        <f t="shared" si="7"/>
        <v>0</v>
      </c>
      <c r="AL22" s="155">
        <f ca="1">HLOOKUP($F22,Jornada!$I$5:$V$37,VLOOKUP(INDIRECT($C$5),Jornada!$C$8:$W$37,21,0)+2,0)</f>
        <v>0</v>
      </c>
      <c r="AM22" s="155">
        <f ca="1">HLOOKUP($F22,Jornada!$I$4:$V$37,VLOOKUP(INDIRECT($C$5),Jornada!$C$8:$W$37,21,0)+3,0)</f>
        <v>0</v>
      </c>
      <c r="AN22" s="155">
        <f t="shared" ca="1" si="8"/>
        <v>0</v>
      </c>
      <c r="AO22" s="155">
        <f t="shared" si="12"/>
        <v>0</v>
      </c>
      <c r="AP22" s="155">
        <f t="shared" si="9"/>
        <v>0</v>
      </c>
      <c r="BE22" s="223"/>
      <c r="BF22" s="223"/>
      <c r="BG22" s="223"/>
    </row>
    <row r="23" spans="1:59" s="2" customFormat="1" ht="30" customHeight="1" thickTop="1" thickBot="1" x14ac:dyDescent="0.25">
      <c r="A23" s="1"/>
      <c r="B23"/>
      <c r="C23" s="172" t="str">
        <f>IF(Funcionários!C22=0,"",Funcionários!C22)</f>
        <v/>
      </c>
      <c r="D23" s="14">
        <f t="shared" si="10"/>
        <v>2</v>
      </c>
      <c r="E23" s="187">
        <f>IF(DAY(DATE('P Gerais'!$D$6,VLOOKUP($E$7,$W$7:$X$18,2,0),E22+1))&gt;DAY(EOMONTH(DATE('P Gerais'!$D$6,VLOOKUP($E$7,$W$7:$X$18,2,0),E22),0)),DAY(DATE('P Gerais'!$D$6,VLOOKUP($E$7,$W$7:$X$18,2,0)+1,1)),DAY(DATE('P Gerais'!$D$6,VLOOKUP($E$7,$W$7:$X$18,2,0),E22+1)))</f>
        <v>16</v>
      </c>
      <c r="F23" s="187" t="str">
        <f t="shared" si="1"/>
        <v>Seg</v>
      </c>
      <c r="G23" s="81"/>
      <c r="H23" s="94"/>
      <c r="I23" s="94"/>
      <c r="J23" s="94"/>
      <c r="K23" s="94"/>
      <c r="L23" s="197"/>
      <c r="M23" s="95">
        <f t="shared" si="2"/>
        <v>0</v>
      </c>
      <c r="N23" s="196"/>
      <c r="O23" s="95">
        <f ca="1">IF(OR(G23=0,G23="Férias",G23="Falta Justificada",G23="Feriado",G23="Folga (DSR)"),0,IF(G23="Falta Injustificada",HLOOKUP($F23,Jornada!$X$7:$AD$37,VLOOKUP(INDIRECT($C$5),Jornada!$C$8:$W$37,21,0),0),IF(HLOOKUP($F23,Jornada!$X$7:$AD$37,VLOOKUP(INDIRECT($C$5),Jornada!$C$8:$W$37,21,0),0)-M23&gt;0,HLOOKUP($F23,Jornada!$X$7:$AD$37,VLOOKUP(INDIRECT($C$5),Jornada!$C$8:$W$37,21,0),0)-M23,0)))</f>
        <v>0</v>
      </c>
      <c r="P23" s="193">
        <f ca="1">IF(HLOOKUP($F23,Jornada!$X$7:$AD$37,VLOOKUP(INDIRECT($C$5),Jornada!$C$8:$W$37,21,0),0)-M23&lt;0,ABS(HLOOKUP($F23,Jornada!$X$7:$AD$37,VLOOKUP(INDIRECT($C$5),Jornada!$C$8:$W$37,21,0),0)-M23),0)</f>
        <v>0</v>
      </c>
      <c r="Q23" s="95">
        <f t="shared" si="0"/>
        <v>0</v>
      </c>
      <c r="R23" s="2">
        <f t="shared" si="3"/>
        <v>0</v>
      </c>
      <c r="S23" s="296" t="str">
        <f>IF(SUM(R8:R38)&gt;0,"Segundo o art 59 da CLT, o máximo de horas extras permitidas por dia são 2 horas.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T23" s="297"/>
      <c r="U23" s="298"/>
      <c r="X23" s="177"/>
      <c r="AB23" s="177">
        <f t="shared" si="11"/>
        <v>16</v>
      </c>
      <c r="AC23" s="2">
        <f t="shared" si="4"/>
        <v>2</v>
      </c>
      <c r="AG23" s="220">
        <f t="shared" si="5"/>
        <v>0</v>
      </c>
      <c r="AH23" s="220">
        <f ca="1">IF(HLOOKUP($F23,Jornada!$X$7:$AD$37,VLOOKUP(INDIRECT($C$5),Jornada!$C$8:$W$37,21,0),0)=0,0,VLOOKUP(INDIRECT($C$5),Jornada!$C$8:$H$37,4,0))</f>
        <v>0</v>
      </c>
      <c r="AI23" s="155">
        <f ca="1">IF(AND(I23=0,J23=0,OR(H23&lt;&gt;0,K23&lt;&gt;0),HLOOKUP($F23,Jornada!$X$7:$AD$37,VLOOKUP(INDIRECT($C$5),Jornada!$C$8:$W$37,21,0),0)&gt;$AK$5,M23&gt;$AK$5),VLOOKUP(INDIRECT($C$5),Jornada!$C$8:$H$37,6,0),IF(AG23&gt;VLOOKUP(INDIRECT($C$5),Jornada!$C$8:$H$37,6,0),IF(VLOOKUP(INDIRECT($C$5),Jornada!$C$8:$H$37,6,0)&lt;AG23,0,ABS(VLOOKUP(INDIRECT($C$5),Jornada!$C$8:$H$37,6,0))-AG23),0))</f>
        <v>0</v>
      </c>
      <c r="AJ23" s="155">
        <f t="shared" si="6"/>
        <v>1</v>
      </c>
      <c r="AK23" s="155">
        <f t="shared" si="7"/>
        <v>0</v>
      </c>
      <c r="AL23" s="155">
        <f ca="1">HLOOKUP($F23,Jornada!$I$5:$V$37,VLOOKUP(INDIRECT($C$5),Jornada!$C$8:$W$37,21,0)+2,0)</f>
        <v>0</v>
      </c>
      <c r="AM23" s="155">
        <f ca="1">HLOOKUP($F23,Jornada!$I$4:$V$37,VLOOKUP(INDIRECT($C$5),Jornada!$C$8:$W$37,21,0)+3,0)</f>
        <v>0</v>
      </c>
      <c r="AN23" s="155">
        <f t="shared" ca="1" si="8"/>
        <v>0</v>
      </c>
      <c r="AO23" s="155">
        <f t="shared" si="12"/>
        <v>0</v>
      </c>
      <c r="AP23" s="155">
        <f t="shared" si="9"/>
        <v>0</v>
      </c>
      <c r="BE23" s="223"/>
      <c r="BF23" s="223"/>
      <c r="BG23" s="223"/>
    </row>
    <row r="24" spans="1:59" s="2" customFormat="1" ht="30" customHeight="1" thickTop="1" thickBot="1" x14ac:dyDescent="0.25">
      <c r="A24" s="1"/>
      <c r="B24"/>
      <c r="C24" s="172" t="str">
        <f>IF(Funcionários!C23=0,"",Funcionários!C23)</f>
        <v/>
      </c>
      <c r="D24" s="14">
        <f t="shared" si="10"/>
        <v>3</v>
      </c>
      <c r="E24" s="187">
        <f>IF(DAY(DATE('P Gerais'!$D$6,VLOOKUP($E$7,$W$7:$X$18,2,0),E23+1))&gt;DAY(EOMONTH(DATE('P Gerais'!$D$6,VLOOKUP($E$7,$W$7:$X$18,2,0),E23),0)),DAY(DATE('P Gerais'!$D$6,VLOOKUP($E$7,$W$7:$X$18,2,0)+1,1)),DAY(DATE('P Gerais'!$D$6,VLOOKUP($E$7,$W$7:$X$18,2,0),E23+1)))</f>
        <v>17</v>
      </c>
      <c r="F24" s="187" t="str">
        <f t="shared" si="1"/>
        <v>Ter</v>
      </c>
      <c r="G24" s="81"/>
      <c r="H24" s="94"/>
      <c r="I24" s="94"/>
      <c r="J24" s="94"/>
      <c r="K24" s="94"/>
      <c r="L24" s="197"/>
      <c r="M24" s="95">
        <f t="shared" si="2"/>
        <v>0</v>
      </c>
      <c r="N24" s="196"/>
      <c r="O24" s="95">
        <f ca="1">IF(OR(G24=0,G24="Férias",G24="Falta Justificada",G24="Feriado",G24="Folga (DSR)"),0,IF(G24="Falta Injustificada",HLOOKUP($F24,Jornada!$X$7:$AD$37,VLOOKUP(INDIRECT($C$5),Jornada!$C$8:$W$37,21,0),0),IF(HLOOKUP($F24,Jornada!$X$7:$AD$37,VLOOKUP(INDIRECT($C$5),Jornada!$C$8:$W$37,21,0),0)-M24&gt;0,HLOOKUP($F24,Jornada!$X$7:$AD$37,VLOOKUP(INDIRECT($C$5),Jornada!$C$8:$W$37,21,0),0)-M24,0)))</f>
        <v>0</v>
      </c>
      <c r="P24" s="193">
        <f ca="1">IF(HLOOKUP($F24,Jornada!$X$7:$AD$37,VLOOKUP(INDIRECT($C$5),Jornada!$C$8:$W$37,21,0),0)-M24&lt;0,ABS(HLOOKUP($F24,Jornada!$X$7:$AD$37,VLOOKUP(INDIRECT($C$5),Jornada!$C$8:$W$37,21,0),0)-M24),0)</f>
        <v>0</v>
      </c>
      <c r="Q24" s="95">
        <f t="shared" si="0"/>
        <v>0</v>
      </c>
      <c r="R24" s="2">
        <f t="shared" si="3"/>
        <v>0</v>
      </c>
      <c r="S24" s="296"/>
      <c r="T24" s="297"/>
      <c r="U24" s="298"/>
      <c r="X24" s="177"/>
      <c r="AB24" s="177">
        <f t="shared" si="11"/>
        <v>17</v>
      </c>
      <c r="AC24" s="2">
        <f t="shared" si="4"/>
        <v>3</v>
      </c>
      <c r="AG24" s="220">
        <f t="shared" si="5"/>
        <v>0</v>
      </c>
      <c r="AH24" s="220">
        <f ca="1">IF(HLOOKUP($F24,Jornada!$X$7:$AD$37,VLOOKUP(INDIRECT($C$5),Jornada!$C$8:$W$37,21,0),0)=0,0,VLOOKUP(INDIRECT($C$5),Jornada!$C$8:$H$37,4,0))</f>
        <v>0</v>
      </c>
      <c r="AI24" s="155">
        <f ca="1">IF(AND(I24=0,J24=0,OR(H24&lt;&gt;0,K24&lt;&gt;0),HLOOKUP($F24,Jornada!$X$7:$AD$37,VLOOKUP(INDIRECT($C$5),Jornada!$C$8:$W$37,21,0),0)&gt;$AK$5,M24&gt;$AK$5),VLOOKUP(INDIRECT($C$5),Jornada!$C$8:$H$37,6,0),IF(AG24&gt;VLOOKUP(INDIRECT($C$5),Jornada!$C$8:$H$37,6,0),IF(VLOOKUP(INDIRECT($C$5),Jornada!$C$8:$H$37,6,0)&lt;AG24,0,ABS(VLOOKUP(INDIRECT($C$5),Jornada!$C$8:$H$37,6,0))-AG24),0))</f>
        <v>0</v>
      </c>
      <c r="AJ24" s="155">
        <f t="shared" si="6"/>
        <v>1</v>
      </c>
      <c r="AK24" s="155">
        <f t="shared" si="7"/>
        <v>0</v>
      </c>
      <c r="AL24" s="155">
        <f ca="1">HLOOKUP($F24,Jornada!$I$5:$V$37,VLOOKUP(INDIRECT($C$5),Jornada!$C$8:$W$37,21,0)+2,0)</f>
        <v>0</v>
      </c>
      <c r="AM24" s="155">
        <f ca="1">HLOOKUP($F24,Jornada!$I$4:$V$37,VLOOKUP(INDIRECT($C$5),Jornada!$C$8:$W$37,21,0)+3,0)</f>
        <v>0</v>
      </c>
      <c r="AN24" s="155">
        <f t="shared" ca="1" si="8"/>
        <v>0</v>
      </c>
      <c r="AO24" s="155">
        <f t="shared" si="12"/>
        <v>0</v>
      </c>
      <c r="AP24" s="155">
        <f t="shared" si="9"/>
        <v>0</v>
      </c>
      <c r="BE24" s="223"/>
      <c r="BF24" s="223"/>
      <c r="BG24" s="223"/>
    </row>
    <row r="25" spans="1:59" s="2" customFormat="1" ht="30" customHeight="1" thickTop="1" thickBot="1" x14ac:dyDescent="0.25">
      <c r="A25" s="1"/>
      <c r="B25"/>
      <c r="C25" s="172" t="str">
        <f>IF(Funcionários!C24=0,"",Funcionários!C24)</f>
        <v/>
      </c>
      <c r="D25" s="14">
        <f t="shared" si="10"/>
        <v>4</v>
      </c>
      <c r="E25" s="187">
        <f>IF(DAY(DATE('P Gerais'!$D$6,VLOOKUP($E$7,$W$7:$X$18,2,0),E24+1))&gt;DAY(EOMONTH(DATE('P Gerais'!$D$6,VLOOKUP($E$7,$W$7:$X$18,2,0),E24),0)),DAY(DATE('P Gerais'!$D$6,VLOOKUP($E$7,$W$7:$X$18,2,0)+1,1)),DAY(DATE('P Gerais'!$D$6,VLOOKUP($E$7,$W$7:$X$18,2,0),E24+1)))</f>
        <v>18</v>
      </c>
      <c r="F25" s="187" t="str">
        <f t="shared" si="1"/>
        <v>Qua</v>
      </c>
      <c r="G25" s="81"/>
      <c r="H25" s="94"/>
      <c r="I25" s="94"/>
      <c r="J25" s="94"/>
      <c r="K25" s="94"/>
      <c r="L25" s="197"/>
      <c r="M25" s="95">
        <f t="shared" si="2"/>
        <v>0</v>
      </c>
      <c r="N25" s="196"/>
      <c r="O25" s="95">
        <f ca="1">IF(OR(G25=0,G25="Férias",G25="Falta Justificada",G25="Feriado",G25="Folga (DSR)"),0,IF(G25="Falta Injustificada",HLOOKUP($F25,Jornada!$X$7:$AD$37,VLOOKUP(INDIRECT($C$5),Jornada!$C$8:$W$37,21,0),0),IF(HLOOKUP($F25,Jornada!$X$7:$AD$37,VLOOKUP(INDIRECT($C$5),Jornada!$C$8:$W$37,21,0),0)-M25&gt;0,HLOOKUP($F25,Jornada!$X$7:$AD$37,VLOOKUP(INDIRECT($C$5),Jornada!$C$8:$W$37,21,0),0)-M25,0)))</f>
        <v>0</v>
      </c>
      <c r="P25" s="193">
        <f ca="1">IF(HLOOKUP($F25,Jornada!$X$7:$AD$37,VLOOKUP(INDIRECT($C$5),Jornada!$C$8:$W$37,21,0),0)-M25&lt;0,ABS(HLOOKUP($F25,Jornada!$X$7:$AD$37,VLOOKUP(INDIRECT($C$5),Jornada!$C$8:$W$37,21,0),0)-M25),0)</f>
        <v>0</v>
      </c>
      <c r="Q25" s="95">
        <f t="shared" si="0"/>
        <v>0</v>
      </c>
      <c r="R25" s="2">
        <f t="shared" si="3"/>
        <v>0</v>
      </c>
      <c r="S25" s="296"/>
      <c r="T25" s="297"/>
      <c r="U25" s="298"/>
      <c r="X25" s="177"/>
      <c r="Z25" s="2">
        <f>IF(SUM(R8:R38)&gt;0,1,0)</f>
        <v>0</v>
      </c>
      <c r="AB25" s="177">
        <f t="shared" si="11"/>
        <v>18</v>
      </c>
      <c r="AC25" s="2">
        <f t="shared" si="4"/>
        <v>4</v>
      </c>
      <c r="AG25" s="220">
        <f t="shared" si="5"/>
        <v>0</v>
      </c>
      <c r="AH25" s="220">
        <f ca="1">IF(HLOOKUP($F25,Jornada!$X$7:$AD$37,VLOOKUP(INDIRECT($C$5),Jornada!$C$8:$W$37,21,0),0)=0,0,VLOOKUP(INDIRECT($C$5),Jornada!$C$8:$H$37,4,0))</f>
        <v>0</v>
      </c>
      <c r="AI25" s="155">
        <f ca="1">IF(AND(I25=0,J25=0,OR(H25&lt;&gt;0,K25&lt;&gt;0),HLOOKUP($F25,Jornada!$X$7:$AD$37,VLOOKUP(INDIRECT($C$5),Jornada!$C$8:$W$37,21,0),0)&gt;$AK$5,M25&gt;$AK$5),VLOOKUP(INDIRECT($C$5),Jornada!$C$8:$H$37,6,0),IF(AG25&gt;VLOOKUP(INDIRECT($C$5),Jornada!$C$8:$H$37,6,0),IF(VLOOKUP(INDIRECT($C$5),Jornada!$C$8:$H$37,6,0)&lt;AG25,0,ABS(VLOOKUP(INDIRECT($C$5),Jornada!$C$8:$H$37,6,0))-AG25),0))</f>
        <v>0</v>
      </c>
      <c r="AJ25" s="155">
        <f t="shared" si="6"/>
        <v>1</v>
      </c>
      <c r="AK25" s="155">
        <f t="shared" si="7"/>
        <v>0</v>
      </c>
      <c r="AL25" s="155">
        <f ca="1">HLOOKUP($F25,Jornada!$I$5:$V$37,VLOOKUP(INDIRECT($C$5),Jornada!$C$8:$W$37,21,0)+2,0)</f>
        <v>0</v>
      </c>
      <c r="AM25" s="155">
        <f ca="1">HLOOKUP($F25,Jornada!$I$4:$V$37,VLOOKUP(INDIRECT($C$5),Jornada!$C$8:$W$37,21,0)+3,0)</f>
        <v>0</v>
      </c>
      <c r="AN25" s="155">
        <f t="shared" ca="1" si="8"/>
        <v>0</v>
      </c>
      <c r="AO25" s="155">
        <f t="shared" si="12"/>
        <v>0</v>
      </c>
      <c r="AP25" s="155">
        <f t="shared" si="9"/>
        <v>0</v>
      </c>
      <c r="BE25" s="223"/>
      <c r="BF25" s="223"/>
      <c r="BG25" s="223"/>
    </row>
    <row r="26" spans="1:59" s="2" customFormat="1" ht="30" customHeight="1" thickTop="1" thickBot="1" x14ac:dyDescent="0.25">
      <c r="A26" s="1"/>
      <c r="B26"/>
      <c r="C26" s="172" t="str">
        <f>IF(Funcionários!C25=0,"",Funcionários!C25)</f>
        <v/>
      </c>
      <c r="D26" s="14">
        <f t="shared" si="10"/>
        <v>5</v>
      </c>
      <c r="E26" s="187">
        <f>IF(DAY(DATE('P Gerais'!$D$6,VLOOKUP($E$7,$W$7:$X$18,2,0),E25+1))&gt;DAY(EOMONTH(DATE('P Gerais'!$D$6,VLOOKUP($E$7,$W$7:$X$18,2,0),E25),0)),DAY(DATE('P Gerais'!$D$6,VLOOKUP($E$7,$W$7:$X$18,2,0)+1,1)),DAY(DATE('P Gerais'!$D$6,VLOOKUP($E$7,$W$7:$X$18,2,0),E25+1)))</f>
        <v>19</v>
      </c>
      <c r="F26" s="187" t="str">
        <f t="shared" si="1"/>
        <v>Qui</v>
      </c>
      <c r="G26" s="81"/>
      <c r="H26" s="94"/>
      <c r="I26" s="94"/>
      <c r="J26" s="94"/>
      <c r="K26" s="94"/>
      <c r="L26" s="197"/>
      <c r="M26" s="95">
        <f t="shared" si="2"/>
        <v>0</v>
      </c>
      <c r="N26" s="196"/>
      <c r="O26" s="95">
        <f ca="1">IF(OR(G26=0,G26="Férias",G26="Falta Justificada",G26="Feriado",G26="Folga (DSR)"),0,IF(G26="Falta Injustificada",HLOOKUP($F26,Jornada!$X$7:$AD$37,VLOOKUP(INDIRECT($C$5),Jornada!$C$8:$W$37,21,0),0),IF(HLOOKUP($F26,Jornada!$X$7:$AD$37,VLOOKUP(INDIRECT($C$5),Jornada!$C$8:$W$37,21,0),0)-M26&gt;0,HLOOKUP($F26,Jornada!$X$7:$AD$37,VLOOKUP(INDIRECT($C$5),Jornada!$C$8:$W$37,21,0),0)-M26,0)))</f>
        <v>0</v>
      </c>
      <c r="P26" s="193">
        <f ca="1">IF(HLOOKUP($F26,Jornada!$X$7:$AD$37,VLOOKUP(INDIRECT($C$5),Jornada!$C$8:$W$37,21,0),0)-M26&lt;0,ABS(HLOOKUP($F26,Jornada!$X$7:$AD$37,VLOOKUP(INDIRECT($C$5),Jornada!$C$8:$W$37,21,0),0)-M26),0)</f>
        <v>0</v>
      </c>
      <c r="Q26" s="95">
        <f t="shared" si="0"/>
        <v>0</v>
      </c>
      <c r="R26" s="2">
        <f t="shared" si="3"/>
        <v>0</v>
      </c>
      <c r="S26" s="296" t="str">
        <f>IF(COUNTIF(G8:G38,"Folga (DSR)")&lt;DAY(E39)/8,"O mês não está contemplando um DSR (Descanso Semanal Remunerado) por semana. Isso pode configurar uma irregularidade segundo as leis trabalhistas.","Parabéns!! Sua folha de pagamento contempla uma DSR por semana conforme a lei trabalhista.")</f>
        <v>O mês não está contemplando um DSR (Descanso Semanal Remunerado) por semana. Isso pode configurar uma irregularidade segundo as leis trabalhistas.</v>
      </c>
      <c r="T26" s="297"/>
      <c r="U26" s="298"/>
      <c r="X26" s="177"/>
      <c r="AB26" s="177">
        <f t="shared" si="11"/>
        <v>19</v>
      </c>
      <c r="AC26" s="2">
        <f t="shared" si="4"/>
        <v>5</v>
      </c>
      <c r="AG26" s="220">
        <f t="shared" si="5"/>
        <v>0</v>
      </c>
      <c r="AH26" s="220">
        <f ca="1">IF(HLOOKUP($F26,Jornada!$X$7:$AD$37,VLOOKUP(INDIRECT($C$5),Jornada!$C$8:$W$37,21,0),0)=0,0,VLOOKUP(INDIRECT($C$5),Jornada!$C$8:$H$37,4,0))</f>
        <v>0</v>
      </c>
      <c r="AI26" s="155">
        <f ca="1">IF(AND(I26=0,J26=0,OR(H26&lt;&gt;0,K26&lt;&gt;0),HLOOKUP($F26,Jornada!$X$7:$AD$37,VLOOKUP(INDIRECT($C$5),Jornada!$C$8:$W$37,21,0),0)&gt;$AK$5,M26&gt;$AK$5),VLOOKUP(INDIRECT($C$5),Jornada!$C$8:$H$37,6,0),IF(AG26&gt;VLOOKUP(INDIRECT($C$5),Jornada!$C$8:$H$37,6,0),IF(VLOOKUP(INDIRECT($C$5),Jornada!$C$8:$H$37,6,0)&lt;AG26,0,ABS(VLOOKUP(INDIRECT($C$5),Jornada!$C$8:$H$37,6,0))-AG26),0))</f>
        <v>0</v>
      </c>
      <c r="AJ26" s="155">
        <f t="shared" si="6"/>
        <v>1</v>
      </c>
      <c r="AK26" s="155">
        <f t="shared" si="7"/>
        <v>0</v>
      </c>
      <c r="AL26" s="155">
        <f ca="1">HLOOKUP($F26,Jornada!$I$5:$V$37,VLOOKUP(INDIRECT($C$5),Jornada!$C$8:$W$37,21,0)+2,0)</f>
        <v>0</v>
      </c>
      <c r="AM26" s="155">
        <f ca="1">HLOOKUP($F26,Jornada!$I$4:$V$37,VLOOKUP(INDIRECT($C$5),Jornada!$C$8:$W$37,21,0)+3,0)</f>
        <v>0</v>
      </c>
      <c r="AN26" s="155">
        <f t="shared" ca="1" si="8"/>
        <v>0</v>
      </c>
      <c r="AO26" s="155">
        <f t="shared" si="12"/>
        <v>0</v>
      </c>
      <c r="AP26" s="155">
        <f t="shared" si="9"/>
        <v>0</v>
      </c>
      <c r="BE26" s="223"/>
      <c r="BF26" s="223"/>
      <c r="BG26" s="223"/>
    </row>
    <row r="27" spans="1:59" s="2" customFormat="1" ht="30" customHeight="1" thickTop="1" thickBot="1" x14ac:dyDescent="0.25">
      <c r="A27" s="1"/>
      <c r="B27"/>
      <c r="C27" s="172" t="str">
        <f>IF(Funcionários!C26=0,"",Funcionários!C26)</f>
        <v/>
      </c>
      <c r="D27" s="14">
        <f t="shared" si="10"/>
        <v>6</v>
      </c>
      <c r="E27" s="187">
        <f>IF(DAY(DATE('P Gerais'!$D$6,VLOOKUP($E$7,$W$7:$X$18,2,0),E26+1))&gt;DAY(EOMONTH(DATE('P Gerais'!$D$6,VLOOKUP($E$7,$W$7:$X$18,2,0),E26),0)),DAY(DATE('P Gerais'!$D$6,VLOOKUP($E$7,$W$7:$X$18,2,0)+1,1)),DAY(DATE('P Gerais'!$D$6,VLOOKUP($E$7,$W$7:$X$18,2,0),E26+1)))</f>
        <v>20</v>
      </c>
      <c r="F27" s="187" t="str">
        <f t="shared" si="1"/>
        <v>Sex</v>
      </c>
      <c r="G27" s="81"/>
      <c r="H27" s="94"/>
      <c r="I27" s="94"/>
      <c r="J27" s="94"/>
      <c r="K27" s="94"/>
      <c r="L27" s="197"/>
      <c r="M27" s="95">
        <f>IF(AND(H27=K27,H27&lt;&gt;0),$M$6-IF(J27&lt;I27,$AJ$7+J27-I27,J27-I27),IF(H27&gt;K27,(K27+1-H27)-IF(J27&lt;I27,$AJ$7+J27-I27,J27-I27),(K27-H27)-IF(J27&lt;I27,$AJ$7+J27-I27,J27-I27)))</f>
        <v>0</v>
      </c>
      <c r="N27" s="196"/>
      <c r="O27" s="95">
        <f ca="1">IF(OR(G27=0,G27="Férias",G27="Falta Justificada",G27="Feriado",G27="Folga (DSR)"),0,IF(G27="Falta Injustificada",HLOOKUP($F27,Jornada!$X$7:$AD$37,VLOOKUP(INDIRECT($C$5),Jornada!$C$8:$W$37,21,0),0),IF(HLOOKUP($F27,Jornada!$X$7:$AD$37,VLOOKUP(INDIRECT($C$5),Jornada!$C$8:$W$37,21,0),0)-M27&gt;0,HLOOKUP($F27,Jornada!$X$7:$AD$37,VLOOKUP(INDIRECT($C$5),Jornada!$C$8:$W$37,21,0),0)-M27,0)))</f>
        <v>0</v>
      </c>
      <c r="P27" s="193">
        <f ca="1">IF(HLOOKUP($F27,Jornada!$X$7:$AD$37,VLOOKUP(INDIRECT($C$5),Jornada!$C$8:$W$37,21,0),0)-M27&lt;0,ABS(HLOOKUP($F27,Jornada!$X$7:$AD$37,VLOOKUP(INDIRECT($C$5),Jornada!$C$8:$W$37,21,0),0)-M27),0)</f>
        <v>0</v>
      </c>
      <c r="Q27" s="95">
        <f t="shared" si="0"/>
        <v>0</v>
      </c>
      <c r="R27" s="2">
        <f t="shared" si="3"/>
        <v>0</v>
      </c>
      <c r="S27" s="296"/>
      <c r="T27" s="297"/>
      <c r="U27" s="298"/>
      <c r="X27" s="177"/>
      <c r="AB27" s="177">
        <f t="shared" si="11"/>
        <v>20</v>
      </c>
      <c r="AC27" s="2">
        <f t="shared" si="4"/>
        <v>6</v>
      </c>
      <c r="AG27" s="220">
        <f t="shared" ref="AG27:AG38" si="13">IF(J27&lt;I27,$AJ$7+J27-I27,J27-I27)</f>
        <v>0</v>
      </c>
      <c r="AH27" s="220">
        <f ca="1">IF(HLOOKUP($F27,Jornada!$X$7:$AD$37,VLOOKUP(INDIRECT($C$5),Jornada!$C$8:$W$37,21,0),0)=0,0,VLOOKUP(INDIRECT($C$5),Jornada!$C$8:$H$37,4,0))</f>
        <v>0</v>
      </c>
      <c r="AI27" s="155">
        <f ca="1">IF(AND(I27=0,J27=0,OR(H27&lt;&gt;0,K27&lt;&gt;0),HLOOKUP($F27,Jornada!$X$7:$AD$37,VLOOKUP(INDIRECT($C$5),Jornada!$C$8:$W$37,21,0),0)&gt;$AK$5,M27&gt;$AK$5),VLOOKUP(INDIRECT($C$5),Jornada!$C$8:$H$37,6,0),IF(AG27&gt;VLOOKUP(INDIRECT($C$5),Jornada!$C$8:$H$37,6,0),IF(VLOOKUP(INDIRECT($C$5),Jornada!$C$8:$H$37,6,0)&lt;AG27,0,ABS(VLOOKUP(INDIRECT($C$5),Jornada!$C$8:$H$37,6,0))-AG27),0))</f>
        <v>0</v>
      </c>
      <c r="AJ27" s="155">
        <f t="shared" ref="AJ27:AJ38" si="14">($AJ$7-K27)+H27</f>
        <v>1</v>
      </c>
      <c r="AK27" s="155">
        <f t="shared" ref="AK27:AK38" si="15">IF(AJ27&lt;$AK$7,$AK$7-AJ27,$AI$7)</f>
        <v>0</v>
      </c>
      <c r="AL27" s="155">
        <f ca="1">HLOOKUP($F27,Jornada!$I$5:$V$37,VLOOKUP(INDIRECT($C$5),Jornada!$C$8:$W$37,21,0)+2,0)</f>
        <v>0</v>
      </c>
      <c r="AM27" s="155">
        <f ca="1">HLOOKUP($F27,Jornada!$I$4:$V$37,VLOOKUP(INDIRECT($C$5),Jornada!$C$8:$W$37,21,0)+3,0)</f>
        <v>0</v>
      </c>
      <c r="AN27" s="155">
        <f t="shared" ref="AN27:AN38" ca="1" si="16">IF(AND(AL27&gt;=$AL$5,AL27&lt;$AN$5,H27&gt;=$AL$5,H27&lt;AL27),AL27-H27,IF(AND(AL27&gt;$AI$7,AL27&lt;=$AM$5,H27&gt;=$AL$5,H27&lt;=$AN$5),$AN$5-H27+AL27,IF(AND(AL27&gt;=$AI$7,AL27&lt;=$AM$5,H27&gt;=$AI$7,H27&lt;=$AM$5,H27&lt;AL27),H27-AL27,0)))</f>
        <v>0</v>
      </c>
      <c r="AO27" s="155">
        <f t="shared" ref="AO27:AO38" si="17">IF(AP27&gt;Q27,0,AP27)</f>
        <v>0</v>
      </c>
      <c r="AP27" s="155">
        <f t="shared" si="9"/>
        <v>0</v>
      </c>
    </row>
    <row r="28" spans="1:59" s="2" customFormat="1" ht="30" customHeight="1" thickTop="1" thickBot="1" x14ac:dyDescent="0.25">
      <c r="A28" s="1"/>
      <c r="B28"/>
      <c r="C28" s="172" t="str">
        <f>IF(Funcionários!C27=0,"",Funcionários!C27)</f>
        <v/>
      </c>
      <c r="D28" s="14">
        <f t="shared" si="10"/>
        <v>7</v>
      </c>
      <c r="E28" s="187">
        <f>IF(DAY(DATE('P Gerais'!$D$6,VLOOKUP($E$7,$W$7:$X$18,2,0),E27+1))&gt;DAY(EOMONTH(DATE('P Gerais'!$D$6,VLOOKUP($E$7,$W$7:$X$18,2,0),E27),0)),DAY(DATE('P Gerais'!$D$6,VLOOKUP($E$7,$W$7:$X$18,2,0)+1,1)),DAY(DATE('P Gerais'!$D$6,VLOOKUP($E$7,$W$7:$X$18,2,0),E27+1)))</f>
        <v>21</v>
      </c>
      <c r="F28" s="187" t="str">
        <f t="shared" si="1"/>
        <v>Sáb</v>
      </c>
      <c r="G28" s="81"/>
      <c r="H28" s="94"/>
      <c r="I28" s="94"/>
      <c r="J28" s="94"/>
      <c r="K28" s="94"/>
      <c r="L28" s="197"/>
      <c r="M28" s="95">
        <f t="shared" si="2"/>
        <v>0</v>
      </c>
      <c r="N28" s="196"/>
      <c r="O28" s="95">
        <f ca="1">IF(OR(G28=0,G28="Férias",G28="Falta Justificada",G28="Feriado",G28="Folga (DSR)"),0,IF(G28="Falta Injustificada",HLOOKUP($F28,Jornada!$X$7:$AD$37,VLOOKUP(INDIRECT($C$5),Jornada!$C$8:$W$37,21,0),0),IF(HLOOKUP($F28,Jornada!$X$7:$AD$37,VLOOKUP(INDIRECT($C$5),Jornada!$C$8:$W$37,21,0),0)-M28&gt;0,HLOOKUP($F28,Jornada!$X$7:$AD$37,VLOOKUP(INDIRECT($C$5),Jornada!$C$8:$W$37,21,0),0)-M28,0)))</f>
        <v>0</v>
      </c>
      <c r="P28" s="193">
        <f ca="1">IF(HLOOKUP($F28,Jornada!$X$7:$AD$37,VLOOKUP(INDIRECT($C$5),Jornada!$C$8:$W$37,21,0),0)-M28&lt;0,ABS(HLOOKUP($F28,Jornada!$X$7:$AD$37,VLOOKUP(INDIRECT($C$5),Jornada!$C$8:$W$37,21,0),0)-M28),0)</f>
        <v>0</v>
      </c>
      <c r="Q28" s="95">
        <f t="shared" si="0"/>
        <v>0</v>
      </c>
      <c r="R28" s="2">
        <f t="shared" si="3"/>
        <v>0</v>
      </c>
      <c r="S28" s="296"/>
      <c r="T28" s="297"/>
      <c r="U28" s="298"/>
      <c r="X28" s="177"/>
      <c r="AB28" s="177">
        <f t="shared" si="11"/>
        <v>21</v>
      </c>
      <c r="AC28" s="2">
        <f t="shared" si="4"/>
        <v>7</v>
      </c>
      <c r="AG28" s="220">
        <f t="shared" si="13"/>
        <v>0</v>
      </c>
      <c r="AH28" s="220">
        <f ca="1">IF(HLOOKUP($F28,Jornada!$X$7:$AD$37,VLOOKUP(INDIRECT($C$5),Jornada!$C$8:$W$37,21,0),0)=0,0,VLOOKUP(INDIRECT($C$5),Jornada!$C$8:$H$37,4,0))</f>
        <v>0</v>
      </c>
      <c r="AI28" s="155">
        <f ca="1">IF(AND(I28=0,J28=0,OR(H28&lt;&gt;0,K28&lt;&gt;0),HLOOKUP($F28,Jornada!$X$7:$AD$37,VLOOKUP(INDIRECT($C$5),Jornada!$C$8:$W$37,21,0),0)&gt;$AK$5,M28&gt;$AK$5),VLOOKUP(INDIRECT($C$5),Jornada!$C$8:$H$37,6,0),IF(AG28&gt;VLOOKUP(INDIRECT($C$5),Jornada!$C$8:$H$37,6,0),IF(VLOOKUP(INDIRECT($C$5),Jornada!$C$8:$H$37,6,0)&lt;AG28,0,ABS(VLOOKUP(INDIRECT($C$5),Jornada!$C$8:$H$37,6,0))-AG28),0))</f>
        <v>0</v>
      </c>
      <c r="AJ28" s="155">
        <f t="shared" si="14"/>
        <v>1</v>
      </c>
      <c r="AK28" s="155">
        <f t="shared" si="15"/>
        <v>0</v>
      </c>
      <c r="AL28" s="155">
        <f ca="1">HLOOKUP($F28,Jornada!$I$5:$V$37,VLOOKUP(INDIRECT($C$5),Jornada!$C$8:$W$37,21,0)+2,0)</f>
        <v>0</v>
      </c>
      <c r="AM28" s="155">
        <f ca="1">HLOOKUP($F28,Jornada!$I$4:$V$37,VLOOKUP(INDIRECT($C$5),Jornada!$C$8:$W$37,21,0)+3,0)</f>
        <v>0</v>
      </c>
      <c r="AN28" s="155">
        <f t="shared" ca="1" si="16"/>
        <v>0</v>
      </c>
      <c r="AO28" s="155">
        <f t="shared" si="17"/>
        <v>0</v>
      </c>
      <c r="AP28" s="155">
        <f t="shared" si="9"/>
        <v>0</v>
      </c>
    </row>
    <row r="29" spans="1:59" s="2" customFormat="1" ht="30" customHeight="1" thickTop="1" thickBot="1" x14ac:dyDescent="0.25">
      <c r="A29" s="1"/>
      <c r="B29"/>
      <c r="C29" s="172" t="str">
        <f>IF(Funcionários!C28=0,"",Funcionários!C28)</f>
        <v/>
      </c>
      <c r="D29" s="14">
        <f t="shared" si="10"/>
        <v>1</v>
      </c>
      <c r="E29" s="187">
        <f>IF(DAY(DATE('P Gerais'!$D$6,VLOOKUP($E$7,$W$7:$X$18,2,0),E28+1))&gt;DAY(EOMONTH(DATE('P Gerais'!$D$6,VLOOKUP($E$7,$W$7:$X$18,2,0),E28),0)),DAY(DATE('P Gerais'!$D$6,VLOOKUP($E$7,$W$7:$X$18,2,0)+1,1)),DAY(DATE('P Gerais'!$D$6,VLOOKUP($E$7,$W$7:$X$18,2,0),E28+1)))</f>
        <v>22</v>
      </c>
      <c r="F29" s="187" t="str">
        <f t="shared" si="1"/>
        <v>Dom</v>
      </c>
      <c r="G29" s="81"/>
      <c r="H29" s="94"/>
      <c r="I29" s="94"/>
      <c r="J29" s="94"/>
      <c r="K29" s="94"/>
      <c r="L29" s="197"/>
      <c r="M29" s="95">
        <f t="shared" si="2"/>
        <v>0</v>
      </c>
      <c r="N29" s="196"/>
      <c r="O29" s="95">
        <f ca="1">IF(OR(G29=0,G29="Férias",G29="Falta Justificada",G29="Feriado",G29="Folga (DSR)"),0,IF(G29="Falta Injustificada",HLOOKUP($F29,Jornada!$X$7:$AD$37,VLOOKUP(INDIRECT($C$5),Jornada!$C$8:$W$37,21,0),0),IF(HLOOKUP($F29,Jornada!$X$7:$AD$37,VLOOKUP(INDIRECT($C$5),Jornada!$C$8:$W$37,21,0),0)-M29&gt;0,HLOOKUP($F29,Jornada!$X$7:$AD$37,VLOOKUP(INDIRECT($C$5),Jornada!$C$8:$W$37,21,0),0)-M29,0)))</f>
        <v>0</v>
      </c>
      <c r="P29" s="193">
        <f ca="1">IF(HLOOKUP($F29,Jornada!$X$7:$AD$37,VLOOKUP(INDIRECT($C$5),Jornada!$C$8:$W$37,21,0),0)-M29&lt;0,ABS(HLOOKUP($F29,Jornada!$X$7:$AD$37,VLOOKUP(INDIRECT($C$5),Jornada!$C$8:$W$37,21,0),0)-M29),0)</f>
        <v>0</v>
      </c>
      <c r="Q29" s="95">
        <f t="shared" si="0"/>
        <v>0</v>
      </c>
      <c r="R29" s="2">
        <f t="shared" si="3"/>
        <v>0</v>
      </c>
      <c r="S29" s="13"/>
      <c r="T29" s="74"/>
      <c r="U29" s="74"/>
      <c r="X29" s="177"/>
      <c r="AB29" s="177">
        <f t="shared" si="11"/>
        <v>22</v>
      </c>
      <c r="AC29" s="2">
        <f t="shared" si="4"/>
        <v>1</v>
      </c>
      <c r="AG29" s="220">
        <f t="shared" si="13"/>
        <v>0</v>
      </c>
      <c r="AH29" s="220">
        <f ca="1">IF(HLOOKUP($F29,Jornada!$X$7:$AD$37,VLOOKUP(INDIRECT($C$5),Jornada!$C$8:$W$37,21,0),0)=0,0,VLOOKUP(INDIRECT($C$5),Jornada!$C$8:$H$37,4,0))</f>
        <v>0</v>
      </c>
      <c r="AI29" s="155">
        <f ca="1">IF(AND(I29=0,J29=0,OR(H29&lt;&gt;0,K29&lt;&gt;0),HLOOKUP($F29,Jornada!$X$7:$AD$37,VLOOKUP(INDIRECT($C$5),Jornada!$C$8:$W$37,21,0),0)&gt;$AK$5,M29&gt;$AK$5),VLOOKUP(INDIRECT($C$5),Jornada!$C$8:$H$37,6,0),IF(AG29&gt;VLOOKUP(INDIRECT($C$5),Jornada!$C$8:$H$37,6,0),IF(VLOOKUP(INDIRECT($C$5),Jornada!$C$8:$H$37,6,0)&lt;AG29,0,ABS(VLOOKUP(INDIRECT($C$5),Jornada!$C$8:$H$37,6,0))-AG29),0))</f>
        <v>0</v>
      </c>
      <c r="AJ29" s="155">
        <f t="shared" si="14"/>
        <v>1</v>
      </c>
      <c r="AK29" s="155">
        <f t="shared" si="15"/>
        <v>0</v>
      </c>
      <c r="AL29" s="155">
        <f ca="1">HLOOKUP($F29,Jornada!$I$5:$V$37,VLOOKUP(INDIRECT($C$5),Jornada!$C$8:$W$37,21,0)+2,0)</f>
        <v>0</v>
      </c>
      <c r="AM29" s="155">
        <f ca="1">HLOOKUP($F29,Jornada!$I$4:$V$37,VLOOKUP(INDIRECT($C$5),Jornada!$C$8:$W$37,21,0)+3,0)</f>
        <v>0</v>
      </c>
      <c r="AN29" s="155">
        <f t="shared" ca="1" si="16"/>
        <v>0</v>
      </c>
      <c r="AO29" s="155">
        <f t="shared" si="17"/>
        <v>0</v>
      </c>
      <c r="AP29" s="155">
        <f t="shared" si="9"/>
        <v>0</v>
      </c>
    </row>
    <row r="30" spans="1:59" s="2" customFormat="1" ht="30" customHeight="1" thickTop="1" thickBot="1" x14ac:dyDescent="0.25">
      <c r="A30" s="1"/>
      <c r="B30"/>
      <c r="C30" s="172" t="str">
        <f>IF(Funcionários!C29=0,"",Funcionários!C29)</f>
        <v/>
      </c>
      <c r="D30" s="14">
        <f t="shared" si="10"/>
        <v>2</v>
      </c>
      <c r="E30" s="187">
        <f>IF(DAY(DATE('P Gerais'!$D$6,VLOOKUP($E$7,$W$7:$X$18,2,0),E29+1))&gt;DAY(EOMONTH(DATE('P Gerais'!$D$6,VLOOKUP($E$7,$W$7:$X$18,2,0),E29),0)),DAY(DATE('P Gerais'!$D$6,VLOOKUP($E$7,$W$7:$X$18,2,0)+1,1)),DAY(DATE('P Gerais'!$D$6,VLOOKUP($E$7,$W$7:$X$18,2,0),E29+1)))</f>
        <v>23</v>
      </c>
      <c r="F30" s="187" t="str">
        <f t="shared" si="1"/>
        <v>Seg</v>
      </c>
      <c r="G30" s="81"/>
      <c r="H30" s="94"/>
      <c r="I30" s="94"/>
      <c r="J30" s="94"/>
      <c r="K30" s="94"/>
      <c r="L30" s="197"/>
      <c r="M30" s="95">
        <f t="shared" si="2"/>
        <v>0</v>
      </c>
      <c r="N30" s="196"/>
      <c r="O30" s="95">
        <f ca="1">IF(OR(G30=0,G30="Férias",G30="Falta Justificada",G30="Feriado",G30="Folga (DSR)"),0,IF(G30="Falta Injustificada",HLOOKUP($F30,Jornada!$X$7:$AD$37,VLOOKUP(INDIRECT($C$5),Jornada!$C$8:$W$37,21,0),0),IF(HLOOKUP($F30,Jornada!$X$7:$AD$37,VLOOKUP(INDIRECT($C$5),Jornada!$C$8:$W$37,21,0),0)-M30&gt;0,HLOOKUP($F30,Jornada!$X$7:$AD$37,VLOOKUP(INDIRECT($C$5),Jornada!$C$8:$W$37,21,0),0)-M30,0)))</f>
        <v>0</v>
      </c>
      <c r="P30" s="193">
        <f ca="1">IF(HLOOKUP($F30,Jornada!$X$7:$AD$37,VLOOKUP(INDIRECT($C$5),Jornada!$C$8:$W$37,21,0),0)-M30&lt;0,ABS(HLOOKUP($F30,Jornada!$X$7:$AD$37,VLOOKUP(INDIRECT($C$5),Jornada!$C$8:$W$37,21,0),0)-M30),0)</f>
        <v>0</v>
      </c>
      <c r="Q30" s="95">
        <f t="shared" si="0"/>
        <v>0</v>
      </c>
      <c r="R30" s="2">
        <f>IF(Q30&gt;$R$7,1,0)</f>
        <v>0</v>
      </c>
      <c r="S30" s="13"/>
      <c r="T30" s="74"/>
      <c r="U30" s="74"/>
      <c r="X30" s="177"/>
      <c r="AB30" s="177">
        <f t="shared" si="11"/>
        <v>23</v>
      </c>
      <c r="AC30" s="2">
        <f>WEEKDAY(AB30)</f>
        <v>2</v>
      </c>
      <c r="AG30" s="220">
        <f t="shared" si="13"/>
        <v>0</v>
      </c>
      <c r="AH30" s="220">
        <f ca="1">IF(HLOOKUP($F30,Jornada!$X$7:$AD$37,VLOOKUP(INDIRECT($C$5),Jornada!$C$8:$W$37,21,0),0)=0,0,VLOOKUP(INDIRECT($C$5),Jornada!$C$8:$H$37,4,0))</f>
        <v>0</v>
      </c>
      <c r="AI30" s="155">
        <f ca="1">IF(AND(I30=0,J30=0,OR(H30&lt;&gt;0,K30&lt;&gt;0),HLOOKUP($F30,Jornada!$X$7:$AD$37,VLOOKUP(INDIRECT($C$5),Jornada!$C$8:$W$37,21,0),0)&gt;$AK$5,M30&gt;$AK$5),VLOOKUP(INDIRECT($C$5),Jornada!$C$8:$H$37,6,0),IF(AG30&gt;VLOOKUP(INDIRECT($C$5),Jornada!$C$8:$H$37,6,0),IF(VLOOKUP(INDIRECT($C$5),Jornada!$C$8:$H$37,6,0)&lt;AG30,0,ABS(VLOOKUP(INDIRECT($C$5),Jornada!$C$8:$H$37,6,0))-AG30),0))</f>
        <v>0</v>
      </c>
      <c r="AJ30" s="155">
        <f t="shared" si="14"/>
        <v>1</v>
      </c>
      <c r="AK30" s="155">
        <f t="shared" si="15"/>
        <v>0</v>
      </c>
      <c r="AL30" s="155">
        <f ca="1">HLOOKUP($F30,Jornada!$I$5:$V$37,VLOOKUP(INDIRECT($C$5),Jornada!$C$8:$W$37,21,0)+2,0)</f>
        <v>0</v>
      </c>
      <c r="AM30" s="155">
        <f ca="1">HLOOKUP($F30,Jornada!$I$4:$V$37,VLOOKUP(INDIRECT($C$5),Jornada!$C$8:$W$37,21,0)+3,0)</f>
        <v>0</v>
      </c>
      <c r="AN30" s="155">
        <f t="shared" ca="1" si="16"/>
        <v>0</v>
      </c>
      <c r="AO30" s="155">
        <f t="shared" si="17"/>
        <v>0</v>
      </c>
      <c r="AP30" s="155">
        <f t="shared" si="9"/>
        <v>0</v>
      </c>
    </row>
    <row r="31" spans="1:59" s="2" customFormat="1" ht="30" customHeight="1" thickTop="1" thickBot="1" x14ac:dyDescent="0.25">
      <c r="A31" s="1"/>
      <c r="B31"/>
      <c r="C31" s="172" t="str">
        <f>IF(Funcionários!C30=0,"",Funcionários!C30)</f>
        <v/>
      </c>
      <c r="D31" s="14">
        <f t="shared" si="10"/>
        <v>3</v>
      </c>
      <c r="E31" s="187">
        <f>IF(DAY(DATE('P Gerais'!$D$6,VLOOKUP($E$7,$W$7:$X$18,2,0),E30+1))&gt;DAY(EOMONTH(DATE('P Gerais'!$D$6,VLOOKUP($E$7,$W$7:$X$18,2,0),E30),0)),DAY(DATE('P Gerais'!$D$6,VLOOKUP($E$7,$W$7:$X$18,2,0)+1,1)),DAY(DATE('P Gerais'!$D$6,VLOOKUP($E$7,$W$7:$X$18,2,0),E30+1)))</f>
        <v>24</v>
      </c>
      <c r="F31" s="187" t="str">
        <f t="shared" si="1"/>
        <v>Ter</v>
      </c>
      <c r="G31" s="81"/>
      <c r="H31" s="94"/>
      <c r="I31" s="94"/>
      <c r="J31" s="94"/>
      <c r="K31" s="94"/>
      <c r="L31" s="197"/>
      <c r="M31" s="95">
        <f t="shared" si="2"/>
        <v>0</v>
      </c>
      <c r="N31" s="196"/>
      <c r="O31" s="95">
        <f ca="1">IF(OR(G31=0,G31="Férias",G31="Falta Justificada",G31="Feriado",G31="Folga (DSR)"),0,IF(G31="Falta Injustificada",HLOOKUP($F31,Jornada!$X$7:$AD$37,VLOOKUP(INDIRECT($C$5),Jornada!$C$8:$W$37,21,0),0),IF(HLOOKUP($F31,Jornada!$X$7:$AD$37,VLOOKUP(INDIRECT($C$5),Jornada!$C$8:$W$37,21,0),0)-M31&gt;0,HLOOKUP($F31,Jornada!$X$7:$AD$37,VLOOKUP(INDIRECT($C$5),Jornada!$C$8:$W$37,21,0),0)-M31,0)))</f>
        <v>0</v>
      </c>
      <c r="P31" s="193">
        <f ca="1">IF(HLOOKUP($F31,Jornada!$X$7:$AD$37,VLOOKUP(INDIRECT($C$5),Jornada!$C$8:$W$37,21,0),0)-M31&lt;0,ABS(HLOOKUP($F31,Jornada!$X$7:$AD$37,VLOOKUP(INDIRECT($C$5),Jornada!$C$8:$W$37,21,0),0)-M31),0)</f>
        <v>0</v>
      </c>
      <c r="Q31" s="95">
        <f t="shared" si="0"/>
        <v>0</v>
      </c>
      <c r="R31" s="2">
        <f>IF(Q31&gt;$R$7,1,0)</f>
        <v>0</v>
      </c>
      <c r="S31" s="13"/>
      <c r="T31" s="74"/>
      <c r="U31" s="74"/>
      <c r="X31" s="177"/>
      <c r="AB31" s="177">
        <f t="shared" si="11"/>
        <v>24</v>
      </c>
      <c r="AC31" s="2">
        <f>WEEKDAY(AB31)</f>
        <v>3</v>
      </c>
      <c r="AG31" s="220">
        <f t="shared" si="13"/>
        <v>0</v>
      </c>
      <c r="AH31" s="220">
        <f ca="1">IF(HLOOKUP($F31,Jornada!$X$7:$AD$37,VLOOKUP(INDIRECT($C$5),Jornada!$C$8:$W$37,21,0),0)=0,0,VLOOKUP(INDIRECT($C$5),Jornada!$C$8:$H$37,4,0))</f>
        <v>0</v>
      </c>
      <c r="AI31" s="155">
        <f ca="1">IF(AND(I31=0,J31=0,OR(H31&lt;&gt;0,K31&lt;&gt;0),HLOOKUP($F31,Jornada!$X$7:$AD$37,VLOOKUP(INDIRECT($C$5),Jornada!$C$8:$W$37,21,0),0)&gt;$AK$5,M31&gt;$AK$5),VLOOKUP(INDIRECT($C$5),Jornada!$C$8:$H$37,6,0),IF(AG31&gt;VLOOKUP(INDIRECT($C$5),Jornada!$C$8:$H$37,6,0),IF(VLOOKUP(INDIRECT($C$5),Jornada!$C$8:$H$37,6,0)&lt;AG31,0,ABS(VLOOKUP(INDIRECT($C$5),Jornada!$C$8:$H$37,6,0))-AG31),0))</f>
        <v>0</v>
      </c>
      <c r="AJ31" s="155">
        <f t="shared" si="14"/>
        <v>1</v>
      </c>
      <c r="AK31" s="155">
        <f t="shared" si="15"/>
        <v>0</v>
      </c>
      <c r="AL31" s="155">
        <f ca="1">HLOOKUP($F31,Jornada!$I$5:$V$37,VLOOKUP(INDIRECT($C$5),Jornada!$C$8:$W$37,21,0)+2,0)</f>
        <v>0</v>
      </c>
      <c r="AM31" s="155">
        <f ca="1">HLOOKUP($F31,Jornada!$I$4:$V$37,VLOOKUP(INDIRECT($C$5),Jornada!$C$8:$W$37,21,0)+3,0)</f>
        <v>0</v>
      </c>
      <c r="AN31" s="155">
        <f t="shared" ca="1" si="16"/>
        <v>0</v>
      </c>
      <c r="AO31" s="155">
        <f t="shared" si="17"/>
        <v>0</v>
      </c>
      <c r="AP31" s="155">
        <f t="shared" si="9"/>
        <v>0</v>
      </c>
    </row>
    <row r="32" spans="1:59" s="2" customFormat="1" ht="30" customHeight="1" thickTop="1" thickBot="1" x14ac:dyDescent="0.25">
      <c r="A32" s="1"/>
      <c r="B32"/>
      <c r="C32" s="172" t="str">
        <f>IF(Funcionários!C31=0,"",Funcionários!C31)</f>
        <v/>
      </c>
      <c r="D32" s="14">
        <f t="shared" si="10"/>
        <v>4</v>
      </c>
      <c r="E32" s="187">
        <f>IF(DAY(DATE('P Gerais'!$D$6,VLOOKUP($E$7,$W$7:$X$18,2,0),E31+1))&gt;DAY(EOMONTH(DATE('P Gerais'!$D$6,VLOOKUP($E$7,$W$7:$X$18,2,0),E31),0)),DAY(DATE('P Gerais'!$D$6,VLOOKUP($E$7,$W$7:$X$18,2,0)+1,1)),DAY(DATE('P Gerais'!$D$6,VLOOKUP($E$7,$W$7:$X$18,2,0),E31+1)))</f>
        <v>25</v>
      </c>
      <c r="F32" s="187" t="str">
        <f t="shared" si="1"/>
        <v>Qua</v>
      </c>
      <c r="G32" s="81"/>
      <c r="H32" s="94"/>
      <c r="I32" s="94"/>
      <c r="J32" s="94"/>
      <c r="K32" s="94"/>
      <c r="L32" s="197"/>
      <c r="M32" s="95">
        <f t="shared" si="2"/>
        <v>0</v>
      </c>
      <c r="N32" s="196"/>
      <c r="O32" s="95">
        <f ca="1">IF(OR(G32=0,G32="Férias",G32="Falta Justificada",G32="Feriado",G32="Folga (DSR)"),0,IF(G32="Falta Injustificada",HLOOKUP($F32,Jornada!$X$7:$AD$37,VLOOKUP(INDIRECT($C$5),Jornada!$C$8:$W$37,21,0),0),IF(HLOOKUP($F32,Jornada!$X$7:$AD$37,VLOOKUP(INDIRECT($C$5),Jornada!$C$8:$W$37,21,0),0)-M32&gt;0,HLOOKUP($F32,Jornada!$X$7:$AD$37,VLOOKUP(INDIRECT($C$5),Jornada!$C$8:$W$37,21,0),0)-M32,0)))</f>
        <v>0</v>
      </c>
      <c r="P32" s="193">
        <f ca="1">IF(HLOOKUP($F32,Jornada!$X$7:$AD$37,VLOOKUP(INDIRECT($C$5),Jornada!$C$8:$W$37,21,0),0)-M32&lt;0,ABS(HLOOKUP($F32,Jornada!$X$7:$AD$37,VLOOKUP(INDIRECT($C$5),Jornada!$C$8:$W$37,21,0),0)-M32),0)</f>
        <v>0</v>
      </c>
      <c r="Q32" s="95">
        <f t="shared" si="0"/>
        <v>0</v>
      </c>
      <c r="R32" s="2">
        <f t="shared" si="3"/>
        <v>0</v>
      </c>
      <c r="S32" s="74"/>
      <c r="T32" s="74"/>
      <c r="U32" s="74"/>
      <c r="X32" s="177"/>
      <c r="AB32" s="177">
        <f t="shared" si="11"/>
        <v>25</v>
      </c>
      <c r="AC32" s="2">
        <f t="shared" si="4"/>
        <v>4</v>
      </c>
      <c r="AG32" s="220">
        <f>IF(J32&lt;I32,$AJ$7+J32-I32,J32-I32)</f>
        <v>0</v>
      </c>
      <c r="AH32" s="220">
        <f ca="1">IF(HLOOKUP($F32,Jornada!$X$7:$AD$37,VLOOKUP(INDIRECT($C$5),Jornada!$C$8:$W$37,21,0),0)=0,0,VLOOKUP(INDIRECT($C$5),Jornada!$C$8:$H$37,4,0))</f>
        <v>0</v>
      </c>
      <c r="AI32" s="155">
        <f ca="1">IF(AND(I32=0,J32=0,OR(H32&lt;&gt;0,K32&lt;&gt;0),HLOOKUP($F32,Jornada!$X$7:$AD$37,VLOOKUP(INDIRECT($C$5),Jornada!$C$8:$W$37,21,0),0)&gt;$AK$5,M32&gt;$AK$5),VLOOKUP(INDIRECT($C$5),Jornada!$C$8:$H$37,6,0),IF(AG32&gt;VLOOKUP(INDIRECT($C$5),Jornada!$C$8:$H$37,6,0),IF(VLOOKUP(INDIRECT($C$5),Jornada!$C$8:$H$37,6,0)&lt;AG32,0,ABS(VLOOKUP(INDIRECT($C$5),Jornada!$C$8:$H$37,6,0))-AG32),0))</f>
        <v>0</v>
      </c>
      <c r="AJ32" s="155">
        <f t="shared" si="14"/>
        <v>1</v>
      </c>
      <c r="AK32" s="155">
        <f t="shared" si="15"/>
        <v>0</v>
      </c>
      <c r="AL32" s="155">
        <f ca="1">HLOOKUP($F32,Jornada!$I$5:$V$37,VLOOKUP(INDIRECT($C$5),Jornada!$C$8:$W$37,21,0)+2,0)</f>
        <v>0</v>
      </c>
      <c r="AM32" s="155">
        <f ca="1">HLOOKUP($F32,Jornada!$I$4:$V$37,VLOOKUP(INDIRECT($C$5),Jornada!$C$8:$W$37,21,0)+3,0)</f>
        <v>0</v>
      </c>
      <c r="AN32" s="155">
        <f t="shared" ca="1" si="16"/>
        <v>0</v>
      </c>
      <c r="AO32" s="155">
        <f t="shared" si="17"/>
        <v>0</v>
      </c>
      <c r="AP32" s="155">
        <f t="shared" si="9"/>
        <v>0</v>
      </c>
    </row>
    <row r="33" spans="1:42" s="2" customFormat="1" ht="30" customHeight="1" thickTop="1" thickBot="1" x14ac:dyDescent="0.25">
      <c r="A33" s="1"/>
      <c r="B33"/>
      <c r="C33" s="172" t="str">
        <f>IF(Funcionários!C32=0,"",Funcionários!C32)</f>
        <v/>
      </c>
      <c r="D33" s="14">
        <f t="shared" si="10"/>
        <v>5</v>
      </c>
      <c r="E33" s="187">
        <f>IF(DAY(DATE('P Gerais'!$D$6,VLOOKUP($E$7,$W$7:$X$18,2,0),E32+1))&gt;DAY(EOMONTH(DATE('P Gerais'!$D$6,VLOOKUP($E$7,$W$7:$X$18,2,0),E32),0)),DAY(DATE('P Gerais'!$D$6,VLOOKUP($E$7,$W$7:$X$18,2,0)+1,1)),DAY(DATE('P Gerais'!$D$6,VLOOKUP($E$7,$W$7:$X$18,2,0),E32+1)))</f>
        <v>26</v>
      </c>
      <c r="F33" s="187" t="str">
        <f t="shared" si="1"/>
        <v>Qui</v>
      </c>
      <c r="G33" s="81"/>
      <c r="H33" s="94"/>
      <c r="I33" s="94"/>
      <c r="J33" s="94"/>
      <c r="K33" s="94"/>
      <c r="L33" s="197"/>
      <c r="M33" s="95">
        <f t="shared" si="2"/>
        <v>0</v>
      </c>
      <c r="N33" s="196"/>
      <c r="O33" s="95">
        <f ca="1">IF(OR(G33=0,G33="Férias",G33="Falta Justificada",G33="Feriado",G33="Folga (DSR)"),0,IF(G33="Falta Injustificada",HLOOKUP($F33,Jornada!$X$7:$AD$37,VLOOKUP(INDIRECT($C$5),Jornada!$C$8:$W$37,21,0),0),IF(HLOOKUP($F33,Jornada!$X$7:$AD$37,VLOOKUP(INDIRECT($C$5),Jornada!$C$8:$W$37,21,0),0)-M33&gt;0,HLOOKUP($F33,Jornada!$X$7:$AD$37,VLOOKUP(INDIRECT($C$5),Jornada!$C$8:$W$37,21,0),0)-M33,0)))</f>
        <v>0</v>
      </c>
      <c r="P33" s="193">
        <f ca="1">IF(HLOOKUP($F33,Jornada!$X$7:$AD$37,VLOOKUP(INDIRECT($C$5),Jornada!$C$8:$W$37,21,0),0)-M33&lt;0,ABS(HLOOKUP($F33,Jornada!$X$7:$AD$37,VLOOKUP(INDIRECT($C$5),Jornada!$C$8:$W$37,21,0),0)-M33),0)</f>
        <v>0</v>
      </c>
      <c r="Q33" s="95">
        <f t="shared" si="0"/>
        <v>0</v>
      </c>
      <c r="R33" s="2">
        <f t="shared" si="3"/>
        <v>0</v>
      </c>
      <c r="S33" s="74"/>
      <c r="T33" s="74"/>
      <c r="U33" s="74"/>
      <c r="X33" s="177"/>
      <c r="AB33" s="177">
        <f t="shared" si="11"/>
        <v>26</v>
      </c>
      <c r="AC33" s="2">
        <f t="shared" si="4"/>
        <v>5</v>
      </c>
      <c r="AG33" s="220">
        <f t="shared" si="13"/>
        <v>0</v>
      </c>
      <c r="AH33" s="220">
        <f ca="1">IF(HLOOKUP($F33,Jornada!$X$7:$AD$37,VLOOKUP(INDIRECT($C$5),Jornada!$C$8:$W$37,21,0),0)=0,0,VLOOKUP(INDIRECT($C$5),Jornada!$C$8:$H$37,4,0))</f>
        <v>0</v>
      </c>
      <c r="AI33" s="155">
        <f ca="1">IF(AND(I33=0,J33=0,OR(H33&lt;&gt;0,K33&lt;&gt;0),HLOOKUP($F33,Jornada!$X$7:$AD$37,VLOOKUP(INDIRECT($C$5),Jornada!$C$8:$W$37,21,0),0)&gt;$AK$5,M33&gt;$AK$5),VLOOKUP(INDIRECT($C$5),Jornada!$C$8:$H$37,6,0),IF(AG33&gt;VLOOKUP(INDIRECT($C$5),Jornada!$C$8:$H$37,6,0),IF(VLOOKUP(INDIRECT($C$5),Jornada!$C$8:$H$37,6,0)&lt;AG33,0,ABS(VLOOKUP(INDIRECT($C$5),Jornada!$C$8:$H$37,6,0))-AG33),0))</f>
        <v>0</v>
      </c>
      <c r="AJ33" s="155">
        <f t="shared" si="14"/>
        <v>1</v>
      </c>
      <c r="AK33" s="155">
        <f t="shared" si="15"/>
        <v>0</v>
      </c>
      <c r="AL33" s="155">
        <f ca="1">HLOOKUP($F33,Jornada!$I$5:$V$37,VLOOKUP(INDIRECT($C$5),Jornada!$C$8:$W$37,21,0)+2,0)</f>
        <v>0</v>
      </c>
      <c r="AM33" s="155">
        <f ca="1">HLOOKUP($F33,Jornada!$I$4:$V$37,VLOOKUP(INDIRECT($C$5),Jornada!$C$8:$W$37,21,0)+3,0)</f>
        <v>0</v>
      </c>
      <c r="AN33" s="155">
        <f t="shared" ca="1" si="16"/>
        <v>0</v>
      </c>
      <c r="AO33" s="155">
        <f t="shared" si="17"/>
        <v>0</v>
      </c>
      <c r="AP33" s="155">
        <f t="shared" si="9"/>
        <v>0</v>
      </c>
    </row>
    <row r="34" spans="1:42" s="2" customFormat="1" ht="30" customHeight="1" thickTop="1" thickBot="1" x14ac:dyDescent="0.25">
      <c r="A34" s="1"/>
      <c r="B34"/>
      <c r="C34" s="172" t="str">
        <f>IF(Funcionários!C33=0,"",Funcionários!C33)</f>
        <v/>
      </c>
      <c r="D34" s="14">
        <f t="shared" si="10"/>
        <v>6</v>
      </c>
      <c r="E34" s="187">
        <f>IF(DAY(DATE('P Gerais'!$D$6,VLOOKUP($E$7,$W$7:$X$18,2,0),E33+1))&gt;DAY(EOMONTH(DATE('P Gerais'!$D$6,VLOOKUP($E$7,$W$7:$X$18,2,0),E33),0)),DAY(DATE('P Gerais'!$D$6,VLOOKUP($E$7,$W$7:$X$18,2,0)+1,1)),DAY(DATE('P Gerais'!$D$6,VLOOKUP($E$7,$W$7:$X$18,2,0),E33+1)))</f>
        <v>27</v>
      </c>
      <c r="F34" s="187" t="str">
        <f t="shared" si="1"/>
        <v>Sex</v>
      </c>
      <c r="G34" s="81"/>
      <c r="H34" s="94"/>
      <c r="I34" s="94"/>
      <c r="J34" s="94"/>
      <c r="K34" s="94"/>
      <c r="L34" s="197"/>
      <c r="M34" s="95">
        <f t="shared" si="2"/>
        <v>0</v>
      </c>
      <c r="N34" s="196"/>
      <c r="O34" s="95">
        <f ca="1">IF(OR(G34=0,G34="Férias",G34="Falta Justificada",G34="Feriado",G34="Folga (DSR)"),0,IF(G34="Falta Injustificada",HLOOKUP($F34,Jornada!$X$7:$AD$37,VLOOKUP(INDIRECT($C$5),Jornada!$C$8:$W$37,21,0),0),IF(HLOOKUP($F34,Jornada!$X$7:$AD$37,VLOOKUP(INDIRECT($C$5),Jornada!$C$8:$W$37,21,0),0)-M34&gt;0,HLOOKUP($F34,Jornada!$X$7:$AD$37,VLOOKUP(INDIRECT($C$5),Jornada!$C$8:$W$37,21,0),0)-M34,0)))</f>
        <v>0</v>
      </c>
      <c r="P34" s="193">
        <f ca="1">IF(HLOOKUP($F34,Jornada!$X$7:$AD$37,VLOOKUP(INDIRECT($C$5),Jornada!$C$8:$W$37,21,0),0)-M34&lt;0,ABS(HLOOKUP($F34,Jornada!$X$7:$AD$37,VLOOKUP(INDIRECT($C$5),Jornada!$C$8:$W$37,21,0),0)-M34),0)</f>
        <v>0</v>
      </c>
      <c r="Q34" s="95">
        <f t="shared" si="0"/>
        <v>0</v>
      </c>
      <c r="R34" s="2">
        <f t="shared" si="3"/>
        <v>0</v>
      </c>
      <c r="S34" s="74"/>
      <c r="T34" s="74"/>
      <c r="U34" s="74"/>
      <c r="X34" s="177"/>
      <c r="AB34" s="177">
        <f t="shared" si="11"/>
        <v>27</v>
      </c>
      <c r="AC34" s="2">
        <f t="shared" si="4"/>
        <v>6</v>
      </c>
      <c r="AG34" s="220">
        <f t="shared" si="13"/>
        <v>0</v>
      </c>
      <c r="AH34" s="220">
        <f ca="1">IF(HLOOKUP($F34,Jornada!$X$7:$AD$37,VLOOKUP(INDIRECT($C$5),Jornada!$C$8:$W$37,21,0),0)=0,0,VLOOKUP(INDIRECT($C$5),Jornada!$C$8:$H$37,4,0))</f>
        <v>0</v>
      </c>
      <c r="AI34" s="155">
        <f ca="1">IF(AND(I34=0,J34=0,OR(H34&lt;&gt;0,K34&lt;&gt;0),HLOOKUP($F34,Jornada!$X$7:$AD$37,VLOOKUP(INDIRECT($C$5),Jornada!$C$8:$W$37,21,0),0)&gt;$AK$5,M34&gt;$AK$5),VLOOKUP(INDIRECT($C$5),Jornada!$C$8:$H$37,6,0),IF(AG34&gt;VLOOKUP(INDIRECT($C$5),Jornada!$C$8:$H$37,6,0),IF(VLOOKUP(INDIRECT($C$5),Jornada!$C$8:$H$37,6,0)&lt;AG34,0,ABS(VLOOKUP(INDIRECT($C$5),Jornada!$C$8:$H$37,6,0))-AG34),0))</f>
        <v>0</v>
      </c>
      <c r="AJ34" s="155">
        <f t="shared" si="14"/>
        <v>1</v>
      </c>
      <c r="AK34" s="155">
        <f t="shared" si="15"/>
        <v>0</v>
      </c>
      <c r="AL34" s="155">
        <f ca="1">HLOOKUP($F34,Jornada!$I$5:$V$37,VLOOKUP(INDIRECT($C$5),Jornada!$C$8:$W$37,21,0)+2,0)</f>
        <v>0</v>
      </c>
      <c r="AM34" s="155">
        <f ca="1">HLOOKUP($F34,Jornada!$I$4:$V$37,VLOOKUP(INDIRECT($C$5),Jornada!$C$8:$W$37,21,0)+3,0)</f>
        <v>0</v>
      </c>
      <c r="AN34" s="155">
        <f t="shared" ca="1" si="16"/>
        <v>0</v>
      </c>
      <c r="AO34" s="155">
        <f t="shared" si="17"/>
        <v>0</v>
      </c>
      <c r="AP34" s="155">
        <f t="shared" si="9"/>
        <v>0</v>
      </c>
    </row>
    <row r="35" spans="1:42" s="2" customFormat="1" ht="30" customHeight="1" thickTop="1" thickBot="1" x14ac:dyDescent="0.25">
      <c r="A35" s="1"/>
      <c r="B35"/>
      <c r="C35" s="172" t="str">
        <f>IF(Funcionários!C34=0,"",Funcionários!C34)</f>
        <v/>
      </c>
      <c r="D35" s="14">
        <f t="shared" si="10"/>
        <v>7</v>
      </c>
      <c r="E35" s="187">
        <f>IF(DAY(DATE('P Gerais'!$D$6,VLOOKUP($E$7,$W$7:$X$18,2,0),E34+1))&gt;DAY(EOMONTH(DATE('P Gerais'!$D$6,VLOOKUP($E$7,$W$7:$X$18,2,0),E34),0)),DAY(DATE('P Gerais'!$D$6,VLOOKUP($E$7,$W$7:$X$18,2,0)+1,1)),DAY(DATE('P Gerais'!$D$6,VLOOKUP($E$7,$W$7:$X$18,2,0),E34+1)))</f>
        <v>28</v>
      </c>
      <c r="F35" s="187" t="str">
        <f t="shared" si="1"/>
        <v>Sáb</v>
      </c>
      <c r="G35" s="81"/>
      <c r="H35" s="94"/>
      <c r="I35" s="94"/>
      <c r="J35" s="94"/>
      <c r="K35" s="94"/>
      <c r="L35" s="197"/>
      <c r="M35" s="95">
        <f t="shared" si="2"/>
        <v>0</v>
      </c>
      <c r="N35" s="196"/>
      <c r="O35" s="95">
        <f ca="1">IF(OR(G35=0,G35="Férias",G35="Falta Justificada",G35="Feriado",G35="Folga (DSR)"),0,IF(G35="Falta Injustificada",HLOOKUP($F35,Jornada!$X$7:$AD$37,VLOOKUP(INDIRECT($C$5),Jornada!$C$8:$W$37,21,0),0),IF(HLOOKUP($F35,Jornada!$X$7:$AD$37,VLOOKUP(INDIRECT($C$5),Jornada!$C$8:$W$37,21,0),0)-M35&gt;0,HLOOKUP($F35,Jornada!$X$7:$AD$37,VLOOKUP(INDIRECT($C$5),Jornada!$C$8:$W$37,21,0),0)-M35,0)))</f>
        <v>0</v>
      </c>
      <c r="P35" s="193">
        <f ca="1">IF(HLOOKUP($F35,Jornada!$X$7:$AD$37,VLOOKUP(INDIRECT($C$5),Jornada!$C$8:$W$37,21,0),0)-M35&lt;0,ABS(HLOOKUP($F35,Jornada!$X$7:$AD$37,VLOOKUP(INDIRECT($C$5),Jornada!$C$8:$W$37,21,0),0)-M35),0)</f>
        <v>0</v>
      </c>
      <c r="Q35" s="95">
        <f t="shared" si="0"/>
        <v>0</v>
      </c>
      <c r="R35" s="2">
        <f t="shared" si="3"/>
        <v>0</v>
      </c>
      <c r="S35"/>
      <c r="T35"/>
      <c r="U35"/>
      <c r="X35" s="177"/>
      <c r="AB35" s="177">
        <f>IF(MONTH(AB34+1)&lt;&gt;MONTH(AB34),"",AB34+1)</f>
        <v>28</v>
      </c>
      <c r="AC35" s="2">
        <f t="shared" si="4"/>
        <v>7</v>
      </c>
      <c r="AG35" s="220">
        <f t="shared" si="13"/>
        <v>0</v>
      </c>
      <c r="AH35" s="220">
        <f ca="1">IF(HLOOKUP($F35,Jornada!$X$7:$AD$37,VLOOKUP(INDIRECT($C$5),Jornada!$C$8:$W$37,21,0),0)=0,0,VLOOKUP(INDIRECT($C$5),Jornada!$C$8:$H$37,4,0))</f>
        <v>0</v>
      </c>
      <c r="AI35" s="155">
        <f ca="1">IF(AND(I35=0,J35=0,OR(H35&lt;&gt;0,K35&lt;&gt;0),HLOOKUP($F35,Jornada!$X$7:$AD$37,VLOOKUP(INDIRECT($C$5),Jornada!$C$8:$W$37,21,0),0)&gt;$AK$5,M35&gt;$AK$5),VLOOKUP(INDIRECT($C$5),Jornada!$C$8:$H$37,6,0),IF(AG35&gt;VLOOKUP(INDIRECT($C$5),Jornada!$C$8:$H$37,6,0),IF(VLOOKUP(INDIRECT($C$5),Jornada!$C$8:$H$37,6,0)&lt;AG35,0,ABS(VLOOKUP(INDIRECT($C$5),Jornada!$C$8:$H$37,6,0))-AG35),0))</f>
        <v>0</v>
      </c>
      <c r="AJ35" s="155">
        <f t="shared" si="14"/>
        <v>1</v>
      </c>
      <c r="AK35" s="155">
        <f t="shared" si="15"/>
        <v>0</v>
      </c>
      <c r="AL35" s="155">
        <f ca="1">HLOOKUP($F35,Jornada!$I$5:$V$37,VLOOKUP(INDIRECT($C$5),Jornada!$C$8:$W$37,21,0)+2,0)</f>
        <v>0</v>
      </c>
      <c r="AM35" s="155">
        <f ca="1">HLOOKUP($F35,Jornada!$I$4:$V$37,VLOOKUP(INDIRECT($C$5),Jornada!$C$8:$W$37,21,0)+3,0)</f>
        <v>0</v>
      </c>
      <c r="AN35" s="155">
        <f t="shared" ca="1" si="16"/>
        <v>0</v>
      </c>
      <c r="AO35" s="155">
        <f t="shared" si="17"/>
        <v>0</v>
      </c>
      <c r="AP35" s="155">
        <f t="shared" si="9"/>
        <v>0</v>
      </c>
    </row>
    <row r="36" spans="1:42" s="2" customFormat="1" ht="30" customHeight="1" thickTop="1" thickBot="1" x14ac:dyDescent="0.25">
      <c r="A36" s="1"/>
      <c r="B36"/>
      <c r="C36" s="172" t="str">
        <f>IF(Funcionários!C35=0,"",Funcionários!C35)</f>
        <v/>
      </c>
      <c r="D36" s="14">
        <f t="shared" si="10"/>
        <v>1</v>
      </c>
      <c r="E36" s="187">
        <f>IF(DAY(DATE('P Gerais'!$D$6,VLOOKUP($E$7,$W$7:$X$18,2,0),E35+1))&gt;DAY(EOMONTH(DATE('P Gerais'!$D$6,VLOOKUP($E$7,$W$7:$X$18,2,0),E35),0)),DAY(DATE('P Gerais'!$D$6,VLOOKUP($E$7,$W$7:$X$18,2,0)+1,1)),DAY(DATE('P Gerais'!$D$6,VLOOKUP($E$7,$W$7:$X$18,2,0),E35+1)))</f>
        <v>29</v>
      </c>
      <c r="F36" s="187" t="str">
        <f t="shared" si="1"/>
        <v>Dom</v>
      </c>
      <c r="G36" s="81"/>
      <c r="H36" s="94"/>
      <c r="I36" s="94"/>
      <c r="J36" s="94"/>
      <c r="K36" s="94"/>
      <c r="L36" s="197"/>
      <c r="M36" s="95">
        <f t="shared" si="2"/>
        <v>0</v>
      </c>
      <c r="N36" s="196"/>
      <c r="O36" s="95">
        <f ca="1">IF(OR(G36=0,G36="Férias",G36="Falta Justificada",G36="Feriado",G36="Folga (DSR)"),0,IF(G36="Falta Injustificada",HLOOKUP($F36,Jornada!$X$7:$AD$37,VLOOKUP(INDIRECT($C$5),Jornada!$C$8:$W$37,21,0),0),IF(HLOOKUP($F36,Jornada!$X$7:$AD$37,VLOOKUP(INDIRECT($C$5),Jornada!$C$8:$W$37,21,0),0)-M36&gt;0,HLOOKUP($F36,Jornada!$X$7:$AD$37,VLOOKUP(INDIRECT($C$5),Jornada!$C$8:$W$37,21,0),0)-M36,0)))</f>
        <v>0</v>
      </c>
      <c r="P36" s="193">
        <f ca="1">IF(HLOOKUP($F36,Jornada!$X$7:$AD$37,VLOOKUP(INDIRECT($C$5),Jornada!$C$8:$W$37,21,0),0)-M36&lt;0,ABS(HLOOKUP($F36,Jornada!$X$7:$AD$37,VLOOKUP(INDIRECT($C$5),Jornada!$C$8:$W$37,21,0),0)-M36),0)</f>
        <v>0</v>
      </c>
      <c r="Q36" s="95">
        <f t="shared" si="0"/>
        <v>0</v>
      </c>
      <c r="R36" s="2">
        <f t="shared" si="3"/>
        <v>0</v>
      </c>
      <c r="S36"/>
      <c r="T36"/>
      <c r="U36"/>
      <c r="X36" s="177"/>
      <c r="AB36" s="177">
        <f>IF(MONTH(AB35+1)&lt;&gt;MONTH(AB35),"",IF(AB35="","",AB35+1))</f>
        <v>29</v>
      </c>
      <c r="AC36" s="2">
        <f>IF(ISERROR(WEEKDAY(AB36)),"",WEEKDAY(AB36))</f>
        <v>1</v>
      </c>
      <c r="AG36" s="220">
        <f t="shared" si="13"/>
        <v>0</v>
      </c>
      <c r="AH36" s="220">
        <f ca="1">IF(HLOOKUP($F36,Jornada!$X$7:$AD$37,VLOOKUP(INDIRECT($C$5),Jornada!$C$8:$W$37,21,0),0)=0,0,VLOOKUP(INDIRECT($C$5),Jornada!$C$8:$H$37,4,0))</f>
        <v>0</v>
      </c>
      <c r="AI36" s="155">
        <f ca="1">IF(AND(I36=0,J36=0,OR(H36&lt;&gt;0,K36&lt;&gt;0),HLOOKUP($F36,Jornada!$X$7:$AD$37,VLOOKUP(INDIRECT($C$5),Jornada!$C$8:$W$37,21,0),0)&gt;$AK$5,M36&gt;$AK$5),VLOOKUP(INDIRECT($C$5),Jornada!$C$8:$H$37,6,0),IF(AG36&gt;VLOOKUP(INDIRECT($C$5),Jornada!$C$8:$H$37,6,0),IF(VLOOKUP(INDIRECT($C$5),Jornada!$C$8:$H$37,6,0)&lt;AG36,0,ABS(VLOOKUP(INDIRECT($C$5),Jornada!$C$8:$H$37,6,0))-AG36),0))</f>
        <v>0</v>
      </c>
      <c r="AJ36" s="155">
        <f t="shared" si="14"/>
        <v>1</v>
      </c>
      <c r="AK36" s="155">
        <f t="shared" si="15"/>
        <v>0</v>
      </c>
      <c r="AL36" s="155">
        <f ca="1">HLOOKUP($F36,Jornada!$I$5:$V$37,VLOOKUP(INDIRECT($C$5),Jornada!$C$8:$W$37,21,0)+2,0)</f>
        <v>0</v>
      </c>
      <c r="AM36" s="155">
        <f ca="1">HLOOKUP($F36,Jornada!$I$4:$V$37,VLOOKUP(INDIRECT($C$5),Jornada!$C$8:$W$37,21,0)+3,0)</f>
        <v>0</v>
      </c>
      <c r="AN36" s="155">
        <f t="shared" ca="1" si="16"/>
        <v>0</v>
      </c>
      <c r="AO36" s="155">
        <f t="shared" si="17"/>
        <v>0</v>
      </c>
      <c r="AP36" s="155">
        <f t="shared" si="9"/>
        <v>0</v>
      </c>
    </row>
    <row r="37" spans="1:42" s="2" customFormat="1" ht="30" customHeight="1" thickTop="1" thickBot="1" x14ac:dyDescent="0.25">
      <c r="A37" s="1"/>
      <c r="B37"/>
      <c r="C37" s="172" t="str">
        <f>IF(Funcionários!C36=0,"",Funcionários!C36)</f>
        <v/>
      </c>
      <c r="D37" s="14">
        <f t="shared" si="10"/>
        <v>2</v>
      </c>
      <c r="E37" s="187">
        <f>IF(DAY(DATE('P Gerais'!$D$6,VLOOKUP($E$7,$W$7:$X$18,2,0),E36+1))&gt;DAY(EOMONTH(DATE('P Gerais'!$D$6,VLOOKUP($E$7,$W$7:$X$18,2,0),E36),0)),DAY(DATE('P Gerais'!$D$6,VLOOKUP($E$7,$W$7:$X$18,2,0)+1,1)),DAY(DATE('P Gerais'!$D$6,VLOOKUP($E$7,$W$7:$X$18,2,0),E36+1)))</f>
        <v>30</v>
      </c>
      <c r="F37" s="187" t="str">
        <f t="shared" si="1"/>
        <v>Seg</v>
      </c>
      <c r="G37" s="81"/>
      <c r="H37" s="94"/>
      <c r="I37" s="94"/>
      <c r="J37" s="94"/>
      <c r="K37" s="94"/>
      <c r="L37" s="197"/>
      <c r="M37" s="95">
        <f>IF(AND(H37=K37,H37&lt;&gt;0),$M$6-IF(J37&lt;I37,$AJ$7+J37-I37,J37-I37),IF(H37&gt;K37,(K37+1-H37)-IF(J37&lt;I37,$AJ$7+J37-I37,J37-I37),(K37-H37)-IF(J37&lt;I37,$AJ$7+J37-I37,J37-I37)))</f>
        <v>0</v>
      </c>
      <c r="N37" s="196"/>
      <c r="O37" s="95">
        <f ca="1">IF(OR(G37=0,G37="Férias",G37="Falta Justificada",G37="Feriado",G37="Folga (DSR)"),0,IF(G37="Falta Injustificada",HLOOKUP($F37,Jornada!$X$7:$AD$37,VLOOKUP(INDIRECT($C$5),Jornada!$C$8:$W$37,21,0),0),IF(HLOOKUP($F37,Jornada!$X$7:$AD$37,VLOOKUP(INDIRECT($C$5),Jornada!$C$8:$W$37,21,0),0)-M37&gt;0,HLOOKUP($F37,Jornada!$X$7:$AD$37,VLOOKUP(INDIRECT($C$5),Jornada!$C$8:$W$37,21,0),0)-M37,0)))</f>
        <v>0</v>
      </c>
      <c r="P37" s="193">
        <f ca="1">IF(HLOOKUP($F37,Jornada!$X$7:$AD$37,VLOOKUP(INDIRECT($C$5),Jornada!$C$8:$W$37,21,0),0)-M37&lt;0,ABS(HLOOKUP($F37,Jornada!$X$7:$AD$37,VLOOKUP(INDIRECT($C$5),Jornada!$C$8:$W$37,21,0),0)-M37),0)</f>
        <v>0</v>
      </c>
      <c r="Q37" s="95">
        <f t="shared" si="0"/>
        <v>0</v>
      </c>
      <c r="R37" s="2">
        <f t="shared" si="3"/>
        <v>0</v>
      </c>
      <c r="S37"/>
      <c r="T37"/>
      <c r="U37"/>
      <c r="X37" s="177"/>
      <c r="AB37" s="177">
        <f>IF(AB36="","",IF(MONTH(AB36+1)&lt;&gt;MONTH(AB36),"",AB36+1))</f>
        <v>30</v>
      </c>
      <c r="AC37" s="2">
        <f>IF(ISERROR(WEEKDAY(AB37)),"",WEEKDAY(AB37))</f>
        <v>2</v>
      </c>
      <c r="AG37" s="220">
        <f t="shared" si="13"/>
        <v>0</v>
      </c>
      <c r="AH37" s="220">
        <f ca="1">IF(HLOOKUP($F37,Jornada!$X$7:$AD$37,VLOOKUP(INDIRECT($C$5),Jornada!$C$8:$W$37,21,0),0)=0,0,VLOOKUP(INDIRECT($C$5),Jornada!$C$8:$H$37,4,0))</f>
        <v>0</v>
      </c>
      <c r="AI37" s="155">
        <f ca="1">IF(AND(I37=0,J37=0,OR(H37&lt;&gt;0,K37&lt;&gt;0),HLOOKUP($F37,Jornada!$X$7:$AD$37,VLOOKUP(INDIRECT($C$5),Jornada!$C$8:$W$37,21,0),0)&gt;$AK$5,M37&gt;$AK$5),VLOOKUP(INDIRECT($C$5),Jornada!$C$8:$H$37,6,0),IF(AG37&gt;VLOOKUP(INDIRECT($C$5),Jornada!$C$8:$H$37,6,0),IF(VLOOKUP(INDIRECT($C$5),Jornada!$C$8:$H$37,6,0)&lt;AG37,0,ABS(VLOOKUP(INDIRECT($C$5),Jornada!$C$8:$H$37,6,0))-AG37),0))</f>
        <v>0</v>
      </c>
      <c r="AJ37" s="155">
        <f t="shared" si="14"/>
        <v>1</v>
      </c>
      <c r="AK37" s="155">
        <f t="shared" si="15"/>
        <v>0</v>
      </c>
      <c r="AL37" s="155">
        <f ca="1">HLOOKUP($F37,Jornada!$I$5:$V$37,VLOOKUP(INDIRECT($C$5),Jornada!$C$8:$W$37,21,0)+2,0)</f>
        <v>0</v>
      </c>
      <c r="AM37" s="155">
        <f ca="1">HLOOKUP($F37,Jornada!$I$4:$V$37,VLOOKUP(INDIRECT($C$5),Jornada!$C$8:$W$37,21,0)+3,0)</f>
        <v>0</v>
      </c>
      <c r="AN37" s="155">
        <f t="shared" ca="1" si="16"/>
        <v>0</v>
      </c>
      <c r="AO37" s="155">
        <f t="shared" si="17"/>
        <v>0</v>
      </c>
      <c r="AP37" s="155">
        <f t="shared" si="9"/>
        <v>0</v>
      </c>
    </row>
    <row r="38" spans="1:42" ht="30" customHeight="1" thickTop="1" thickBot="1" x14ac:dyDescent="0.25">
      <c r="D38" s="14">
        <f t="shared" si="10"/>
        <v>3</v>
      </c>
      <c r="E38" s="203">
        <f>IF(DAY(DATE('P Gerais'!$D$6,VLOOKUP($E$7,$W$7:$X$18,2,0),E37+1))&gt;DAY(EOMONTH(DATE('P Gerais'!$D$6,VLOOKUP($E$7,$W$7:$X$18,2,0),E37),0)),DAY(DATE('P Gerais'!$D$6,VLOOKUP($E$7,$W$7:$X$18,2,0)+1,1)),DAY(DATE('P Gerais'!$D$6,VLOOKUP($E$7,$W$7:$X$18,2,0),E37+1)))</f>
        <v>31</v>
      </c>
      <c r="F38" s="203" t="str">
        <f t="shared" si="1"/>
        <v>Ter</v>
      </c>
      <c r="G38" s="81"/>
      <c r="H38" s="94"/>
      <c r="I38" s="94"/>
      <c r="J38" s="94"/>
      <c r="K38" s="94"/>
      <c r="L38" s="205"/>
      <c r="M38" s="206">
        <f t="shared" si="2"/>
        <v>0</v>
      </c>
      <c r="N38" s="207"/>
      <c r="O38" s="206">
        <f ca="1">IF(OR(G38=0,G38="Férias",G38="Falta Justificada",G38="Feriado",G38="Folga (DSR)"),0,IF(G38="Falta Injustificada",HLOOKUP($F38,Jornada!$X$7:$AD$37,VLOOKUP(INDIRECT($C$5),Jornada!$C$8:$W$37,21,0),0),IF(HLOOKUP($F38,Jornada!$X$7:$AD$37,VLOOKUP(INDIRECT($C$5),Jornada!$C$8:$W$37,21,0),0)-M38&gt;0,HLOOKUP($F38,Jornada!$X$7:$AD$37,VLOOKUP(INDIRECT($C$5),Jornada!$C$8:$W$37,21,0),0)-M38,0)))</f>
        <v>0</v>
      </c>
      <c r="P38" s="209">
        <f ca="1">IF(HLOOKUP($F38,Jornada!$X$7:$AD$37,VLOOKUP(INDIRECT($C$5),Jornada!$C$8:$W$37,21,0),0)-M38&lt;0,ABS(HLOOKUP($F38,Jornada!$X$7:$AD$37,VLOOKUP(INDIRECT($C$5),Jornada!$C$8:$W$37,21,0),0)-M38),0)</f>
        <v>0</v>
      </c>
      <c r="Q38" s="206">
        <f t="shared" si="0"/>
        <v>0</v>
      </c>
      <c r="R38" s="2">
        <f t="shared" si="3"/>
        <v>0</v>
      </c>
      <c r="S38" s="2"/>
      <c r="U38" s="2"/>
      <c r="X38" s="177"/>
      <c r="Z38" s="2"/>
      <c r="AB38" s="177">
        <f>IF(AB37="","",IF(MONTH(AB37+1)&lt;&gt;MONTH(AB37),"",AB37+1))</f>
        <v>31</v>
      </c>
      <c r="AC38" s="2">
        <f>IF(ISERROR(WEEKDAY(AB38)),"",WEEKDAY(AB38))</f>
        <v>3</v>
      </c>
      <c r="AG38" s="220">
        <f t="shared" si="13"/>
        <v>0</v>
      </c>
      <c r="AH38" s="220">
        <f ca="1">IF(HLOOKUP($F38,Jornada!$X$7:$AD$37,VLOOKUP(INDIRECT($C$5),Jornada!$C$8:$W$37,21,0),0)=0,0,VLOOKUP(INDIRECT($C$5),Jornada!$C$8:$H$37,4,0))</f>
        <v>0</v>
      </c>
      <c r="AI38" s="155">
        <f ca="1">IF(AND(I38=0,J38=0,OR(H38&lt;&gt;0,K38&lt;&gt;0),HLOOKUP($F38,Jornada!$X$7:$AD$37,VLOOKUP(INDIRECT($C$5),Jornada!$C$8:$W$37,21,0),0)&gt;$AK$5,M38&gt;$AK$5),VLOOKUP(INDIRECT($C$5),Jornada!$C$8:$H$37,6,0),IF(AG38&gt;VLOOKUP(INDIRECT($C$5),Jornada!$C$8:$H$37,6,0),IF(VLOOKUP(INDIRECT($C$5),Jornada!$C$8:$H$37,6,0)&lt;AG38,0,ABS(VLOOKUP(INDIRECT($C$5),Jornada!$C$8:$H$37,6,0))-AG38),0))</f>
        <v>0</v>
      </c>
      <c r="AJ38" s="155">
        <f t="shared" si="14"/>
        <v>1</v>
      </c>
      <c r="AK38" s="155">
        <f t="shared" si="15"/>
        <v>0</v>
      </c>
      <c r="AL38" s="155">
        <f ca="1">HLOOKUP($F38,Jornada!$I$5:$V$37,VLOOKUP(INDIRECT($C$5),Jornada!$C$8:$W$37,21,0)+2,0)</f>
        <v>0</v>
      </c>
      <c r="AM38" s="155">
        <f ca="1">HLOOKUP($F38,Jornada!$I$4:$V$37,VLOOKUP(INDIRECT($C$5),Jornada!$C$8:$W$37,21,0)+3,0)</f>
        <v>0</v>
      </c>
      <c r="AN38" s="155">
        <f t="shared" ca="1" si="16"/>
        <v>0</v>
      </c>
      <c r="AO38" s="155">
        <f t="shared" si="17"/>
        <v>0</v>
      </c>
      <c r="AP38" s="155">
        <f t="shared" si="9"/>
        <v>0</v>
      </c>
    </row>
    <row r="39" spans="1:42" s="234" customFormat="1" ht="30" customHeight="1" thickTop="1" x14ac:dyDescent="0.2">
      <c r="A39" s="235"/>
      <c r="E39" s="236">
        <f>EOMONTH(AB8,0)</f>
        <v>31</v>
      </c>
      <c r="F39" s="234">
        <f>DAY(E39)</f>
        <v>31</v>
      </c>
      <c r="G39" s="237">
        <f>COUNTIF(F8:F38,"Dom")+COUNTIF(G8:G38,"Feriado")</f>
        <v>5</v>
      </c>
      <c r="H39" s="238">
        <f>(SUM(Q8:Q38)/(F39-G39))*G39</f>
        <v>0</v>
      </c>
    </row>
    <row r="40" spans="1:42" s="234" customFormat="1" ht="30" customHeight="1" x14ac:dyDescent="0.2">
      <c r="A40" s="235"/>
      <c r="C40" s="239"/>
      <c r="D40" s="239"/>
      <c r="E40" s="239"/>
      <c r="F40" s="240"/>
      <c r="G40" s="241"/>
      <c r="H40" s="234">
        <f ca="1">IF(INDIRECT($C$5)="",0,VLOOKUP(INDIRECT($C$5),Funcionários!$C$7:$E$36,3,0)+IF(VLOOKUP(INDIRECT($C$5),Jornada!$C$8:$E$37,2,0)="Sim",IF('P Gerais'!$I$8&lt;&gt;0,VLOOKUP(INDIRECT($C$5),Funcionários!$C$7:$E$36,3,0)*'P Gerais'!$L$14,'P Gerais'!$I$8*'P Gerais'!$L$14),0)+IF(VLOOKUP(INDIRECT($C$5),Jornada!$C$8:$E$37,3,0)="Sim",VLOOKUP(INDIRECT($C$5),Funcionários!$C$7:$E$36,3,0)*'P Gerais'!$K$14,0))</f>
        <v>0</v>
      </c>
      <c r="I40" s="234">
        <f ca="1">VLOOKUP(INDIRECT($C$5),Jornada!$C$8:$AF$37,30,0)</f>
        <v>0</v>
      </c>
      <c r="J40" s="234" t="s">
        <v>298</v>
      </c>
      <c r="K40" s="242">
        <f ca="1">IF(I40=0,0,H40/I40)</f>
        <v>0</v>
      </c>
    </row>
    <row r="41" spans="1:42" s="234" customFormat="1" ht="30" customHeight="1" x14ac:dyDescent="0.2">
      <c r="A41" s="235"/>
      <c r="B41" s="234" t="s">
        <v>52</v>
      </c>
      <c r="C41" s="292" t="s">
        <v>75</v>
      </c>
      <c r="D41" s="292"/>
      <c r="E41" s="292"/>
      <c r="F41" s="243">
        <f t="shared" ref="F41:F47" si="18">SUMIFS($Q$8:$Q$38,$F$8:$F$38,$B41,$G$8:$G$38,"Normal")</f>
        <v>0</v>
      </c>
      <c r="G41" s="244">
        <f>IF($M$41="Sistema de banco de horas",0,'P Gerais'!$C$14)</f>
        <v>0.5</v>
      </c>
      <c r="H41" s="245">
        <f t="shared" ref="H41:H48" ca="1" si="19">IF($M$41="Sistema de banco de horas",0,$K$40*(1+G41)*(F41*24))</f>
        <v>0</v>
      </c>
      <c r="I41" s="243">
        <f t="shared" ref="I41:I47" ca="1" si="20">IF(SUMIF($F$8:$F$38,$B41,$Q$8:$Q$38)-SUMIFS($M$8:$M$38,$F$8:$F$38,$B41,$G$8:$G$38,"Feriado")-SUMIFS($M$8:$M$38,$F$8:$F$38,$B41,$G$8:$G$38,"Folga (DSR)")-SUMIFS($M$8:$M$38,$F$8:$F$38,$B41,$G$8:$G$38,"Férias")-SUMIF($F$8:$F$38,$B41,$AN$8:$AN$38)-SUMIF($F$8:$F$38,$B41,$AO$8:$AO$38)&lt;0,0,SUMIF($F$8:$F$38,$B41,$Q$8:$Q$38)-SUMIFS($M$8:$M$38,$F$8:$F$38,$B41,$G$8:$G$38,"Feriado")-SUMIFS($M$8:$M$38,$F$8:$F$38,$B41,$G$8:$G$38,"Folga (DSR)")-SUMIFS($M$8:$M$38,$F$8:$F$38,$B41,$G$8:$G$38,"Férias")-SUMIF($F$8:$F$38,$B41,$AN$8:$AN$38)-SUMIF($F$8:$F$38,$B41,$AO$8:$AO$38))</f>
        <v>0</v>
      </c>
      <c r="J41" s="245">
        <f ca="1">H41</f>
        <v>0</v>
      </c>
      <c r="M41" s="234">
        <f>'P Gerais'!I10</f>
        <v>0</v>
      </c>
    </row>
    <row r="42" spans="1:42" s="234" customFormat="1" ht="30" customHeight="1" x14ac:dyDescent="0.2">
      <c r="A42" s="235"/>
      <c r="B42" s="234" t="s">
        <v>53</v>
      </c>
      <c r="C42" s="292" t="s">
        <v>76</v>
      </c>
      <c r="D42" s="292"/>
      <c r="E42" s="292"/>
      <c r="F42" s="243">
        <f t="shared" si="18"/>
        <v>0</v>
      </c>
      <c r="G42" s="244">
        <f>IF($M$41="Sistema de banco de horas",0,'P Gerais'!$C$14)</f>
        <v>0.5</v>
      </c>
      <c r="H42" s="245">
        <f t="shared" ca="1" si="19"/>
        <v>0</v>
      </c>
      <c r="I42" s="243">
        <f t="shared" ca="1" si="20"/>
        <v>0</v>
      </c>
      <c r="J42" s="245">
        <f t="shared" ref="J42:J51" ca="1" si="21">H42</f>
        <v>0</v>
      </c>
    </row>
    <row r="43" spans="1:42" s="234" customFormat="1" ht="30" customHeight="1" x14ac:dyDescent="0.2">
      <c r="A43" s="235"/>
      <c r="B43" s="234" t="s">
        <v>54</v>
      </c>
      <c r="C43" s="292" t="s">
        <v>77</v>
      </c>
      <c r="D43" s="292"/>
      <c r="E43" s="292"/>
      <c r="F43" s="243">
        <f t="shared" si="18"/>
        <v>0</v>
      </c>
      <c r="G43" s="244">
        <f>IF($M$41="Sistema de banco de horas",0,'P Gerais'!$C$14)</f>
        <v>0.5</v>
      </c>
      <c r="H43" s="245">
        <f t="shared" ca="1" si="19"/>
        <v>0</v>
      </c>
      <c r="I43" s="243">
        <f t="shared" ca="1" si="20"/>
        <v>0</v>
      </c>
      <c r="J43" s="245">
        <f t="shared" ca="1" si="21"/>
        <v>0</v>
      </c>
    </row>
    <row r="44" spans="1:42" s="234" customFormat="1" ht="30" customHeight="1" x14ac:dyDescent="0.2">
      <c r="A44" s="235"/>
      <c r="B44" s="234" t="s">
        <v>55</v>
      </c>
      <c r="C44" s="292" t="s">
        <v>78</v>
      </c>
      <c r="D44" s="292"/>
      <c r="E44" s="292"/>
      <c r="F44" s="243">
        <f t="shared" si="18"/>
        <v>0</v>
      </c>
      <c r="G44" s="244">
        <f>IF($M$41="Sistema de banco de horas",0,'P Gerais'!$C$14)</f>
        <v>0.5</v>
      </c>
      <c r="H44" s="245">
        <f t="shared" ca="1" si="19"/>
        <v>0</v>
      </c>
      <c r="I44" s="243">
        <f t="shared" ca="1" si="20"/>
        <v>0</v>
      </c>
      <c r="J44" s="245">
        <f t="shared" ca="1" si="21"/>
        <v>0</v>
      </c>
    </row>
    <row r="45" spans="1:42" s="234" customFormat="1" ht="30" customHeight="1" x14ac:dyDescent="0.2">
      <c r="A45" s="235"/>
      <c r="B45" s="234" t="s">
        <v>56</v>
      </c>
      <c r="C45" s="292" t="s">
        <v>79</v>
      </c>
      <c r="D45" s="292"/>
      <c r="E45" s="292"/>
      <c r="F45" s="243">
        <f t="shared" si="18"/>
        <v>0</v>
      </c>
      <c r="G45" s="244">
        <f>IF($M$41="Sistema de banco de horas",0,'P Gerais'!$C$14)</f>
        <v>0.5</v>
      </c>
      <c r="H45" s="245">
        <f t="shared" ca="1" si="19"/>
        <v>0</v>
      </c>
      <c r="I45" s="243">
        <f t="shared" ca="1" si="20"/>
        <v>0</v>
      </c>
      <c r="J45" s="245">
        <f t="shared" ca="1" si="21"/>
        <v>0</v>
      </c>
    </row>
    <row r="46" spans="1:42" s="234" customFormat="1" ht="30" customHeight="1" x14ac:dyDescent="0.2">
      <c r="A46" s="235"/>
      <c r="B46" s="234" t="s">
        <v>57</v>
      </c>
      <c r="C46" s="292" t="s">
        <v>82</v>
      </c>
      <c r="D46" s="292"/>
      <c r="E46" s="292"/>
      <c r="F46" s="243">
        <f t="shared" si="18"/>
        <v>0</v>
      </c>
      <c r="G46" s="244">
        <f>IF($M$41="Sistema de banco de horas",0,'P Gerais'!$E$14)</f>
        <v>0.5</v>
      </c>
      <c r="H46" s="245">
        <f t="shared" ca="1" si="19"/>
        <v>0</v>
      </c>
      <c r="I46" s="243">
        <f t="shared" ca="1" si="20"/>
        <v>0</v>
      </c>
      <c r="J46" s="245">
        <f t="shared" ca="1" si="21"/>
        <v>0</v>
      </c>
    </row>
    <row r="47" spans="1:42" s="234" customFormat="1" ht="30" customHeight="1" x14ac:dyDescent="0.2">
      <c r="A47" s="235"/>
      <c r="B47" s="234" t="s">
        <v>51</v>
      </c>
      <c r="C47" s="292" t="s">
        <v>81</v>
      </c>
      <c r="D47" s="292"/>
      <c r="E47" s="292"/>
      <c r="F47" s="243">
        <f t="shared" si="18"/>
        <v>0</v>
      </c>
      <c r="G47" s="244">
        <f>IF($M$41="Sistema de banco de horas",0,'P Gerais'!$F$14)</f>
        <v>1</v>
      </c>
      <c r="H47" s="245">
        <f t="shared" ca="1" si="19"/>
        <v>0</v>
      </c>
      <c r="I47" s="243">
        <f t="shared" ca="1" si="20"/>
        <v>0</v>
      </c>
      <c r="J47" s="245">
        <f t="shared" ca="1" si="21"/>
        <v>0</v>
      </c>
    </row>
    <row r="48" spans="1:42" s="234" customFormat="1" ht="30" customHeight="1" x14ac:dyDescent="0.2">
      <c r="A48" s="235"/>
      <c r="C48" s="292" t="s">
        <v>80</v>
      </c>
      <c r="D48" s="292"/>
      <c r="E48" s="292"/>
      <c r="F48" s="243">
        <f>SUMIFS($Q$8:$Q$38,$G$8:$G$38,"Feriado")</f>
        <v>0</v>
      </c>
      <c r="G48" s="244">
        <f>IF($M$41="Sistema de banco de horas",0,'P Gerais'!$I$14)</f>
        <v>1</v>
      </c>
      <c r="H48" s="245">
        <f t="shared" ca="1" si="19"/>
        <v>0</v>
      </c>
      <c r="I48" s="243"/>
      <c r="J48" s="245">
        <f t="shared" ca="1" si="21"/>
        <v>0</v>
      </c>
    </row>
    <row r="49" spans="1:26" s="234" customFormat="1" ht="15" x14ac:dyDescent="0.2">
      <c r="A49" s="235"/>
      <c r="C49" s="292" t="s">
        <v>146</v>
      </c>
      <c r="D49" s="292"/>
      <c r="E49" s="292"/>
      <c r="F49" s="243">
        <f>SUMIFS($Q$8:$Q$38,$G$8:$G$38,"Folga (DSR)")</f>
        <v>0</v>
      </c>
      <c r="G49" s="244">
        <f>IF($M$41="Sistema de banco de horas",0,'P Gerais'!H14)</f>
        <v>1</v>
      </c>
      <c r="H49" s="245">
        <f ca="1">((F53/(F39-G39))*G39)</f>
        <v>0</v>
      </c>
      <c r="I49" s="243"/>
      <c r="J49" s="245">
        <f t="shared" ca="1" si="21"/>
        <v>0</v>
      </c>
    </row>
    <row r="50" spans="1:26" s="234" customFormat="1" ht="15" x14ac:dyDescent="0.2">
      <c r="A50" s="235"/>
      <c r="C50" s="292" t="s">
        <v>84</v>
      </c>
      <c r="D50" s="292"/>
      <c r="E50" s="292"/>
      <c r="F50" s="243">
        <f ca="1">IF($M$41="Sistema de banco de horas",(SUM(AI$8:AI$38)*(1+G50)),SUM(AI$8:AI$38))</f>
        <v>0</v>
      </c>
      <c r="G50" s="244">
        <f>IF($M$41="Sistema de banco de horas",0,'P Gerais'!$I$17)</f>
        <v>0.5</v>
      </c>
      <c r="H50" s="245">
        <f ca="1">IF($M$41="Sistema de banco de horas",0,$K$40*(1+G50)*(F50*24))</f>
        <v>0</v>
      </c>
      <c r="I50" s="243">
        <f ca="1">IF(SUM($AN$8:$AO$38)&gt;SUM(AI$8:AI$38),0,SUM(AI$8:AI$38)-SUM($AN$8:$AO$38))</f>
        <v>0</v>
      </c>
      <c r="J50" s="245">
        <f t="shared" ca="1" si="21"/>
        <v>0</v>
      </c>
    </row>
    <row r="51" spans="1:26" s="234" customFormat="1" ht="15" x14ac:dyDescent="0.2">
      <c r="A51" s="235"/>
      <c r="C51" s="292" t="s">
        <v>85</v>
      </c>
      <c r="D51" s="292"/>
      <c r="E51" s="292"/>
      <c r="F51" s="243">
        <f>IF($M$41="Sistema de banco de horas",(SUM(AK$8:AK$38)*(1+G51)),SUM(AK$8:AK$38))</f>
        <v>0</v>
      </c>
      <c r="G51" s="244">
        <f>IF($M$41="Sistema de banco de horas",0,'P Gerais'!$C$17)</f>
        <v>1</v>
      </c>
      <c r="H51" s="245">
        <f ca="1">IF($M$41="Sistema de banco de horas",0,$K$40*(1+G51)*(F51*24))</f>
        <v>0</v>
      </c>
      <c r="I51" s="243"/>
      <c r="J51" s="245">
        <f t="shared" ca="1" si="21"/>
        <v>0</v>
      </c>
    </row>
    <row r="52" spans="1:26" s="234" customFormat="1" ht="15" x14ac:dyDescent="0.2">
      <c r="A52" s="235"/>
      <c r="C52" s="292" t="s">
        <v>87</v>
      </c>
      <c r="D52" s="292"/>
      <c r="E52" s="292"/>
      <c r="F52" s="243">
        <f ca="1">U12</f>
        <v>0</v>
      </c>
      <c r="G52" s="246"/>
    </row>
    <row r="53" spans="1:26" s="234" customFormat="1" ht="15" x14ac:dyDescent="0.2">
      <c r="A53" s="235"/>
      <c r="C53" s="292" t="s">
        <v>299</v>
      </c>
      <c r="D53" s="292"/>
      <c r="E53" s="292"/>
      <c r="F53" s="247">
        <f ca="1">SUM(H48)+J50+H51+SUM(J41:J47)</f>
        <v>0</v>
      </c>
      <c r="G53" s="248"/>
    </row>
    <row r="54" spans="1:26" s="234" customFormat="1" ht="15" x14ac:dyDescent="0.2">
      <c r="A54" s="235"/>
      <c r="C54" s="292" t="s">
        <v>88</v>
      </c>
      <c r="D54" s="292"/>
      <c r="E54" s="292"/>
      <c r="F54" s="247">
        <f ca="1">F53+(H49*(1+G49))</f>
        <v>0</v>
      </c>
      <c r="G54" s="248"/>
      <c r="H54" s="249"/>
    </row>
    <row r="55" spans="1:26" s="234" customFormat="1" ht="15" x14ac:dyDescent="0.2">
      <c r="A55" s="235"/>
      <c r="C55" s="292" t="s">
        <v>89</v>
      </c>
      <c r="D55" s="292"/>
      <c r="E55" s="292"/>
      <c r="F55" s="247">
        <f ca="1">H40+F54</f>
        <v>0</v>
      </c>
      <c r="G55" s="246"/>
    </row>
    <row r="56" spans="1:26" s="234" customFormat="1" ht="15" x14ac:dyDescent="0.2">
      <c r="A56" s="235"/>
      <c r="C56" s="292" t="s">
        <v>178</v>
      </c>
      <c r="D56" s="292"/>
      <c r="E56" s="292"/>
      <c r="F56" s="243">
        <f>IF($M$41="Sistema de banco de horas",(SUMIF($G$8:$G$38,"Férias",Q8:Q38))*(1+G48),SUMIF($G$8:$G$38,"Férias",Q8:Q38))</f>
        <v>0</v>
      </c>
      <c r="G56" s="246"/>
    </row>
    <row r="57" spans="1:26" s="234" customFormat="1" ht="15" x14ac:dyDescent="0.2">
      <c r="A57" s="235"/>
      <c r="C57" s="239"/>
      <c r="D57" s="239"/>
      <c r="E57" s="239"/>
      <c r="F57" s="250">
        <f ca="1">U14</f>
        <v>0</v>
      </c>
      <c r="G57" s="246"/>
    </row>
    <row r="58" spans="1:26" s="234" customFormat="1" ht="15" x14ac:dyDescent="0.2">
      <c r="A58" s="235"/>
      <c r="C58" s="239"/>
      <c r="D58" s="239"/>
      <c r="E58" s="239"/>
      <c r="F58" s="243">
        <f ca="1">SUM(F41:F51)</f>
        <v>0</v>
      </c>
      <c r="G58" s="246"/>
    </row>
    <row r="59" spans="1:26" s="234" customFormat="1" ht="30" customHeight="1" x14ac:dyDescent="0.2">
      <c r="A59" s="235"/>
      <c r="B59" s="2"/>
      <c r="C59" s="2"/>
      <c r="D59" s="2"/>
      <c r="E59" s="2"/>
      <c r="F59" s="2"/>
      <c r="G59" s="2"/>
      <c r="H59" s="2"/>
      <c r="I59" s="2"/>
      <c r="J59" s="2"/>
      <c r="K59" s="2"/>
      <c r="L59" s="2"/>
      <c r="M59" s="2"/>
      <c r="N59" s="2"/>
    </row>
    <row r="60" spans="1:26" s="2" customFormat="1" ht="30" customHeight="1" x14ac:dyDescent="0.2">
      <c r="A60" s="9"/>
      <c r="D60" s="251"/>
      <c r="G60" s="178"/>
      <c r="Z60" s="219"/>
    </row>
    <row r="61" spans="1:26" ht="30" customHeight="1" x14ac:dyDescent="0.2">
      <c r="D61" s="225"/>
    </row>
    <row r="62" spans="1:26" ht="30" customHeight="1" x14ac:dyDescent="0.2">
      <c r="D62" s="215"/>
      <c r="G62" s="217"/>
    </row>
    <row r="63" spans="1:26" ht="30" customHeight="1" x14ac:dyDescent="0.2">
      <c r="D63" s="225"/>
    </row>
    <row r="64" spans="1:26" ht="30" customHeight="1" x14ac:dyDescent="0.2">
      <c r="D64" s="215"/>
      <c r="G64" s="217"/>
    </row>
    <row r="65" spans="4:7" ht="30" customHeight="1" x14ac:dyDescent="0.2">
      <c r="D65" s="225"/>
    </row>
    <row r="66" spans="4:7" ht="30" customHeight="1" x14ac:dyDescent="0.2">
      <c r="G66" s="217"/>
    </row>
    <row r="67" spans="4:7" ht="30" customHeight="1" x14ac:dyDescent="0.2">
      <c r="D67" s="226"/>
      <c r="G67" s="217"/>
    </row>
  </sheetData>
  <sheetProtection sheet="1" objects="1" scenarios="1" selectLockedCells="1"/>
  <dataConsolidate/>
  <mergeCells count="34">
    <mergeCell ref="S16:T17"/>
    <mergeCell ref="U16:U17"/>
    <mergeCell ref="S10:T11"/>
    <mergeCell ref="U10:U11"/>
    <mergeCell ref="S12:T13"/>
    <mergeCell ref="U12:U13"/>
    <mergeCell ref="S14:T15"/>
    <mergeCell ref="U14:U15"/>
    <mergeCell ref="S23:U25"/>
    <mergeCell ref="S18:T19"/>
    <mergeCell ref="U18:U19"/>
    <mergeCell ref="S26:U28"/>
    <mergeCell ref="S22:U22"/>
    <mergeCell ref="I7:J7"/>
    <mergeCell ref="S8:T9"/>
    <mergeCell ref="U8:U9"/>
    <mergeCell ref="S7:U7"/>
    <mergeCell ref="E7:F7"/>
    <mergeCell ref="C41:E41"/>
    <mergeCell ref="C42:E42"/>
    <mergeCell ref="C43:E43"/>
    <mergeCell ref="C44:E44"/>
    <mergeCell ref="C45:E45"/>
    <mergeCell ref="C46:E46"/>
    <mergeCell ref="C47:E47"/>
    <mergeCell ref="C48:E48"/>
    <mergeCell ref="C49:E49"/>
    <mergeCell ref="C50:E50"/>
    <mergeCell ref="C56:E56"/>
    <mergeCell ref="C51:E51"/>
    <mergeCell ref="C52:E52"/>
    <mergeCell ref="C53:E53"/>
    <mergeCell ref="C55:E55"/>
    <mergeCell ref="C54:E54"/>
  </mergeCells>
  <phoneticPr fontId="50" type="noConversion"/>
  <conditionalFormatting sqref="O8:O26 O28:O36 O38">
    <cfRule type="cellIs" dxfId="1455" priority="258" operator="greaterThan">
      <formula>0.000001</formula>
    </cfRule>
  </conditionalFormatting>
  <conditionalFormatting sqref="M8:M26 M28:M36 M38">
    <cfRule type="cellIs" dxfId="1454" priority="308" operator="greaterThan">
      <formula>0</formula>
    </cfRule>
  </conditionalFormatting>
  <conditionalFormatting sqref="L36:O36 L37 L38:O38">
    <cfRule type="expression" dxfId="1453" priority="247">
      <formula>AND($E36&gt;=$E$8,$E$8&lt;&gt;1)</formula>
    </cfRule>
  </conditionalFormatting>
  <conditionalFormatting sqref="O27">
    <cfRule type="cellIs" dxfId="1452" priority="203" operator="greaterThan">
      <formula>0.000001</formula>
    </cfRule>
  </conditionalFormatting>
  <conditionalFormatting sqref="M27">
    <cfRule type="cellIs" dxfId="1451" priority="204" operator="greaterThan">
      <formula>0</formula>
    </cfRule>
  </conditionalFormatting>
  <conditionalFormatting sqref="O37">
    <cfRule type="cellIs" dxfId="1450" priority="190" operator="greaterThan">
      <formula>0.000001</formula>
    </cfRule>
  </conditionalFormatting>
  <conditionalFormatting sqref="M37">
    <cfRule type="cellIs" dxfId="1449" priority="191" operator="greaterThan">
      <formula>0</formula>
    </cfRule>
  </conditionalFormatting>
  <conditionalFormatting sqref="E37">
    <cfRule type="containsText" dxfId="1448" priority="175" operator="containsText" text="Dom">
      <formula>NOT(ISERROR(SEARCH("Dom",E37)))</formula>
    </cfRule>
    <cfRule type="containsText" dxfId="1447" priority="176" operator="containsText" text="Sáb">
      <formula>NOT(ISERROR(SEARCH("Sáb",E37)))</formula>
    </cfRule>
  </conditionalFormatting>
  <conditionalFormatting sqref="E37">
    <cfRule type="expression" dxfId="1446" priority="173">
      <formula>AND($E37&lt;$E$35,$E$8=1)</formula>
    </cfRule>
    <cfRule type="expression" dxfId="1445" priority="174">
      <formula>AND($E37&gt;=$E$8,$E$8&lt;&gt;1)</formula>
    </cfRule>
  </conditionalFormatting>
  <conditionalFormatting sqref="E38">
    <cfRule type="containsText" dxfId="1444" priority="171" operator="containsText" text="Dom">
      <formula>NOT(ISERROR(SEARCH("Dom",E38)))</formula>
    </cfRule>
    <cfRule type="containsText" dxfId="1443" priority="172" operator="containsText" text="Sáb">
      <formula>NOT(ISERROR(SEARCH("Sáb",E38)))</formula>
    </cfRule>
  </conditionalFormatting>
  <conditionalFormatting sqref="E38">
    <cfRule type="expression" dxfId="1442" priority="169">
      <formula>AND($E38&lt;$E$35,$E$8=1)</formula>
    </cfRule>
    <cfRule type="expression" dxfId="1441" priority="170">
      <formula>AND($E38&gt;=$E$8,$E$8&lt;&gt;1)</formula>
    </cfRule>
  </conditionalFormatting>
  <conditionalFormatting sqref="F8:F38">
    <cfRule type="containsText" dxfId="1440" priority="167" operator="containsText" text="Dom">
      <formula>NOT(ISERROR(SEARCH("Dom",F8)))</formula>
    </cfRule>
    <cfRule type="containsText" dxfId="1439" priority="168" operator="containsText" text="Sáb">
      <formula>NOT(ISERROR(SEARCH("Sáb",F8)))</formula>
    </cfRule>
  </conditionalFormatting>
  <conditionalFormatting sqref="F36:F38">
    <cfRule type="expression" dxfId="1438" priority="165">
      <formula>AND($E36&lt;$E$35,$E$8=1)</formula>
    </cfRule>
    <cfRule type="expression" dxfId="1437" priority="166">
      <formula>AND($E36&gt;=$E$8,$E$8&lt;&gt;1)</formula>
    </cfRule>
  </conditionalFormatting>
  <conditionalFormatting sqref="Q8:Q38">
    <cfRule type="cellIs" dxfId="1436" priority="109" operator="greaterThan">
      <formula>0.000001</formula>
    </cfRule>
  </conditionalFormatting>
  <conditionalFormatting sqref="L36:Q36 L37 L38:Q38">
    <cfRule type="expression" dxfId="1435" priority="246">
      <formula>AND($E36&lt;$E$35,$E$8=1)</formula>
    </cfRule>
  </conditionalFormatting>
  <conditionalFormatting sqref="L38:Q38">
    <cfRule type="expression" dxfId="1434" priority="110">
      <formula>AND($E38&lt;$E$35,$E$8=1)</formula>
    </cfRule>
    <cfRule type="expression" dxfId="1433" priority="111">
      <formula>AND($E38&gt;=$E$8,$E$8&lt;&gt;1)</formula>
    </cfRule>
  </conditionalFormatting>
  <conditionalFormatting sqref="U10:U11">
    <cfRule type="expression" dxfId="1432" priority="48">
      <formula>$V$11="Negativo"</formula>
    </cfRule>
  </conditionalFormatting>
  <conditionalFormatting sqref="G8:K38">
    <cfRule type="expression" dxfId="1431" priority="4">
      <formula>OR($G8="Férias",$G8="Falta Injustificada")</formula>
    </cfRule>
    <cfRule type="expression" dxfId="1430" priority="5">
      <formula>$G8="Folga (DSR)"</formula>
    </cfRule>
    <cfRule type="expression" dxfId="1429" priority="6">
      <formula>$G8="Feriado"</formula>
    </cfRule>
    <cfRule type="expression" dxfId="1428" priority="7">
      <formula>$F8="Dom"</formula>
    </cfRule>
  </conditionalFormatting>
  <conditionalFormatting sqref="G36:K38">
    <cfRule type="expression" dxfId="1427" priority="1">
      <formula>AND($E36&lt;$E$35,$E$8=1)</formula>
    </cfRule>
    <cfRule type="expression" dxfId="1426" priority="2">
      <formula>AND($E36&gt;=$E$8,$E$8&lt;&gt;1)</formula>
    </cfRule>
  </conditionalFormatting>
  <conditionalFormatting sqref="H8:K38">
    <cfRule type="expression" dxfId="1425" priority="3">
      <formula>OR($G8="Falta Justificada",$G8="Falta Injustificada")</formula>
    </cfRule>
  </conditionalFormatting>
  <conditionalFormatting sqref="F40">
    <cfRule type="expression" dxfId="1424" priority="480">
      <formula>$E40="Folga(DSR)"</formula>
    </cfRule>
    <cfRule type="expression" dxfId="1423" priority="481">
      <formula>$E40="Feriado"</formula>
    </cfRule>
    <cfRule type="expression" dxfId="1422" priority="482">
      <formula>$D40="Dom"</formula>
    </cfRule>
  </conditionalFormatting>
  <conditionalFormatting sqref="U12:U13">
    <cfRule type="expression" dxfId="1421" priority="483">
      <formula>$U$14&gt;$F$58</formula>
    </cfRule>
  </conditionalFormatting>
  <dataValidations count="3">
    <dataValidation type="list" allowBlank="1" showInputMessage="1" showErrorMessage="1" sqref="G8:G38">
      <formula1>"Normal,Feriado,Folga (DSR),Falta Justificada,Férias,Falta Injustificada"</formula1>
    </dataValidation>
    <dataValidation type="time" allowBlank="1" showInputMessage="1" showErrorMessage="1" sqref="H8:K38">
      <formula1>0</formula1>
      <formula2>0.999988425925926</formula2>
    </dataValidation>
    <dataValidation type="whole" allowBlank="1" showInputMessage="1" showErrorMessage="1" sqref="E8">
      <formula1>1</formula1>
      <formula2>31</formula2>
    </dataValidation>
  </dataValidations>
  <hyperlinks>
    <hyperlink ref="C8" location="Lanç!A1" display="Lanç!A1"/>
    <hyperlink ref="C9" location="'Lanç (2)'!A1" display="'Lanç (2)'!A1"/>
    <hyperlink ref="C10" location="'Lanç (3)'!A1" display="'Lanç (3)'!A1"/>
    <hyperlink ref="C11" location="'Lanç (4)'!A1" display="'Lanç (4)'!A1"/>
    <hyperlink ref="C12" location="'Lanç (5)'!A1" display="'Lanç (5)'!A1"/>
    <hyperlink ref="C13" location="'Lanç (6)'!A1" display="'Lanç (6)'!A1"/>
    <hyperlink ref="C14" location="'Lanç (7)'!A1" display="'Lanç (7)'!A1"/>
    <hyperlink ref="C15" location="'Lanç (8)'!A1" display="'Lanç (8)'!A1"/>
    <hyperlink ref="C16" location="'Lanç (9)'!A1" display="'Lanç (9)'!A1"/>
    <hyperlink ref="C17" location="'Lanç (10)'!A1" display="'Lanç (10)'!A1"/>
    <hyperlink ref="C18" location="'Lanç (11)'!A1" display="'Lanç (11)'!A1"/>
    <hyperlink ref="C19" location="'Lanç (12)'!A1" display="'Lanç (12)'!A1"/>
    <hyperlink ref="C20" location="'Lanç (13)'!A1" display="'Lanç (13)'!A1"/>
    <hyperlink ref="C21" location="'Lanç (14)'!A1" display="'Lanç (14)'!A1"/>
    <hyperlink ref="C22" location="'Lanç (15)'!A1" display="'Lanç (15)'!A1"/>
    <hyperlink ref="C23" location="'Lanç (16)'!A1" display="'Lanç (16)'!A1"/>
    <hyperlink ref="C24" location="'Lanç (17)'!A1" display="'Lanç (17)'!A1"/>
    <hyperlink ref="C25" location="'Lanç (18)'!A1" display="'Lanç (18)'!A1"/>
    <hyperlink ref="C26" location="'Lanç (19)'!A1" display="'Lanç (19)'!A1"/>
    <hyperlink ref="C27" location="'Lanç (20)'!A1" display="'Lanç (20)'!A1"/>
    <hyperlink ref="C28" location="'Lanç (21)'!A1" display="'Lanç (21)'!A1"/>
    <hyperlink ref="C29" location="'Lanç (22)'!A1" display="'Lanç (22)'!A1"/>
    <hyperlink ref="C30" location="'Lanç (23)'!A1" display="'Lanç (23)'!A1"/>
    <hyperlink ref="C31" location="'Lanç (24)'!A1" display="'Lanç (24)'!A1"/>
    <hyperlink ref="C32" location="'Lanç (25)'!A1" display="'Lanç (25)'!A1"/>
    <hyperlink ref="C33" location="'Lanç (26)'!A1" display="'Lanç (26)'!A1"/>
    <hyperlink ref="C34" location="'Lanç (27)'!A1" display="'Lanç (27)'!A1"/>
    <hyperlink ref="C35" location="'Lanç (28)'!A1" display="'Lanç (28)'!A1"/>
    <hyperlink ref="C36" location="'Lanç (29)'!A1" display="'Lanç (29)'!A1"/>
    <hyperlink ref="C37" location="'Lanç (30)'!A1" display="'Lanç (30)'!A1"/>
  </hyperlinks>
  <printOptions horizontalCentered="1"/>
  <pageMargins left="0.23622047244094491" right="0.23622047244094491" top="0.74803149606299213" bottom="0.74803149606299213" header="0.31496062992125984" footer="0.31496062992125984"/>
  <pageSetup paperSize="9" scale="53" orientation="portrait"/>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105" id="{7A50C3EC-E380-1B4A-99E2-F498350B2032}">
            <xm:f>'P Gerais'!$I$10:$M$10="Pagas em Dinheiro"</xm:f>
            <x14:dxf>
              <font>
                <color theme="0"/>
              </font>
              <fill>
                <patternFill>
                  <bgColor theme="0"/>
                </patternFill>
              </fill>
              <border>
                <left/>
                <right/>
                <top/>
                <bottom/>
              </border>
            </x14:dxf>
          </x14:cfRule>
          <xm:sqref>S10:T13</xm:sqref>
        </x14:conditionalFormatting>
        <x14:conditionalFormatting xmlns:xm="http://schemas.microsoft.com/office/excel/2006/main">
          <x14:cfRule type="expression" priority="104" id="{273CC7A3-A7A2-7049-9FA1-742D86C48900}">
            <xm:f>'P Gerais'!$I$10:$M$10="Sistema de banco de horas"</xm:f>
            <x14:dxf>
              <font>
                <color theme="0"/>
              </font>
              <fill>
                <patternFill>
                  <bgColor theme="0"/>
                </patternFill>
              </fill>
              <border>
                <left/>
                <right/>
                <top/>
                <bottom/>
              </border>
            </x14:dxf>
          </x14:cfRule>
          <xm:sqref>S18:T19</xm:sqref>
        </x14:conditionalFormatting>
        <x14:conditionalFormatting xmlns:xm="http://schemas.microsoft.com/office/excel/2006/main">
          <x14:cfRule type="expression" priority="50" id="{A49FFF03-FE26-9942-9415-24154D241941}">
            <xm:f>'P Gerais'!$I$10:$M$10="Sistema de banco de horas"</xm:f>
            <x14:dxf>
              <font>
                <color theme="0"/>
              </font>
              <fill>
                <patternFill>
                  <bgColor theme="0"/>
                </patternFill>
              </fill>
              <border>
                <left/>
                <right/>
                <top/>
                <bottom/>
              </border>
            </x14:dxf>
          </x14:cfRule>
          <xm:sqref>U18:U19</xm:sqref>
        </x14:conditionalFormatting>
        <x14:conditionalFormatting xmlns:xm="http://schemas.microsoft.com/office/excel/2006/main">
          <x14:cfRule type="expression" priority="47" id="{A0B6C7FB-6FFE-1744-88FB-F05A60EA1F90}">
            <xm:f>'P Gerais'!$I$10:$M$10="Pagas em Dinheiro"</xm:f>
            <x14:dxf>
              <font>
                <color theme="0"/>
              </font>
              <fill>
                <patternFill>
                  <bgColor theme="0"/>
                </patternFill>
              </fill>
              <border>
                <left/>
                <right/>
                <top/>
                <bottom/>
              </border>
            </x14:dxf>
          </x14:cfRule>
          <xm:sqref>U10:U13</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4" enableFormatConditionsCalculation="0"/>
  <dimension ref="A1:BG103"/>
  <sheetViews>
    <sheetView showGridLines="0" zoomScale="90" zoomScaleNormal="90" zoomScalePageLayoutView="90" workbookViewId="0">
      <selection activeCell="G10" sqref="G10"/>
    </sheetView>
  </sheetViews>
  <sheetFormatPr baseColWidth="10" defaultColWidth="9.1640625" defaultRowHeight="0" customHeight="1" zeroHeight="1" x14ac:dyDescent="0.2"/>
  <cols>
    <col min="1" max="1" width="27.83203125" style="194" customWidth="1"/>
    <col min="2" max="2" width="3.83203125" style="14" customWidth="1"/>
    <col min="3" max="3" width="33.33203125" style="14" customWidth="1"/>
    <col min="4" max="4" width="2.83203125" style="14" customWidth="1"/>
    <col min="5" max="5" width="5.83203125" style="14" customWidth="1"/>
    <col min="6" max="6" width="13.1640625" style="14" customWidth="1"/>
    <col min="7" max="7" width="14.33203125" style="195" customWidth="1"/>
    <col min="8" max="11" width="9.83203125" style="14" customWidth="1"/>
    <col min="12" max="12" width="1.83203125" style="14" customWidth="1"/>
    <col min="13" max="13" width="13.33203125" style="14" customWidth="1"/>
    <col min="14" max="14" width="1.83203125" style="14" customWidth="1"/>
    <col min="15" max="15" width="13.33203125" style="14" customWidth="1"/>
    <col min="16" max="16" width="1.83203125" style="14" customWidth="1"/>
    <col min="17" max="17" width="13.33203125" style="14" customWidth="1"/>
    <col min="18" max="18" width="4.83203125" style="2" bestFit="1" customWidth="1"/>
    <col min="19" max="21" width="11.83203125" style="14" customWidth="1"/>
    <col min="22" max="23" width="8.83203125" style="2" customWidth="1"/>
    <col min="24" max="24" width="11.33203125" style="2" bestFit="1" customWidth="1"/>
    <col min="25" max="25" width="8.83203125" style="2" customWidth="1"/>
    <col min="26" max="26" width="8.1640625" style="219" bestFit="1" customWidth="1"/>
    <col min="27" max="27" width="8.83203125" style="2" customWidth="1"/>
    <col min="28" max="28" width="11.33203125" style="2" bestFit="1" customWidth="1"/>
    <col min="29" max="43" width="8.83203125" style="2" customWidth="1"/>
    <col min="44" max="50" width="11.33203125" style="2" customWidth="1"/>
    <col min="51" max="57" width="11.33203125" style="14" customWidth="1"/>
    <col min="58" max="16384" width="9.1640625" style="14"/>
  </cols>
  <sheetData>
    <row r="1" spans="1:59" s="15" customFormat="1" ht="33.75" customHeight="1" x14ac:dyDescent="0.3">
      <c r="A1" s="56">
        <v>1</v>
      </c>
      <c r="B1" s="3"/>
      <c r="C1" s="4" t="s">
        <v>30</v>
      </c>
      <c r="D1" s="3"/>
      <c r="E1" s="3"/>
      <c r="F1" s="3"/>
      <c r="G1" s="77"/>
      <c r="H1" s="3"/>
      <c r="I1" s="3"/>
      <c r="J1" s="3"/>
      <c r="K1" s="3"/>
      <c r="M1" s="3"/>
      <c r="O1" s="3"/>
      <c r="Q1" s="3"/>
      <c r="S1" s="3"/>
      <c r="T1" s="3"/>
      <c r="U1" s="3"/>
      <c r="Z1" s="174"/>
    </row>
    <row r="2" spans="1:59" s="15" customFormat="1" ht="21.5" customHeight="1" x14ac:dyDescent="0.2">
      <c r="A2" s="1"/>
      <c r="B2" s="3"/>
      <c r="C2" s="3"/>
      <c r="D2" s="3"/>
      <c r="E2" s="3"/>
      <c r="F2" s="3"/>
      <c r="G2" s="77"/>
      <c r="H2" s="3"/>
      <c r="I2" s="3"/>
      <c r="J2" s="3"/>
      <c r="K2" s="3"/>
      <c r="M2" s="3"/>
      <c r="O2" s="3"/>
      <c r="Q2" s="3"/>
      <c r="S2" s="3"/>
      <c r="T2" s="3"/>
      <c r="U2" s="3"/>
      <c r="Z2" s="174"/>
    </row>
    <row r="3" spans="1:59" s="15" customFormat="1" ht="21.5" customHeight="1" x14ac:dyDescent="0.2">
      <c r="A3" s="1"/>
      <c r="B3" s="3"/>
      <c r="C3" s="3"/>
      <c r="D3" s="3"/>
      <c r="E3" s="3"/>
      <c r="F3" s="3"/>
      <c r="G3" s="77"/>
      <c r="H3" s="3"/>
      <c r="I3" s="3"/>
      <c r="J3" s="3"/>
      <c r="K3" s="3"/>
      <c r="M3" s="3"/>
      <c r="O3" s="3"/>
      <c r="Q3" s="3"/>
      <c r="S3" s="3"/>
      <c r="T3" s="3"/>
      <c r="U3" s="3"/>
      <c r="Z3" s="174"/>
    </row>
    <row r="4" spans="1:59" s="2" customFormat="1" ht="30" customHeight="1" x14ac:dyDescent="0.2">
      <c r="A4" s="1"/>
      <c r="B4"/>
      <c r="C4"/>
      <c r="D4"/>
      <c r="E4"/>
      <c r="F4"/>
      <c r="G4" s="78"/>
      <c r="H4"/>
      <c r="I4"/>
      <c r="J4"/>
      <c r="K4"/>
      <c r="M4"/>
      <c r="O4" s="13"/>
      <c r="Q4"/>
      <c r="S4"/>
      <c r="T4"/>
      <c r="U4"/>
      <c r="Z4" s="219"/>
      <c r="AN4" s="175"/>
    </row>
    <row r="5" spans="1:59" s="2" customFormat="1" ht="30" customHeight="1" x14ac:dyDescent="0.2">
      <c r="A5" s="9"/>
      <c r="C5" s="160" t="s">
        <v>185</v>
      </c>
      <c r="K5" s="157">
        <f ca="1">IF(ISERROR(VLOOKUP(INDIRECT($C$5),Jornada!$C$8:$F$37,4,0)),0,VLOOKUP(INDIRECT($C$5),Jornada!$C$8:$F$37,4,0))</f>
        <v>0</v>
      </c>
      <c r="L5" s="158"/>
      <c r="M5" s="157">
        <f ca="1">IF(ISERROR(VLOOKUP(INDIRECT($C$5),Jornada!$C$8:$G$37,5,0)),0,VLOOKUP(INDIRECT($C$5),Jornada!$C$8:$G$37,5,0))</f>
        <v>0</v>
      </c>
      <c r="O5" s="12"/>
      <c r="U5" s="12"/>
      <c r="Z5" s="219"/>
      <c r="AC5" s="12"/>
      <c r="AK5" s="179">
        <v>0.25</v>
      </c>
      <c r="AL5" s="155">
        <v>0.91666666666666663</v>
      </c>
      <c r="AM5" s="155">
        <v>0.20833333333333334</v>
      </c>
      <c r="AN5" s="155">
        <v>1</v>
      </c>
      <c r="AO5" s="155">
        <v>0.70833333333333337</v>
      </c>
    </row>
    <row r="6" spans="1:59" s="2" customFormat="1" ht="8" customHeight="1" thickBot="1" x14ac:dyDescent="0.25">
      <c r="A6" s="9"/>
      <c r="C6" s="198"/>
      <c r="G6" s="178"/>
      <c r="M6" s="220">
        <v>1</v>
      </c>
      <c r="O6" s="156"/>
      <c r="Q6" s="156"/>
      <c r="Z6" s="176"/>
    </row>
    <row r="7" spans="1:59" s="2" customFormat="1" ht="30" customHeight="1" thickTop="1" thickBot="1" x14ac:dyDescent="0.25">
      <c r="A7" s="1"/>
      <c r="B7"/>
      <c r="C7" s="76" t="s">
        <v>176</v>
      </c>
      <c r="D7"/>
      <c r="E7" s="281" t="str">
        <f>Lanç!E7</f>
        <v>Janeiro</v>
      </c>
      <c r="F7" s="283"/>
      <c r="G7" s="79" t="s">
        <v>58</v>
      </c>
      <c r="H7" s="82" t="s">
        <v>0</v>
      </c>
      <c r="I7" s="293" t="s">
        <v>59</v>
      </c>
      <c r="J7" s="293"/>
      <c r="K7" s="82" t="s">
        <v>60</v>
      </c>
      <c r="M7" s="73" t="s">
        <v>61</v>
      </c>
      <c r="O7" s="73" t="s">
        <v>62</v>
      </c>
      <c r="Q7" s="73" t="s">
        <v>63</v>
      </c>
      <c r="R7" s="155">
        <v>8.3333333333333329E-2</v>
      </c>
      <c r="S7" s="293" t="s">
        <v>64</v>
      </c>
      <c r="T7" s="293"/>
      <c r="U7" s="293"/>
      <c r="W7" s="2" t="s">
        <v>90</v>
      </c>
      <c r="X7" s="156">
        <v>1</v>
      </c>
      <c r="AB7" s="2">
        <f>VLOOKUP($E$7,$W$7:$X$18,2,0)</f>
        <v>1</v>
      </c>
      <c r="AG7" s="176" t="s">
        <v>167</v>
      </c>
      <c r="AH7" s="176" t="s">
        <v>168</v>
      </c>
      <c r="AI7" s="155">
        <v>0</v>
      </c>
      <c r="AJ7" s="155">
        <v>1</v>
      </c>
      <c r="AK7" s="155">
        <v>0.45833333333333331</v>
      </c>
      <c r="AL7" s="2" t="s">
        <v>0</v>
      </c>
      <c r="AM7" s="2" t="s">
        <v>162</v>
      </c>
      <c r="AN7" s="2" t="s">
        <v>184</v>
      </c>
      <c r="BE7" s="14"/>
      <c r="BF7" s="14"/>
      <c r="BG7" s="14"/>
    </row>
    <row r="8" spans="1:59" s="2" customFormat="1" ht="30" customHeight="1" thickTop="1" thickBot="1" x14ac:dyDescent="0.25">
      <c r="A8" s="1"/>
      <c r="B8"/>
      <c r="C8" s="172" t="str">
        <f>IF(Funcionários!C7=0,"",Funcionários!C7)</f>
        <v/>
      </c>
      <c r="D8"/>
      <c r="E8" s="115">
        <f>Lanç!E8</f>
        <v>1</v>
      </c>
      <c r="F8" s="82" t="str">
        <f>Lanç!F8</f>
        <v>Dom</v>
      </c>
      <c r="G8" s="80"/>
      <c r="H8" s="93"/>
      <c r="I8" s="93"/>
      <c r="J8" s="93"/>
      <c r="K8" s="93"/>
      <c r="L8" s="197"/>
      <c r="M8" s="95">
        <f>IF(AND(H8=K8,H8&lt;&gt;0),$M$6-IF(J8&lt;I8,$AJ$7+J8-I8,J8-I8),IF(H8&gt;K8,(K8+1-H8)-IF(J8&lt;I8,$AJ$7+J8-I8,J8-I8),(K8-H8)-IF(J8&lt;I8,$AJ$7+J8-I8,J8-I8)))</f>
        <v>0</v>
      </c>
      <c r="N8" s="196"/>
      <c r="O8" s="95">
        <f ca="1">IF(OR(G8=0,G8="Férias",G8="Falta Justificada",G8="Feriado",G8="Folga (DSR)"),0,IF(G8="Falta Injustificada",HLOOKUP($F8,Jornada!$X$7:$AD$37,VLOOKUP(INDIRECT($C$5),Jornada!$C$8:$W$37,21,0),0),IF(HLOOKUP($F8,Jornada!$X$7:$AD$37,VLOOKUP(INDIRECT($C$5),Jornada!$C$8:$W$37,21,0),0)-M8&gt;0,HLOOKUP($F8,Jornada!$X$7:$AD$37,VLOOKUP(INDIRECT($C$5),Jornada!$C$8:$W$37,21,0),0)-M8,0)))</f>
        <v>0</v>
      </c>
      <c r="P8" s="193">
        <f ca="1">IF(HLOOKUP($F8,Jornada!$X$7:$AD$37,VLOOKUP(INDIRECT($C$5),Jornada!$C$8:$W$37,21,0),0)-M8&lt;0,ABS(HLOOKUP($F8,Jornada!$X$7:$AD$37,VLOOKUP(INDIRECT($C$5),Jornada!$C$8:$W$37,21,0),0)-M8),0)</f>
        <v>0</v>
      </c>
      <c r="Q8" s="95">
        <f t="shared" ref="Q8:Q38" si="0">IF(G8="Normal",P8,IF(G8=0,0,IF(OR(G8="Feriado",G8="Férias"),IF(H8&gt;K8,(K8+1-H8)-IF(J8&lt;I8,$AJ$7+J8-I8,J8-I8),(K8-H8)-IF(J8&lt;I8,$AJ$7+J8-I8,J8-I8)),IF(G8="Folga (DSR)",IF(H8&gt;K8,(K8+1-H8)-IF(J8&lt;I8,$AJ$7+J8-I8,J8-I8),(K8-H8)-IF(J8&lt;I8,$AJ$7+J8-I8,J8-I8)),IF(G8="Falta Justificada",IF(H8&gt;K8,(K8+1-H8)-IF(J8&lt;I8,$AJ$7+J8-I8,J8-I8),(K8-H8)-IF(J8&lt;I8,$AJ$7+J8-I8,J8-I8)),0)))))</f>
        <v>0</v>
      </c>
      <c r="R8" s="2">
        <f>IF(Q8&gt;$R$7,1,0)</f>
        <v>0</v>
      </c>
      <c r="S8" s="294" t="s">
        <v>65</v>
      </c>
      <c r="T8" s="294"/>
      <c r="U8" s="295">
        <f>SUM(M8:M38)</f>
        <v>0</v>
      </c>
      <c r="W8" s="2" t="s">
        <v>91</v>
      </c>
      <c r="X8" s="156">
        <v>2</v>
      </c>
      <c r="AB8" s="177">
        <f>DATE('P Gerais'!$D$6,AB7,1)</f>
        <v>1</v>
      </c>
      <c r="AC8" s="2">
        <f>WEEKDAY(AB8)</f>
        <v>1</v>
      </c>
      <c r="AE8" s="2">
        <v>1</v>
      </c>
      <c r="AF8" s="2" t="s">
        <v>51</v>
      </c>
      <c r="AG8" s="220">
        <f>IF(J8&lt;I8,$AJ$7+J8-I8,J8-I8)</f>
        <v>0</v>
      </c>
      <c r="AH8" s="220">
        <f ca="1">IF(HLOOKUP($F8,Jornada!$X$7:$AD$37,VLOOKUP(INDIRECT($C$5),Jornada!$C$8:$W$37,21,0),0)=0,0,VLOOKUP(INDIRECT($C$5),Jornada!$C$8:$H$37,4,0))</f>
        <v>0</v>
      </c>
      <c r="AI8" s="155">
        <f ca="1">IF(AND(I8=0,J8=0,OR(H8&lt;&gt;0,K8&lt;&gt;0),HLOOKUP($F8,Jornada!$X$7:$AD$37,VLOOKUP(INDIRECT($C$5),Jornada!$C$8:$W$37,21,0),0)&gt;$AK$5,M8&gt;$AK$5),VLOOKUP(INDIRECT($C$5),Jornada!$C$8:$H$37,6,0),IF(AG8&gt;VLOOKUP(INDIRECT($C$5),Jornada!$C$8:$H$37,6,0),IF(VLOOKUP(INDIRECT($C$5),Jornada!$C$8:$H$37,6,0)&lt;AG8,0,ABS(VLOOKUP(INDIRECT($C$5),Jornada!$C$8:$H$37,6,0))-AG8),0))</f>
        <v>0</v>
      </c>
      <c r="AJ8" s="155">
        <f>($AJ$7-K8)+H8</f>
        <v>1</v>
      </c>
      <c r="AK8" s="155">
        <f>IF(AJ8&lt;$AK$7,$AK$7-AJ8,$AI$7)</f>
        <v>0</v>
      </c>
      <c r="AL8" s="155">
        <f ca="1">HLOOKUP($F8,Jornada!$I$5:$V$37,VLOOKUP(INDIRECT($C$5),Jornada!$C$8:$W$37,21,0)+2,0)</f>
        <v>0</v>
      </c>
      <c r="AM8" s="155">
        <f ca="1">HLOOKUP($F8,Jornada!$I$4:$V$37,VLOOKUP(INDIRECT($C$5),Jornada!$C$8:$W$37,21,0)+3,0)</f>
        <v>0</v>
      </c>
      <c r="AN8" s="155">
        <f ca="1">IF(AND(AL8&gt;=$AL$5,AL8&lt;$AN$5,H8&gt;=$AL$5,H8&lt;AL8),AL8-H8,IF(AND(AL8&gt;$AI$7,AL8&lt;=$AM$5,H8&gt;=$AL$5,H8&lt;=$AN$5),$AN$5-H8+AL8,IF(AND(AL8&gt;=$AI$7,AL8&lt;=$AM$5,H8&gt;=$AI$7,H8&lt;=$AM$5,H8&lt;AL8),H8-AL8,0)))</f>
        <v>0</v>
      </c>
      <c r="AO8" s="155">
        <f>IF(AP8&gt;Q8,0,AP8)</f>
        <v>0</v>
      </c>
      <c r="AP8" s="155">
        <f>IF(Q8=0,0,IF(AND(AM8&gt;=$AL$5,AM8&lt;$AN$5,K8&gt;=$AL$5,K8&lt;$AM$5,K8&gt;AM8),K8-AM8,IF(AND(AM8&gt;=$AL$5,AM8&lt;$AN$5,K8&lt;$AN$5,K8&gt;AM8),K8-$AL$5,IF(AND(AM8&gt;=$AI$7,AM8&lt;$AM$5,K8&lt;$AM$5),K8-AM8,IF(AND(AM8&lt;&gt;AI7,AM8&gt;=$AI$7,AM8&lt;=$AM$5,K8&gt;$AM$5,K8&gt;AM8),$AM$5-AM8,IF(AND(K8&gt;$AL$5,K8&lt;$AN$5),K8-$AL$5,IF(AND(K8&gt;$AI$7,K8&lt;$AM$5),$AN$5-$AL$5+K8,IF(AND(OR(K8&gt;$AL$5,H8&gt;$AO$5),AM8&gt;=$AI$7,AM8&lt;$AM$5,K8&gt;$AM$5),(1+$AM$5-$AL$5)-AG8,0))))))))</f>
        <v>0</v>
      </c>
      <c r="BE8" s="14"/>
      <c r="BF8" s="14"/>
      <c r="BG8" s="14"/>
    </row>
    <row r="9" spans="1:59" s="2" customFormat="1" ht="30" customHeight="1" thickTop="1" thickBot="1" x14ac:dyDescent="0.25">
      <c r="A9" s="1"/>
      <c r="B9"/>
      <c r="C9" s="171" t="str">
        <f>IF(Funcionários!C8=0,"",Funcionários!C8)</f>
        <v/>
      </c>
      <c r="D9"/>
      <c r="E9" s="115">
        <f>Lanç!E9</f>
        <v>2</v>
      </c>
      <c r="F9" s="189" t="str">
        <f>Lanç!F9</f>
        <v>Seg</v>
      </c>
      <c r="G9" s="81"/>
      <c r="H9" s="94"/>
      <c r="I9" s="94"/>
      <c r="J9" s="94"/>
      <c r="K9" s="94"/>
      <c r="L9" s="197"/>
      <c r="M9" s="95">
        <f t="shared" ref="M9:M38" si="1">IF(AND(H9=K9,H9&lt;&gt;0),$M$6-IF(J9&lt;I9,$AJ$7+J9-I9,J9-I9),IF(H9&gt;K9,(K9+1-H9)-IF(J9&lt;I9,$AJ$7+J9-I9,J9-I9),(K9-H9)-IF(J9&lt;I9,$AJ$7+J9-I9,J9-I9)))</f>
        <v>0</v>
      </c>
      <c r="N9" s="196"/>
      <c r="O9" s="95">
        <f ca="1">IF(OR(G9=0,G9="Férias",G9="Falta Justificada",G9="Feriado",G9="Folga (DSR)"),0,IF(G9="Falta Injustificada",HLOOKUP($F9,Jornada!$X$7:$AD$37,VLOOKUP(INDIRECT($C$5),Jornada!$C$8:$W$37,21,0),0),IF(HLOOKUP($F9,Jornada!$X$7:$AD$37,VLOOKUP(INDIRECT($C$5),Jornada!$C$8:$W$37,21,0),0)-M9&gt;0,HLOOKUP($F9,Jornada!$X$7:$AD$37,VLOOKUP(INDIRECT($C$5),Jornada!$C$8:$W$37,21,0),0)-M9,0)))</f>
        <v>0</v>
      </c>
      <c r="P9" s="193">
        <f ca="1">IF(HLOOKUP($F9,Jornada!$X$7:$AD$37,VLOOKUP(INDIRECT($C$5),Jornada!$C$8:$W$37,21,0),0)-M9&lt;0,ABS(HLOOKUP($F9,Jornada!$X$7:$AD$37,VLOOKUP(INDIRECT($C$5),Jornada!$C$8:$W$37,21,0),0)-M9),0)</f>
        <v>0</v>
      </c>
      <c r="Q9" s="95">
        <f t="shared" si="0"/>
        <v>0</v>
      </c>
      <c r="R9" s="2">
        <f t="shared" ref="R9:R38" si="2">IF(Q9&gt;$R$7,1,0)</f>
        <v>0</v>
      </c>
      <c r="S9" s="294"/>
      <c r="T9" s="294"/>
      <c r="U9" s="295"/>
      <c r="W9" s="2" t="s">
        <v>92</v>
      </c>
      <c r="X9" s="156">
        <v>3</v>
      </c>
      <c r="AB9" s="177">
        <f>AB8+1</f>
        <v>2</v>
      </c>
      <c r="AC9" s="2">
        <f t="shared" ref="AC9:AC35" si="3">WEEKDAY(AB9)</f>
        <v>2</v>
      </c>
      <c r="AE9" s="2">
        <v>2</v>
      </c>
      <c r="AF9" s="2" t="s">
        <v>52</v>
      </c>
      <c r="AG9" s="220">
        <f t="shared" ref="AG9:AG38" si="4">IF(J9&lt;I9,$AJ$7+J9-I9,J9-I9)</f>
        <v>0</v>
      </c>
      <c r="AH9" s="220">
        <f ca="1">IF(HLOOKUP($F9,Jornada!$X$7:$AD$37,VLOOKUP(INDIRECT($C$5),Jornada!$C$8:$W$37,21,0),0)=0,0,VLOOKUP(INDIRECT($C$5),Jornada!$C$8:$H$37,4,0))</f>
        <v>0</v>
      </c>
      <c r="AI9" s="155">
        <f ca="1">IF(AND(I9=0,J9=0,OR(H9&lt;&gt;0,K9&lt;&gt;0),HLOOKUP($F9,Jornada!$X$7:$AD$37,VLOOKUP(INDIRECT($C$5),Jornada!$C$8:$W$37,21,0),0)&gt;$AK$5,M9&gt;$AK$5),VLOOKUP(INDIRECT($C$5),Jornada!$C$8:$H$37,6,0),IF(AG9&gt;VLOOKUP(INDIRECT($C$5),Jornada!$C$8:$H$37,6,0),IF(VLOOKUP(INDIRECT($C$5),Jornada!$C$8:$H$37,6,0)&lt;AG9,0,ABS(VLOOKUP(INDIRECT($C$5),Jornada!$C$8:$H$37,6,0))-AG9),0))</f>
        <v>0</v>
      </c>
      <c r="AJ9" s="155">
        <f t="shared" ref="AJ9:AJ38" si="5">($AJ$7-K9)+H9</f>
        <v>1</v>
      </c>
      <c r="AK9" s="155">
        <f t="shared" ref="AK9:AK38" si="6">IF(AJ9&lt;$AK$7,$AK$7-AJ9,$AI$7)</f>
        <v>0</v>
      </c>
      <c r="AL9" s="155">
        <f ca="1">HLOOKUP($F9,Jornada!$I$5:$V$37,VLOOKUP(INDIRECT($C$5),Jornada!$C$8:$W$37,21,0)+2,0)</f>
        <v>0</v>
      </c>
      <c r="AM9" s="155">
        <f ca="1">HLOOKUP($F9,Jornada!$I$4:$V$37,VLOOKUP(INDIRECT($C$5),Jornada!$C$8:$W$37,21,0)+3,0)</f>
        <v>0</v>
      </c>
      <c r="AN9" s="155">
        <f t="shared" ref="AN9:AN38" ca="1" si="7">IF(AND(AL9&gt;=$AL$5,AL9&lt;$AN$5,H9&gt;=$AL$5,H9&lt;AL9),AL9-H9,IF(AND(AL9&gt;$AI$7,AL9&lt;=$AM$5,H9&gt;=$AL$5,H9&lt;=$AN$5),$AN$5-H9+AL9,IF(AND(AL9&gt;=$AI$7,AL9&lt;=$AM$5,H9&gt;=$AI$7,H9&lt;=$AM$5,H9&lt;AL9),H9-AL9,0)))</f>
        <v>0</v>
      </c>
      <c r="AO9" s="155">
        <f t="shared" ref="AO9:AO38" si="8">IF(AP9&gt;Q9,0,AP9)</f>
        <v>0</v>
      </c>
      <c r="AP9" s="155">
        <f t="shared" ref="AP9:AP38" si="9">IF(Q9=0,0,IF(AND(AM9&gt;=$AL$5,AM9&lt;$AN$5,K9&gt;=$AL$5,K9&lt;$AM$5,K9&gt;AM9),K9-AM9,IF(AND(AM9&gt;=$AL$5,AM9&lt;$AN$5,K9&lt;$AN$5,K9&gt;AM9),K9-$AL$5,IF(AND(AM9&gt;=$AI$7,AM9&lt;$AM$5,K9&lt;$AM$5),K9-AM9,IF(AND(AM9&lt;&gt;AI8,AM9&gt;=$AI$7,AM9&lt;=$AM$5,K9&gt;$AM$5,K9&gt;AM9),$AM$5-AM9,IF(AND(K9&gt;$AL$5,K9&lt;$AN$5),K9-$AL$5,IF(AND(K9&gt;$AI$7,K9&lt;$AM$5),$AN$5-$AL$5+K9,IF(AND(OR(K9&gt;$AL$5,H9&gt;$AO$5),AM9&gt;=$AI$7,AM9&lt;$AM$5,K9&gt;$AM$5),(1+$AM$5-$AL$5)-AG9,0))))))))</f>
        <v>0</v>
      </c>
      <c r="BE9" s="14"/>
      <c r="BF9" s="14"/>
      <c r="BG9" s="14"/>
    </row>
    <row r="10" spans="1:59" s="2" customFormat="1" ht="30" customHeight="1" thickTop="1" thickBot="1" x14ac:dyDescent="0.25">
      <c r="A10" s="1"/>
      <c r="B10"/>
      <c r="C10" s="172" t="str">
        <f>IF(Funcionários!C9=0,"",Funcionários!C9)</f>
        <v/>
      </c>
      <c r="D10"/>
      <c r="E10" s="115">
        <f>Lanç!E10</f>
        <v>3</v>
      </c>
      <c r="F10" s="189" t="str">
        <f>Lanç!F10</f>
        <v>Ter</v>
      </c>
      <c r="G10" s="81"/>
      <c r="H10" s="94"/>
      <c r="I10" s="94"/>
      <c r="J10" s="94"/>
      <c r="K10" s="94"/>
      <c r="L10" s="197"/>
      <c r="M10" s="95">
        <f t="shared" si="1"/>
        <v>0</v>
      </c>
      <c r="N10" s="196"/>
      <c r="O10" s="95">
        <f ca="1">IF(OR(G10=0,G10="Férias",G10="Falta Justificada",G10="Feriado",G10="Folga (DSR)"),0,IF(G10="Falta Injustificada",HLOOKUP($F10,Jornada!$X$7:$AD$37,VLOOKUP(INDIRECT($C$5),Jornada!$C$8:$W$37,21,0),0),IF(HLOOKUP($F10,Jornada!$X$7:$AD$37,VLOOKUP(INDIRECT($C$5),Jornada!$C$8:$W$37,21,0),0)-M10&gt;0,HLOOKUP($F10,Jornada!$X$7:$AD$37,VLOOKUP(INDIRECT($C$5),Jornada!$C$8:$W$37,21,0),0)-M10,0)))</f>
        <v>0</v>
      </c>
      <c r="P10" s="193">
        <f ca="1">IF(HLOOKUP($F10,Jornada!$X$7:$AD$37,VLOOKUP(INDIRECT($C$5),Jornada!$C$8:$W$37,21,0),0)-M10&lt;0,ABS(HLOOKUP($F10,Jornada!$X$7:$AD$37,VLOOKUP(INDIRECT($C$5),Jornada!$C$8:$W$37,21,0),0)-M10),0)</f>
        <v>0</v>
      </c>
      <c r="Q10" s="95">
        <f t="shared" si="0"/>
        <v>0</v>
      </c>
      <c r="R10" s="2">
        <f t="shared" si="2"/>
        <v>0</v>
      </c>
      <c r="S10" s="294" t="s">
        <v>66</v>
      </c>
      <c r="T10" s="294"/>
      <c r="U10" s="295">
        <f ca="1">IF(M5="Horas devidas",ABS(-K5+F58-U14),ABS(K5+F58-U14))</f>
        <v>0</v>
      </c>
      <c r="W10" s="2" t="s">
        <v>93</v>
      </c>
      <c r="X10" s="156">
        <v>4</v>
      </c>
      <c r="AB10" s="177">
        <f t="shared" ref="AB10:AB34" si="10">AB9+1</f>
        <v>3</v>
      </c>
      <c r="AC10" s="2">
        <f t="shared" si="3"/>
        <v>3</v>
      </c>
      <c r="AE10" s="2">
        <v>3</v>
      </c>
      <c r="AF10" s="2" t="s">
        <v>53</v>
      </c>
      <c r="AG10" s="220">
        <f t="shared" si="4"/>
        <v>0</v>
      </c>
      <c r="AH10" s="220">
        <f ca="1">IF(HLOOKUP($F10,Jornada!$X$7:$AD$37,VLOOKUP(INDIRECT($C$5),Jornada!$C$8:$W$37,21,0),0)=0,0,VLOOKUP(INDIRECT($C$5),Jornada!$C$8:$H$37,4,0))</f>
        <v>0</v>
      </c>
      <c r="AI10" s="155">
        <f ca="1">IF(AND(I10=0,J10=0,OR(H10&lt;&gt;0,K10&lt;&gt;0),HLOOKUP($F10,Jornada!$X$7:$AD$37,VLOOKUP(INDIRECT($C$5),Jornada!$C$8:$W$37,21,0),0)&gt;$AK$5,M10&gt;$AK$5),VLOOKUP(INDIRECT($C$5),Jornada!$C$8:$H$37,6,0),IF(AG10&gt;VLOOKUP(INDIRECT($C$5),Jornada!$C$8:$H$37,6,0),IF(VLOOKUP(INDIRECT($C$5),Jornada!$C$8:$H$37,6,0)&lt;AG10,0,ABS(VLOOKUP(INDIRECT($C$5),Jornada!$C$8:$H$37,6,0))-AG10),0))</f>
        <v>0</v>
      </c>
      <c r="AJ10" s="155">
        <f t="shared" si="5"/>
        <v>1</v>
      </c>
      <c r="AK10" s="155">
        <f t="shared" si="6"/>
        <v>0</v>
      </c>
      <c r="AL10" s="155">
        <f ca="1">HLOOKUP($F10,Jornada!$I$5:$V$37,VLOOKUP(INDIRECT($C$5),Jornada!$C$8:$W$37,21,0)+2,0)</f>
        <v>0</v>
      </c>
      <c r="AM10" s="155">
        <f ca="1">HLOOKUP($F10,Jornada!$I$4:$V$37,VLOOKUP(INDIRECT($C$5),Jornada!$C$8:$W$37,21,0)+3,0)</f>
        <v>0</v>
      </c>
      <c r="AN10" s="155">
        <f t="shared" ca="1" si="7"/>
        <v>0</v>
      </c>
      <c r="AO10" s="155">
        <f t="shared" si="8"/>
        <v>0</v>
      </c>
      <c r="AP10" s="155">
        <f t="shared" si="9"/>
        <v>0</v>
      </c>
      <c r="BE10" s="14"/>
      <c r="BF10" s="14"/>
      <c r="BG10" s="14"/>
    </row>
    <row r="11" spans="1:59" s="2" customFormat="1" ht="30" customHeight="1" thickTop="1" thickBot="1" x14ac:dyDescent="0.25">
      <c r="A11" s="1"/>
      <c r="B11"/>
      <c r="C11" s="172" t="str">
        <f>IF(Funcionários!C10=0,"",Funcionários!C10)</f>
        <v/>
      </c>
      <c r="D11"/>
      <c r="E11" s="115">
        <f>Lanç!E11</f>
        <v>4</v>
      </c>
      <c r="F11" s="189" t="str">
        <f>Lanç!F11</f>
        <v>Qua</v>
      </c>
      <c r="G11" s="81"/>
      <c r="H11" s="94"/>
      <c r="I11" s="94"/>
      <c r="J11" s="94"/>
      <c r="K11" s="94"/>
      <c r="L11" s="197"/>
      <c r="M11" s="95">
        <f t="shared" si="1"/>
        <v>0</v>
      </c>
      <c r="N11" s="196"/>
      <c r="O11" s="95">
        <f ca="1">IF(OR(G11=0,G11="Férias",G11="Falta Justificada",G11="Feriado",G11="Folga (DSR)"),0,IF(G11="Falta Injustificada",HLOOKUP($F11,Jornada!$X$7:$AD$37,VLOOKUP(INDIRECT($C$5),Jornada!$C$8:$W$37,21,0),0),IF(HLOOKUP($F11,Jornada!$X$7:$AD$37,VLOOKUP(INDIRECT($C$5),Jornada!$C$8:$W$37,21,0),0)-M11&gt;0,HLOOKUP($F11,Jornada!$X$7:$AD$37,VLOOKUP(INDIRECT($C$5),Jornada!$C$8:$W$37,21,0),0)-M11,0)))</f>
        <v>0</v>
      </c>
      <c r="P11" s="193">
        <f ca="1">IF(HLOOKUP($F11,Jornada!$X$7:$AD$37,VLOOKUP(INDIRECT($C$5),Jornada!$C$8:$W$37,21,0),0)-M11&lt;0,ABS(HLOOKUP($F11,Jornada!$X$7:$AD$37,VLOOKUP(INDIRECT($C$5),Jornada!$C$8:$W$37,21,0),0)-M11),0)</f>
        <v>0</v>
      </c>
      <c r="Q11" s="95">
        <f t="shared" si="0"/>
        <v>0</v>
      </c>
      <c r="R11" s="2">
        <f t="shared" si="2"/>
        <v>0</v>
      </c>
      <c r="S11" s="294"/>
      <c r="T11" s="294"/>
      <c r="U11" s="295"/>
      <c r="V11" s="2">
        <f ca="1">IF(AND(K5&gt;U12,M5="Horas devidas"),"Negativo",IF(AND(U12&gt;K5,U14&gt;F58),"Negativo",0))</f>
        <v>0</v>
      </c>
      <c r="W11" s="2" t="s">
        <v>94</v>
      </c>
      <c r="X11" s="156">
        <v>5</v>
      </c>
      <c r="Z11" s="2" t="str">
        <f ca="1">IF(AND(M5="horas extras",Z13="positivo"),"positivo",IF(AND(M5="horas devidas",Z13="Negativo"),"Negativo",IF(AND(Z13="positivo",M5="horas devidas",U12&gt;K5),"Positivo","Negativo")))</f>
        <v>Negativo</v>
      </c>
      <c r="AB11" s="177">
        <f t="shared" si="10"/>
        <v>4</v>
      </c>
      <c r="AC11" s="2">
        <f t="shared" si="3"/>
        <v>4</v>
      </c>
      <c r="AE11" s="2">
        <v>4</v>
      </c>
      <c r="AF11" s="2" t="s">
        <v>54</v>
      </c>
      <c r="AG11" s="220">
        <f t="shared" si="4"/>
        <v>0</v>
      </c>
      <c r="AH11" s="220">
        <f ca="1">IF(HLOOKUP($F11,Jornada!$X$7:$AD$37,VLOOKUP(INDIRECT($C$5),Jornada!$C$8:$W$37,21,0),0)=0,0,VLOOKUP(INDIRECT($C$5),Jornada!$C$8:$H$37,4,0))</f>
        <v>0</v>
      </c>
      <c r="AI11" s="155">
        <f ca="1">IF(AND(I11=0,J11=0,OR(H11&lt;&gt;0,K11&lt;&gt;0),HLOOKUP($F11,Jornada!$X$7:$AD$37,VLOOKUP(INDIRECT($C$5),Jornada!$C$8:$W$37,21,0),0)&gt;$AK$5,M11&gt;$AK$5),VLOOKUP(INDIRECT($C$5),Jornada!$C$8:$H$37,6,0),IF(AG11&gt;VLOOKUP(INDIRECT($C$5),Jornada!$C$8:$H$37,6,0),IF(VLOOKUP(INDIRECT($C$5),Jornada!$C$8:$H$37,6,0)&lt;AG11,0,ABS(VLOOKUP(INDIRECT($C$5),Jornada!$C$8:$H$37,6,0))-AG11),0))</f>
        <v>0</v>
      </c>
      <c r="AJ11" s="155">
        <f t="shared" si="5"/>
        <v>1</v>
      </c>
      <c r="AK11" s="155">
        <f t="shared" si="6"/>
        <v>0</v>
      </c>
      <c r="AL11" s="155">
        <f ca="1">HLOOKUP($F11,Jornada!$I$5:$V$37,VLOOKUP(INDIRECT($C$5),Jornada!$C$8:$W$37,21,0)+2,0)</f>
        <v>0</v>
      </c>
      <c r="AM11" s="155">
        <f ca="1">HLOOKUP($F11,Jornada!$I$4:$V$37,VLOOKUP(INDIRECT($C$5),Jornada!$C$8:$W$37,21,0)+3,0)</f>
        <v>0</v>
      </c>
      <c r="AN11" s="155">
        <f t="shared" ca="1" si="7"/>
        <v>0</v>
      </c>
      <c r="AO11" s="155">
        <f t="shared" si="8"/>
        <v>0</v>
      </c>
      <c r="AP11" s="155">
        <f t="shared" si="9"/>
        <v>0</v>
      </c>
      <c r="BE11" s="14"/>
      <c r="BF11" s="14"/>
      <c r="BG11" s="14"/>
    </row>
    <row r="12" spans="1:59" s="2" customFormat="1" ht="30" customHeight="1" thickTop="1" thickBot="1" x14ac:dyDescent="0.25">
      <c r="A12" s="1"/>
      <c r="B12"/>
      <c r="C12" s="172" t="str">
        <f>IF(Funcionários!C11=0,"",Funcionários!C11)</f>
        <v/>
      </c>
      <c r="D12"/>
      <c r="E12" s="115">
        <f>Lanç!E12</f>
        <v>5</v>
      </c>
      <c r="F12" s="189" t="str">
        <f>Lanç!F12</f>
        <v>Qui</v>
      </c>
      <c r="G12" s="81"/>
      <c r="H12" s="94"/>
      <c r="I12" s="94"/>
      <c r="J12" s="94"/>
      <c r="K12" s="94"/>
      <c r="L12" s="197"/>
      <c r="M12" s="95">
        <f t="shared" si="1"/>
        <v>0</v>
      </c>
      <c r="N12" s="196"/>
      <c r="O12" s="95">
        <f ca="1">IF(OR(G12=0,G12="Férias",G12="Falta Justificada",G12="Feriado",G12="Folga (DSR)"),0,IF(G12="Falta Injustificada",HLOOKUP($F12,Jornada!$X$7:$AD$37,VLOOKUP(INDIRECT($C$5),Jornada!$C$8:$W$37,21,0),0),IF(HLOOKUP($F12,Jornada!$X$7:$AD$37,VLOOKUP(INDIRECT($C$5),Jornada!$C$8:$W$37,21,0),0)-M12&gt;0,HLOOKUP($F12,Jornada!$X$7:$AD$37,VLOOKUP(INDIRECT($C$5),Jornada!$C$8:$W$37,21,0),0)-M12,0)))</f>
        <v>0</v>
      </c>
      <c r="P12" s="193">
        <f ca="1">IF(HLOOKUP($F12,Jornada!$X$7:$AD$37,VLOOKUP(INDIRECT($C$5),Jornada!$C$8:$W$37,21,0),0)-M12&lt;0,ABS(HLOOKUP($F12,Jornada!$X$7:$AD$37,VLOOKUP(INDIRECT($C$5),Jornada!$C$8:$W$37,21,0),0)-M12),0)</f>
        <v>0</v>
      </c>
      <c r="Q12" s="95">
        <f t="shared" si="0"/>
        <v>0</v>
      </c>
      <c r="R12" s="2">
        <f t="shared" si="2"/>
        <v>0</v>
      </c>
      <c r="S12" s="294" t="s">
        <v>175</v>
      </c>
      <c r="T12" s="294"/>
      <c r="U12" s="295">
        <f ca="1">IF(U14&gt;=F58,(U14)-F58,(F58-U14))</f>
        <v>0</v>
      </c>
      <c r="W12" s="2" t="s">
        <v>95</v>
      </c>
      <c r="X12" s="156">
        <v>6</v>
      </c>
      <c r="AB12" s="177">
        <f t="shared" si="10"/>
        <v>5</v>
      </c>
      <c r="AC12" s="2">
        <f t="shared" si="3"/>
        <v>5</v>
      </c>
      <c r="AE12" s="2">
        <v>5</v>
      </c>
      <c r="AF12" s="2" t="s">
        <v>55</v>
      </c>
      <c r="AG12" s="220">
        <f t="shared" si="4"/>
        <v>0</v>
      </c>
      <c r="AH12" s="220">
        <f ca="1">IF(HLOOKUP($F12,Jornada!$X$7:$AD$37,VLOOKUP(INDIRECT($C$5),Jornada!$C$8:$W$37,21,0),0)=0,0,VLOOKUP(INDIRECT($C$5),Jornada!$C$8:$H$37,4,0))</f>
        <v>0</v>
      </c>
      <c r="AI12" s="155">
        <f ca="1">IF(AND(I12=0,J12=0,OR(H12&lt;&gt;0,K12&lt;&gt;0),HLOOKUP($F12,Jornada!$X$7:$AD$37,VLOOKUP(INDIRECT($C$5),Jornada!$C$8:$W$37,21,0),0)&gt;$AK$5,M12&gt;$AK$5),VLOOKUP(INDIRECT($C$5),Jornada!$C$8:$H$37,6,0),IF(AG12&gt;VLOOKUP(INDIRECT($C$5),Jornada!$C$8:$H$37,6,0),IF(VLOOKUP(INDIRECT($C$5),Jornada!$C$8:$H$37,6,0)&lt;AG12,0,ABS(VLOOKUP(INDIRECT($C$5),Jornada!$C$8:$H$37,6,0))-AG12),0))</f>
        <v>0</v>
      </c>
      <c r="AJ12" s="155">
        <f t="shared" si="5"/>
        <v>1</v>
      </c>
      <c r="AK12" s="155">
        <f t="shared" si="6"/>
        <v>0</v>
      </c>
      <c r="AL12" s="155">
        <f ca="1">HLOOKUP($F12,Jornada!$I$5:$V$37,VLOOKUP(INDIRECT($C$5),Jornada!$C$8:$W$37,21,0)+2,0)</f>
        <v>0</v>
      </c>
      <c r="AM12" s="155">
        <f ca="1">HLOOKUP($F12,Jornada!$I$4:$V$37,VLOOKUP(INDIRECT($C$5),Jornada!$C$8:$W$37,21,0)+3,0)</f>
        <v>0</v>
      </c>
      <c r="AN12" s="155">
        <f t="shared" ca="1" si="7"/>
        <v>0</v>
      </c>
      <c r="AO12" s="155">
        <f t="shared" si="8"/>
        <v>0</v>
      </c>
      <c r="AP12" s="155">
        <f t="shared" si="9"/>
        <v>0</v>
      </c>
      <c r="BE12" s="14"/>
      <c r="BF12" s="14"/>
      <c r="BG12" s="14"/>
    </row>
    <row r="13" spans="1:59" s="2" customFormat="1" ht="30" customHeight="1" thickTop="1" thickBot="1" x14ac:dyDescent="0.25">
      <c r="A13" s="1"/>
      <c r="B13"/>
      <c r="C13" s="172" t="str">
        <f>IF(Funcionários!C12=0,"",Funcionários!C12)</f>
        <v/>
      </c>
      <c r="D13"/>
      <c r="E13" s="115">
        <f>Lanç!E13</f>
        <v>6</v>
      </c>
      <c r="F13" s="189" t="str">
        <f>Lanç!F13</f>
        <v>Sex</v>
      </c>
      <c r="G13" s="81"/>
      <c r="H13" s="94"/>
      <c r="I13" s="94"/>
      <c r="J13" s="94"/>
      <c r="K13" s="94"/>
      <c r="L13" s="197"/>
      <c r="M13" s="95">
        <f t="shared" si="1"/>
        <v>0</v>
      </c>
      <c r="N13" s="196"/>
      <c r="O13" s="95">
        <f ca="1">IF(OR(G13=0,G13="Férias",G13="Falta Justificada",G13="Feriado",G13="Folga (DSR)"),0,IF(G13="Falta Injustificada",HLOOKUP($F13,Jornada!$X$7:$AD$37,VLOOKUP(INDIRECT($C$5),Jornada!$C$8:$W$37,21,0),0),IF(HLOOKUP($F13,Jornada!$X$7:$AD$37,VLOOKUP(INDIRECT($C$5),Jornada!$C$8:$W$37,21,0),0)-M13&gt;0,HLOOKUP($F13,Jornada!$X$7:$AD$37,VLOOKUP(INDIRECT($C$5),Jornada!$C$8:$W$37,21,0),0)-M13,0)))</f>
        <v>0</v>
      </c>
      <c r="P13" s="193">
        <f ca="1">IF(HLOOKUP($F13,Jornada!$X$7:$AD$37,VLOOKUP(INDIRECT($C$5),Jornada!$C$8:$W$37,21,0),0)-M13&lt;0,ABS(HLOOKUP($F13,Jornada!$X$7:$AD$37,VLOOKUP(INDIRECT($C$5),Jornada!$C$8:$W$37,21,0),0)-M13),0)</f>
        <v>0</v>
      </c>
      <c r="Q13" s="95">
        <f t="shared" si="0"/>
        <v>0</v>
      </c>
      <c r="R13" s="2">
        <f t="shared" si="2"/>
        <v>0</v>
      </c>
      <c r="S13" s="294"/>
      <c r="T13" s="294"/>
      <c r="U13" s="295"/>
      <c r="W13" s="2" t="s">
        <v>96</v>
      </c>
      <c r="X13" s="156">
        <v>7</v>
      </c>
      <c r="Z13" s="2" t="str">
        <f ca="1">IF(U14&gt;F58,"Negativo","Positivo")</f>
        <v>Positivo</v>
      </c>
      <c r="AB13" s="177">
        <f t="shared" si="10"/>
        <v>6</v>
      </c>
      <c r="AC13" s="2">
        <f t="shared" si="3"/>
        <v>6</v>
      </c>
      <c r="AE13" s="2">
        <v>6</v>
      </c>
      <c r="AF13" s="2" t="s">
        <v>56</v>
      </c>
      <c r="AG13" s="220">
        <f t="shared" si="4"/>
        <v>0</v>
      </c>
      <c r="AH13" s="220">
        <f ca="1">IF(HLOOKUP($F13,Jornada!$X$7:$AD$37,VLOOKUP(INDIRECT($C$5),Jornada!$C$8:$W$37,21,0),0)=0,0,VLOOKUP(INDIRECT($C$5),Jornada!$C$8:$H$37,4,0))</f>
        <v>0</v>
      </c>
      <c r="AI13" s="155">
        <f ca="1">IF(AND(I13=0,J13=0,OR(H13&lt;&gt;0,K13&lt;&gt;0),HLOOKUP($F13,Jornada!$X$7:$AD$37,VLOOKUP(INDIRECT($C$5),Jornada!$C$8:$W$37,21,0),0)&gt;$AK$5,M13&gt;$AK$5),VLOOKUP(INDIRECT($C$5),Jornada!$C$8:$H$37,6,0),IF(AG13&gt;VLOOKUP(INDIRECT($C$5),Jornada!$C$8:$H$37,6,0),IF(VLOOKUP(INDIRECT($C$5),Jornada!$C$8:$H$37,6,0)&lt;AG13,0,ABS(VLOOKUP(INDIRECT($C$5),Jornada!$C$8:$H$37,6,0))-AG13),0))</f>
        <v>0</v>
      </c>
      <c r="AJ13" s="155">
        <f t="shared" si="5"/>
        <v>1</v>
      </c>
      <c r="AK13" s="155">
        <f t="shared" si="6"/>
        <v>0</v>
      </c>
      <c r="AL13" s="155">
        <f ca="1">HLOOKUP($F13,Jornada!$I$5:$V$37,VLOOKUP(INDIRECT($C$5),Jornada!$C$8:$W$37,21,0)+2,0)</f>
        <v>0</v>
      </c>
      <c r="AM13" s="155">
        <f ca="1">HLOOKUP($F13,Jornada!$I$4:$V$37,VLOOKUP(INDIRECT($C$5),Jornada!$C$8:$W$37,21,0)+3,0)</f>
        <v>0</v>
      </c>
      <c r="AN13" s="155">
        <f t="shared" ca="1" si="7"/>
        <v>0</v>
      </c>
      <c r="AO13" s="155">
        <f t="shared" si="8"/>
        <v>0</v>
      </c>
      <c r="AP13" s="155">
        <f t="shared" si="9"/>
        <v>0</v>
      </c>
      <c r="BE13" s="14"/>
      <c r="BF13" s="14"/>
      <c r="BG13" s="14"/>
    </row>
    <row r="14" spans="1:59" s="2" customFormat="1" ht="30" customHeight="1" thickTop="1" thickBot="1" x14ac:dyDescent="0.25">
      <c r="A14" s="1"/>
      <c r="B14"/>
      <c r="C14" s="172" t="str">
        <f>IF(Funcionários!C13=0,"",Funcionários!C13)</f>
        <v/>
      </c>
      <c r="D14"/>
      <c r="E14" s="115">
        <f>Lanç!E14</f>
        <v>7</v>
      </c>
      <c r="F14" s="189" t="str">
        <f>Lanç!F14</f>
        <v>Sáb</v>
      </c>
      <c r="G14" s="81"/>
      <c r="H14" s="94"/>
      <c r="I14" s="94"/>
      <c r="J14" s="94"/>
      <c r="K14" s="94"/>
      <c r="L14" s="197"/>
      <c r="M14" s="95">
        <f t="shared" si="1"/>
        <v>0</v>
      </c>
      <c r="N14" s="196"/>
      <c r="O14" s="95">
        <f ca="1">IF(OR(G14=0,G14="Férias",G14="Falta Justificada",G14="Feriado",G14="Folga (DSR)"),0,IF(G14="Falta Injustificada",HLOOKUP($F14,Jornada!$X$7:$AD$37,VLOOKUP(INDIRECT($C$5),Jornada!$C$8:$W$37,21,0),0),IF(HLOOKUP($F14,Jornada!$X$7:$AD$37,VLOOKUP(INDIRECT($C$5),Jornada!$C$8:$W$37,21,0),0)-M14&gt;0,HLOOKUP($F14,Jornada!$X$7:$AD$37,VLOOKUP(INDIRECT($C$5),Jornada!$C$8:$W$37,21,0),0)-M14,0)))</f>
        <v>0</v>
      </c>
      <c r="P14" s="193">
        <f ca="1">IF(HLOOKUP($F14,Jornada!$X$7:$AD$37,VLOOKUP(INDIRECT($C$5),Jornada!$C$8:$W$37,21,0),0)-M14&lt;0,ABS(HLOOKUP($F14,Jornada!$X$7:$AD$37,VLOOKUP(INDIRECT($C$5),Jornada!$C$8:$W$37,21,0),0)-M14),0)</f>
        <v>0</v>
      </c>
      <c r="Q14" s="95">
        <f t="shared" si="0"/>
        <v>0</v>
      </c>
      <c r="R14" s="2">
        <f t="shared" si="2"/>
        <v>0</v>
      </c>
      <c r="S14" s="294" t="s">
        <v>68</v>
      </c>
      <c r="T14" s="294"/>
      <c r="U14" s="295">
        <f ca="1">SUM(O8:O38)</f>
        <v>0</v>
      </c>
      <c r="W14" s="2" t="s">
        <v>97</v>
      </c>
      <c r="X14" s="156">
        <v>8</v>
      </c>
      <c r="AB14" s="177">
        <f t="shared" si="10"/>
        <v>7</v>
      </c>
      <c r="AC14" s="2">
        <f t="shared" si="3"/>
        <v>7</v>
      </c>
      <c r="AE14" s="2">
        <v>7</v>
      </c>
      <c r="AF14" s="2" t="s">
        <v>57</v>
      </c>
      <c r="AG14" s="220">
        <f t="shared" si="4"/>
        <v>0</v>
      </c>
      <c r="AH14" s="220">
        <f ca="1">IF(HLOOKUP($F14,Jornada!$X$7:$AD$37,VLOOKUP(INDIRECT($C$5),Jornada!$C$8:$W$37,21,0),0)=0,0,VLOOKUP(INDIRECT($C$5),Jornada!$C$8:$H$37,4,0))</f>
        <v>0</v>
      </c>
      <c r="AI14" s="155">
        <f ca="1">IF(AND(I14=0,J14=0,OR(H14&lt;&gt;0,K14&lt;&gt;0),HLOOKUP($F14,Jornada!$X$7:$AD$37,VLOOKUP(INDIRECT($C$5),Jornada!$C$8:$W$37,21,0),0)&gt;$AK$5,M14&gt;$AK$5),VLOOKUP(INDIRECT($C$5),Jornada!$C$8:$H$37,6,0),IF(AG14&gt;VLOOKUP(INDIRECT($C$5),Jornada!$C$8:$H$37,6,0),IF(VLOOKUP(INDIRECT($C$5),Jornada!$C$8:$H$37,6,0)&lt;AG14,0,ABS(VLOOKUP(INDIRECT($C$5),Jornada!$C$8:$H$37,6,0))-AG14),0))</f>
        <v>0</v>
      </c>
      <c r="AJ14" s="155">
        <f t="shared" si="5"/>
        <v>1</v>
      </c>
      <c r="AK14" s="155">
        <f t="shared" si="6"/>
        <v>0</v>
      </c>
      <c r="AL14" s="155">
        <f ca="1">HLOOKUP($F14,Jornada!$I$5:$V$37,VLOOKUP(INDIRECT($C$5),Jornada!$C$8:$W$37,21,0)+2,0)</f>
        <v>0</v>
      </c>
      <c r="AM14" s="155">
        <f ca="1">HLOOKUP($F14,Jornada!$I$4:$V$37,VLOOKUP(INDIRECT($C$5),Jornada!$C$8:$W$37,21,0)+3,0)</f>
        <v>0</v>
      </c>
      <c r="AN14" s="155">
        <f t="shared" ca="1" si="7"/>
        <v>0</v>
      </c>
      <c r="AO14" s="155">
        <f t="shared" si="8"/>
        <v>0</v>
      </c>
      <c r="AP14" s="155">
        <f t="shared" si="9"/>
        <v>0</v>
      </c>
      <c r="BE14" s="14"/>
      <c r="BF14" s="14"/>
      <c r="BG14" s="14"/>
    </row>
    <row r="15" spans="1:59" s="2" customFormat="1" ht="30" customHeight="1" thickTop="1" thickBot="1" x14ac:dyDescent="0.25">
      <c r="A15" s="1"/>
      <c r="B15"/>
      <c r="C15" s="172" t="str">
        <f>IF(Funcionários!C14=0,"",Funcionários!C14)</f>
        <v/>
      </c>
      <c r="D15"/>
      <c r="E15" s="115">
        <f>Lanç!E15</f>
        <v>8</v>
      </c>
      <c r="F15" s="189" t="str">
        <f>Lanç!F15</f>
        <v>Dom</v>
      </c>
      <c r="G15" s="81"/>
      <c r="H15" s="94"/>
      <c r="I15" s="94"/>
      <c r="J15" s="94"/>
      <c r="K15" s="94"/>
      <c r="L15" s="197"/>
      <c r="M15" s="95">
        <f t="shared" si="1"/>
        <v>0</v>
      </c>
      <c r="N15" s="196"/>
      <c r="O15" s="95">
        <f ca="1">IF(OR(G15=0,G15="Férias",G15="Falta Justificada",G15="Feriado",G15="Folga (DSR)"),0,IF(G15="Falta Injustificada",HLOOKUP($F15,Jornada!$X$7:$AD$37,VLOOKUP(INDIRECT($C$5),Jornada!$C$8:$W$37,21,0),0),IF(HLOOKUP($F15,Jornada!$X$7:$AD$37,VLOOKUP(INDIRECT($C$5),Jornada!$C$8:$W$37,21,0),0)-M15&gt;0,HLOOKUP($F15,Jornada!$X$7:$AD$37,VLOOKUP(INDIRECT($C$5),Jornada!$C$8:$W$37,21,0),0)-M15,0)))</f>
        <v>0</v>
      </c>
      <c r="P15" s="193">
        <f ca="1">IF(HLOOKUP($F15,Jornada!$X$7:$AD$37,VLOOKUP(INDIRECT($C$5),Jornada!$C$8:$W$37,21,0),0)-M15&lt;0,ABS(HLOOKUP($F15,Jornada!$X$7:$AD$37,VLOOKUP(INDIRECT($C$5),Jornada!$C$8:$W$37,21,0),0)-M15),0)</f>
        <v>0</v>
      </c>
      <c r="Q15" s="95">
        <f t="shared" si="0"/>
        <v>0</v>
      </c>
      <c r="R15" s="2">
        <f t="shared" si="2"/>
        <v>0</v>
      </c>
      <c r="S15" s="294"/>
      <c r="T15" s="294"/>
      <c r="U15" s="295"/>
      <c r="W15" s="2" t="s">
        <v>98</v>
      </c>
      <c r="X15" s="156">
        <v>9</v>
      </c>
      <c r="AB15" s="177">
        <f t="shared" si="10"/>
        <v>8</v>
      </c>
      <c r="AC15" s="2">
        <f t="shared" si="3"/>
        <v>1</v>
      </c>
      <c r="AG15" s="220">
        <f t="shared" si="4"/>
        <v>0</v>
      </c>
      <c r="AH15" s="220">
        <f ca="1">IF(HLOOKUP($F15,Jornada!$X$7:$AD$37,VLOOKUP(INDIRECT($C$5),Jornada!$C$8:$W$37,21,0),0)=0,0,VLOOKUP(INDIRECT($C$5),Jornada!$C$8:$H$37,4,0))</f>
        <v>0</v>
      </c>
      <c r="AI15" s="155">
        <f ca="1">IF(AND(I15=0,J15=0,OR(H15&lt;&gt;0,K15&lt;&gt;0),HLOOKUP($F15,Jornada!$X$7:$AD$37,VLOOKUP(INDIRECT($C$5),Jornada!$C$8:$W$37,21,0),0)&gt;$AK$5,M15&gt;$AK$5),VLOOKUP(INDIRECT($C$5),Jornada!$C$8:$H$37,6,0),IF(AG15&gt;VLOOKUP(INDIRECT($C$5),Jornada!$C$8:$H$37,6,0),IF(VLOOKUP(INDIRECT($C$5),Jornada!$C$8:$H$37,6,0)&lt;AG15,0,ABS(VLOOKUP(INDIRECT($C$5),Jornada!$C$8:$H$37,6,0))-AG15),0))</f>
        <v>0</v>
      </c>
      <c r="AJ15" s="155">
        <f t="shared" si="5"/>
        <v>1</v>
      </c>
      <c r="AK15" s="155">
        <f t="shared" si="6"/>
        <v>0</v>
      </c>
      <c r="AL15" s="155">
        <f ca="1">HLOOKUP($F15,Jornada!$I$5:$V$37,VLOOKUP(INDIRECT($C$5),Jornada!$C$8:$W$37,21,0)+2,0)</f>
        <v>0</v>
      </c>
      <c r="AM15" s="155">
        <f ca="1">HLOOKUP($F15,Jornada!$I$4:$V$37,VLOOKUP(INDIRECT($C$5),Jornada!$C$8:$W$37,21,0)+3,0)</f>
        <v>0</v>
      </c>
      <c r="AN15" s="155">
        <f t="shared" ca="1" si="7"/>
        <v>0</v>
      </c>
      <c r="AO15" s="155">
        <f t="shared" si="8"/>
        <v>0</v>
      </c>
      <c r="AP15" s="155">
        <f t="shared" si="9"/>
        <v>0</v>
      </c>
      <c r="BE15" s="14"/>
      <c r="BF15" s="14"/>
      <c r="BG15" s="14"/>
    </row>
    <row r="16" spans="1:59" s="2" customFormat="1" ht="30" customHeight="1" thickTop="1" thickBot="1" x14ac:dyDescent="0.25">
      <c r="A16" s="1"/>
      <c r="B16"/>
      <c r="C16" s="172" t="str">
        <f>IF(Funcionários!C15=0,"",Funcionários!C15)</f>
        <v/>
      </c>
      <c r="D16"/>
      <c r="E16" s="115">
        <f>Lanç!E16</f>
        <v>9</v>
      </c>
      <c r="F16" s="189" t="str">
        <f>Lanç!F16</f>
        <v>Seg</v>
      </c>
      <c r="G16" s="81"/>
      <c r="H16" s="94"/>
      <c r="I16" s="94"/>
      <c r="J16" s="94"/>
      <c r="K16" s="94"/>
      <c r="L16" s="197"/>
      <c r="M16" s="95">
        <f t="shared" si="1"/>
        <v>0</v>
      </c>
      <c r="N16" s="196"/>
      <c r="O16" s="95">
        <f ca="1">IF(OR(G16=0,G16="Férias",G16="Falta Justificada",G16="Feriado",G16="Folga (DSR)"),0,IF(G16="Falta Injustificada",HLOOKUP($F16,Jornada!$X$7:$AD$37,VLOOKUP(INDIRECT($C$5),Jornada!$C$8:$W$37,21,0),0),IF(HLOOKUP($F16,Jornada!$X$7:$AD$37,VLOOKUP(INDIRECT($C$5),Jornada!$C$8:$W$37,21,0),0)-M16&gt;0,HLOOKUP($F16,Jornada!$X$7:$AD$37,VLOOKUP(INDIRECT($C$5),Jornada!$C$8:$W$37,21,0),0)-M16,0)))</f>
        <v>0</v>
      </c>
      <c r="P16" s="193">
        <f ca="1">IF(HLOOKUP($F16,Jornada!$X$7:$AD$37,VLOOKUP(INDIRECT($C$5),Jornada!$C$8:$W$37,21,0),0)-M16&lt;0,ABS(HLOOKUP($F16,Jornada!$X$7:$AD$37,VLOOKUP(INDIRECT($C$5),Jornada!$C$8:$W$37,21,0),0)-M16),0)</f>
        <v>0</v>
      </c>
      <c r="Q16" s="95">
        <f t="shared" si="0"/>
        <v>0</v>
      </c>
      <c r="R16" s="2">
        <f t="shared" si="2"/>
        <v>0</v>
      </c>
      <c r="S16" s="294" t="s">
        <v>67</v>
      </c>
      <c r="T16" s="294"/>
      <c r="U16" s="295">
        <f>SUM(Q8:Q38)</f>
        <v>0</v>
      </c>
      <c r="W16" s="2" t="s">
        <v>99</v>
      </c>
      <c r="X16" s="156">
        <v>10</v>
      </c>
      <c r="AB16" s="177">
        <f t="shared" si="10"/>
        <v>9</v>
      </c>
      <c r="AC16" s="2">
        <f t="shared" si="3"/>
        <v>2</v>
      </c>
      <c r="AG16" s="220">
        <f t="shared" si="4"/>
        <v>0</v>
      </c>
      <c r="AH16" s="220">
        <f ca="1">IF(HLOOKUP($F16,Jornada!$X$7:$AD$37,VLOOKUP(INDIRECT($C$5),Jornada!$C$8:$W$37,21,0),0)=0,0,VLOOKUP(INDIRECT($C$5),Jornada!$C$8:$H$37,4,0))</f>
        <v>0</v>
      </c>
      <c r="AI16" s="155">
        <f ca="1">IF(AND(I16=0,J16=0,OR(H16&lt;&gt;0,K16&lt;&gt;0),HLOOKUP($F16,Jornada!$X$7:$AD$37,VLOOKUP(INDIRECT($C$5),Jornada!$C$8:$W$37,21,0),0)&gt;$AK$5,M16&gt;$AK$5),VLOOKUP(INDIRECT($C$5),Jornada!$C$8:$H$37,6,0),IF(AG16&gt;VLOOKUP(INDIRECT($C$5),Jornada!$C$8:$H$37,6,0),IF(VLOOKUP(INDIRECT($C$5),Jornada!$C$8:$H$37,6,0)&lt;AG16,0,ABS(VLOOKUP(INDIRECT($C$5),Jornada!$C$8:$H$37,6,0))-AG16),0))</f>
        <v>0</v>
      </c>
      <c r="AJ16" s="155">
        <f t="shared" si="5"/>
        <v>1</v>
      </c>
      <c r="AK16" s="155">
        <f t="shared" si="6"/>
        <v>0</v>
      </c>
      <c r="AL16" s="155">
        <f ca="1">HLOOKUP($F16,Jornada!$I$5:$V$37,VLOOKUP(INDIRECT($C$5),Jornada!$C$8:$W$37,21,0)+2,0)</f>
        <v>0</v>
      </c>
      <c r="AM16" s="155">
        <f ca="1">HLOOKUP($F16,Jornada!$I$4:$V$37,VLOOKUP(INDIRECT($C$5),Jornada!$C$8:$W$37,21,0)+3,0)</f>
        <v>0</v>
      </c>
      <c r="AN16" s="155">
        <f t="shared" ca="1" si="7"/>
        <v>0</v>
      </c>
      <c r="AO16" s="155">
        <f t="shared" si="8"/>
        <v>0</v>
      </c>
      <c r="AP16" s="155">
        <f t="shared" si="9"/>
        <v>0</v>
      </c>
      <c r="BE16" s="14"/>
      <c r="BF16" s="14"/>
      <c r="BG16" s="14"/>
    </row>
    <row r="17" spans="1:59" s="2" customFormat="1" ht="30" customHeight="1" thickTop="1" thickBot="1" x14ac:dyDescent="0.25">
      <c r="A17" s="1"/>
      <c r="B17"/>
      <c r="C17" s="172" t="str">
        <f>IF(Funcionários!C16=0,"",Funcionários!C16)</f>
        <v/>
      </c>
      <c r="D17"/>
      <c r="E17" s="115">
        <f>Lanç!E17</f>
        <v>10</v>
      </c>
      <c r="F17" s="189" t="str">
        <f>Lanç!F17</f>
        <v>Ter</v>
      </c>
      <c r="G17" s="81"/>
      <c r="H17" s="94"/>
      <c r="I17" s="94"/>
      <c r="J17" s="94"/>
      <c r="K17" s="94"/>
      <c r="L17" s="197"/>
      <c r="M17" s="95">
        <f t="shared" si="1"/>
        <v>0</v>
      </c>
      <c r="N17" s="196"/>
      <c r="O17" s="95">
        <f ca="1">IF(OR(G17=0,G17="Férias",G17="Falta Justificada",G17="Feriado",G17="Folga (DSR)"),0,IF(G17="Falta Injustificada",HLOOKUP($F17,Jornada!$X$7:$AD$37,VLOOKUP(INDIRECT($C$5),Jornada!$C$8:$W$37,21,0),0),IF(HLOOKUP($F17,Jornada!$X$7:$AD$37,VLOOKUP(INDIRECT($C$5),Jornada!$C$8:$W$37,21,0),0)-M17&gt;0,HLOOKUP($F17,Jornada!$X$7:$AD$37,VLOOKUP(INDIRECT($C$5),Jornada!$C$8:$W$37,21,0),0)-M17,0)))</f>
        <v>0</v>
      </c>
      <c r="P17" s="193">
        <f ca="1">IF(HLOOKUP($F17,Jornada!$X$7:$AD$37,VLOOKUP(INDIRECT($C$5),Jornada!$C$8:$W$37,21,0),0)-M17&lt;0,ABS(HLOOKUP($F17,Jornada!$X$7:$AD$37,VLOOKUP(INDIRECT($C$5),Jornada!$C$8:$W$37,21,0),0)-M17),0)</f>
        <v>0</v>
      </c>
      <c r="Q17" s="95">
        <f t="shared" si="0"/>
        <v>0</v>
      </c>
      <c r="R17" s="2">
        <f t="shared" si="2"/>
        <v>0</v>
      </c>
      <c r="S17" s="294"/>
      <c r="T17" s="294"/>
      <c r="U17" s="295"/>
      <c r="W17" s="2" t="s">
        <v>100</v>
      </c>
      <c r="X17" s="156">
        <v>11</v>
      </c>
      <c r="AB17" s="177">
        <f t="shared" si="10"/>
        <v>10</v>
      </c>
      <c r="AC17" s="2">
        <f t="shared" si="3"/>
        <v>3</v>
      </c>
      <c r="AG17" s="220">
        <f t="shared" si="4"/>
        <v>0</v>
      </c>
      <c r="AH17" s="220">
        <f ca="1">IF(HLOOKUP($F17,Jornada!$X$7:$AD$37,VLOOKUP(INDIRECT($C$5),Jornada!$C$8:$W$37,21,0),0)=0,0,VLOOKUP(INDIRECT($C$5),Jornada!$C$8:$H$37,4,0))</f>
        <v>0</v>
      </c>
      <c r="AI17" s="155">
        <f ca="1">IF(AND(I17=0,J17=0,OR(H17&lt;&gt;0,K17&lt;&gt;0),HLOOKUP($F17,Jornada!$X$7:$AD$37,VLOOKUP(INDIRECT($C$5),Jornada!$C$8:$W$37,21,0),0)&gt;$AK$5,M17&gt;$AK$5),VLOOKUP(INDIRECT($C$5),Jornada!$C$8:$H$37,6,0),IF(AG17&gt;VLOOKUP(INDIRECT($C$5),Jornada!$C$8:$H$37,6,0),IF(VLOOKUP(INDIRECT($C$5),Jornada!$C$8:$H$37,6,0)&lt;AG17,0,ABS(VLOOKUP(INDIRECT($C$5),Jornada!$C$8:$H$37,6,0))-AG17),0))</f>
        <v>0</v>
      </c>
      <c r="AJ17" s="155">
        <f t="shared" si="5"/>
        <v>1</v>
      </c>
      <c r="AK17" s="155">
        <f t="shared" si="6"/>
        <v>0</v>
      </c>
      <c r="AL17" s="155">
        <f ca="1">HLOOKUP($F17,Jornada!$I$5:$V$37,VLOOKUP(INDIRECT($C$5),Jornada!$C$8:$W$37,21,0)+2,0)</f>
        <v>0</v>
      </c>
      <c r="AM17" s="155">
        <f ca="1">HLOOKUP($F17,Jornada!$I$4:$V$37,VLOOKUP(INDIRECT($C$5),Jornada!$C$8:$W$37,21,0)+3,0)</f>
        <v>0</v>
      </c>
      <c r="AN17" s="155">
        <f t="shared" ca="1" si="7"/>
        <v>0</v>
      </c>
      <c r="AO17" s="155">
        <f t="shared" si="8"/>
        <v>0</v>
      </c>
      <c r="AP17" s="155">
        <f t="shared" si="9"/>
        <v>0</v>
      </c>
      <c r="BE17" s="14"/>
      <c r="BF17" s="14"/>
      <c r="BG17" s="14"/>
    </row>
    <row r="18" spans="1:59" s="2" customFormat="1" ht="30" customHeight="1" thickTop="1" thickBot="1" x14ac:dyDescent="0.25">
      <c r="A18" s="1"/>
      <c r="B18"/>
      <c r="C18" s="172" t="str">
        <f>IF(Funcionários!C17=0,"",Funcionários!C17)</f>
        <v/>
      </c>
      <c r="D18"/>
      <c r="E18" s="115">
        <f>Lanç!E18</f>
        <v>11</v>
      </c>
      <c r="F18" s="189" t="str">
        <f>Lanç!F18</f>
        <v>Qua</v>
      </c>
      <c r="G18" s="81"/>
      <c r="H18" s="94"/>
      <c r="I18" s="94"/>
      <c r="J18" s="94"/>
      <c r="K18" s="94"/>
      <c r="L18" s="197"/>
      <c r="M18" s="95">
        <f t="shared" si="1"/>
        <v>0</v>
      </c>
      <c r="N18" s="196"/>
      <c r="O18" s="95">
        <f ca="1">IF(OR(G18=0,G18="Férias",G18="Falta Justificada",G18="Feriado",G18="Folga (DSR)"),0,IF(G18="Falta Injustificada",HLOOKUP($F18,Jornada!$X$7:$AD$37,VLOOKUP(INDIRECT($C$5),Jornada!$C$8:$W$37,21,0),0),IF(HLOOKUP($F18,Jornada!$X$7:$AD$37,VLOOKUP(INDIRECT($C$5),Jornada!$C$8:$W$37,21,0),0)-M18&gt;0,HLOOKUP($F18,Jornada!$X$7:$AD$37,VLOOKUP(INDIRECT($C$5),Jornada!$C$8:$W$37,21,0),0)-M18,0)))</f>
        <v>0</v>
      </c>
      <c r="P18" s="193">
        <f ca="1">IF(HLOOKUP($F18,Jornada!$X$7:$AD$37,VLOOKUP(INDIRECT($C$5),Jornada!$C$8:$W$37,21,0),0)-M18&lt;0,ABS(HLOOKUP($F18,Jornada!$X$7:$AD$37,VLOOKUP(INDIRECT($C$5),Jornada!$C$8:$W$37,21,0),0)-M18),0)</f>
        <v>0</v>
      </c>
      <c r="Q18" s="95">
        <f t="shared" si="0"/>
        <v>0</v>
      </c>
      <c r="R18" s="2">
        <f t="shared" si="2"/>
        <v>0</v>
      </c>
      <c r="S18" s="294" t="s">
        <v>69</v>
      </c>
      <c r="T18" s="294"/>
      <c r="U18" s="299">
        <f ca="1">F54</f>
        <v>0</v>
      </c>
      <c r="W18" s="2" t="s">
        <v>101</v>
      </c>
      <c r="X18" s="156">
        <v>12</v>
      </c>
      <c r="AB18" s="177">
        <f t="shared" si="10"/>
        <v>11</v>
      </c>
      <c r="AC18" s="2">
        <f t="shared" si="3"/>
        <v>4</v>
      </c>
      <c r="AG18" s="220">
        <f t="shared" si="4"/>
        <v>0</v>
      </c>
      <c r="AH18" s="220">
        <f ca="1">IF(HLOOKUP($F18,Jornada!$X$7:$AD$37,VLOOKUP(INDIRECT($C$5),Jornada!$C$8:$W$37,21,0),0)=0,0,VLOOKUP(INDIRECT($C$5),Jornada!$C$8:$H$37,4,0))</f>
        <v>0</v>
      </c>
      <c r="AI18" s="155">
        <f ca="1">IF(AND(I18=0,J18=0,OR(H18&lt;&gt;0,K18&lt;&gt;0),HLOOKUP($F18,Jornada!$X$7:$AD$37,VLOOKUP(INDIRECT($C$5),Jornada!$C$8:$W$37,21,0),0)&gt;$AK$5,M18&gt;$AK$5),VLOOKUP(INDIRECT($C$5),Jornada!$C$8:$H$37,6,0),IF(AG18&gt;VLOOKUP(INDIRECT($C$5),Jornada!$C$8:$H$37,6,0),IF(VLOOKUP(INDIRECT($C$5),Jornada!$C$8:$H$37,6,0)&lt;AG18,0,ABS(VLOOKUP(INDIRECT($C$5),Jornada!$C$8:$H$37,6,0))-AG18),0))</f>
        <v>0</v>
      </c>
      <c r="AJ18" s="155">
        <f t="shared" si="5"/>
        <v>1</v>
      </c>
      <c r="AK18" s="155">
        <f t="shared" si="6"/>
        <v>0</v>
      </c>
      <c r="AL18" s="155">
        <f ca="1">HLOOKUP($F18,Jornada!$I$5:$V$37,VLOOKUP(INDIRECT($C$5),Jornada!$C$8:$W$37,21,0)+2,0)</f>
        <v>0</v>
      </c>
      <c r="AM18" s="155">
        <f ca="1">HLOOKUP($F18,Jornada!$I$4:$V$37,VLOOKUP(INDIRECT($C$5),Jornada!$C$8:$W$37,21,0)+3,0)</f>
        <v>0</v>
      </c>
      <c r="AN18" s="155">
        <f t="shared" ca="1" si="7"/>
        <v>0</v>
      </c>
      <c r="AO18" s="155">
        <f t="shared" si="8"/>
        <v>0</v>
      </c>
      <c r="AP18" s="155">
        <f t="shared" si="9"/>
        <v>0</v>
      </c>
      <c r="BE18" s="14"/>
      <c r="BF18" s="14"/>
      <c r="BG18" s="14"/>
    </row>
    <row r="19" spans="1:59" s="2" customFormat="1" ht="30" customHeight="1" thickTop="1" thickBot="1" x14ac:dyDescent="0.25">
      <c r="A19" s="1"/>
      <c r="B19"/>
      <c r="C19" s="172" t="str">
        <f>IF(Funcionários!C18=0,"",Funcionários!C18)</f>
        <v/>
      </c>
      <c r="D19"/>
      <c r="E19" s="115">
        <f>Lanç!E19</f>
        <v>12</v>
      </c>
      <c r="F19" s="189" t="str">
        <f>Lanç!F19</f>
        <v>Qui</v>
      </c>
      <c r="G19" s="81"/>
      <c r="H19" s="94"/>
      <c r="I19" s="94"/>
      <c r="J19" s="94"/>
      <c r="K19" s="94"/>
      <c r="L19" s="197"/>
      <c r="M19" s="95">
        <f t="shared" si="1"/>
        <v>0</v>
      </c>
      <c r="N19" s="196"/>
      <c r="O19" s="95">
        <f ca="1">IF(OR(G19=0,G19="Férias",G19="Falta Justificada",G19="Feriado",G19="Folga (DSR)"),0,IF(G19="Falta Injustificada",HLOOKUP($F19,Jornada!$X$7:$AD$37,VLOOKUP(INDIRECT($C$5),Jornada!$C$8:$W$37,21,0),0),IF(HLOOKUP($F19,Jornada!$X$7:$AD$37,VLOOKUP(INDIRECT($C$5),Jornada!$C$8:$W$37,21,0),0)-M19&gt;0,HLOOKUP($F19,Jornada!$X$7:$AD$37,VLOOKUP(INDIRECT($C$5),Jornada!$C$8:$W$37,21,0),0)-M19,0)))</f>
        <v>0</v>
      </c>
      <c r="P19" s="193">
        <f ca="1">IF(HLOOKUP($F19,Jornada!$X$7:$AD$37,VLOOKUP(INDIRECT($C$5),Jornada!$C$8:$W$37,21,0),0)-M19&lt;0,ABS(HLOOKUP($F19,Jornada!$X$7:$AD$37,VLOOKUP(INDIRECT($C$5),Jornada!$C$8:$W$37,21,0),0)-M19),0)</f>
        <v>0</v>
      </c>
      <c r="Q19" s="95">
        <f t="shared" si="0"/>
        <v>0</v>
      </c>
      <c r="R19" s="2">
        <f t="shared" si="2"/>
        <v>0</v>
      </c>
      <c r="S19" s="294"/>
      <c r="T19" s="294"/>
      <c r="U19" s="299"/>
      <c r="X19" s="177"/>
      <c r="AB19" s="177">
        <f t="shared" si="10"/>
        <v>12</v>
      </c>
      <c r="AC19" s="2">
        <f t="shared" si="3"/>
        <v>5</v>
      </c>
      <c r="AG19" s="220">
        <f t="shared" si="4"/>
        <v>0</v>
      </c>
      <c r="AH19" s="220">
        <f ca="1">IF(HLOOKUP($F19,Jornada!$X$7:$AD$37,VLOOKUP(INDIRECT($C$5),Jornada!$C$8:$W$37,21,0),0)=0,0,VLOOKUP(INDIRECT($C$5),Jornada!$C$8:$H$37,4,0))</f>
        <v>0</v>
      </c>
      <c r="AI19" s="155">
        <f ca="1">IF(AND(I19=0,J19=0,OR(H19&lt;&gt;0,K19&lt;&gt;0),HLOOKUP($F19,Jornada!$X$7:$AD$37,VLOOKUP(INDIRECT($C$5),Jornada!$C$8:$W$37,21,0),0)&gt;$AK$5,M19&gt;$AK$5),VLOOKUP(INDIRECT($C$5),Jornada!$C$8:$H$37,6,0),IF(AG19&gt;VLOOKUP(INDIRECT($C$5),Jornada!$C$8:$H$37,6,0),IF(VLOOKUP(INDIRECT($C$5),Jornada!$C$8:$H$37,6,0)&lt;AG19,0,ABS(VLOOKUP(INDIRECT($C$5),Jornada!$C$8:$H$37,6,0))-AG19),0))</f>
        <v>0</v>
      </c>
      <c r="AJ19" s="155">
        <f t="shared" si="5"/>
        <v>1</v>
      </c>
      <c r="AK19" s="155">
        <f t="shared" si="6"/>
        <v>0</v>
      </c>
      <c r="AL19" s="155">
        <f ca="1">HLOOKUP($F19,Jornada!$I$5:$V$37,VLOOKUP(INDIRECT($C$5),Jornada!$C$8:$W$37,21,0)+2,0)</f>
        <v>0</v>
      </c>
      <c r="AM19" s="155">
        <f ca="1">HLOOKUP($F19,Jornada!$I$4:$V$37,VLOOKUP(INDIRECT($C$5),Jornada!$C$8:$W$37,21,0)+3,0)</f>
        <v>0</v>
      </c>
      <c r="AN19" s="155">
        <f t="shared" ca="1" si="7"/>
        <v>0</v>
      </c>
      <c r="AO19" s="155">
        <f t="shared" si="8"/>
        <v>0</v>
      </c>
      <c r="AP19" s="155">
        <f t="shared" si="9"/>
        <v>0</v>
      </c>
      <c r="BE19" s="14"/>
      <c r="BF19" s="14"/>
      <c r="BG19" s="14"/>
    </row>
    <row r="20" spans="1:59" s="2" customFormat="1" ht="30" customHeight="1" thickTop="1" thickBot="1" x14ac:dyDescent="0.25">
      <c r="A20" s="1"/>
      <c r="B20"/>
      <c r="C20" s="172" t="str">
        <f>IF(Funcionários!C19=0,"",Funcionários!C19)</f>
        <v/>
      </c>
      <c r="D20"/>
      <c r="E20" s="115">
        <f>Lanç!E20</f>
        <v>13</v>
      </c>
      <c r="F20" s="189" t="str">
        <f>Lanç!F20</f>
        <v>Sex</v>
      </c>
      <c r="G20" s="81"/>
      <c r="H20" s="94"/>
      <c r="I20" s="94"/>
      <c r="J20" s="94"/>
      <c r="K20" s="94"/>
      <c r="L20" s="197"/>
      <c r="M20" s="95">
        <f t="shared" si="1"/>
        <v>0</v>
      </c>
      <c r="N20" s="196"/>
      <c r="O20" s="95">
        <f ca="1">IF(OR(G20=0,G20="Férias",G20="Falta Justificada",G20="Feriado",G20="Folga (DSR)"),0,IF(G20="Falta Injustificada",HLOOKUP($F20,Jornada!$X$7:$AD$37,VLOOKUP(INDIRECT($C$5),Jornada!$C$8:$W$37,21,0),0),IF(HLOOKUP($F20,Jornada!$X$7:$AD$37,VLOOKUP(INDIRECT($C$5),Jornada!$C$8:$W$37,21,0),0)-M20&gt;0,HLOOKUP($F20,Jornada!$X$7:$AD$37,VLOOKUP(INDIRECT($C$5),Jornada!$C$8:$W$37,21,0),0)-M20,0)))</f>
        <v>0</v>
      </c>
      <c r="P20" s="193">
        <f ca="1">IF(HLOOKUP($F20,Jornada!$X$7:$AD$37,VLOOKUP(INDIRECT($C$5),Jornada!$C$8:$W$37,21,0),0)-M20&lt;0,ABS(HLOOKUP($F20,Jornada!$X$7:$AD$37,VLOOKUP(INDIRECT($C$5),Jornada!$C$8:$W$37,21,0),0)-M20),0)</f>
        <v>0</v>
      </c>
      <c r="Q20" s="95">
        <f t="shared" si="0"/>
        <v>0</v>
      </c>
      <c r="R20" s="2">
        <f t="shared" si="2"/>
        <v>0</v>
      </c>
      <c r="S20"/>
      <c r="T20"/>
      <c r="U20"/>
      <c r="X20" s="177"/>
      <c r="AB20" s="177">
        <f t="shared" si="10"/>
        <v>13</v>
      </c>
      <c r="AC20" s="2">
        <f t="shared" si="3"/>
        <v>6</v>
      </c>
      <c r="AG20" s="220">
        <f t="shared" si="4"/>
        <v>0</v>
      </c>
      <c r="AH20" s="220">
        <f ca="1">IF(HLOOKUP($F20,Jornada!$X$7:$AD$37,VLOOKUP(INDIRECT($C$5),Jornada!$C$8:$W$37,21,0),0)=0,0,VLOOKUP(INDIRECT($C$5),Jornada!$C$8:$H$37,4,0))</f>
        <v>0</v>
      </c>
      <c r="AI20" s="155">
        <f ca="1">IF(AND(I20=0,J20=0,OR(H20&lt;&gt;0,K20&lt;&gt;0),HLOOKUP($F20,Jornada!$X$7:$AD$37,VLOOKUP(INDIRECT($C$5),Jornada!$C$8:$W$37,21,0),0)&gt;$AK$5,M20&gt;$AK$5),VLOOKUP(INDIRECT($C$5),Jornada!$C$8:$H$37,6,0),IF(AG20&gt;VLOOKUP(INDIRECT($C$5),Jornada!$C$8:$H$37,6,0),IF(VLOOKUP(INDIRECT($C$5),Jornada!$C$8:$H$37,6,0)&lt;AG20,0,ABS(VLOOKUP(INDIRECT($C$5),Jornada!$C$8:$H$37,6,0))-AG20),0))</f>
        <v>0</v>
      </c>
      <c r="AJ20" s="155">
        <f t="shared" si="5"/>
        <v>1</v>
      </c>
      <c r="AK20" s="155">
        <f t="shared" si="6"/>
        <v>0</v>
      </c>
      <c r="AL20" s="155">
        <f ca="1">HLOOKUP($F20,Jornada!$I$5:$V$37,VLOOKUP(INDIRECT($C$5),Jornada!$C$8:$W$37,21,0)+2,0)</f>
        <v>0</v>
      </c>
      <c r="AM20" s="155">
        <f ca="1">HLOOKUP($F20,Jornada!$I$4:$V$37,VLOOKUP(INDIRECT($C$5),Jornada!$C$8:$W$37,21,0)+3,0)</f>
        <v>0</v>
      </c>
      <c r="AN20" s="155">
        <f t="shared" ca="1" si="7"/>
        <v>0</v>
      </c>
      <c r="AO20" s="155">
        <f t="shared" si="8"/>
        <v>0</v>
      </c>
      <c r="AP20" s="155">
        <f t="shared" si="9"/>
        <v>0</v>
      </c>
      <c r="BE20" s="14"/>
      <c r="BF20" s="14"/>
      <c r="BG20" s="14"/>
    </row>
    <row r="21" spans="1:59" s="2" customFormat="1" ht="30" customHeight="1" thickTop="1" thickBot="1" x14ac:dyDescent="0.25">
      <c r="A21" s="1"/>
      <c r="B21"/>
      <c r="C21" s="172" t="str">
        <f>IF(Funcionários!C20=0,"",Funcionários!C20)</f>
        <v/>
      </c>
      <c r="D21"/>
      <c r="E21" s="115">
        <f>Lanç!E21</f>
        <v>14</v>
      </c>
      <c r="F21" s="189" t="str">
        <f>Lanç!F21</f>
        <v>Sáb</v>
      </c>
      <c r="G21" s="81"/>
      <c r="H21" s="94"/>
      <c r="I21" s="94"/>
      <c r="J21" s="94"/>
      <c r="K21" s="94"/>
      <c r="L21" s="197"/>
      <c r="M21" s="95">
        <f t="shared" si="1"/>
        <v>0</v>
      </c>
      <c r="N21" s="196"/>
      <c r="O21" s="95">
        <f ca="1">IF(OR(G21=0,G21="Férias",G21="Falta Justificada",G21="Feriado",G21="Folga (DSR)"),0,IF(G21="Falta Injustificada",HLOOKUP($F21,Jornada!$X$7:$AD$37,VLOOKUP(INDIRECT($C$5),Jornada!$C$8:$W$37,21,0),0),IF(HLOOKUP($F21,Jornada!$X$7:$AD$37,VLOOKUP(INDIRECT($C$5),Jornada!$C$8:$W$37,21,0),0)-M21&gt;0,HLOOKUP($F21,Jornada!$X$7:$AD$37,VLOOKUP(INDIRECT($C$5),Jornada!$C$8:$W$37,21,0),0)-M21,0)))</f>
        <v>0</v>
      </c>
      <c r="P21" s="193">
        <f ca="1">IF(HLOOKUP($F21,Jornada!$X$7:$AD$37,VLOOKUP(INDIRECT($C$5),Jornada!$C$8:$W$37,21,0),0)-M21&lt;0,ABS(HLOOKUP($F21,Jornada!$X$7:$AD$37,VLOOKUP(INDIRECT($C$5),Jornada!$C$8:$W$37,21,0),0)-M21),0)</f>
        <v>0</v>
      </c>
      <c r="Q21" s="95">
        <f t="shared" si="0"/>
        <v>0</v>
      </c>
      <c r="R21" s="2">
        <f t="shared" si="2"/>
        <v>0</v>
      </c>
      <c r="S21"/>
      <c r="T21"/>
      <c r="U21"/>
      <c r="X21" s="177"/>
      <c r="AB21" s="177">
        <f t="shared" si="10"/>
        <v>14</v>
      </c>
      <c r="AC21" s="2">
        <f t="shared" si="3"/>
        <v>7</v>
      </c>
      <c r="AG21" s="220">
        <f t="shared" si="4"/>
        <v>0</v>
      </c>
      <c r="AH21" s="220">
        <f ca="1">IF(HLOOKUP($F21,Jornada!$X$7:$AD$37,VLOOKUP(INDIRECT($C$5),Jornada!$C$8:$W$37,21,0),0)=0,0,VLOOKUP(INDIRECT($C$5),Jornada!$C$8:$H$37,4,0))</f>
        <v>0</v>
      </c>
      <c r="AI21" s="155">
        <f ca="1">IF(AND(I21=0,J21=0,OR(H21&lt;&gt;0,K21&lt;&gt;0),HLOOKUP($F21,Jornada!$X$7:$AD$37,VLOOKUP(INDIRECT($C$5),Jornada!$C$8:$W$37,21,0),0)&gt;$AK$5,M21&gt;$AK$5),VLOOKUP(INDIRECT($C$5),Jornada!$C$8:$H$37,6,0),IF(AG21&gt;VLOOKUP(INDIRECT($C$5),Jornada!$C$8:$H$37,6,0),IF(VLOOKUP(INDIRECT($C$5),Jornada!$C$8:$H$37,6,0)&lt;AG21,0,ABS(VLOOKUP(INDIRECT($C$5),Jornada!$C$8:$H$37,6,0))-AG21),0))</f>
        <v>0</v>
      </c>
      <c r="AJ21" s="155">
        <f t="shared" si="5"/>
        <v>1</v>
      </c>
      <c r="AK21" s="155">
        <f t="shared" si="6"/>
        <v>0</v>
      </c>
      <c r="AL21" s="155">
        <f ca="1">HLOOKUP($F21,Jornada!$I$5:$V$37,VLOOKUP(INDIRECT($C$5),Jornada!$C$8:$W$37,21,0)+2,0)</f>
        <v>0</v>
      </c>
      <c r="AM21" s="155">
        <f ca="1">HLOOKUP($F21,Jornada!$I$4:$V$37,VLOOKUP(INDIRECT($C$5),Jornada!$C$8:$W$37,21,0)+3,0)</f>
        <v>0</v>
      </c>
      <c r="AN21" s="155">
        <f t="shared" ca="1" si="7"/>
        <v>0</v>
      </c>
      <c r="AO21" s="155">
        <f t="shared" si="8"/>
        <v>0</v>
      </c>
      <c r="AP21" s="155">
        <f t="shared" si="9"/>
        <v>0</v>
      </c>
      <c r="BE21" s="14"/>
      <c r="BF21" s="14"/>
      <c r="BG21" s="14"/>
    </row>
    <row r="22" spans="1:59" s="2" customFormat="1" ht="30" customHeight="1" thickTop="1" thickBot="1" x14ac:dyDescent="0.25">
      <c r="A22" s="1"/>
      <c r="B22"/>
      <c r="C22" s="172" t="str">
        <f>IF(Funcionários!C21=0,"",Funcionários!C21)</f>
        <v/>
      </c>
      <c r="D22"/>
      <c r="E22" s="115">
        <f>Lanç!E22</f>
        <v>15</v>
      </c>
      <c r="F22" s="189" t="str">
        <f>Lanç!F22</f>
        <v>Dom</v>
      </c>
      <c r="G22" s="81"/>
      <c r="H22" s="94"/>
      <c r="I22" s="94"/>
      <c r="J22" s="94"/>
      <c r="K22" s="94"/>
      <c r="L22" s="197"/>
      <c r="M22" s="95">
        <f t="shared" si="1"/>
        <v>0</v>
      </c>
      <c r="N22" s="196"/>
      <c r="O22" s="95">
        <f ca="1">IF(OR(G22=0,G22="Férias",G22="Falta Justificada",G22="Feriado",G22="Folga (DSR)"),0,IF(G22="Falta Injustificada",HLOOKUP($F22,Jornada!$X$7:$AD$37,VLOOKUP(INDIRECT($C$5),Jornada!$C$8:$W$37,21,0),0),IF(HLOOKUP($F22,Jornada!$X$7:$AD$37,VLOOKUP(INDIRECT($C$5),Jornada!$C$8:$W$37,21,0),0)-M22&gt;0,HLOOKUP($F22,Jornada!$X$7:$AD$37,VLOOKUP(INDIRECT($C$5),Jornada!$C$8:$W$37,21,0),0)-M22,0)))</f>
        <v>0</v>
      </c>
      <c r="P22" s="193">
        <f ca="1">IF(HLOOKUP($F22,Jornada!$X$7:$AD$37,VLOOKUP(INDIRECT($C$5),Jornada!$C$8:$W$37,21,0),0)-M22&lt;0,ABS(HLOOKUP($F22,Jornada!$X$7:$AD$37,VLOOKUP(INDIRECT($C$5),Jornada!$C$8:$W$37,21,0),0)-M22),0)</f>
        <v>0</v>
      </c>
      <c r="Q22" s="95">
        <f t="shared" si="0"/>
        <v>0</v>
      </c>
      <c r="R22" s="2">
        <f t="shared" si="2"/>
        <v>0</v>
      </c>
      <c r="S22" s="300" t="s">
        <v>63</v>
      </c>
      <c r="T22" s="301"/>
      <c r="U22" s="302"/>
      <c r="X22" s="177"/>
      <c r="AB22" s="177">
        <f t="shared" si="10"/>
        <v>15</v>
      </c>
      <c r="AC22" s="2">
        <f t="shared" si="3"/>
        <v>1</v>
      </c>
      <c r="AG22" s="220">
        <f t="shared" si="4"/>
        <v>0</v>
      </c>
      <c r="AH22" s="220">
        <f ca="1">IF(HLOOKUP($F22,Jornada!$X$7:$AD$37,VLOOKUP(INDIRECT($C$5),Jornada!$C$8:$W$37,21,0),0)=0,0,VLOOKUP(INDIRECT($C$5),Jornada!$C$8:$H$37,4,0))</f>
        <v>0</v>
      </c>
      <c r="AI22" s="155">
        <f ca="1">IF(AND(I22=0,J22=0,OR(H22&lt;&gt;0,K22&lt;&gt;0),HLOOKUP($F22,Jornada!$X$7:$AD$37,VLOOKUP(INDIRECT($C$5),Jornada!$C$8:$W$37,21,0),0)&gt;$AK$5,M22&gt;$AK$5),VLOOKUP(INDIRECT($C$5),Jornada!$C$8:$H$37,6,0),IF(AG22&gt;VLOOKUP(INDIRECT($C$5),Jornada!$C$8:$H$37,6,0),IF(VLOOKUP(INDIRECT($C$5),Jornada!$C$8:$H$37,6,0)&lt;AG22,0,ABS(VLOOKUP(INDIRECT($C$5),Jornada!$C$8:$H$37,6,0))-AG22),0))</f>
        <v>0</v>
      </c>
      <c r="AJ22" s="155">
        <f t="shared" si="5"/>
        <v>1</v>
      </c>
      <c r="AK22" s="155">
        <f t="shared" si="6"/>
        <v>0</v>
      </c>
      <c r="AL22" s="155">
        <f ca="1">HLOOKUP($F22,Jornada!$I$5:$V$37,VLOOKUP(INDIRECT($C$5),Jornada!$C$8:$W$37,21,0)+2,0)</f>
        <v>0</v>
      </c>
      <c r="AM22" s="155">
        <f ca="1">HLOOKUP($F22,Jornada!$I$4:$V$37,VLOOKUP(INDIRECT($C$5),Jornada!$C$8:$W$37,21,0)+3,0)</f>
        <v>0</v>
      </c>
      <c r="AN22" s="155">
        <f t="shared" ca="1" si="7"/>
        <v>0</v>
      </c>
      <c r="AO22" s="155">
        <f t="shared" si="8"/>
        <v>0</v>
      </c>
      <c r="AP22" s="155">
        <f t="shared" si="9"/>
        <v>0</v>
      </c>
      <c r="BE22" s="14"/>
      <c r="BF22" s="14"/>
      <c r="BG22" s="14"/>
    </row>
    <row r="23" spans="1:59" s="2" customFormat="1" ht="30" customHeight="1" thickTop="1" thickBot="1" x14ac:dyDescent="0.25">
      <c r="A23" s="1"/>
      <c r="B23"/>
      <c r="C23" s="172" t="str">
        <f>IF(Funcionários!C22=0,"",Funcionários!C22)</f>
        <v/>
      </c>
      <c r="D23"/>
      <c r="E23" s="115">
        <f>Lanç!E23</f>
        <v>16</v>
      </c>
      <c r="F23" s="189" t="str">
        <f>Lanç!F23</f>
        <v>Seg</v>
      </c>
      <c r="G23" s="81"/>
      <c r="H23" s="94"/>
      <c r="I23" s="94"/>
      <c r="J23" s="94"/>
      <c r="K23" s="94"/>
      <c r="L23" s="197"/>
      <c r="M23" s="95">
        <f t="shared" si="1"/>
        <v>0</v>
      </c>
      <c r="N23" s="196"/>
      <c r="O23" s="95">
        <f ca="1">IF(OR(G23=0,G23="Férias",G23="Falta Justificada",G23="Feriado",G23="Folga (DSR)"),0,IF(G23="Falta Injustificada",HLOOKUP($F23,Jornada!$X$7:$AD$37,VLOOKUP(INDIRECT($C$5),Jornada!$C$8:$W$37,21,0),0),IF(HLOOKUP($F23,Jornada!$X$7:$AD$37,VLOOKUP(INDIRECT($C$5),Jornada!$C$8:$W$37,21,0),0)-M23&gt;0,HLOOKUP($F23,Jornada!$X$7:$AD$37,VLOOKUP(INDIRECT($C$5),Jornada!$C$8:$W$37,21,0),0)-M23,0)))</f>
        <v>0</v>
      </c>
      <c r="P23" s="193">
        <f ca="1">IF(HLOOKUP($F23,Jornada!$X$7:$AD$37,VLOOKUP(INDIRECT($C$5),Jornada!$C$8:$W$37,21,0),0)-M23&lt;0,ABS(HLOOKUP($F23,Jornada!$X$7:$AD$37,VLOOKUP(INDIRECT($C$5),Jornada!$C$8:$W$37,21,0),0)-M23),0)</f>
        <v>0</v>
      </c>
      <c r="Q23" s="95">
        <f t="shared" si="0"/>
        <v>0</v>
      </c>
      <c r="R23" s="2">
        <f t="shared" si="2"/>
        <v>0</v>
      </c>
      <c r="S23" s="296" t="str">
        <f>IF(SUM(R8:R38)&gt;0,"Segundo o art 59 da CLT, o máximo de horas extras permitidas por dia são 2 horas.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T23" s="297"/>
      <c r="U23" s="298"/>
      <c r="X23" s="177"/>
      <c r="AB23" s="177">
        <f t="shared" si="10"/>
        <v>16</v>
      </c>
      <c r="AC23" s="2">
        <f t="shared" si="3"/>
        <v>2</v>
      </c>
      <c r="AG23" s="220">
        <f t="shared" si="4"/>
        <v>0</v>
      </c>
      <c r="AH23" s="220">
        <f ca="1">IF(HLOOKUP($F23,Jornada!$X$7:$AD$37,VLOOKUP(INDIRECT($C$5),Jornada!$C$8:$W$37,21,0),0)=0,0,VLOOKUP(INDIRECT($C$5),Jornada!$C$8:$H$37,4,0))</f>
        <v>0</v>
      </c>
      <c r="AI23" s="155">
        <f ca="1">IF(AND(I23=0,J23=0,OR(H23&lt;&gt;0,K23&lt;&gt;0),HLOOKUP($F23,Jornada!$X$7:$AD$37,VLOOKUP(INDIRECT($C$5),Jornada!$C$8:$W$37,21,0),0)&gt;$AK$5,M23&gt;$AK$5),VLOOKUP(INDIRECT($C$5),Jornada!$C$8:$H$37,6,0),IF(AG23&gt;VLOOKUP(INDIRECT($C$5),Jornada!$C$8:$H$37,6,0),IF(VLOOKUP(INDIRECT($C$5),Jornada!$C$8:$H$37,6,0)&lt;AG23,0,ABS(VLOOKUP(INDIRECT($C$5),Jornada!$C$8:$H$37,6,0))-AG23),0))</f>
        <v>0</v>
      </c>
      <c r="AJ23" s="155">
        <f t="shared" si="5"/>
        <v>1</v>
      </c>
      <c r="AK23" s="155">
        <f t="shared" si="6"/>
        <v>0</v>
      </c>
      <c r="AL23" s="155">
        <f ca="1">HLOOKUP($F23,Jornada!$I$5:$V$37,VLOOKUP(INDIRECT($C$5),Jornada!$C$8:$W$37,21,0)+2,0)</f>
        <v>0</v>
      </c>
      <c r="AM23" s="155">
        <f ca="1">HLOOKUP($F23,Jornada!$I$4:$V$37,VLOOKUP(INDIRECT($C$5),Jornada!$C$8:$W$37,21,0)+3,0)</f>
        <v>0</v>
      </c>
      <c r="AN23" s="155">
        <f t="shared" ca="1" si="7"/>
        <v>0</v>
      </c>
      <c r="AO23" s="155">
        <f t="shared" si="8"/>
        <v>0</v>
      </c>
      <c r="AP23" s="155">
        <f t="shared" si="9"/>
        <v>0</v>
      </c>
      <c r="BE23" s="14"/>
      <c r="BF23" s="14"/>
      <c r="BG23" s="14"/>
    </row>
    <row r="24" spans="1:59" s="2" customFormat="1" ht="30" customHeight="1" thickTop="1" thickBot="1" x14ac:dyDescent="0.25">
      <c r="A24" s="1"/>
      <c r="B24"/>
      <c r="C24" s="172" t="str">
        <f>IF(Funcionários!C23=0,"",Funcionários!C23)</f>
        <v/>
      </c>
      <c r="D24"/>
      <c r="E24" s="115">
        <f>Lanç!E24</f>
        <v>17</v>
      </c>
      <c r="F24" s="189" t="str">
        <f>Lanç!F24</f>
        <v>Ter</v>
      </c>
      <c r="G24" s="81"/>
      <c r="H24" s="94"/>
      <c r="I24" s="94"/>
      <c r="J24" s="94"/>
      <c r="K24" s="94"/>
      <c r="L24" s="197"/>
      <c r="M24" s="95">
        <f t="shared" si="1"/>
        <v>0</v>
      </c>
      <c r="N24" s="196"/>
      <c r="O24" s="95">
        <f ca="1">IF(OR(G24=0,G24="Férias",G24="Falta Justificada",G24="Feriado",G24="Folga (DSR)"),0,IF(G24="Falta Injustificada",HLOOKUP($F24,Jornada!$X$7:$AD$37,VLOOKUP(INDIRECT($C$5),Jornada!$C$8:$W$37,21,0),0),IF(HLOOKUP($F24,Jornada!$X$7:$AD$37,VLOOKUP(INDIRECT($C$5),Jornada!$C$8:$W$37,21,0),0)-M24&gt;0,HLOOKUP($F24,Jornada!$X$7:$AD$37,VLOOKUP(INDIRECT($C$5),Jornada!$C$8:$W$37,21,0),0)-M24,0)))</f>
        <v>0</v>
      </c>
      <c r="P24" s="193">
        <f ca="1">IF(HLOOKUP($F24,Jornada!$X$7:$AD$37,VLOOKUP(INDIRECT($C$5),Jornada!$C$8:$W$37,21,0),0)-M24&lt;0,ABS(HLOOKUP($F24,Jornada!$X$7:$AD$37,VLOOKUP(INDIRECT($C$5),Jornada!$C$8:$W$37,21,0),0)-M24),0)</f>
        <v>0</v>
      </c>
      <c r="Q24" s="95">
        <f t="shared" si="0"/>
        <v>0</v>
      </c>
      <c r="R24" s="2">
        <f t="shared" si="2"/>
        <v>0</v>
      </c>
      <c r="S24" s="296"/>
      <c r="T24" s="297"/>
      <c r="U24" s="298"/>
      <c r="X24" s="177"/>
      <c r="AB24" s="177">
        <f t="shared" si="10"/>
        <v>17</v>
      </c>
      <c r="AC24" s="2">
        <f t="shared" si="3"/>
        <v>3</v>
      </c>
      <c r="AG24" s="220">
        <f t="shared" si="4"/>
        <v>0</v>
      </c>
      <c r="AH24" s="220">
        <f ca="1">IF(HLOOKUP($F24,Jornada!$X$7:$AD$37,VLOOKUP(INDIRECT($C$5),Jornada!$C$8:$W$37,21,0),0)=0,0,VLOOKUP(INDIRECT($C$5),Jornada!$C$8:$H$37,4,0))</f>
        <v>0</v>
      </c>
      <c r="AI24" s="155">
        <f ca="1">IF(AND(I24=0,J24=0,OR(H24&lt;&gt;0,K24&lt;&gt;0),HLOOKUP($F24,Jornada!$X$7:$AD$37,VLOOKUP(INDIRECT($C$5),Jornada!$C$8:$W$37,21,0),0)&gt;$AK$5,M24&gt;$AK$5),VLOOKUP(INDIRECT($C$5),Jornada!$C$8:$H$37,6,0),IF(AG24&gt;VLOOKUP(INDIRECT($C$5),Jornada!$C$8:$H$37,6,0),IF(VLOOKUP(INDIRECT($C$5),Jornada!$C$8:$H$37,6,0)&lt;AG24,0,ABS(VLOOKUP(INDIRECT($C$5),Jornada!$C$8:$H$37,6,0))-AG24),0))</f>
        <v>0</v>
      </c>
      <c r="AJ24" s="155">
        <f t="shared" si="5"/>
        <v>1</v>
      </c>
      <c r="AK24" s="155">
        <f t="shared" si="6"/>
        <v>0</v>
      </c>
      <c r="AL24" s="155">
        <f ca="1">HLOOKUP($F24,Jornada!$I$5:$V$37,VLOOKUP(INDIRECT($C$5),Jornada!$C$8:$W$37,21,0)+2,0)</f>
        <v>0</v>
      </c>
      <c r="AM24" s="155">
        <f ca="1">HLOOKUP($F24,Jornada!$I$4:$V$37,VLOOKUP(INDIRECT($C$5),Jornada!$C$8:$W$37,21,0)+3,0)</f>
        <v>0</v>
      </c>
      <c r="AN24" s="155">
        <f t="shared" ca="1" si="7"/>
        <v>0</v>
      </c>
      <c r="AO24" s="155">
        <f t="shared" si="8"/>
        <v>0</v>
      </c>
      <c r="AP24" s="155">
        <f t="shared" si="9"/>
        <v>0</v>
      </c>
      <c r="BE24" s="14"/>
      <c r="BF24" s="14"/>
      <c r="BG24" s="14"/>
    </row>
    <row r="25" spans="1:59" s="2" customFormat="1" ht="30" customHeight="1" thickTop="1" thickBot="1" x14ac:dyDescent="0.25">
      <c r="A25" s="1"/>
      <c r="B25"/>
      <c r="C25" s="172" t="str">
        <f>IF(Funcionários!C24=0,"",Funcionários!C24)</f>
        <v/>
      </c>
      <c r="D25"/>
      <c r="E25" s="115">
        <f>Lanç!E25</f>
        <v>18</v>
      </c>
      <c r="F25" s="189" t="str">
        <f>Lanç!F25</f>
        <v>Qua</v>
      </c>
      <c r="G25" s="81"/>
      <c r="H25" s="94"/>
      <c r="I25" s="94"/>
      <c r="J25" s="94"/>
      <c r="K25" s="94"/>
      <c r="L25" s="197"/>
      <c r="M25" s="95">
        <f t="shared" si="1"/>
        <v>0</v>
      </c>
      <c r="N25" s="196"/>
      <c r="O25" s="95">
        <f ca="1">IF(OR(G25=0,G25="Férias",G25="Falta Justificada",G25="Feriado",G25="Folga (DSR)"),0,IF(G25="Falta Injustificada",HLOOKUP($F25,Jornada!$X$7:$AD$37,VLOOKUP(INDIRECT($C$5),Jornada!$C$8:$W$37,21,0),0),IF(HLOOKUP($F25,Jornada!$X$7:$AD$37,VLOOKUP(INDIRECT($C$5),Jornada!$C$8:$W$37,21,0),0)-M25&gt;0,HLOOKUP($F25,Jornada!$X$7:$AD$37,VLOOKUP(INDIRECT($C$5),Jornada!$C$8:$W$37,21,0),0)-M25,0)))</f>
        <v>0</v>
      </c>
      <c r="P25" s="193">
        <f ca="1">IF(HLOOKUP($F25,Jornada!$X$7:$AD$37,VLOOKUP(INDIRECT($C$5),Jornada!$C$8:$W$37,21,0),0)-M25&lt;0,ABS(HLOOKUP($F25,Jornada!$X$7:$AD$37,VLOOKUP(INDIRECT($C$5),Jornada!$C$8:$W$37,21,0),0)-M25),0)</f>
        <v>0</v>
      </c>
      <c r="Q25" s="95">
        <f t="shared" si="0"/>
        <v>0</v>
      </c>
      <c r="R25" s="2">
        <f t="shared" si="2"/>
        <v>0</v>
      </c>
      <c r="S25" s="296"/>
      <c r="T25" s="297"/>
      <c r="U25" s="298"/>
      <c r="X25" s="177"/>
      <c r="Z25" s="2">
        <f>IF(SUM(R8:R38)&gt;0,1,0)</f>
        <v>0</v>
      </c>
      <c r="AB25" s="177">
        <f t="shared" si="10"/>
        <v>18</v>
      </c>
      <c r="AC25" s="2">
        <f t="shared" si="3"/>
        <v>4</v>
      </c>
      <c r="AG25" s="220">
        <f t="shared" si="4"/>
        <v>0</v>
      </c>
      <c r="AH25" s="220">
        <f ca="1">IF(HLOOKUP($F25,Jornada!$X$7:$AD$37,VLOOKUP(INDIRECT($C$5),Jornada!$C$8:$W$37,21,0),0)=0,0,VLOOKUP(INDIRECT($C$5),Jornada!$C$8:$H$37,4,0))</f>
        <v>0</v>
      </c>
      <c r="AI25" s="155">
        <f ca="1">IF(AND(I25=0,J25=0,OR(H25&lt;&gt;0,K25&lt;&gt;0),HLOOKUP($F25,Jornada!$X$7:$AD$37,VLOOKUP(INDIRECT($C$5),Jornada!$C$8:$W$37,21,0),0)&gt;$AK$5,M25&gt;$AK$5),VLOOKUP(INDIRECT($C$5),Jornada!$C$8:$H$37,6,0),IF(AG25&gt;VLOOKUP(INDIRECT($C$5),Jornada!$C$8:$H$37,6,0),IF(VLOOKUP(INDIRECT($C$5),Jornada!$C$8:$H$37,6,0)&lt;AG25,0,ABS(VLOOKUP(INDIRECT($C$5),Jornada!$C$8:$H$37,6,0))-AG25),0))</f>
        <v>0</v>
      </c>
      <c r="AJ25" s="155">
        <f t="shared" si="5"/>
        <v>1</v>
      </c>
      <c r="AK25" s="155">
        <f t="shared" si="6"/>
        <v>0</v>
      </c>
      <c r="AL25" s="155">
        <f ca="1">HLOOKUP($F25,Jornada!$I$5:$V$37,VLOOKUP(INDIRECT($C$5),Jornada!$C$8:$W$37,21,0)+2,0)</f>
        <v>0</v>
      </c>
      <c r="AM25" s="155">
        <f ca="1">HLOOKUP($F25,Jornada!$I$4:$V$37,VLOOKUP(INDIRECT($C$5),Jornada!$C$8:$W$37,21,0)+3,0)</f>
        <v>0</v>
      </c>
      <c r="AN25" s="155">
        <f t="shared" ca="1" si="7"/>
        <v>0</v>
      </c>
      <c r="AO25" s="155">
        <f t="shared" si="8"/>
        <v>0</v>
      </c>
      <c r="AP25" s="155">
        <f t="shared" si="9"/>
        <v>0</v>
      </c>
      <c r="BE25" s="14"/>
      <c r="BF25" s="14"/>
      <c r="BG25" s="14"/>
    </row>
    <row r="26" spans="1:59" s="2" customFormat="1" ht="30" customHeight="1" thickTop="1" thickBot="1" x14ac:dyDescent="0.25">
      <c r="A26" s="1"/>
      <c r="B26"/>
      <c r="C26" s="172" t="str">
        <f>IF(Funcionários!C25=0,"",Funcionários!C25)</f>
        <v/>
      </c>
      <c r="D26"/>
      <c r="E26" s="115">
        <f>Lanç!E26</f>
        <v>19</v>
      </c>
      <c r="F26" s="189" t="str">
        <f>Lanç!F26</f>
        <v>Qui</v>
      </c>
      <c r="G26" s="81"/>
      <c r="H26" s="94"/>
      <c r="I26" s="94"/>
      <c r="J26" s="94"/>
      <c r="K26" s="94"/>
      <c r="L26" s="197"/>
      <c r="M26" s="95">
        <f t="shared" si="1"/>
        <v>0</v>
      </c>
      <c r="N26" s="196"/>
      <c r="O26" s="95">
        <f ca="1">IF(OR(G26=0,G26="Férias",G26="Falta Justificada",G26="Feriado",G26="Folga (DSR)"),0,IF(G26="Falta Injustificada",HLOOKUP($F26,Jornada!$X$7:$AD$37,VLOOKUP(INDIRECT($C$5),Jornada!$C$8:$W$37,21,0),0),IF(HLOOKUP($F26,Jornada!$X$7:$AD$37,VLOOKUP(INDIRECT($C$5),Jornada!$C$8:$W$37,21,0),0)-M26&gt;0,HLOOKUP($F26,Jornada!$X$7:$AD$37,VLOOKUP(INDIRECT($C$5),Jornada!$C$8:$W$37,21,0),0)-M26,0)))</f>
        <v>0</v>
      </c>
      <c r="P26" s="193">
        <f ca="1">IF(HLOOKUP($F26,Jornada!$X$7:$AD$37,VLOOKUP(INDIRECT($C$5),Jornada!$C$8:$W$37,21,0),0)-M26&lt;0,ABS(HLOOKUP($F26,Jornada!$X$7:$AD$37,VLOOKUP(INDIRECT($C$5),Jornada!$C$8:$W$37,21,0),0)-M26),0)</f>
        <v>0</v>
      </c>
      <c r="Q26" s="95">
        <f t="shared" si="0"/>
        <v>0</v>
      </c>
      <c r="R26" s="2">
        <f t="shared" si="2"/>
        <v>0</v>
      </c>
      <c r="S26" s="296" t="str">
        <f>IF(COUNTIF(G8:G38,"Folga (DSR)")&lt;DAY(E39)/8,"O mês não está contemplando um DSR (Descanso Semanal Remunerado) por semana. Isso pode configurar uma irregularidade segundo as leis trabalhistas.","Parabéns!! Sua folha de pagamento contempla uma DSR por semana conforme a lei trabalhista.")</f>
        <v>O mês não está contemplando um DSR (Descanso Semanal Remunerado) por semana. Isso pode configurar uma irregularidade segundo as leis trabalhistas.</v>
      </c>
      <c r="T26" s="297"/>
      <c r="U26" s="298"/>
      <c r="X26" s="177"/>
      <c r="AB26" s="177">
        <f t="shared" si="10"/>
        <v>19</v>
      </c>
      <c r="AC26" s="2">
        <f t="shared" si="3"/>
        <v>5</v>
      </c>
      <c r="AG26" s="220">
        <f t="shared" si="4"/>
        <v>0</v>
      </c>
      <c r="AH26" s="220">
        <f ca="1">IF(HLOOKUP($F26,Jornada!$X$7:$AD$37,VLOOKUP(INDIRECT($C$5),Jornada!$C$8:$W$37,21,0),0)=0,0,VLOOKUP(INDIRECT($C$5),Jornada!$C$8:$H$37,4,0))</f>
        <v>0</v>
      </c>
      <c r="AI26" s="155">
        <f ca="1">IF(AND(I26=0,J26=0,OR(H26&lt;&gt;0,K26&lt;&gt;0),HLOOKUP($F26,Jornada!$X$7:$AD$37,VLOOKUP(INDIRECT($C$5),Jornada!$C$8:$W$37,21,0),0)&gt;$AK$5,M26&gt;$AK$5),VLOOKUP(INDIRECT($C$5),Jornada!$C$8:$H$37,6,0),IF(AG26&gt;VLOOKUP(INDIRECT($C$5),Jornada!$C$8:$H$37,6,0),IF(VLOOKUP(INDIRECT($C$5),Jornada!$C$8:$H$37,6,0)&lt;AG26,0,ABS(VLOOKUP(INDIRECT($C$5),Jornada!$C$8:$H$37,6,0))-AG26),0))</f>
        <v>0</v>
      </c>
      <c r="AJ26" s="155">
        <f t="shared" si="5"/>
        <v>1</v>
      </c>
      <c r="AK26" s="155">
        <f t="shared" si="6"/>
        <v>0</v>
      </c>
      <c r="AL26" s="155">
        <f ca="1">HLOOKUP($F26,Jornada!$I$5:$V$37,VLOOKUP(INDIRECT($C$5),Jornada!$C$8:$W$37,21,0)+2,0)</f>
        <v>0</v>
      </c>
      <c r="AM26" s="155">
        <f ca="1">HLOOKUP($F26,Jornada!$I$4:$V$37,VLOOKUP(INDIRECT($C$5),Jornada!$C$8:$W$37,21,0)+3,0)</f>
        <v>0</v>
      </c>
      <c r="AN26" s="155">
        <f t="shared" ca="1" si="7"/>
        <v>0</v>
      </c>
      <c r="AO26" s="155">
        <f t="shared" si="8"/>
        <v>0</v>
      </c>
      <c r="AP26" s="155">
        <f t="shared" si="9"/>
        <v>0</v>
      </c>
      <c r="BE26" s="14"/>
      <c r="BF26" s="14"/>
      <c r="BG26" s="14"/>
    </row>
    <row r="27" spans="1:59" s="2" customFormat="1" ht="30" customHeight="1" thickTop="1" thickBot="1" x14ac:dyDescent="0.25">
      <c r="A27" s="1"/>
      <c r="B27"/>
      <c r="C27" s="172" t="str">
        <f>IF(Funcionários!C26=0,"",Funcionários!C26)</f>
        <v/>
      </c>
      <c r="D27"/>
      <c r="E27" s="115">
        <f>Lanç!E27</f>
        <v>20</v>
      </c>
      <c r="F27" s="189" t="str">
        <f>Lanç!F27</f>
        <v>Sex</v>
      </c>
      <c r="G27" s="81"/>
      <c r="H27" s="94"/>
      <c r="I27" s="94"/>
      <c r="J27" s="94"/>
      <c r="K27" s="94"/>
      <c r="L27" s="197"/>
      <c r="M27" s="95">
        <f t="shared" si="1"/>
        <v>0</v>
      </c>
      <c r="N27" s="196"/>
      <c r="O27" s="95">
        <f ca="1">IF(OR(G27=0,G27="Férias",G27="Falta Justificada",G27="Feriado",G27="Folga (DSR)"),0,IF(G27="Falta Injustificada",HLOOKUP($F27,Jornada!$X$7:$AD$37,VLOOKUP(INDIRECT($C$5),Jornada!$C$8:$W$37,21,0),0),IF(HLOOKUP($F27,Jornada!$X$7:$AD$37,VLOOKUP(INDIRECT($C$5),Jornada!$C$8:$W$37,21,0),0)-M27&gt;0,HLOOKUP($F27,Jornada!$X$7:$AD$37,VLOOKUP(INDIRECT($C$5),Jornada!$C$8:$W$37,21,0),0)-M27,0)))</f>
        <v>0</v>
      </c>
      <c r="P27" s="193">
        <f ca="1">IF(HLOOKUP($F27,Jornada!$X$7:$AD$37,VLOOKUP(INDIRECT($C$5),Jornada!$C$8:$W$37,21,0),0)-M27&lt;0,ABS(HLOOKUP($F27,Jornada!$X$7:$AD$37,VLOOKUP(INDIRECT($C$5),Jornada!$C$8:$W$37,21,0),0)-M27),0)</f>
        <v>0</v>
      </c>
      <c r="Q27" s="95">
        <f t="shared" si="0"/>
        <v>0</v>
      </c>
      <c r="R27" s="2">
        <f t="shared" si="2"/>
        <v>0</v>
      </c>
      <c r="S27" s="296"/>
      <c r="T27" s="297"/>
      <c r="U27" s="298"/>
      <c r="X27" s="177"/>
      <c r="AB27" s="177">
        <f t="shared" si="10"/>
        <v>20</v>
      </c>
      <c r="AC27" s="2">
        <f t="shared" si="3"/>
        <v>6</v>
      </c>
      <c r="AG27" s="220">
        <f t="shared" si="4"/>
        <v>0</v>
      </c>
      <c r="AH27" s="220">
        <f ca="1">IF(HLOOKUP($F27,Jornada!$X$7:$AD$37,VLOOKUP(INDIRECT($C$5),Jornada!$C$8:$W$37,21,0),0)=0,0,VLOOKUP(INDIRECT($C$5),Jornada!$C$8:$H$37,4,0))</f>
        <v>0</v>
      </c>
      <c r="AI27" s="155">
        <f ca="1">IF(AND(I27=0,J27=0,OR(H27&lt;&gt;0,K27&lt;&gt;0),HLOOKUP($F27,Jornada!$X$7:$AD$37,VLOOKUP(INDIRECT($C$5),Jornada!$C$8:$W$37,21,0),0)&gt;$AK$5,M27&gt;$AK$5),VLOOKUP(INDIRECT($C$5),Jornada!$C$8:$H$37,6,0),IF(AG27&gt;VLOOKUP(INDIRECT($C$5),Jornada!$C$8:$H$37,6,0),IF(VLOOKUP(INDIRECT($C$5),Jornada!$C$8:$H$37,6,0)&lt;AG27,0,ABS(VLOOKUP(INDIRECT($C$5),Jornada!$C$8:$H$37,6,0))-AG27),0))</f>
        <v>0</v>
      </c>
      <c r="AJ27" s="155">
        <f t="shared" si="5"/>
        <v>1</v>
      </c>
      <c r="AK27" s="155">
        <f t="shared" si="6"/>
        <v>0</v>
      </c>
      <c r="AL27" s="155">
        <f ca="1">HLOOKUP($F27,Jornada!$I$5:$V$37,VLOOKUP(INDIRECT($C$5),Jornada!$C$8:$W$37,21,0)+2,0)</f>
        <v>0</v>
      </c>
      <c r="AM27" s="155">
        <f ca="1">HLOOKUP($F27,Jornada!$I$4:$V$37,VLOOKUP(INDIRECT($C$5),Jornada!$C$8:$W$37,21,0)+3,0)</f>
        <v>0</v>
      </c>
      <c r="AN27" s="155">
        <f t="shared" ca="1" si="7"/>
        <v>0</v>
      </c>
      <c r="AO27" s="155">
        <f t="shared" si="8"/>
        <v>0</v>
      </c>
      <c r="AP27" s="155">
        <f t="shared" si="9"/>
        <v>0</v>
      </c>
    </row>
    <row r="28" spans="1:59" s="2" customFormat="1" ht="30" customHeight="1" thickTop="1" thickBot="1" x14ac:dyDescent="0.25">
      <c r="A28" s="1"/>
      <c r="B28"/>
      <c r="C28" s="172" t="str">
        <f>IF(Funcionários!C27=0,"",Funcionários!C27)</f>
        <v/>
      </c>
      <c r="D28"/>
      <c r="E28" s="115">
        <f>Lanç!E28</f>
        <v>21</v>
      </c>
      <c r="F28" s="189" t="str">
        <f>Lanç!F28</f>
        <v>Sáb</v>
      </c>
      <c r="G28" s="81"/>
      <c r="H28" s="94"/>
      <c r="I28" s="94"/>
      <c r="J28" s="94"/>
      <c r="K28" s="94"/>
      <c r="L28" s="197"/>
      <c r="M28" s="95">
        <f t="shared" si="1"/>
        <v>0</v>
      </c>
      <c r="N28" s="196"/>
      <c r="O28" s="95">
        <f ca="1">IF(OR(G28=0,G28="Férias",G28="Falta Justificada",G28="Feriado",G28="Folga (DSR)"),0,IF(G28="Falta Injustificada",HLOOKUP($F28,Jornada!$X$7:$AD$37,VLOOKUP(INDIRECT($C$5),Jornada!$C$8:$W$37,21,0),0),IF(HLOOKUP($F28,Jornada!$X$7:$AD$37,VLOOKUP(INDIRECT($C$5),Jornada!$C$8:$W$37,21,0),0)-M28&gt;0,HLOOKUP($F28,Jornada!$X$7:$AD$37,VLOOKUP(INDIRECT($C$5),Jornada!$C$8:$W$37,21,0),0)-M28,0)))</f>
        <v>0</v>
      </c>
      <c r="P28" s="193">
        <f ca="1">IF(HLOOKUP($F28,Jornada!$X$7:$AD$37,VLOOKUP(INDIRECT($C$5),Jornada!$C$8:$W$37,21,0),0)-M28&lt;0,ABS(HLOOKUP($F28,Jornada!$X$7:$AD$37,VLOOKUP(INDIRECT($C$5),Jornada!$C$8:$W$37,21,0),0)-M28),0)</f>
        <v>0</v>
      </c>
      <c r="Q28" s="95">
        <f t="shared" si="0"/>
        <v>0</v>
      </c>
      <c r="R28" s="2">
        <f t="shared" si="2"/>
        <v>0</v>
      </c>
      <c r="S28" s="296"/>
      <c r="T28" s="297"/>
      <c r="U28" s="298"/>
      <c r="X28" s="177"/>
      <c r="AB28" s="177">
        <f t="shared" si="10"/>
        <v>21</v>
      </c>
      <c r="AC28" s="2">
        <f t="shared" si="3"/>
        <v>7</v>
      </c>
      <c r="AG28" s="220">
        <f t="shared" si="4"/>
        <v>0</v>
      </c>
      <c r="AH28" s="220">
        <f ca="1">IF(HLOOKUP($F28,Jornada!$X$7:$AD$37,VLOOKUP(INDIRECT($C$5),Jornada!$C$8:$W$37,21,0),0)=0,0,VLOOKUP(INDIRECT($C$5),Jornada!$C$8:$H$37,4,0))</f>
        <v>0</v>
      </c>
      <c r="AI28" s="155">
        <f ca="1">IF(AND(I28=0,J28=0,OR(H28&lt;&gt;0,K28&lt;&gt;0),HLOOKUP($F28,Jornada!$X$7:$AD$37,VLOOKUP(INDIRECT($C$5),Jornada!$C$8:$W$37,21,0),0)&gt;$AK$5,M28&gt;$AK$5),VLOOKUP(INDIRECT($C$5),Jornada!$C$8:$H$37,6,0),IF(AG28&gt;VLOOKUP(INDIRECT($C$5),Jornada!$C$8:$H$37,6,0),IF(VLOOKUP(INDIRECT($C$5),Jornada!$C$8:$H$37,6,0)&lt;AG28,0,ABS(VLOOKUP(INDIRECT($C$5),Jornada!$C$8:$H$37,6,0))-AG28),0))</f>
        <v>0</v>
      </c>
      <c r="AJ28" s="155">
        <f t="shared" si="5"/>
        <v>1</v>
      </c>
      <c r="AK28" s="155">
        <f t="shared" si="6"/>
        <v>0</v>
      </c>
      <c r="AL28" s="155">
        <f ca="1">HLOOKUP($F28,Jornada!$I$5:$V$37,VLOOKUP(INDIRECT($C$5),Jornada!$C$8:$W$37,21,0)+2,0)</f>
        <v>0</v>
      </c>
      <c r="AM28" s="155">
        <f ca="1">HLOOKUP($F28,Jornada!$I$4:$V$37,VLOOKUP(INDIRECT($C$5),Jornada!$C$8:$W$37,21,0)+3,0)</f>
        <v>0</v>
      </c>
      <c r="AN28" s="155">
        <f t="shared" ca="1" si="7"/>
        <v>0</v>
      </c>
      <c r="AO28" s="155">
        <f t="shared" si="8"/>
        <v>0</v>
      </c>
      <c r="AP28" s="155">
        <f t="shared" si="9"/>
        <v>0</v>
      </c>
    </row>
    <row r="29" spans="1:59" s="2" customFormat="1" ht="30" customHeight="1" thickTop="1" thickBot="1" x14ac:dyDescent="0.25">
      <c r="A29" s="1"/>
      <c r="B29"/>
      <c r="C29" s="172" t="str">
        <f>IF(Funcionários!C28=0,"",Funcionários!C28)</f>
        <v/>
      </c>
      <c r="D29"/>
      <c r="E29" s="115">
        <f>Lanç!E29</f>
        <v>22</v>
      </c>
      <c r="F29" s="189" t="str">
        <f>Lanç!F29</f>
        <v>Dom</v>
      </c>
      <c r="G29" s="81"/>
      <c r="H29" s="94"/>
      <c r="I29" s="94"/>
      <c r="J29" s="94"/>
      <c r="K29" s="94"/>
      <c r="L29" s="197"/>
      <c r="M29" s="95">
        <f t="shared" si="1"/>
        <v>0</v>
      </c>
      <c r="N29" s="196"/>
      <c r="O29" s="95">
        <f ca="1">IF(OR(G29=0,G29="Férias",G29="Falta Justificada",G29="Feriado",G29="Folga (DSR)"),0,IF(G29="Falta Injustificada",HLOOKUP($F29,Jornada!$X$7:$AD$37,VLOOKUP(INDIRECT($C$5),Jornada!$C$8:$W$37,21,0),0),IF(HLOOKUP($F29,Jornada!$X$7:$AD$37,VLOOKUP(INDIRECT($C$5),Jornada!$C$8:$W$37,21,0),0)-M29&gt;0,HLOOKUP($F29,Jornada!$X$7:$AD$37,VLOOKUP(INDIRECT($C$5),Jornada!$C$8:$W$37,21,0),0)-M29,0)))</f>
        <v>0</v>
      </c>
      <c r="P29" s="193">
        <f ca="1">IF(HLOOKUP($F29,Jornada!$X$7:$AD$37,VLOOKUP(INDIRECT($C$5),Jornada!$C$8:$W$37,21,0),0)-M29&lt;0,ABS(HLOOKUP($F29,Jornada!$X$7:$AD$37,VLOOKUP(INDIRECT($C$5),Jornada!$C$8:$W$37,21,0),0)-M29),0)</f>
        <v>0</v>
      </c>
      <c r="Q29" s="95">
        <f t="shared" si="0"/>
        <v>0</v>
      </c>
      <c r="R29" s="2">
        <f t="shared" si="2"/>
        <v>0</v>
      </c>
      <c r="S29" s="13"/>
      <c r="T29" s="74"/>
      <c r="U29" s="74"/>
      <c r="X29" s="177"/>
      <c r="AB29" s="177">
        <f t="shared" si="10"/>
        <v>22</v>
      </c>
      <c r="AC29" s="2">
        <f t="shared" si="3"/>
        <v>1</v>
      </c>
      <c r="AG29" s="220">
        <f t="shared" si="4"/>
        <v>0</v>
      </c>
      <c r="AH29" s="220">
        <f ca="1">IF(HLOOKUP($F29,Jornada!$X$7:$AD$37,VLOOKUP(INDIRECT($C$5),Jornada!$C$8:$W$37,21,0),0)=0,0,VLOOKUP(INDIRECT($C$5),Jornada!$C$8:$H$37,4,0))</f>
        <v>0</v>
      </c>
      <c r="AI29" s="155">
        <f ca="1">IF(AND(I29=0,J29=0,OR(H29&lt;&gt;0,K29&lt;&gt;0),HLOOKUP($F29,Jornada!$X$7:$AD$37,VLOOKUP(INDIRECT($C$5),Jornada!$C$8:$W$37,21,0),0)&gt;$AK$5,M29&gt;$AK$5),VLOOKUP(INDIRECT($C$5),Jornada!$C$8:$H$37,6,0),IF(AG29&gt;VLOOKUP(INDIRECT($C$5),Jornada!$C$8:$H$37,6,0),IF(VLOOKUP(INDIRECT($C$5),Jornada!$C$8:$H$37,6,0)&lt;AG29,0,ABS(VLOOKUP(INDIRECT($C$5),Jornada!$C$8:$H$37,6,0))-AG29),0))</f>
        <v>0</v>
      </c>
      <c r="AJ29" s="155">
        <f t="shared" si="5"/>
        <v>1</v>
      </c>
      <c r="AK29" s="155">
        <f t="shared" si="6"/>
        <v>0</v>
      </c>
      <c r="AL29" s="155">
        <f ca="1">HLOOKUP($F29,Jornada!$I$5:$V$37,VLOOKUP(INDIRECT($C$5),Jornada!$C$8:$W$37,21,0)+2,0)</f>
        <v>0</v>
      </c>
      <c r="AM29" s="155">
        <f ca="1">HLOOKUP($F29,Jornada!$I$4:$V$37,VLOOKUP(INDIRECT($C$5),Jornada!$C$8:$W$37,21,0)+3,0)</f>
        <v>0</v>
      </c>
      <c r="AN29" s="155">
        <f t="shared" ca="1" si="7"/>
        <v>0</v>
      </c>
      <c r="AO29" s="155">
        <f t="shared" si="8"/>
        <v>0</v>
      </c>
      <c r="AP29" s="155">
        <f t="shared" si="9"/>
        <v>0</v>
      </c>
    </row>
    <row r="30" spans="1:59" s="2" customFormat="1" ht="30" customHeight="1" thickTop="1" thickBot="1" x14ac:dyDescent="0.25">
      <c r="A30" s="1"/>
      <c r="B30"/>
      <c r="C30" s="172" t="str">
        <f>IF(Funcionários!C29=0,"",Funcionários!C29)</f>
        <v/>
      </c>
      <c r="D30"/>
      <c r="E30" s="173">
        <f>Lanç!E30</f>
        <v>23</v>
      </c>
      <c r="F30" s="189" t="str">
        <f>Lanç!F30</f>
        <v>Seg</v>
      </c>
      <c r="G30" s="81"/>
      <c r="H30" s="94"/>
      <c r="I30" s="94"/>
      <c r="J30" s="94"/>
      <c r="K30" s="94"/>
      <c r="L30" s="197"/>
      <c r="M30" s="95">
        <f t="shared" si="1"/>
        <v>0</v>
      </c>
      <c r="N30" s="196"/>
      <c r="O30" s="95">
        <f ca="1">IF(OR(G30=0,G30="Férias",G30="Falta Justificada",G30="Feriado",G30="Folga (DSR)"),0,IF(G30="Falta Injustificada",HLOOKUP($F30,Jornada!$X$7:$AD$37,VLOOKUP(INDIRECT($C$5),Jornada!$C$8:$W$37,21,0),0),IF(HLOOKUP($F30,Jornada!$X$7:$AD$37,VLOOKUP(INDIRECT($C$5),Jornada!$C$8:$W$37,21,0),0)-M30&gt;0,HLOOKUP($F30,Jornada!$X$7:$AD$37,VLOOKUP(INDIRECT($C$5),Jornada!$C$8:$W$37,21,0),0)-M30,0)))</f>
        <v>0</v>
      </c>
      <c r="P30" s="193">
        <f ca="1">IF(HLOOKUP($F30,Jornada!$X$7:$AD$37,VLOOKUP(INDIRECT($C$5),Jornada!$C$8:$W$37,21,0),0)-M30&lt;0,ABS(HLOOKUP($F30,Jornada!$X$7:$AD$37,VLOOKUP(INDIRECT($C$5),Jornada!$C$8:$W$37,21,0),0)-M30),0)</f>
        <v>0</v>
      </c>
      <c r="Q30" s="95">
        <f t="shared" si="0"/>
        <v>0</v>
      </c>
      <c r="R30" s="2">
        <f>IF(Q30&gt;$R$7,1,0)</f>
        <v>0</v>
      </c>
      <c r="S30" s="13"/>
      <c r="T30" s="74"/>
      <c r="U30" s="74"/>
      <c r="X30" s="177"/>
      <c r="AB30" s="177">
        <f t="shared" si="10"/>
        <v>23</v>
      </c>
      <c r="AC30" s="2">
        <f>WEEKDAY(AB30)</f>
        <v>2</v>
      </c>
      <c r="AG30" s="220">
        <f t="shared" si="4"/>
        <v>0</v>
      </c>
      <c r="AH30" s="220">
        <f ca="1">IF(HLOOKUP($F30,Jornada!$X$7:$AD$37,VLOOKUP(INDIRECT($C$5),Jornada!$C$8:$W$37,21,0),0)=0,0,VLOOKUP(INDIRECT($C$5),Jornada!$C$8:$H$37,4,0))</f>
        <v>0</v>
      </c>
      <c r="AI30" s="155">
        <f ca="1">IF(AND(I30=0,J30=0,OR(H30&lt;&gt;0,K30&lt;&gt;0),HLOOKUP($F30,Jornada!$X$7:$AD$37,VLOOKUP(INDIRECT($C$5),Jornada!$C$8:$W$37,21,0),0)&gt;$AK$5,M30&gt;$AK$5),VLOOKUP(INDIRECT($C$5),Jornada!$C$8:$H$37,6,0),IF(AG30&gt;VLOOKUP(INDIRECT($C$5),Jornada!$C$8:$H$37,6,0),IF(VLOOKUP(INDIRECT($C$5),Jornada!$C$8:$H$37,6,0)&lt;AG30,0,ABS(VLOOKUP(INDIRECT($C$5),Jornada!$C$8:$H$37,6,0))-AG30),0))</f>
        <v>0</v>
      </c>
      <c r="AJ30" s="155">
        <f>($AJ$7-K30)+H30</f>
        <v>1</v>
      </c>
      <c r="AK30" s="155">
        <f>IF(AJ30&lt;$AK$7,$AK$7-AJ30,$AI$7)</f>
        <v>0</v>
      </c>
      <c r="AL30" s="155">
        <f ca="1">HLOOKUP($F30,Jornada!$I$5:$V$37,VLOOKUP(INDIRECT($C$5),Jornada!$C$8:$W$37,21,0)+2,0)</f>
        <v>0</v>
      </c>
      <c r="AM30" s="155">
        <f ca="1">HLOOKUP($F30,Jornada!$I$4:$V$37,VLOOKUP(INDIRECT($C$5),Jornada!$C$8:$W$37,21,0)+3,0)</f>
        <v>0</v>
      </c>
      <c r="AN30" s="155">
        <f t="shared" ca="1" si="7"/>
        <v>0</v>
      </c>
      <c r="AO30" s="155">
        <f t="shared" si="8"/>
        <v>0</v>
      </c>
      <c r="AP30" s="155">
        <f t="shared" si="9"/>
        <v>0</v>
      </c>
    </row>
    <row r="31" spans="1:59" s="2" customFormat="1" ht="30" customHeight="1" thickTop="1" thickBot="1" x14ac:dyDescent="0.25">
      <c r="A31" s="1"/>
      <c r="B31"/>
      <c r="C31" s="172" t="str">
        <f>IF(Funcionários!C30=0,"",Funcionários!C30)</f>
        <v/>
      </c>
      <c r="D31"/>
      <c r="E31" s="173">
        <f>Lanç!E31</f>
        <v>24</v>
      </c>
      <c r="F31" s="189" t="str">
        <f>Lanç!F31</f>
        <v>Ter</v>
      </c>
      <c r="G31" s="81"/>
      <c r="H31" s="94"/>
      <c r="I31" s="94"/>
      <c r="J31" s="94"/>
      <c r="K31" s="94"/>
      <c r="L31" s="197"/>
      <c r="M31" s="95">
        <f t="shared" si="1"/>
        <v>0</v>
      </c>
      <c r="N31" s="196"/>
      <c r="O31" s="95">
        <f ca="1">IF(OR(G31=0,G31="Férias",G31="Falta Justificada",G31="Feriado",G31="Folga (DSR)"),0,IF(G31="Falta Injustificada",HLOOKUP($F31,Jornada!$X$7:$AD$37,VLOOKUP(INDIRECT($C$5),Jornada!$C$8:$W$37,21,0),0),IF(HLOOKUP($F31,Jornada!$X$7:$AD$37,VLOOKUP(INDIRECT($C$5),Jornada!$C$8:$W$37,21,0),0)-M31&gt;0,HLOOKUP($F31,Jornada!$X$7:$AD$37,VLOOKUP(INDIRECT($C$5),Jornada!$C$8:$W$37,21,0),0)-M31,0)))</f>
        <v>0</v>
      </c>
      <c r="P31" s="193">
        <f ca="1">IF(HLOOKUP($F31,Jornada!$X$7:$AD$37,VLOOKUP(INDIRECT($C$5),Jornada!$C$8:$W$37,21,0),0)-M31&lt;0,ABS(HLOOKUP($F31,Jornada!$X$7:$AD$37,VLOOKUP(INDIRECT($C$5),Jornada!$C$8:$W$37,21,0),0)-M31),0)</f>
        <v>0</v>
      </c>
      <c r="Q31" s="95">
        <f t="shared" si="0"/>
        <v>0</v>
      </c>
      <c r="R31" s="2">
        <f>IF(Q31&gt;$R$7,1,0)</f>
        <v>0</v>
      </c>
      <c r="S31" s="13"/>
      <c r="T31" s="74"/>
      <c r="U31" s="74"/>
      <c r="X31" s="177"/>
      <c r="AB31" s="177">
        <f t="shared" si="10"/>
        <v>24</v>
      </c>
      <c r="AC31" s="2">
        <f>WEEKDAY(AB31)</f>
        <v>3</v>
      </c>
      <c r="AG31" s="220">
        <f t="shared" si="4"/>
        <v>0</v>
      </c>
      <c r="AH31" s="220">
        <f ca="1">IF(HLOOKUP($F31,Jornada!$X$7:$AD$37,VLOOKUP(INDIRECT($C$5),Jornada!$C$8:$W$37,21,0),0)=0,0,VLOOKUP(INDIRECT($C$5),Jornada!$C$8:$H$37,4,0))</f>
        <v>0</v>
      </c>
      <c r="AI31" s="155">
        <f ca="1">IF(AND(I31=0,J31=0,OR(H31&lt;&gt;0,K31&lt;&gt;0),HLOOKUP($F31,Jornada!$X$7:$AD$37,VLOOKUP(INDIRECT($C$5),Jornada!$C$8:$W$37,21,0),0)&gt;$AK$5,M31&gt;$AK$5),VLOOKUP(INDIRECT($C$5),Jornada!$C$8:$H$37,6,0),IF(AG31&gt;VLOOKUP(INDIRECT($C$5),Jornada!$C$8:$H$37,6,0),IF(VLOOKUP(INDIRECT($C$5),Jornada!$C$8:$H$37,6,0)&lt;AG31,0,ABS(VLOOKUP(INDIRECT($C$5),Jornada!$C$8:$H$37,6,0))-AG31),0))</f>
        <v>0</v>
      </c>
      <c r="AJ31" s="155">
        <f>($AJ$7-K31)+H31</f>
        <v>1</v>
      </c>
      <c r="AK31" s="155">
        <f>IF(AJ31&lt;$AK$7,$AK$7-AJ31,$AI$7)</f>
        <v>0</v>
      </c>
      <c r="AL31" s="155">
        <f ca="1">HLOOKUP($F31,Jornada!$I$5:$V$37,VLOOKUP(INDIRECT($C$5),Jornada!$C$8:$W$37,21,0)+2,0)</f>
        <v>0</v>
      </c>
      <c r="AM31" s="155">
        <f ca="1">HLOOKUP($F31,Jornada!$I$4:$V$37,VLOOKUP(INDIRECT($C$5),Jornada!$C$8:$W$37,21,0)+3,0)</f>
        <v>0</v>
      </c>
      <c r="AN31" s="155">
        <f t="shared" ca="1" si="7"/>
        <v>0</v>
      </c>
      <c r="AO31" s="155">
        <f t="shared" si="8"/>
        <v>0</v>
      </c>
      <c r="AP31" s="155">
        <f t="shared" si="9"/>
        <v>0</v>
      </c>
    </row>
    <row r="32" spans="1:59" s="2" customFormat="1" ht="30" customHeight="1" thickTop="1" thickBot="1" x14ac:dyDescent="0.25">
      <c r="A32" s="1"/>
      <c r="B32"/>
      <c r="C32" s="172" t="str">
        <f>IF(Funcionários!C31=0,"",Funcionários!C31)</f>
        <v/>
      </c>
      <c r="D32"/>
      <c r="E32" s="115">
        <f>Lanç!E32</f>
        <v>25</v>
      </c>
      <c r="F32" s="189" t="str">
        <f>Lanç!F32</f>
        <v>Qua</v>
      </c>
      <c r="G32" s="81"/>
      <c r="H32" s="94"/>
      <c r="I32" s="94"/>
      <c r="J32" s="94"/>
      <c r="K32" s="94"/>
      <c r="L32" s="197"/>
      <c r="M32" s="95">
        <f t="shared" si="1"/>
        <v>0</v>
      </c>
      <c r="N32" s="196"/>
      <c r="O32" s="95">
        <f ca="1">IF(OR(G32=0,G32="Férias",G32="Falta Justificada",G32="Feriado",G32="Folga (DSR)"),0,IF(G32="Falta Injustificada",HLOOKUP($F32,Jornada!$X$7:$AD$37,VLOOKUP(INDIRECT($C$5),Jornada!$C$8:$W$37,21,0),0),IF(HLOOKUP($F32,Jornada!$X$7:$AD$37,VLOOKUP(INDIRECT($C$5),Jornada!$C$8:$W$37,21,0),0)-M32&gt;0,HLOOKUP($F32,Jornada!$X$7:$AD$37,VLOOKUP(INDIRECT($C$5),Jornada!$C$8:$W$37,21,0),0)-M32,0)))</f>
        <v>0</v>
      </c>
      <c r="P32" s="193">
        <f ca="1">IF(HLOOKUP($F32,Jornada!$X$7:$AD$37,VLOOKUP(INDIRECT($C$5),Jornada!$C$8:$W$37,21,0),0)-M32&lt;0,ABS(HLOOKUP($F32,Jornada!$X$7:$AD$37,VLOOKUP(INDIRECT($C$5),Jornada!$C$8:$W$37,21,0),0)-M32),0)</f>
        <v>0</v>
      </c>
      <c r="Q32" s="95">
        <f t="shared" si="0"/>
        <v>0</v>
      </c>
      <c r="R32" s="2">
        <f t="shared" si="2"/>
        <v>0</v>
      </c>
      <c r="S32" s="74"/>
      <c r="T32" s="74"/>
      <c r="U32" s="74"/>
      <c r="X32" s="177"/>
      <c r="AB32" s="177">
        <f t="shared" si="10"/>
        <v>25</v>
      </c>
      <c r="AC32" s="2">
        <f t="shared" si="3"/>
        <v>4</v>
      </c>
      <c r="AG32" s="220">
        <f t="shared" si="4"/>
        <v>0</v>
      </c>
      <c r="AH32" s="220">
        <f ca="1">IF(HLOOKUP($F32,Jornada!$X$7:$AD$37,VLOOKUP(INDIRECT($C$5),Jornada!$C$8:$W$37,21,0),0)=0,0,VLOOKUP(INDIRECT($C$5),Jornada!$C$8:$H$37,4,0))</f>
        <v>0</v>
      </c>
      <c r="AI32" s="155">
        <f ca="1">IF(AND(I32=0,J32=0,OR(H32&lt;&gt;0,K32&lt;&gt;0),HLOOKUP($F32,Jornada!$X$7:$AD$37,VLOOKUP(INDIRECT($C$5),Jornada!$C$8:$W$37,21,0),0)&gt;$AK$5,M32&gt;$AK$5),VLOOKUP(INDIRECT($C$5),Jornada!$C$8:$H$37,6,0),IF(AG32&gt;VLOOKUP(INDIRECT($C$5),Jornada!$C$8:$H$37,6,0),IF(VLOOKUP(INDIRECT($C$5),Jornada!$C$8:$H$37,6,0)&lt;AG32,0,ABS(VLOOKUP(INDIRECT($C$5),Jornada!$C$8:$H$37,6,0))-AG32),0))</f>
        <v>0</v>
      </c>
      <c r="AJ32" s="155">
        <f t="shared" si="5"/>
        <v>1</v>
      </c>
      <c r="AK32" s="155">
        <f t="shared" si="6"/>
        <v>0</v>
      </c>
      <c r="AL32" s="155">
        <f ca="1">HLOOKUP($F32,Jornada!$I$5:$V$37,VLOOKUP(INDIRECT($C$5),Jornada!$C$8:$W$37,21,0)+2,0)</f>
        <v>0</v>
      </c>
      <c r="AM32" s="155">
        <f ca="1">HLOOKUP($F32,Jornada!$I$4:$V$37,VLOOKUP(INDIRECT($C$5),Jornada!$C$8:$W$37,21,0)+3,0)</f>
        <v>0</v>
      </c>
      <c r="AN32" s="155">
        <f t="shared" ca="1" si="7"/>
        <v>0</v>
      </c>
      <c r="AO32" s="155">
        <f t="shared" si="8"/>
        <v>0</v>
      </c>
      <c r="AP32" s="155">
        <f t="shared" si="9"/>
        <v>0</v>
      </c>
    </row>
    <row r="33" spans="1:42" s="2" customFormat="1" ht="30" customHeight="1" thickTop="1" thickBot="1" x14ac:dyDescent="0.25">
      <c r="A33" s="1"/>
      <c r="B33"/>
      <c r="C33" s="172" t="str">
        <f>IF(Funcionários!C32=0,"",Funcionários!C32)</f>
        <v/>
      </c>
      <c r="D33"/>
      <c r="E33" s="115">
        <f>Lanç!E33</f>
        <v>26</v>
      </c>
      <c r="F33" s="189" t="str">
        <f>Lanç!F33</f>
        <v>Qui</v>
      </c>
      <c r="G33" s="81"/>
      <c r="H33" s="94"/>
      <c r="I33" s="94"/>
      <c r="J33" s="94"/>
      <c r="K33" s="94"/>
      <c r="L33" s="197"/>
      <c r="M33" s="95">
        <f t="shared" si="1"/>
        <v>0</v>
      </c>
      <c r="N33" s="196"/>
      <c r="O33" s="95">
        <f ca="1">IF(OR(G33=0,G33="Férias",G33="Falta Justificada",G33="Feriado",G33="Folga (DSR)"),0,IF(G33="Falta Injustificada",HLOOKUP($F33,Jornada!$X$7:$AD$37,VLOOKUP(INDIRECT($C$5),Jornada!$C$8:$W$37,21,0),0),IF(HLOOKUP($F33,Jornada!$X$7:$AD$37,VLOOKUP(INDIRECT($C$5),Jornada!$C$8:$W$37,21,0),0)-M33&gt;0,HLOOKUP($F33,Jornada!$X$7:$AD$37,VLOOKUP(INDIRECT($C$5),Jornada!$C$8:$W$37,21,0),0)-M33,0)))</f>
        <v>0</v>
      </c>
      <c r="P33" s="193">
        <f ca="1">IF(HLOOKUP($F33,Jornada!$X$7:$AD$37,VLOOKUP(INDIRECT($C$5),Jornada!$C$8:$W$37,21,0),0)-M33&lt;0,ABS(HLOOKUP($F33,Jornada!$X$7:$AD$37,VLOOKUP(INDIRECT($C$5),Jornada!$C$8:$W$37,21,0),0)-M33),0)</f>
        <v>0</v>
      </c>
      <c r="Q33" s="95">
        <f t="shared" si="0"/>
        <v>0</v>
      </c>
      <c r="R33" s="2">
        <f t="shared" si="2"/>
        <v>0</v>
      </c>
      <c r="S33" s="74"/>
      <c r="T33" s="74"/>
      <c r="U33" s="74"/>
      <c r="X33" s="177"/>
      <c r="AB33" s="177">
        <f t="shared" si="10"/>
        <v>26</v>
      </c>
      <c r="AC33" s="2">
        <f t="shared" si="3"/>
        <v>5</v>
      </c>
      <c r="AG33" s="220">
        <f t="shared" si="4"/>
        <v>0</v>
      </c>
      <c r="AH33" s="220">
        <f ca="1">IF(HLOOKUP($F33,Jornada!$X$7:$AD$37,VLOOKUP(INDIRECT($C$5),Jornada!$C$8:$W$37,21,0),0)=0,0,VLOOKUP(INDIRECT($C$5),Jornada!$C$8:$H$37,4,0))</f>
        <v>0</v>
      </c>
      <c r="AI33" s="155">
        <f ca="1">IF(AND(I33=0,J33=0,OR(H33&lt;&gt;0,K33&lt;&gt;0),HLOOKUP($F33,Jornada!$X$7:$AD$37,VLOOKUP(INDIRECT($C$5),Jornada!$C$8:$W$37,21,0),0)&gt;$AK$5,M33&gt;$AK$5),VLOOKUP(INDIRECT($C$5),Jornada!$C$8:$H$37,6,0),IF(AG33&gt;VLOOKUP(INDIRECT($C$5),Jornada!$C$8:$H$37,6,0),IF(VLOOKUP(INDIRECT($C$5),Jornada!$C$8:$H$37,6,0)&lt;AG33,0,ABS(VLOOKUP(INDIRECT($C$5),Jornada!$C$8:$H$37,6,0))-AG33),0))</f>
        <v>0</v>
      </c>
      <c r="AJ33" s="155">
        <f t="shared" si="5"/>
        <v>1</v>
      </c>
      <c r="AK33" s="155">
        <f t="shared" si="6"/>
        <v>0</v>
      </c>
      <c r="AL33" s="155">
        <f ca="1">HLOOKUP($F33,Jornada!$I$5:$V$37,VLOOKUP(INDIRECT($C$5),Jornada!$C$8:$W$37,21,0)+2,0)</f>
        <v>0</v>
      </c>
      <c r="AM33" s="155">
        <f ca="1">HLOOKUP($F33,Jornada!$I$4:$V$37,VLOOKUP(INDIRECT($C$5),Jornada!$C$8:$W$37,21,0)+3,0)</f>
        <v>0</v>
      </c>
      <c r="AN33" s="155">
        <f t="shared" ca="1" si="7"/>
        <v>0</v>
      </c>
      <c r="AO33" s="155">
        <f t="shared" si="8"/>
        <v>0</v>
      </c>
      <c r="AP33" s="155">
        <f t="shared" si="9"/>
        <v>0</v>
      </c>
    </row>
    <row r="34" spans="1:42" s="2" customFormat="1" ht="30" customHeight="1" thickTop="1" thickBot="1" x14ac:dyDescent="0.25">
      <c r="A34" s="1"/>
      <c r="B34"/>
      <c r="C34" s="172" t="str">
        <f>IF(Funcionários!C33=0,"",Funcionários!C33)</f>
        <v/>
      </c>
      <c r="D34"/>
      <c r="E34" s="115">
        <f>Lanç!E34</f>
        <v>27</v>
      </c>
      <c r="F34" s="189" t="str">
        <f>Lanç!F34</f>
        <v>Sex</v>
      </c>
      <c r="G34" s="81"/>
      <c r="H34" s="94"/>
      <c r="I34" s="94"/>
      <c r="J34" s="94"/>
      <c r="K34" s="94"/>
      <c r="L34" s="197"/>
      <c r="M34" s="95">
        <f t="shared" si="1"/>
        <v>0</v>
      </c>
      <c r="N34" s="196"/>
      <c r="O34" s="95">
        <f ca="1">IF(OR(G34=0,G34="Férias",G34="Falta Justificada",G34="Feriado",G34="Folga (DSR)"),0,IF(G34="Falta Injustificada",HLOOKUP($F34,Jornada!$X$7:$AD$37,VLOOKUP(INDIRECT($C$5),Jornada!$C$8:$W$37,21,0),0),IF(HLOOKUP($F34,Jornada!$X$7:$AD$37,VLOOKUP(INDIRECT($C$5),Jornada!$C$8:$W$37,21,0),0)-M34&gt;0,HLOOKUP($F34,Jornada!$X$7:$AD$37,VLOOKUP(INDIRECT($C$5),Jornada!$C$8:$W$37,21,0),0)-M34,0)))</f>
        <v>0</v>
      </c>
      <c r="P34" s="193">
        <f ca="1">IF(HLOOKUP($F34,Jornada!$X$7:$AD$37,VLOOKUP(INDIRECT($C$5),Jornada!$C$8:$W$37,21,0),0)-M34&lt;0,ABS(HLOOKUP($F34,Jornada!$X$7:$AD$37,VLOOKUP(INDIRECT($C$5),Jornada!$C$8:$W$37,21,0),0)-M34),0)</f>
        <v>0</v>
      </c>
      <c r="Q34" s="95">
        <f t="shared" si="0"/>
        <v>0</v>
      </c>
      <c r="R34" s="2">
        <f t="shared" si="2"/>
        <v>0</v>
      </c>
      <c r="S34" s="74"/>
      <c r="T34" s="74"/>
      <c r="U34" s="74"/>
      <c r="X34" s="177"/>
      <c r="AB34" s="177">
        <f t="shared" si="10"/>
        <v>27</v>
      </c>
      <c r="AC34" s="2">
        <f t="shared" si="3"/>
        <v>6</v>
      </c>
      <c r="AG34" s="220">
        <f t="shared" si="4"/>
        <v>0</v>
      </c>
      <c r="AH34" s="220">
        <f ca="1">IF(HLOOKUP($F34,Jornada!$X$7:$AD$37,VLOOKUP(INDIRECT($C$5),Jornada!$C$8:$W$37,21,0),0)=0,0,VLOOKUP(INDIRECT($C$5),Jornada!$C$8:$H$37,4,0))</f>
        <v>0</v>
      </c>
      <c r="AI34" s="155">
        <f ca="1">IF(AND(I34=0,J34=0,OR(H34&lt;&gt;0,K34&lt;&gt;0),HLOOKUP($F34,Jornada!$X$7:$AD$37,VLOOKUP(INDIRECT($C$5),Jornada!$C$8:$W$37,21,0),0)&gt;$AK$5,M34&gt;$AK$5),VLOOKUP(INDIRECT($C$5),Jornada!$C$8:$H$37,6,0),IF(AG34&gt;VLOOKUP(INDIRECT($C$5),Jornada!$C$8:$H$37,6,0),IF(VLOOKUP(INDIRECT($C$5),Jornada!$C$8:$H$37,6,0)&lt;AG34,0,ABS(VLOOKUP(INDIRECT($C$5),Jornada!$C$8:$H$37,6,0))-AG34),0))</f>
        <v>0</v>
      </c>
      <c r="AJ34" s="155">
        <f t="shared" si="5"/>
        <v>1</v>
      </c>
      <c r="AK34" s="155">
        <f t="shared" si="6"/>
        <v>0</v>
      </c>
      <c r="AL34" s="155">
        <f ca="1">HLOOKUP($F34,Jornada!$I$5:$V$37,VLOOKUP(INDIRECT($C$5),Jornada!$C$8:$W$37,21,0)+2,0)</f>
        <v>0</v>
      </c>
      <c r="AM34" s="155">
        <f ca="1">HLOOKUP($F34,Jornada!$I$4:$V$37,VLOOKUP(INDIRECT($C$5),Jornada!$C$8:$W$37,21,0)+3,0)</f>
        <v>0</v>
      </c>
      <c r="AN34" s="155">
        <f t="shared" ca="1" si="7"/>
        <v>0</v>
      </c>
      <c r="AO34" s="155">
        <f t="shared" si="8"/>
        <v>0</v>
      </c>
      <c r="AP34" s="155">
        <f t="shared" si="9"/>
        <v>0</v>
      </c>
    </row>
    <row r="35" spans="1:42" s="2" customFormat="1" ht="30" customHeight="1" thickTop="1" thickBot="1" x14ac:dyDescent="0.25">
      <c r="A35" s="1"/>
      <c r="B35"/>
      <c r="C35" s="172" t="str">
        <f>IF(Funcionários!C34=0,"",Funcionários!C34)</f>
        <v/>
      </c>
      <c r="D35"/>
      <c r="E35" s="115">
        <f>Lanç!E35</f>
        <v>28</v>
      </c>
      <c r="F35" s="189" t="str">
        <f>Lanç!F35</f>
        <v>Sáb</v>
      </c>
      <c r="G35" s="81"/>
      <c r="H35" s="94"/>
      <c r="I35" s="94"/>
      <c r="J35" s="94"/>
      <c r="K35" s="94"/>
      <c r="L35" s="197"/>
      <c r="M35" s="95">
        <f t="shared" si="1"/>
        <v>0</v>
      </c>
      <c r="N35" s="196"/>
      <c r="O35" s="95">
        <f ca="1">IF(OR(G35=0,G35="Férias",G35="Falta Justificada",G35="Feriado",G35="Folga (DSR)"),0,IF(G35="Falta Injustificada",HLOOKUP($F35,Jornada!$X$7:$AD$37,VLOOKUP(INDIRECT($C$5),Jornada!$C$8:$W$37,21,0),0),IF(HLOOKUP($F35,Jornada!$X$7:$AD$37,VLOOKUP(INDIRECT($C$5),Jornada!$C$8:$W$37,21,0),0)-M35&gt;0,HLOOKUP($F35,Jornada!$X$7:$AD$37,VLOOKUP(INDIRECT($C$5),Jornada!$C$8:$W$37,21,0),0)-M35,0)))</f>
        <v>0</v>
      </c>
      <c r="P35" s="193">
        <f ca="1">IF(HLOOKUP($F35,Jornada!$X$7:$AD$37,VLOOKUP(INDIRECT($C$5),Jornada!$C$8:$W$37,21,0),0)-M35&lt;0,ABS(HLOOKUP($F35,Jornada!$X$7:$AD$37,VLOOKUP(INDIRECT($C$5),Jornada!$C$8:$W$37,21,0),0)-M35),0)</f>
        <v>0</v>
      </c>
      <c r="Q35" s="95">
        <f t="shared" si="0"/>
        <v>0</v>
      </c>
      <c r="R35" s="2">
        <f t="shared" si="2"/>
        <v>0</v>
      </c>
      <c r="S35"/>
      <c r="T35"/>
      <c r="U35"/>
      <c r="X35" s="177"/>
      <c r="AB35" s="177">
        <f>IF(MONTH(AB34+1)&lt;&gt;MONTH(AB34),"",AB34+1)</f>
        <v>28</v>
      </c>
      <c r="AC35" s="2">
        <f t="shared" si="3"/>
        <v>7</v>
      </c>
      <c r="AG35" s="220">
        <f t="shared" si="4"/>
        <v>0</v>
      </c>
      <c r="AH35" s="220">
        <f ca="1">IF(HLOOKUP($F35,Jornada!$X$7:$AD$37,VLOOKUP(INDIRECT($C$5),Jornada!$C$8:$W$37,21,0),0)=0,0,VLOOKUP(INDIRECT($C$5),Jornada!$C$8:$H$37,4,0))</f>
        <v>0</v>
      </c>
      <c r="AI35" s="155">
        <f ca="1">IF(AND(I35=0,J35=0,OR(H35&lt;&gt;0,K35&lt;&gt;0),HLOOKUP($F35,Jornada!$X$7:$AD$37,VLOOKUP(INDIRECT($C$5),Jornada!$C$8:$W$37,21,0),0)&gt;$AK$5,M35&gt;$AK$5),VLOOKUP(INDIRECT($C$5),Jornada!$C$8:$H$37,6,0),IF(AG35&gt;VLOOKUP(INDIRECT($C$5),Jornada!$C$8:$H$37,6,0),IF(VLOOKUP(INDIRECT($C$5),Jornada!$C$8:$H$37,6,0)&lt;AG35,0,ABS(VLOOKUP(INDIRECT($C$5),Jornada!$C$8:$H$37,6,0))-AG35),0))</f>
        <v>0</v>
      </c>
      <c r="AJ35" s="155">
        <f t="shared" si="5"/>
        <v>1</v>
      </c>
      <c r="AK35" s="155">
        <f t="shared" si="6"/>
        <v>0</v>
      </c>
      <c r="AL35" s="155">
        <f ca="1">HLOOKUP($F35,Jornada!$I$5:$V$37,VLOOKUP(INDIRECT($C$5),Jornada!$C$8:$W$37,21,0)+2,0)</f>
        <v>0</v>
      </c>
      <c r="AM35" s="155">
        <f ca="1">HLOOKUP($F35,Jornada!$I$4:$V$37,VLOOKUP(INDIRECT($C$5),Jornada!$C$8:$W$37,21,0)+3,0)</f>
        <v>0</v>
      </c>
      <c r="AN35" s="155">
        <f t="shared" ca="1" si="7"/>
        <v>0</v>
      </c>
      <c r="AO35" s="155">
        <f t="shared" si="8"/>
        <v>0</v>
      </c>
      <c r="AP35" s="155">
        <f t="shared" si="9"/>
        <v>0</v>
      </c>
    </row>
    <row r="36" spans="1:42" s="2" customFormat="1" ht="30" customHeight="1" thickTop="1" thickBot="1" x14ac:dyDescent="0.25">
      <c r="A36" s="1"/>
      <c r="B36"/>
      <c r="C36" s="172" t="str">
        <f>IF(Funcionários!C35=0,"",Funcionários!C35)</f>
        <v/>
      </c>
      <c r="D36"/>
      <c r="E36" s="114">
        <f>Lanç!E36</f>
        <v>29</v>
      </c>
      <c r="F36" s="189" t="str">
        <f>Lanç!F36</f>
        <v>Dom</v>
      </c>
      <c r="G36" s="81"/>
      <c r="H36" s="94"/>
      <c r="I36" s="94"/>
      <c r="J36" s="94"/>
      <c r="K36" s="94"/>
      <c r="L36" s="197"/>
      <c r="M36" s="95">
        <f t="shared" si="1"/>
        <v>0</v>
      </c>
      <c r="N36" s="196"/>
      <c r="O36" s="95">
        <f ca="1">IF(OR(G36=0,G36="Férias",G36="Falta Justificada",G36="Feriado",G36="Folga (DSR)"),0,IF(G36="Falta Injustificada",HLOOKUP($F36,Jornada!$X$7:$AD$37,VLOOKUP(INDIRECT($C$5),Jornada!$C$8:$W$37,21,0),0),IF(HLOOKUP($F36,Jornada!$X$7:$AD$37,VLOOKUP(INDIRECT($C$5),Jornada!$C$8:$W$37,21,0),0)-M36&gt;0,HLOOKUP($F36,Jornada!$X$7:$AD$37,VLOOKUP(INDIRECT($C$5),Jornada!$C$8:$W$37,21,0),0)-M36,0)))</f>
        <v>0</v>
      </c>
      <c r="P36" s="193">
        <f ca="1">IF(HLOOKUP($F36,Jornada!$X$7:$AD$37,VLOOKUP(INDIRECT($C$5),Jornada!$C$8:$W$37,21,0),0)-M36&lt;0,ABS(HLOOKUP($F36,Jornada!$X$7:$AD$37,VLOOKUP(INDIRECT($C$5),Jornada!$C$8:$W$37,21,0),0)-M36),0)</f>
        <v>0</v>
      </c>
      <c r="Q36" s="95">
        <f t="shared" si="0"/>
        <v>0</v>
      </c>
      <c r="R36" s="2">
        <f t="shared" si="2"/>
        <v>0</v>
      </c>
      <c r="S36"/>
      <c r="T36"/>
      <c r="U36"/>
      <c r="X36" s="177"/>
      <c r="AB36" s="177">
        <f>IF(MONTH(AB35+1)&lt;&gt;MONTH(AB35),"",IF(AB35="","",AB35+1))</f>
        <v>29</v>
      </c>
      <c r="AC36" s="2">
        <f>IF(ISERROR(WEEKDAY(AB36)),"",WEEKDAY(AB36))</f>
        <v>1</v>
      </c>
      <c r="AG36" s="220">
        <f t="shared" si="4"/>
        <v>0</v>
      </c>
      <c r="AH36" s="220">
        <f ca="1">IF(HLOOKUP($F36,Jornada!$X$7:$AD$37,VLOOKUP(INDIRECT($C$5),Jornada!$C$8:$W$37,21,0),0)=0,0,VLOOKUP(INDIRECT($C$5),Jornada!$C$8:$H$37,4,0))</f>
        <v>0</v>
      </c>
      <c r="AI36" s="155">
        <f ca="1">IF(AND(I36=0,J36=0,OR(H36&lt;&gt;0,K36&lt;&gt;0),HLOOKUP($F36,Jornada!$X$7:$AD$37,VLOOKUP(INDIRECT($C$5),Jornada!$C$8:$W$37,21,0),0)&gt;$AK$5,M36&gt;$AK$5),VLOOKUP(INDIRECT($C$5),Jornada!$C$8:$H$37,6,0),IF(AG36&gt;VLOOKUP(INDIRECT($C$5),Jornada!$C$8:$H$37,6,0),IF(VLOOKUP(INDIRECT($C$5),Jornada!$C$8:$H$37,6,0)&lt;AG36,0,ABS(VLOOKUP(INDIRECT($C$5),Jornada!$C$8:$H$37,6,0))-AG36),0))</f>
        <v>0</v>
      </c>
      <c r="AJ36" s="155">
        <f t="shared" si="5"/>
        <v>1</v>
      </c>
      <c r="AK36" s="155">
        <f t="shared" si="6"/>
        <v>0</v>
      </c>
      <c r="AL36" s="155">
        <f ca="1">HLOOKUP($F36,Jornada!$I$5:$V$37,VLOOKUP(INDIRECT($C$5),Jornada!$C$8:$W$37,21,0)+2,0)</f>
        <v>0</v>
      </c>
      <c r="AM36" s="155">
        <f ca="1">HLOOKUP($F36,Jornada!$I$4:$V$37,VLOOKUP(INDIRECT($C$5),Jornada!$C$8:$W$37,21,0)+3,0)</f>
        <v>0</v>
      </c>
      <c r="AN36" s="155">
        <f t="shared" ca="1" si="7"/>
        <v>0</v>
      </c>
      <c r="AO36" s="155">
        <f t="shared" si="8"/>
        <v>0</v>
      </c>
      <c r="AP36" s="155">
        <f t="shared" si="9"/>
        <v>0</v>
      </c>
    </row>
    <row r="37" spans="1:42" s="2" customFormat="1" ht="30" customHeight="1" thickTop="1" thickBot="1" x14ac:dyDescent="0.25">
      <c r="A37" s="1"/>
      <c r="B37"/>
      <c r="C37" s="172" t="str">
        <f>IF(Funcionários!C36=0,"",Funcionários!C36)</f>
        <v/>
      </c>
      <c r="D37"/>
      <c r="E37" s="114">
        <f>Lanç!E37</f>
        <v>30</v>
      </c>
      <c r="F37" s="189" t="str">
        <f>Lanç!F37</f>
        <v>Seg</v>
      </c>
      <c r="G37" s="81"/>
      <c r="H37" s="94"/>
      <c r="I37" s="94"/>
      <c r="J37" s="94"/>
      <c r="K37" s="94"/>
      <c r="L37" s="197"/>
      <c r="M37" s="95">
        <f t="shared" si="1"/>
        <v>0</v>
      </c>
      <c r="N37" s="196"/>
      <c r="O37" s="95">
        <f ca="1">IF(OR(G37=0,G37="Férias",G37="Falta Justificada",G37="Feriado",G37="Folga (DSR)"),0,IF(G37="Falta Injustificada",HLOOKUP($F37,Jornada!$X$7:$AD$37,VLOOKUP(INDIRECT($C$5),Jornada!$C$8:$W$37,21,0),0),IF(HLOOKUP($F37,Jornada!$X$7:$AD$37,VLOOKUP(INDIRECT($C$5),Jornada!$C$8:$W$37,21,0),0)-M37&gt;0,HLOOKUP($F37,Jornada!$X$7:$AD$37,VLOOKUP(INDIRECT($C$5),Jornada!$C$8:$W$37,21,0),0)-M37,0)))</f>
        <v>0</v>
      </c>
      <c r="P37" s="193">
        <f ca="1">IF(HLOOKUP($F37,Jornada!$X$7:$AD$37,VLOOKUP(INDIRECT($C$5),Jornada!$C$8:$W$37,21,0),0)-M37&lt;0,ABS(HLOOKUP($F37,Jornada!$X$7:$AD$37,VLOOKUP(INDIRECT($C$5),Jornada!$C$8:$W$37,21,0),0)-M37),0)</f>
        <v>0</v>
      </c>
      <c r="Q37" s="95">
        <f t="shared" si="0"/>
        <v>0</v>
      </c>
      <c r="R37" s="2">
        <f t="shared" si="2"/>
        <v>0</v>
      </c>
      <c r="S37"/>
      <c r="T37"/>
      <c r="U37"/>
      <c r="X37" s="177"/>
      <c r="AB37" s="177">
        <f>IF(AB36="","",IF(MONTH(AB36+1)&lt;&gt;MONTH(AB36),"",AB36+1))</f>
        <v>30</v>
      </c>
      <c r="AC37" s="2">
        <f>IF(ISERROR(WEEKDAY(AB37)),"",WEEKDAY(AB37))</f>
        <v>2</v>
      </c>
      <c r="AG37" s="220">
        <f t="shared" si="4"/>
        <v>0</v>
      </c>
      <c r="AH37" s="220">
        <f ca="1">IF(HLOOKUP($F37,Jornada!$X$7:$AD$37,VLOOKUP(INDIRECT($C$5),Jornada!$C$8:$W$37,21,0),0)=0,0,VLOOKUP(INDIRECT($C$5),Jornada!$C$8:$H$37,4,0))</f>
        <v>0</v>
      </c>
      <c r="AI37" s="155">
        <f ca="1">IF(AND(I37=0,J37=0,OR(H37&lt;&gt;0,K37&lt;&gt;0),HLOOKUP($F37,Jornada!$X$7:$AD$37,VLOOKUP(INDIRECT($C$5),Jornada!$C$8:$W$37,21,0),0)&gt;$AK$5,M37&gt;$AK$5),VLOOKUP(INDIRECT($C$5),Jornada!$C$8:$H$37,6,0),IF(AG37&gt;VLOOKUP(INDIRECT($C$5),Jornada!$C$8:$H$37,6,0),IF(VLOOKUP(INDIRECT($C$5),Jornada!$C$8:$H$37,6,0)&lt;AG37,0,ABS(VLOOKUP(INDIRECT($C$5),Jornada!$C$8:$H$37,6,0))-AG37),0))</f>
        <v>0</v>
      </c>
      <c r="AJ37" s="155">
        <f t="shared" si="5"/>
        <v>1</v>
      </c>
      <c r="AK37" s="155">
        <f t="shared" si="6"/>
        <v>0</v>
      </c>
      <c r="AL37" s="155">
        <f ca="1">HLOOKUP($F37,Jornada!$I$5:$V$37,VLOOKUP(INDIRECT($C$5),Jornada!$C$8:$W$37,21,0)+2,0)</f>
        <v>0</v>
      </c>
      <c r="AM37" s="155">
        <f ca="1">HLOOKUP($F37,Jornada!$I$4:$V$37,VLOOKUP(INDIRECT($C$5),Jornada!$C$8:$W$37,21,0)+3,0)</f>
        <v>0</v>
      </c>
      <c r="AN37" s="155">
        <f t="shared" ca="1" si="7"/>
        <v>0</v>
      </c>
      <c r="AO37" s="155">
        <f t="shared" si="8"/>
        <v>0</v>
      </c>
      <c r="AP37" s="155">
        <f t="shared" si="9"/>
        <v>0</v>
      </c>
    </row>
    <row r="38" spans="1:42" s="2" customFormat="1" ht="30" customHeight="1" thickTop="1" thickBot="1" x14ac:dyDescent="0.25">
      <c r="A38" s="1"/>
      <c r="B38"/>
      <c r="C38"/>
      <c r="D38" s="2">
        <f t="shared" ref="D38" si="11">IF(D37=7,1,D37+1)</f>
        <v>1</v>
      </c>
      <c r="E38" s="210">
        <f>Lanç!E38</f>
        <v>31</v>
      </c>
      <c r="F38" s="210" t="str">
        <f>Lanç!F38</f>
        <v>Ter</v>
      </c>
      <c r="G38" s="81"/>
      <c r="H38" s="94"/>
      <c r="I38" s="94"/>
      <c r="J38" s="94"/>
      <c r="K38" s="94"/>
      <c r="L38" s="197"/>
      <c r="M38" s="95">
        <f t="shared" si="1"/>
        <v>0</v>
      </c>
      <c r="N38" s="196"/>
      <c r="O38" s="95">
        <f ca="1">IF(OR(G38=0,G38="Férias",G38="Falta Justificada",G38="Feriado",G38="Folga (DSR)"),0,IF(G38="Falta Injustificada",HLOOKUP($F38,Jornada!$X$7:$AD$37,VLOOKUP(INDIRECT($C$5),Jornada!$C$8:$W$37,21,0),0),IF(HLOOKUP($F38,Jornada!$X$7:$AD$37,VLOOKUP(INDIRECT($C$5),Jornada!$C$8:$W$37,21,0),0)-M38&gt;0,HLOOKUP($F38,Jornada!$X$7:$AD$37,VLOOKUP(INDIRECT($C$5),Jornada!$C$8:$W$37,21,0),0)-M38,0)))</f>
        <v>0</v>
      </c>
      <c r="P38" s="201">
        <f ca="1">IF(HLOOKUP($F38,Jornada!$X$7:$AD$37,VLOOKUP(INDIRECT($C$5),Jornada!$C$8:$W$37,21,0),0)-M38&lt;0,ABS(HLOOKUP($F38,Jornada!$X$7:$AD$37,VLOOKUP(INDIRECT($C$5),Jornada!$C$8:$W$37,21,0),0)-M38),0)</f>
        <v>0</v>
      </c>
      <c r="Q38" s="95">
        <f t="shared" si="0"/>
        <v>0</v>
      </c>
      <c r="R38" s="2">
        <f t="shared" si="2"/>
        <v>0</v>
      </c>
      <c r="X38" s="177"/>
      <c r="AB38" s="177">
        <f>IF(AB37="","",IF(MONTH(AB37+1)&lt;&gt;MONTH(AB37),"",AB37+1))</f>
        <v>31</v>
      </c>
      <c r="AC38" s="2">
        <f>IF(ISERROR(WEEKDAY(AB38)),"",WEEKDAY(AB38))</f>
        <v>3</v>
      </c>
      <c r="AG38" s="220">
        <f t="shared" si="4"/>
        <v>0</v>
      </c>
      <c r="AH38" s="220">
        <f ca="1">IF(HLOOKUP($F38,Jornada!$X$7:$AD$37,VLOOKUP(INDIRECT($C$5),Jornada!$C$8:$W$37,21,0),0)=0,0,VLOOKUP(INDIRECT($C$5),Jornada!$C$8:$H$37,4,0))</f>
        <v>0</v>
      </c>
      <c r="AI38" s="155">
        <f ca="1">IF(AND(I38=0,J38=0,OR(H38&lt;&gt;0,K38&lt;&gt;0),HLOOKUP($F38,Jornada!$X$7:$AD$37,VLOOKUP(INDIRECT($C$5),Jornada!$C$8:$W$37,21,0),0)&gt;$AK$5,M38&gt;$AK$5),VLOOKUP(INDIRECT($C$5),Jornada!$C$8:$H$37,6,0),IF(AG38&gt;VLOOKUP(INDIRECT($C$5),Jornada!$C$8:$H$37,6,0),IF(VLOOKUP(INDIRECT($C$5),Jornada!$C$8:$H$37,6,0)&lt;AG38,0,ABS(VLOOKUP(INDIRECT($C$5),Jornada!$C$8:$H$37,6,0))-AG38),0))</f>
        <v>0</v>
      </c>
      <c r="AJ38" s="155">
        <f t="shared" si="5"/>
        <v>1</v>
      </c>
      <c r="AK38" s="155">
        <f t="shared" si="6"/>
        <v>0</v>
      </c>
      <c r="AL38" s="155">
        <f ca="1">HLOOKUP($F38,Jornada!$I$5:$V$37,VLOOKUP(INDIRECT($C$5),Jornada!$C$8:$W$37,21,0)+2,0)</f>
        <v>0</v>
      </c>
      <c r="AM38" s="155">
        <f ca="1">HLOOKUP($F38,Jornada!$I$4:$V$37,VLOOKUP(INDIRECT($C$5),Jornada!$C$8:$W$37,21,0)+3,0)</f>
        <v>0</v>
      </c>
      <c r="AN38" s="155">
        <f t="shared" ca="1" si="7"/>
        <v>0</v>
      </c>
      <c r="AO38" s="155">
        <f t="shared" si="8"/>
        <v>0</v>
      </c>
      <c r="AP38" s="155">
        <f t="shared" si="9"/>
        <v>0</v>
      </c>
    </row>
    <row r="39" spans="1:42" s="2" customFormat="1" ht="30" customHeight="1" thickTop="1" x14ac:dyDescent="0.2">
      <c r="A39" s="9"/>
      <c r="B39" s="234"/>
      <c r="C39" s="234"/>
      <c r="D39" s="234"/>
      <c r="E39" s="236">
        <f>EOMONTH(AB8,0)</f>
        <v>31</v>
      </c>
      <c r="F39" s="234">
        <f>DAY(E39)</f>
        <v>31</v>
      </c>
      <c r="G39" s="237">
        <f>COUNTIF(F8:F38,"Dom")+COUNTIF(G8:G38,"Feriado")</f>
        <v>5</v>
      </c>
      <c r="H39" s="238">
        <f>(SUM(Q8:Q38)/(F39-G39))*G39</f>
        <v>0</v>
      </c>
      <c r="I39" s="234"/>
      <c r="J39" s="234"/>
      <c r="K39" s="234"/>
      <c r="L39" s="234"/>
      <c r="M39" s="234"/>
      <c r="Z39" s="219"/>
    </row>
    <row r="40" spans="1:42" s="2" customFormat="1" ht="30" customHeight="1" x14ac:dyDescent="0.2">
      <c r="A40" s="9"/>
      <c r="B40" s="234"/>
      <c r="C40" s="239"/>
      <c r="D40" s="239"/>
      <c r="E40" s="239"/>
      <c r="F40" s="240"/>
      <c r="G40" s="241"/>
      <c r="H40" s="234">
        <f ca="1">IF(INDIRECT($C$5)="",0,VLOOKUP(INDIRECT($C$5),Funcionários!$C$7:$E$36,3,0)+IF(VLOOKUP(INDIRECT($C$5),Jornada!$C$8:$E$37,2,0)="Sim",IF('P Gerais'!$I$8&lt;&gt;0,VLOOKUP(INDIRECT($C$5),Funcionários!$C$7:$E$36,3,0)*'P Gerais'!$L$14,'P Gerais'!$I$8*'P Gerais'!$L$14),0)+IF(VLOOKUP(INDIRECT($C$5),Jornada!$C$8:$E$37,3,0)="Sim",VLOOKUP(INDIRECT($C$5),Funcionários!$C$7:$E$36,3,0)*'P Gerais'!$K$14,0))</f>
        <v>0</v>
      </c>
      <c r="I40" s="234">
        <f ca="1">VLOOKUP(INDIRECT($C$5),Jornada!$C$8:$AF$37,30,0)</f>
        <v>0</v>
      </c>
      <c r="J40" s="234" t="s">
        <v>298</v>
      </c>
      <c r="K40" s="242">
        <f ca="1">IF(I40=0,0,H40/I40)</f>
        <v>0</v>
      </c>
      <c r="L40" s="234"/>
      <c r="M40" s="234"/>
      <c r="Z40" s="219"/>
    </row>
    <row r="41" spans="1:42" s="2" customFormat="1" ht="30" customHeight="1" x14ac:dyDescent="0.2">
      <c r="A41" s="9"/>
      <c r="B41" s="234" t="s">
        <v>52</v>
      </c>
      <c r="C41" s="292" t="s">
        <v>75</v>
      </c>
      <c r="D41" s="292"/>
      <c r="E41" s="292"/>
      <c r="F41" s="243">
        <f t="shared" ref="F41:F47" si="12">SUMIFS($Q$8:$Q$38,$F$8:$F$38,$B41,$G$8:$G$38,"Normal")</f>
        <v>0</v>
      </c>
      <c r="G41" s="244">
        <f>IF($M$41="Sistema de banco de horas",0,'P Gerais'!$C$14)</f>
        <v>0.5</v>
      </c>
      <c r="H41" s="245">
        <f t="shared" ref="H41:H48" ca="1" si="13">IF($M$41="Sistema de banco de horas",0,$K$40*(1+G41)*(F41*24))</f>
        <v>0</v>
      </c>
      <c r="I41" s="243">
        <f t="shared" ref="I41:I47" ca="1" si="14">IF(SUMIF($F$8:$F$38,$B41,$Q$8:$Q$38)-SUMIFS($M$8:$M$38,$F$8:$F$38,$B41,$G$8:$G$38,"Feriado")-SUMIFS($M$8:$M$38,$F$8:$F$38,$B41,$G$8:$G$38,"Folga (DSR)")-SUMIFS($M$8:$M$38,$F$8:$F$38,$B41,$G$8:$G$38,"Férias")-SUMIF($F$8:$F$38,$B41,$AN$8:$AN$38)-SUMIF($F$8:$F$38,$B41,$AO$8:$AO$38)&lt;0,0,SUMIF($F$8:$F$38,$B41,$Q$8:$Q$38)-SUMIFS($M$8:$M$38,$F$8:$F$38,$B41,$G$8:$G$38,"Feriado")-SUMIFS($M$8:$M$38,$F$8:$F$38,$B41,$G$8:$G$38,"Folga (DSR)")-SUMIFS($M$8:$M$38,$F$8:$F$38,$B41,$G$8:$G$38,"Férias")-SUMIF($F$8:$F$38,$B41,$AN$8:$AN$38)-SUMIF($F$8:$F$38,$B41,$AO$8:$AO$38))</f>
        <v>0</v>
      </c>
      <c r="J41" s="245">
        <f ca="1">H41</f>
        <v>0</v>
      </c>
      <c r="K41" s="234"/>
      <c r="L41" s="234"/>
      <c r="M41" s="234">
        <f>'P Gerais'!I10</f>
        <v>0</v>
      </c>
      <c r="Z41" s="219"/>
    </row>
    <row r="42" spans="1:42" s="2" customFormat="1" ht="30" customHeight="1" x14ac:dyDescent="0.2">
      <c r="A42" s="9"/>
      <c r="B42" s="234" t="s">
        <v>53</v>
      </c>
      <c r="C42" s="292" t="s">
        <v>76</v>
      </c>
      <c r="D42" s="292"/>
      <c r="E42" s="292"/>
      <c r="F42" s="243">
        <f t="shared" si="12"/>
        <v>0</v>
      </c>
      <c r="G42" s="244">
        <f>IF($M$41="Sistema de banco de horas",0,'P Gerais'!$C$14)</f>
        <v>0.5</v>
      </c>
      <c r="H42" s="245">
        <f t="shared" ca="1" si="13"/>
        <v>0</v>
      </c>
      <c r="I42" s="243">
        <f t="shared" ca="1" si="14"/>
        <v>0</v>
      </c>
      <c r="J42" s="245">
        <f t="shared" ref="J42:J51" ca="1" si="15">H42</f>
        <v>0</v>
      </c>
      <c r="K42" s="234"/>
      <c r="L42" s="234"/>
      <c r="M42" s="234"/>
      <c r="Z42" s="219"/>
    </row>
    <row r="43" spans="1:42" s="2" customFormat="1" ht="30" customHeight="1" x14ac:dyDescent="0.2">
      <c r="A43" s="9"/>
      <c r="B43" s="234" t="s">
        <v>54</v>
      </c>
      <c r="C43" s="292" t="s">
        <v>77</v>
      </c>
      <c r="D43" s="292"/>
      <c r="E43" s="292"/>
      <c r="F43" s="243">
        <f t="shared" si="12"/>
        <v>0</v>
      </c>
      <c r="G43" s="244">
        <f>IF($M$41="Sistema de banco de horas",0,'P Gerais'!$C$14)</f>
        <v>0.5</v>
      </c>
      <c r="H43" s="245">
        <f t="shared" ca="1" si="13"/>
        <v>0</v>
      </c>
      <c r="I43" s="243">
        <f t="shared" ca="1" si="14"/>
        <v>0</v>
      </c>
      <c r="J43" s="245">
        <f t="shared" ca="1" si="15"/>
        <v>0</v>
      </c>
      <c r="K43" s="234"/>
      <c r="L43" s="234"/>
      <c r="M43" s="234"/>
      <c r="Z43" s="219"/>
    </row>
    <row r="44" spans="1:42" s="2" customFormat="1" ht="30" customHeight="1" x14ac:dyDescent="0.2">
      <c r="A44" s="9"/>
      <c r="B44" s="234" t="s">
        <v>55</v>
      </c>
      <c r="C44" s="292" t="s">
        <v>78</v>
      </c>
      <c r="D44" s="292"/>
      <c r="E44" s="292"/>
      <c r="F44" s="243">
        <f t="shared" si="12"/>
        <v>0</v>
      </c>
      <c r="G44" s="244">
        <f>IF($M$41="Sistema de banco de horas",0,'P Gerais'!$C$14)</f>
        <v>0.5</v>
      </c>
      <c r="H44" s="245">
        <f t="shared" ca="1" si="13"/>
        <v>0</v>
      </c>
      <c r="I44" s="243">
        <f t="shared" ca="1" si="14"/>
        <v>0</v>
      </c>
      <c r="J44" s="245">
        <f t="shared" ca="1" si="15"/>
        <v>0</v>
      </c>
      <c r="K44" s="234"/>
      <c r="L44" s="234"/>
      <c r="M44" s="234"/>
      <c r="Z44" s="219"/>
    </row>
    <row r="45" spans="1:42" s="2" customFormat="1" ht="30" customHeight="1" x14ac:dyDescent="0.2">
      <c r="A45" s="9"/>
      <c r="B45" s="234" t="s">
        <v>56</v>
      </c>
      <c r="C45" s="292" t="s">
        <v>79</v>
      </c>
      <c r="D45" s="292"/>
      <c r="E45" s="292"/>
      <c r="F45" s="243">
        <f t="shared" si="12"/>
        <v>0</v>
      </c>
      <c r="G45" s="244">
        <f>IF($M$41="Sistema de banco de horas",0,'P Gerais'!$C$14)</f>
        <v>0.5</v>
      </c>
      <c r="H45" s="245">
        <f t="shared" ca="1" si="13"/>
        <v>0</v>
      </c>
      <c r="I45" s="243">
        <f t="shared" ca="1" si="14"/>
        <v>0</v>
      </c>
      <c r="J45" s="245">
        <f t="shared" ca="1" si="15"/>
        <v>0</v>
      </c>
      <c r="K45" s="234"/>
      <c r="L45" s="234"/>
      <c r="M45" s="234"/>
      <c r="Z45" s="219"/>
    </row>
    <row r="46" spans="1:42" s="2" customFormat="1" ht="30" customHeight="1" x14ac:dyDescent="0.2">
      <c r="A46" s="9"/>
      <c r="B46" s="234" t="s">
        <v>57</v>
      </c>
      <c r="C46" s="292" t="s">
        <v>82</v>
      </c>
      <c r="D46" s="292"/>
      <c r="E46" s="292"/>
      <c r="F46" s="243">
        <f t="shared" si="12"/>
        <v>0</v>
      </c>
      <c r="G46" s="244">
        <f>IF($M$41="Sistema de banco de horas",0,'P Gerais'!$E$14)</f>
        <v>0.5</v>
      </c>
      <c r="H46" s="245">
        <f t="shared" ca="1" si="13"/>
        <v>0</v>
      </c>
      <c r="I46" s="243">
        <f t="shared" ca="1" si="14"/>
        <v>0</v>
      </c>
      <c r="J46" s="245">
        <f t="shared" ca="1" si="15"/>
        <v>0</v>
      </c>
      <c r="K46" s="234"/>
      <c r="L46" s="234"/>
      <c r="M46" s="234"/>
      <c r="Z46" s="219"/>
    </row>
    <row r="47" spans="1:42" s="2" customFormat="1" ht="30" customHeight="1" x14ac:dyDescent="0.2">
      <c r="A47" s="9"/>
      <c r="B47" s="234" t="s">
        <v>51</v>
      </c>
      <c r="C47" s="292" t="s">
        <v>81</v>
      </c>
      <c r="D47" s="292"/>
      <c r="E47" s="292"/>
      <c r="F47" s="243">
        <f t="shared" si="12"/>
        <v>0</v>
      </c>
      <c r="G47" s="244">
        <f>IF($M$41="Sistema de banco de horas",0,'P Gerais'!$F$14)</f>
        <v>1</v>
      </c>
      <c r="H47" s="245">
        <f t="shared" ca="1" si="13"/>
        <v>0</v>
      </c>
      <c r="I47" s="243">
        <f t="shared" ca="1" si="14"/>
        <v>0</v>
      </c>
      <c r="J47" s="245">
        <f t="shared" ca="1" si="15"/>
        <v>0</v>
      </c>
      <c r="K47" s="234"/>
      <c r="L47" s="234"/>
      <c r="M47" s="234"/>
      <c r="Z47" s="219"/>
    </row>
    <row r="48" spans="1:42" s="2" customFormat="1" ht="30" customHeight="1" x14ac:dyDescent="0.2">
      <c r="A48" s="9"/>
      <c r="B48" s="234"/>
      <c r="C48" s="292" t="s">
        <v>80</v>
      </c>
      <c r="D48" s="292"/>
      <c r="E48" s="292"/>
      <c r="F48" s="243">
        <f>SUMIFS($Q$8:$Q$38,$G$8:$G$38,"Feriado")</f>
        <v>0</v>
      </c>
      <c r="G48" s="244">
        <f>IF($M$41="Sistema de banco de horas",0,'P Gerais'!$I$14)</f>
        <v>1</v>
      </c>
      <c r="H48" s="245">
        <f t="shared" ca="1" si="13"/>
        <v>0</v>
      </c>
      <c r="I48" s="243"/>
      <c r="J48" s="245">
        <f t="shared" ca="1" si="15"/>
        <v>0</v>
      </c>
      <c r="K48" s="234"/>
      <c r="L48" s="234"/>
      <c r="M48" s="234"/>
      <c r="Z48" s="219"/>
    </row>
    <row r="49" spans="1:26" s="2" customFormat="1" ht="15" x14ac:dyDescent="0.2">
      <c r="A49" s="9"/>
      <c r="B49" s="234"/>
      <c r="C49" s="292" t="s">
        <v>146</v>
      </c>
      <c r="D49" s="292"/>
      <c r="E49" s="292"/>
      <c r="F49" s="243">
        <f>SUMIFS($Q$8:$Q$38,$G$8:$G$38,"Folga (DSR)")</f>
        <v>0</v>
      </c>
      <c r="G49" s="244">
        <f>IF($M$41="Sistema de banco de horas",0,'P Gerais'!H14)</f>
        <v>1</v>
      </c>
      <c r="H49" s="245">
        <f ca="1">((F53/(F39-G39))*G39)</f>
        <v>0</v>
      </c>
      <c r="I49" s="243"/>
      <c r="J49" s="245">
        <f t="shared" ca="1" si="15"/>
        <v>0</v>
      </c>
      <c r="K49" s="234"/>
      <c r="L49" s="234"/>
      <c r="M49" s="234"/>
      <c r="Z49" s="219"/>
    </row>
    <row r="50" spans="1:26" s="2" customFormat="1" ht="15" x14ac:dyDescent="0.2">
      <c r="A50" s="9"/>
      <c r="B50" s="234"/>
      <c r="C50" s="292" t="s">
        <v>84</v>
      </c>
      <c r="D50" s="292"/>
      <c r="E50" s="292"/>
      <c r="F50" s="243">
        <f ca="1">IF($M$41="Sistema de banco de horas",(SUM(AI$8:AI$38)*(1+G50)),SUM(AI$8:AI$38))</f>
        <v>0</v>
      </c>
      <c r="G50" s="244">
        <f>IF($M$41="Sistema de banco de horas",0,'P Gerais'!$I$17)</f>
        <v>0.5</v>
      </c>
      <c r="H50" s="245">
        <f ca="1">IF($M$41="Sistema de banco de horas",0,$K$40*(1+G50)*(F50*24))</f>
        <v>0</v>
      </c>
      <c r="I50" s="243">
        <f ca="1">IF(SUM($AN$8:$AO$38)&gt;SUM(AI$8:AI$38),0,SUM(AI$8:AI$38)-SUM($AN$8:$AO$38))</f>
        <v>0</v>
      </c>
      <c r="J50" s="245">
        <f t="shared" ca="1" si="15"/>
        <v>0</v>
      </c>
      <c r="K50" s="234"/>
      <c r="L50" s="234"/>
      <c r="M50" s="234"/>
      <c r="Z50" s="219"/>
    </row>
    <row r="51" spans="1:26" s="2" customFormat="1" ht="15" x14ac:dyDescent="0.2">
      <c r="A51" s="9"/>
      <c r="B51" s="234"/>
      <c r="C51" s="292" t="s">
        <v>85</v>
      </c>
      <c r="D51" s="292"/>
      <c r="E51" s="292"/>
      <c r="F51" s="243">
        <f>IF($M$41="Sistema de banco de horas",(SUM(AK$8:AK$38)*(1+G51)),SUM(AK$8:AK$38))</f>
        <v>0</v>
      </c>
      <c r="G51" s="244">
        <f>IF($M$41="Sistema de banco de horas",0,'P Gerais'!$C$17)</f>
        <v>1</v>
      </c>
      <c r="H51" s="245">
        <f ca="1">IF($M$41="Sistema de banco de horas",0,$K$40*(1+G51)*(F51*24))</f>
        <v>0</v>
      </c>
      <c r="I51" s="243"/>
      <c r="J51" s="245">
        <f t="shared" ca="1" si="15"/>
        <v>0</v>
      </c>
      <c r="K51" s="234"/>
      <c r="L51" s="234"/>
      <c r="M51" s="234"/>
      <c r="Z51" s="219"/>
    </row>
    <row r="52" spans="1:26" s="2" customFormat="1" ht="15" customHeight="1" x14ac:dyDescent="0.2">
      <c r="A52" s="9"/>
      <c r="B52" s="234"/>
      <c r="C52" s="292" t="s">
        <v>87</v>
      </c>
      <c r="D52" s="292"/>
      <c r="E52" s="292"/>
      <c r="F52" s="243">
        <f ca="1">U12</f>
        <v>0</v>
      </c>
      <c r="G52" s="246"/>
      <c r="H52" s="234"/>
      <c r="I52" s="234"/>
      <c r="J52" s="234"/>
      <c r="K52" s="234"/>
      <c r="L52" s="234"/>
      <c r="M52" s="234"/>
      <c r="Z52" s="219"/>
    </row>
    <row r="53" spans="1:26" s="2" customFormat="1" ht="15" x14ac:dyDescent="0.2">
      <c r="A53" s="9"/>
      <c r="B53" s="234"/>
      <c r="C53" s="292" t="s">
        <v>299</v>
      </c>
      <c r="D53" s="292"/>
      <c r="E53" s="292"/>
      <c r="F53" s="247">
        <f ca="1">SUM(H48)+J50+H51+SUM(J41:J47)</f>
        <v>0</v>
      </c>
      <c r="G53" s="248"/>
      <c r="H53" s="234"/>
      <c r="I53" s="234"/>
      <c r="J53" s="234"/>
      <c r="K53" s="234"/>
      <c r="L53" s="234"/>
      <c r="M53" s="234"/>
      <c r="Z53" s="219"/>
    </row>
    <row r="54" spans="1:26" s="2" customFormat="1" ht="15" x14ac:dyDescent="0.2">
      <c r="A54" s="9"/>
      <c r="B54" s="234"/>
      <c r="C54" s="292" t="s">
        <v>88</v>
      </c>
      <c r="D54" s="292"/>
      <c r="E54" s="292"/>
      <c r="F54" s="247">
        <f ca="1">F53+(H49*(1+G49))</f>
        <v>0</v>
      </c>
      <c r="G54" s="248"/>
      <c r="H54" s="249"/>
      <c r="I54" s="234"/>
      <c r="J54" s="234"/>
      <c r="K54" s="234"/>
      <c r="L54" s="234"/>
      <c r="M54" s="234"/>
      <c r="Z54" s="219"/>
    </row>
    <row r="55" spans="1:26" s="2" customFormat="1" ht="15" x14ac:dyDescent="0.2">
      <c r="A55" s="9"/>
      <c r="B55" s="234"/>
      <c r="C55" s="292" t="s">
        <v>89</v>
      </c>
      <c r="D55" s="292"/>
      <c r="E55" s="292"/>
      <c r="F55" s="247">
        <f ca="1">H40+F54</f>
        <v>0</v>
      </c>
      <c r="G55" s="246"/>
      <c r="H55" s="234"/>
      <c r="I55" s="234"/>
      <c r="J55" s="234"/>
      <c r="K55" s="234"/>
      <c r="L55" s="234"/>
      <c r="M55" s="234"/>
      <c r="Z55" s="219"/>
    </row>
    <row r="56" spans="1:26" s="2" customFormat="1" ht="15" x14ac:dyDescent="0.2">
      <c r="A56" s="9"/>
      <c r="B56" s="234"/>
      <c r="C56" s="292" t="s">
        <v>178</v>
      </c>
      <c r="D56" s="292"/>
      <c r="E56" s="292"/>
      <c r="F56" s="243">
        <f>IF($M$41="Sistema de banco de horas",(SUMIF($G$8:$G$38,"Férias",Q8:Q38))*(1+G48),SUMIF($G$8:$G$38,"Férias",Q8:Q38))</f>
        <v>0</v>
      </c>
      <c r="G56" s="246"/>
      <c r="H56" s="234"/>
      <c r="I56" s="234"/>
      <c r="J56" s="234"/>
      <c r="K56" s="234"/>
      <c r="L56" s="234"/>
      <c r="M56" s="234"/>
      <c r="Z56" s="219"/>
    </row>
    <row r="57" spans="1:26" s="2" customFormat="1" ht="15" x14ac:dyDescent="0.2">
      <c r="A57" s="9"/>
      <c r="B57" s="234"/>
      <c r="C57" s="239"/>
      <c r="D57" s="239"/>
      <c r="E57" s="239"/>
      <c r="F57" s="250">
        <f ca="1">U14</f>
        <v>0</v>
      </c>
      <c r="G57" s="246"/>
      <c r="H57" s="234"/>
      <c r="I57" s="234"/>
      <c r="J57" s="234"/>
      <c r="K57" s="234"/>
      <c r="L57" s="234"/>
      <c r="M57" s="234"/>
      <c r="Z57" s="219"/>
    </row>
    <row r="58" spans="1:26" s="2" customFormat="1" ht="15" x14ac:dyDescent="0.2">
      <c r="A58" s="9"/>
      <c r="B58" s="234"/>
      <c r="C58" s="239"/>
      <c r="D58" s="239"/>
      <c r="E58" s="239"/>
      <c r="F58" s="243">
        <f ca="1">SUM(F41:F51)</f>
        <v>0</v>
      </c>
      <c r="G58" s="246"/>
      <c r="H58" s="234"/>
      <c r="I58" s="234"/>
      <c r="J58" s="234"/>
      <c r="K58" s="234"/>
      <c r="L58" s="234"/>
      <c r="M58" s="234"/>
      <c r="Z58" s="219"/>
    </row>
    <row r="59" spans="1:26" s="2" customFormat="1" ht="15" x14ac:dyDescent="0.2">
      <c r="A59" s="9"/>
      <c r="Z59" s="219"/>
    </row>
    <row r="60" spans="1:26" s="2" customFormat="1" ht="15" x14ac:dyDescent="0.2">
      <c r="A60" s="9"/>
      <c r="G60" s="178"/>
      <c r="Z60" s="219"/>
    </row>
    <row r="61" spans="1:26" ht="15" x14ac:dyDescent="0.2"/>
    <row r="62" spans="1:26" ht="15" x14ac:dyDescent="0.2"/>
    <row r="63" spans="1:26" ht="15" x14ac:dyDescent="0.2"/>
    <row r="64" spans="1:26" ht="15" x14ac:dyDescent="0.2"/>
    <row r="65" ht="15" x14ac:dyDescent="0.2"/>
    <row r="66" ht="15" x14ac:dyDescent="0.2"/>
    <row r="67" ht="15" x14ac:dyDescent="0.2"/>
    <row r="68" ht="15" x14ac:dyDescent="0.2"/>
    <row r="69" ht="15" x14ac:dyDescent="0.2"/>
    <row r="70" ht="15" x14ac:dyDescent="0.2"/>
    <row r="71" ht="15" x14ac:dyDescent="0.2"/>
    <row r="72" ht="15" x14ac:dyDescent="0.2"/>
    <row r="73" ht="15" x14ac:dyDescent="0.2"/>
    <row r="74" ht="15" x14ac:dyDescent="0.2"/>
    <row r="75" ht="15" x14ac:dyDescent="0.2"/>
    <row r="76" ht="15" x14ac:dyDescent="0.2"/>
    <row r="77" ht="15" x14ac:dyDescent="0.2"/>
    <row r="78" ht="15" x14ac:dyDescent="0.2"/>
    <row r="79" ht="15" x14ac:dyDescent="0.2"/>
    <row r="80" ht="15" x14ac:dyDescent="0.2"/>
    <row r="81" ht="15" x14ac:dyDescent="0.2"/>
    <row r="82" ht="15" x14ac:dyDescent="0.2"/>
    <row r="83" ht="15" x14ac:dyDescent="0.2"/>
    <row r="84" ht="15" x14ac:dyDescent="0.2"/>
    <row r="85" ht="15" x14ac:dyDescent="0.2"/>
    <row r="86" ht="15" x14ac:dyDescent="0.2"/>
    <row r="87" ht="15" x14ac:dyDescent="0.2"/>
    <row r="88" ht="15" x14ac:dyDescent="0.2"/>
    <row r="89" ht="15" x14ac:dyDescent="0.2"/>
    <row r="90" ht="15" x14ac:dyDescent="0.2"/>
    <row r="91" ht="15" x14ac:dyDescent="0.2"/>
    <row r="92" ht="15" x14ac:dyDescent="0.2"/>
    <row r="93" ht="15" x14ac:dyDescent="0.2"/>
    <row r="94" ht="15" x14ac:dyDescent="0.2"/>
    <row r="95" ht="15" x14ac:dyDescent="0.2"/>
    <row r="96" ht="15" x14ac:dyDescent="0.2"/>
    <row r="97" ht="15" x14ac:dyDescent="0.2"/>
    <row r="98" ht="15" x14ac:dyDescent="0.2"/>
    <row r="99" ht="15" x14ac:dyDescent="0.2"/>
    <row r="100" ht="15" x14ac:dyDescent="0.2"/>
    <row r="101" ht="15" x14ac:dyDescent="0.2"/>
    <row r="102" ht="15" x14ac:dyDescent="0.2"/>
    <row r="103" ht="15" x14ac:dyDescent="0.2"/>
  </sheetData>
  <sheetProtection sheet="1" objects="1" scenarios="1" selectLockedCells="1"/>
  <mergeCells count="34">
    <mergeCell ref="C56:E56"/>
    <mergeCell ref="C48:E48"/>
    <mergeCell ref="C49:E49"/>
    <mergeCell ref="C50:E50"/>
    <mergeCell ref="C52:E52"/>
    <mergeCell ref="C53:E53"/>
    <mergeCell ref="C54:E54"/>
    <mergeCell ref="C51:E51"/>
    <mergeCell ref="C44:E44"/>
    <mergeCell ref="C55:E55"/>
    <mergeCell ref="C45:E45"/>
    <mergeCell ref="C46:E46"/>
    <mergeCell ref="C47:E47"/>
    <mergeCell ref="S22:U22"/>
    <mergeCell ref="C41:E41"/>
    <mergeCell ref="C42:E42"/>
    <mergeCell ref="C43:E43"/>
    <mergeCell ref="S26:U28"/>
    <mergeCell ref="S23:U25"/>
    <mergeCell ref="E7:F7"/>
    <mergeCell ref="I7:J7"/>
    <mergeCell ref="S7:U7"/>
    <mergeCell ref="S8:T9"/>
    <mergeCell ref="U8:U9"/>
    <mergeCell ref="S16:T17"/>
    <mergeCell ref="U16:U17"/>
    <mergeCell ref="S18:T19"/>
    <mergeCell ref="S10:T11"/>
    <mergeCell ref="U10:U11"/>
    <mergeCell ref="S12:T13"/>
    <mergeCell ref="U12:U13"/>
    <mergeCell ref="S14:T15"/>
    <mergeCell ref="U14:U15"/>
    <mergeCell ref="U18:U19"/>
  </mergeCells>
  <phoneticPr fontId="50" type="noConversion"/>
  <conditionalFormatting sqref="F8:F38">
    <cfRule type="containsText" dxfId="1416" priority="301" operator="containsText" text="Dom">
      <formula>NOT(ISERROR(SEARCH("Dom",F8)))</formula>
    </cfRule>
    <cfRule type="containsText" dxfId="1415" priority="302" operator="containsText" text="Sáb">
      <formula>NOT(ISERROR(SEARCH("Sáb",F8)))</formula>
    </cfRule>
  </conditionalFormatting>
  <conditionalFormatting sqref="M8:M37">
    <cfRule type="cellIs" dxfId="1414" priority="304" operator="greaterThan">
      <formula>0</formula>
    </cfRule>
  </conditionalFormatting>
  <conditionalFormatting sqref="N36:N37 L36:L37 E36:E38">
    <cfRule type="expression" dxfId="1413" priority="272">
      <formula>AND($E36&gt;=$E$8,$E$8&lt;&gt;1)</formula>
    </cfRule>
  </conditionalFormatting>
  <conditionalFormatting sqref="O8:O37">
    <cfRule type="cellIs" dxfId="1412" priority="266" operator="greaterThan">
      <formula>0.000001</formula>
    </cfRule>
  </conditionalFormatting>
  <conditionalFormatting sqref="O36:O37">
    <cfRule type="expression" dxfId="1411" priority="264">
      <formula>AND($E36&lt;$E$35,$E$8=1)</formula>
    </cfRule>
    <cfRule type="expression" dxfId="1410" priority="265">
      <formula>AND($E36&gt;=$E$8,$E$8&lt;&gt;1)</formula>
    </cfRule>
  </conditionalFormatting>
  <conditionalFormatting sqref="Q8:Q37">
    <cfRule type="cellIs" dxfId="1409" priority="161" operator="greaterThan">
      <formula>0.000001</formula>
    </cfRule>
  </conditionalFormatting>
  <conditionalFormatting sqref="N36:N37 L36:L37 E36:F38">
    <cfRule type="expression" dxfId="1408" priority="271">
      <formula>AND($E36&lt;$E$35,$E$8=1)</formula>
    </cfRule>
  </conditionalFormatting>
  <conditionalFormatting sqref="O38">
    <cfRule type="cellIs" dxfId="1407" priority="69" operator="greaterThan">
      <formula>0.000001</formula>
    </cfRule>
  </conditionalFormatting>
  <conditionalFormatting sqref="M38">
    <cfRule type="cellIs" dxfId="1406" priority="70" operator="greaterThan">
      <formula>0</formula>
    </cfRule>
  </conditionalFormatting>
  <conditionalFormatting sqref="L38:O38">
    <cfRule type="expression" dxfId="1405" priority="68">
      <formula>AND($E38&gt;=$E$8,$E$8&lt;&gt;1)</formula>
    </cfRule>
  </conditionalFormatting>
  <conditionalFormatting sqref="Q38">
    <cfRule type="cellIs" dxfId="1404" priority="51" operator="greaterThan">
      <formula>0.000001</formula>
    </cfRule>
  </conditionalFormatting>
  <conditionalFormatting sqref="L38:Q38">
    <cfRule type="expression" dxfId="1403" priority="67">
      <formula>AND($E38&lt;$E$35,$E$8=1)</formula>
    </cfRule>
  </conditionalFormatting>
  <conditionalFormatting sqref="L38:Q38">
    <cfRule type="expression" dxfId="1402" priority="52">
      <formula>AND($E38&lt;$E$35,$E$8=1)</formula>
    </cfRule>
    <cfRule type="expression" dxfId="1401" priority="53">
      <formula>AND($E38&gt;=$E$8,$E$8&lt;&gt;1)</formula>
    </cfRule>
  </conditionalFormatting>
  <conditionalFormatting sqref="U10:U11">
    <cfRule type="expression" dxfId="1400" priority="20">
      <formula>$V$11="Negativo"</formula>
    </cfRule>
  </conditionalFormatting>
  <conditionalFormatting sqref="G8:K35">
    <cfRule type="expression" dxfId="1399" priority="15">
      <formula>OR($G8="Férias",$G8="Falta Injustificada")</formula>
    </cfRule>
    <cfRule type="expression" dxfId="1398" priority="16">
      <formula>$G8="Folga (DSR)"</formula>
    </cfRule>
    <cfRule type="expression" dxfId="1397" priority="17">
      <formula>$G8="Feriado"</formula>
    </cfRule>
    <cfRule type="expression" dxfId="1396" priority="18">
      <formula>$F8="Dom"</formula>
    </cfRule>
  </conditionalFormatting>
  <conditionalFormatting sqref="H8:K35">
    <cfRule type="expression" dxfId="1395" priority="14">
      <formula>OR($G8="Falta Justificada",$G8="Falta Injustificada")</formula>
    </cfRule>
  </conditionalFormatting>
  <conditionalFormatting sqref="G36:K38">
    <cfRule type="expression" dxfId="1394" priority="10">
      <formula>OR($G36="Férias",$G36="Falta Injustificada")</formula>
    </cfRule>
    <cfRule type="expression" dxfId="1393" priority="11">
      <formula>$G36="Folga (DSR)"</formula>
    </cfRule>
    <cfRule type="expression" dxfId="1392" priority="12">
      <formula>$G36="Feriado"</formula>
    </cfRule>
    <cfRule type="expression" dxfId="1391" priority="13">
      <formula>$F36="Dom"</formula>
    </cfRule>
  </conditionalFormatting>
  <conditionalFormatting sqref="G36:K38">
    <cfRule type="expression" dxfId="1390" priority="7">
      <formula>AND($E36&lt;$E$35,$E$8=1)</formula>
    </cfRule>
    <cfRule type="expression" dxfId="1389" priority="8">
      <formula>AND($E36&gt;=$E$8,$E$8&lt;&gt;1)</formula>
    </cfRule>
  </conditionalFormatting>
  <conditionalFormatting sqref="H36:K38">
    <cfRule type="expression" dxfId="1388" priority="9">
      <formula>OR($G36="Falta Justificada",$G36="Falta Injustificada")</formula>
    </cfRule>
  </conditionalFormatting>
  <conditionalFormatting sqref="U12:U13">
    <cfRule type="expression" dxfId="1387" priority="596">
      <formula>$U$14&gt;$F$58</formula>
    </cfRule>
  </conditionalFormatting>
  <conditionalFormatting sqref="F40">
    <cfRule type="expression" dxfId="1386" priority="597">
      <formula>$E40="Folga(DSR)"</formula>
    </cfRule>
    <cfRule type="expression" dxfId="1385" priority="598">
      <formula>$E40="Feriado"</formula>
    </cfRule>
    <cfRule type="expression" dxfId="1384" priority="599">
      <formula>$D40="Dom"</formula>
    </cfRule>
  </conditionalFormatting>
  <dataValidations count="3">
    <dataValidation type="time" allowBlank="1" showInputMessage="1" showErrorMessage="1" sqref="H8:K38">
      <formula1>0</formula1>
      <formula2>0.999988425925926</formula2>
    </dataValidation>
    <dataValidation type="list" allowBlank="1" showInputMessage="1" showErrorMessage="1" sqref="G8:G38">
      <formula1>"Normal,Feriado,Folga (DSR),Falta Justificada,Férias,Falta Injustificada"</formula1>
    </dataValidation>
    <dataValidation type="list" allowBlank="1" showInputMessage="1" showErrorMessage="1" sqref="E9:E35">
      <formula1>"1,5,10,16"</formula1>
    </dataValidation>
  </dataValidations>
  <hyperlinks>
    <hyperlink ref="C8" location="Lanç!A1" display="Lanç!A1"/>
    <hyperlink ref="C9" location="'Lanç (2)'!A1" display="'Lanç (2)'!A1"/>
    <hyperlink ref="C10" location="'Lanç (3)'!A1" display="'Lanç (3)'!A1"/>
    <hyperlink ref="C11" location="'Lanç (4)'!A1" display="'Lanç (4)'!A1"/>
    <hyperlink ref="C12" location="'Lanç (5)'!A1" display="'Lanç (5)'!A1"/>
    <hyperlink ref="C13" location="'Lanç (6)'!A1" display="'Lanç (6)'!A1"/>
    <hyperlink ref="C14" location="'Lanç (7)'!A1" display="'Lanç (7)'!A1"/>
    <hyperlink ref="C15" location="'Lanç (8)'!A1" display="'Lanç (8)'!A1"/>
    <hyperlink ref="C16" location="'Lanç (9)'!A1" display="'Lanç (9)'!A1"/>
    <hyperlink ref="C17" location="'Lanç (10)'!A1" display="'Lanç (10)'!A1"/>
    <hyperlink ref="C18" location="'Lanç (11)'!A1" display="'Lanç (11)'!A1"/>
    <hyperlink ref="C19" location="'Lanç (12)'!A1" display="'Lanç (12)'!A1"/>
    <hyperlink ref="C20" location="'Lanç (13)'!A1" display="'Lanç (13)'!A1"/>
    <hyperlink ref="C21" location="'Lanç (14)'!A1" display="'Lanç (14)'!A1"/>
    <hyperlink ref="C22" location="'Lanç (15)'!A1" display="'Lanç (15)'!A1"/>
    <hyperlink ref="C23" location="'Lanç (16)'!A1" display="'Lanç (16)'!A1"/>
    <hyperlink ref="C24" location="'Lanç (17)'!A1" display="'Lanç (17)'!A1"/>
    <hyperlink ref="C25" location="'Lanç (18)'!A1" display="'Lanç (18)'!A1"/>
    <hyperlink ref="C26" location="'Lanç (19)'!A1" display="'Lanç (19)'!A1"/>
    <hyperlink ref="C27" location="'Lanç (20)'!A1" display="'Lanç (20)'!A1"/>
    <hyperlink ref="C28" location="'Lanç (21)'!A1" display="'Lanç (21)'!A1"/>
    <hyperlink ref="C29" location="'Lanç (22)'!A1" display="'Lanç (22)'!A1"/>
    <hyperlink ref="C30" location="'Lanç (23)'!A1" display="'Lanç (23)'!A1"/>
    <hyperlink ref="C31" location="'Lanç (24)'!A1" display="'Lanç (24)'!A1"/>
    <hyperlink ref="C32" location="'Lanç (25)'!A1" display="'Lanç (25)'!A1"/>
    <hyperlink ref="C33" location="'Lanç (26)'!A1" display="'Lanç (26)'!A1"/>
    <hyperlink ref="C34" location="'Lanç (27)'!A1" display="'Lanç (27)'!A1"/>
    <hyperlink ref="C35" location="'Lanç (28)'!A1" display="'Lanç (28)'!A1"/>
    <hyperlink ref="C36" location="'Lanç (29)'!A1" display="'Lanç (29)'!A1"/>
    <hyperlink ref="C37" location="'Lanç (30)'!A1" display="'Lanç (30)'!A1"/>
  </hyperlinks>
  <printOptions horizontalCentered="1"/>
  <pageMargins left="0.23622047244094491" right="0.23622047244094491" top="0.74803149606299213" bottom="0.74803149606299213" header="0.31496062992125984" footer="0.31496062992125984"/>
  <pageSetup paperSize="9" scale="53" orientation="portrait"/>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155" id="{6B31CDBA-B02E-5643-B6FA-272B1E5E6260}">
            <xm:f>'P Gerais'!$I$10:$M$10="Pagas em Dinheiro"</xm:f>
            <x14:dxf>
              <font>
                <color theme="0"/>
              </font>
              <fill>
                <patternFill>
                  <bgColor theme="0"/>
                </patternFill>
              </fill>
              <border>
                <left/>
                <right/>
                <top/>
                <bottom/>
              </border>
            </x14:dxf>
          </x14:cfRule>
          <xm:sqref>S10:T13</xm:sqref>
        </x14:conditionalFormatting>
        <x14:conditionalFormatting xmlns:xm="http://schemas.microsoft.com/office/excel/2006/main">
          <x14:cfRule type="expression" priority="154" id="{6AEE38DF-1EDB-E849-8BEA-15F93E596AB9}">
            <xm:f>'P Gerais'!$I$10:$M$10="Sistema de banco de horas"</xm:f>
            <x14:dxf>
              <font>
                <color theme="0"/>
              </font>
              <fill>
                <patternFill>
                  <bgColor theme="0"/>
                </patternFill>
              </fill>
              <border>
                <left/>
                <right/>
                <top/>
                <bottom/>
              </border>
            </x14:dxf>
          </x14:cfRule>
          <xm:sqref>S18:T19</xm:sqref>
        </x14:conditionalFormatting>
        <x14:conditionalFormatting xmlns:xm="http://schemas.microsoft.com/office/excel/2006/main">
          <x14:cfRule type="expression" priority="22" id="{E3183B2E-45D7-F044-891A-CC177B32B7A5}">
            <xm:f>'P Gerais'!$I$10:$M$10="Sistema de banco de horas"</xm:f>
            <x14:dxf>
              <font>
                <color theme="0"/>
              </font>
              <fill>
                <patternFill>
                  <bgColor theme="0"/>
                </patternFill>
              </fill>
              <border>
                <left/>
                <right/>
                <top/>
                <bottom/>
              </border>
            </x14:dxf>
          </x14:cfRule>
          <xm:sqref>U18:U19</xm:sqref>
        </x14:conditionalFormatting>
        <x14:conditionalFormatting xmlns:xm="http://schemas.microsoft.com/office/excel/2006/main">
          <x14:cfRule type="expression" priority="19" id="{9D91661A-C462-0A4C-9988-8B043A35F115}">
            <xm:f>'P Gerais'!$I$10:$M$10="Pagas em Dinheiro"</xm:f>
            <x14:dxf>
              <font>
                <color theme="0"/>
              </font>
              <fill>
                <patternFill>
                  <bgColor theme="0"/>
                </patternFill>
              </fill>
              <border>
                <left/>
                <right/>
                <top/>
                <bottom/>
              </border>
            </x14:dxf>
          </x14:cfRule>
          <xm:sqref>U10:U13</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5" enableFormatConditionsCalculation="0"/>
  <dimension ref="A1:BG103"/>
  <sheetViews>
    <sheetView showGridLines="0" zoomScale="90" zoomScaleNormal="90" zoomScalePageLayoutView="90" workbookViewId="0">
      <selection activeCell="I20" sqref="I20"/>
    </sheetView>
  </sheetViews>
  <sheetFormatPr baseColWidth="10" defaultColWidth="9.1640625" defaultRowHeight="0" customHeight="1" zeroHeight="1" x14ac:dyDescent="0.2"/>
  <cols>
    <col min="1" max="1" width="27.83203125" style="194" customWidth="1"/>
    <col min="2" max="2" width="3.83203125" style="14" customWidth="1"/>
    <col min="3" max="3" width="33.33203125" style="14" customWidth="1"/>
    <col min="4" max="4" width="2.83203125" style="14" customWidth="1"/>
    <col min="5" max="5" width="5.83203125" style="14" customWidth="1"/>
    <col min="6" max="6" width="11.83203125" style="14" customWidth="1"/>
    <col min="7" max="7" width="14.33203125" style="195" customWidth="1"/>
    <col min="8" max="11" width="9.83203125" style="14" customWidth="1"/>
    <col min="12" max="12" width="1.83203125" style="14" customWidth="1"/>
    <col min="13" max="13" width="13.33203125" style="14" customWidth="1"/>
    <col min="14" max="14" width="1.83203125" style="14" customWidth="1"/>
    <col min="15" max="15" width="13.33203125" style="14" customWidth="1"/>
    <col min="16" max="16" width="1.83203125" style="14" customWidth="1"/>
    <col min="17" max="17" width="13.33203125" style="14" customWidth="1"/>
    <col min="18" max="18" width="4.83203125" style="2" bestFit="1" customWidth="1"/>
    <col min="19" max="21" width="11.83203125" style="14" customWidth="1"/>
    <col min="22" max="23" width="8.83203125" style="2" customWidth="1"/>
    <col min="24" max="24" width="11.33203125" style="2" bestFit="1" customWidth="1"/>
    <col min="25" max="25" width="8.83203125" style="2" customWidth="1"/>
    <col min="26" max="26" width="8.1640625" style="219" bestFit="1" customWidth="1"/>
    <col min="27" max="27" width="8.83203125" style="2" customWidth="1"/>
    <col min="28" max="28" width="11.33203125" style="2" bestFit="1" customWidth="1"/>
    <col min="29" max="43" width="8.83203125" style="2" customWidth="1"/>
    <col min="44" max="50" width="11.33203125" style="2" customWidth="1"/>
    <col min="51" max="57" width="11.33203125" style="14" customWidth="1"/>
    <col min="58" max="16384" width="9.1640625" style="14"/>
  </cols>
  <sheetData>
    <row r="1" spans="1:59" s="15" customFormat="1" ht="33.75" customHeight="1" x14ac:dyDescent="0.3">
      <c r="A1" s="56"/>
      <c r="B1" s="3"/>
      <c r="C1" s="4" t="s">
        <v>30</v>
      </c>
      <c r="D1" s="3"/>
      <c r="E1" s="3"/>
      <c r="F1" s="3"/>
      <c r="G1" s="77"/>
      <c r="H1" s="3"/>
      <c r="I1" s="3"/>
      <c r="J1" s="3"/>
      <c r="K1" s="3"/>
      <c r="M1" s="3"/>
      <c r="O1" s="3"/>
      <c r="Q1" s="3"/>
      <c r="S1" s="3"/>
      <c r="T1" s="3"/>
      <c r="U1" s="3"/>
      <c r="Z1" s="174"/>
    </row>
    <row r="2" spans="1:59" s="15" customFormat="1" ht="21.5" customHeight="1" x14ac:dyDescent="0.2">
      <c r="A2" s="1"/>
      <c r="B2" s="3"/>
      <c r="C2" s="3"/>
      <c r="D2" s="3"/>
      <c r="E2" s="3"/>
      <c r="F2" s="3"/>
      <c r="G2" s="77"/>
      <c r="H2" s="3"/>
      <c r="I2" s="3"/>
      <c r="J2" s="3"/>
      <c r="K2" s="3"/>
      <c r="M2" s="3"/>
      <c r="O2" s="3"/>
      <c r="Q2" s="3"/>
      <c r="S2" s="3"/>
      <c r="T2" s="3"/>
      <c r="U2" s="3"/>
      <c r="Z2" s="174"/>
    </row>
    <row r="3" spans="1:59" s="15" customFormat="1" ht="21.5" customHeight="1" x14ac:dyDescent="0.2">
      <c r="A3" s="1"/>
      <c r="B3" s="3"/>
      <c r="C3" s="3"/>
      <c r="D3" s="3"/>
      <c r="E3" s="3"/>
      <c r="F3" s="3"/>
      <c r="G3" s="77"/>
      <c r="H3" s="3"/>
      <c r="I3" s="3"/>
      <c r="J3" s="3"/>
      <c r="K3" s="3"/>
      <c r="M3" s="3"/>
      <c r="O3" s="3"/>
      <c r="Q3" s="3"/>
      <c r="S3" s="3"/>
      <c r="T3" s="3"/>
      <c r="U3" s="3"/>
      <c r="Z3" s="174"/>
    </row>
    <row r="4" spans="1:59" s="2" customFormat="1" ht="30" customHeight="1" x14ac:dyDescent="0.2">
      <c r="A4" s="1"/>
      <c r="B4"/>
      <c r="C4"/>
      <c r="D4"/>
      <c r="E4"/>
      <c r="F4"/>
      <c r="G4" s="78"/>
      <c r="H4"/>
      <c r="I4"/>
      <c r="J4"/>
      <c r="K4"/>
      <c r="M4"/>
      <c r="O4" s="13"/>
      <c r="Q4"/>
      <c r="S4"/>
      <c r="T4"/>
      <c r="U4"/>
      <c r="Z4" s="219"/>
      <c r="AN4" s="175"/>
    </row>
    <row r="5" spans="1:59" s="2" customFormat="1" ht="30" customHeight="1" x14ac:dyDescent="0.2">
      <c r="A5" s="9"/>
      <c r="C5" s="160" t="s">
        <v>186</v>
      </c>
      <c r="K5" s="157">
        <f ca="1">IF(ISERROR(VLOOKUP(INDIRECT($C$5),Jornada!$C$8:$F$37,4,0)),0,VLOOKUP(INDIRECT($C$5),Jornada!$C$8:$F$37,4,0))</f>
        <v>0</v>
      </c>
      <c r="L5" s="158"/>
      <c r="M5" s="157">
        <f ca="1">IF(ISERROR(VLOOKUP(INDIRECT($C$5),Jornada!$C$8:$G$37,5,0)),0,VLOOKUP(INDIRECT($C$5),Jornada!$C$8:$G$37,5,0))</f>
        <v>0</v>
      </c>
      <c r="O5" s="12"/>
      <c r="U5" s="12"/>
      <c r="Z5" s="219"/>
      <c r="AC5" s="12"/>
      <c r="AK5" s="179">
        <v>0.25</v>
      </c>
      <c r="AL5" s="155">
        <v>0.91666666666666663</v>
      </c>
      <c r="AM5" s="155">
        <v>0.20833333333333334</v>
      </c>
      <c r="AN5" s="155">
        <v>1</v>
      </c>
      <c r="AO5" s="155">
        <v>0.70833333333333337</v>
      </c>
    </row>
    <row r="6" spans="1:59" s="2" customFormat="1" ht="8" customHeight="1" thickBot="1" x14ac:dyDescent="0.25">
      <c r="A6" s="9"/>
      <c r="C6" s="198"/>
      <c r="G6" s="178"/>
      <c r="M6" s="220">
        <v>1</v>
      </c>
      <c r="O6" s="156"/>
      <c r="Q6" s="156"/>
      <c r="Z6" s="176"/>
    </row>
    <row r="7" spans="1:59" s="2" customFormat="1" ht="30" customHeight="1" thickTop="1" thickBot="1" x14ac:dyDescent="0.25">
      <c r="A7" s="1"/>
      <c r="B7"/>
      <c r="C7" s="76" t="s">
        <v>176</v>
      </c>
      <c r="D7"/>
      <c r="E7" s="281" t="str">
        <f>Lanç!E7</f>
        <v>Janeiro</v>
      </c>
      <c r="F7" s="283"/>
      <c r="G7" s="79" t="s">
        <v>58</v>
      </c>
      <c r="H7" s="82" t="s">
        <v>0</v>
      </c>
      <c r="I7" s="293" t="s">
        <v>59</v>
      </c>
      <c r="J7" s="293"/>
      <c r="K7" s="82" t="s">
        <v>60</v>
      </c>
      <c r="M7" s="73" t="s">
        <v>61</v>
      </c>
      <c r="O7" s="73" t="s">
        <v>62</v>
      </c>
      <c r="Q7" s="73" t="s">
        <v>63</v>
      </c>
      <c r="R7" s="155">
        <v>8.3333333333333329E-2</v>
      </c>
      <c r="S7" s="293" t="s">
        <v>64</v>
      </c>
      <c r="T7" s="293"/>
      <c r="U7" s="293"/>
      <c r="W7" s="2" t="s">
        <v>90</v>
      </c>
      <c r="X7" s="156">
        <v>1</v>
      </c>
      <c r="AB7" s="2">
        <f>VLOOKUP($E$7,$W$7:$X$18,2,0)</f>
        <v>1</v>
      </c>
      <c r="AG7" s="176" t="s">
        <v>167</v>
      </c>
      <c r="AH7" s="176" t="s">
        <v>168</v>
      </c>
      <c r="AI7" s="155">
        <v>0</v>
      </c>
      <c r="AJ7" s="155">
        <v>1</v>
      </c>
      <c r="AK7" s="155">
        <v>0.45833333333333331</v>
      </c>
      <c r="AL7" s="2" t="s">
        <v>0</v>
      </c>
      <c r="AM7" s="2" t="s">
        <v>162</v>
      </c>
      <c r="AN7" s="2" t="s">
        <v>184</v>
      </c>
      <c r="BE7" s="14"/>
      <c r="BF7" s="14"/>
      <c r="BG7" s="14"/>
    </row>
    <row r="8" spans="1:59" s="2" customFormat="1" ht="30" customHeight="1" thickTop="1" thickBot="1" x14ac:dyDescent="0.25">
      <c r="A8" s="1"/>
      <c r="B8"/>
      <c r="C8" s="172" t="str">
        <f>IF(Funcionários!C7=0,"",Funcionários!C7)</f>
        <v/>
      </c>
      <c r="D8"/>
      <c r="E8" s="115">
        <f>Lanç!E8</f>
        <v>1</v>
      </c>
      <c r="F8" s="189" t="str">
        <f>Lanç!F8</f>
        <v>Dom</v>
      </c>
      <c r="G8" s="80"/>
      <c r="H8" s="93"/>
      <c r="I8" s="93"/>
      <c r="J8" s="93"/>
      <c r="K8" s="93"/>
      <c r="L8" s="197"/>
      <c r="M8" s="95">
        <f>IF(AND(H8=K8,H8&lt;&gt;0),$M$6-IF(J8&lt;I8,$AJ$7+J8-I8,J8-I8),IF(H8&gt;K8,(K8+1-H8)-IF(J8&lt;I8,$AJ$7+J8-I8,J8-I8),(K8-H8)-IF(J8&lt;I8,$AJ$7+J8-I8,J8-I8)))</f>
        <v>0</v>
      </c>
      <c r="N8" s="196"/>
      <c r="O8" s="95">
        <f ca="1">IF(OR(G8=0,G8="Férias",G8="Falta Justificada",G8="Feriado",G8="Folga (DSR)"),0,IF(G8="Falta Injustificada",HLOOKUP($F8,Jornada!$X$7:$AD$37,VLOOKUP(INDIRECT($C$5),Jornada!$C$8:$W$37,21,0),0),IF(HLOOKUP($F8,Jornada!$X$7:$AD$37,VLOOKUP(INDIRECT($C$5),Jornada!$C$8:$W$37,21,0),0)-M8&gt;0,HLOOKUP($F8,Jornada!$X$7:$AD$37,VLOOKUP(INDIRECT($C$5),Jornada!$C$8:$W$37,21,0),0)-M8,0)))</f>
        <v>0</v>
      </c>
      <c r="P8" s="193">
        <f ca="1">IF(HLOOKUP($F8,Jornada!$X$7:$AD$37,VLOOKUP(INDIRECT($C$5),Jornada!$C$8:$W$37,21,0),0)-M8&lt;0,ABS(HLOOKUP($F8,Jornada!$X$7:$AD$37,VLOOKUP(INDIRECT($C$5),Jornada!$C$8:$W$37,21,0),0)-M8),0)</f>
        <v>0</v>
      </c>
      <c r="Q8" s="95">
        <f t="shared" ref="Q8:Q38" si="0">IF(G8="Normal",P8,IF(G8=0,0,IF(OR(G8="Feriado",G8="Férias"),IF(H8&gt;K8,(K8+1-H8)-IF(J8&lt;I8,$AJ$7+J8-I8,J8-I8),(K8-H8)-IF(J8&lt;I8,$AJ$7+J8-I8,J8-I8)),IF(G8="Folga (DSR)",IF(H8&gt;K8,(K8+1-H8)-IF(J8&lt;I8,$AJ$7+J8-I8,J8-I8),(K8-H8)-IF(J8&lt;I8,$AJ$7+J8-I8,J8-I8)),IF(G8="Falta Justificada",IF(H8&gt;K8,(K8+1-H8)-IF(J8&lt;I8,$AJ$7+J8-I8,J8-I8),(K8-H8)-IF(J8&lt;I8,$AJ$7+J8-I8,J8-I8)),0)))))</f>
        <v>0</v>
      </c>
      <c r="R8" s="2">
        <f>IF(Q8&gt;$R$7,1,0)</f>
        <v>0</v>
      </c>
      <c r="S8" s="294" t="s">
        <v>65</v>
      </c>
      <c r="T8" s="294"/>
      <c r="U8" s="295">
        <f>SUM(M8:M38)</f>
        <v>0</v>
      </c>
      <c r="W8" s="2" t="s">
        <v>91</v>
      </c>
      <c r="X8" s="156">
        <v>2</v>
      </c>
      <c r="AB8" s="177">
        <f>DATE('P Gerais'!$D$6,AB7,1)</f>
        <v>1</v>
      </c>
      <c r="AC8" s="2">
        <f>WEEKDAY(AB8)</f>
        <v>1</v>
      </c>
      <c r="AE8" s="2">
        <v>1</v>
      </c>
      <c r="AF8" s="2" t="s">
        <v>51</v>
      </c>
      <c r="AG8" s="220">
        <f>IF(J8&lt;I8,$AJ$7+J8-I8,J8-I8)</f>
        <v>0</v>
      </c>
      <c r="AH8" s="220">
        <f ca="1">IF(HLOOKUP($F8,Jornada!$X$7:$AD$37,VLOOKUP(INDIRECT($C$5),Jornada!$C$8:$W$37,21,0),0)=0,0,VLOOKUP(INDIRECT($C$5),Jornada!$C$8:$H$37,4,0))</f>
        <v>0</v>
      </c>
      <c r="AI8" s="155">
        <f ca="1">IF(AND(I8=0,J8=0,OR(H8&lt;&gt;0,K8&lt;&gt;0),HLOOKUP($F8,Jornada!$X$7:$AD$37,VLOOKUP(INDIRECT($C$5),Jornada!$C$8:$W$37,21,0),0)&gt;$AK$5,M8&gt;$AK$5),VLOOKUP(INDIRECT($C$5),Jornada!$C$8:$H$37,6,0),IF(AG8&gt;VLOOKUP(INDIRECT($C$5),Jornada!$C$8:$H$37,6,0),IF(VLOOKUP(INDIRECT($C$5),Jornada!$C$8:$H$37,6,0)&lt;AG8,0,ABS(VLOOKUP(INDIRECT($C$5),Jornada!$C$8:$H$37,6,0))-AG8),0))</f>
        <v>0</v>
      </c>
      <c r="AJ8" s="155">
        <f>($AJ$7-K8)+H8</f>
        <v>1</v>
      </c>
      <c r="AK8" s="155">
        <f>IF(AJ8&lt;$AK$7,$AK$7-AJ8,$AI$7)</f>
        <v>0</v>
      </c>
      <c r="AL8" s="155">
        <f ca="1">HLOOKUP($F8,Jornada!$I$5:$V$37,VLOOKUP(INDIRECT($C$5),Jornada!$C$8:$W$37,21,0)+2,0)</f>
        <v>0</v>
      </c>
      <c r="AM8" s="155">
        <f ca="1">HLOOKUP($F8,Jornada!$I$4:$V$37,VLOOKUP(INDIRECT($C$5),Jornada!$C$8:$W$37,21,0)+3,0)</f>
        <v>0</v>
      </c>
      <c r="AN8" s="155">
        <f ca="1">IF(AND(AL8&gt;=$AL$5,AL8&lt;$AN$5,H8&gt;=$AL$5,H8&lt;AL8),AL8-H8,IF(AND(AL8&gt;$AI$7,AL8&lt;=$AM$5,H8&gt;=$AL$5,H8&lt;=$AN$5),$AN$5-H8+AL8,IF(AND(AL8&gt;=$AI$7,AL8&lt;=$AM$5,H8&gt;=$AI$7,H8&lt;=$AM$5,H8&lt;AL8),H8-AL8,0)))</f>
        <v>0</v>
      </c>
      <c r="AO8" s="155">
        <f>IF(AP8&gt;Q8,0,AP8)</f>
        <v>0</v>
      </c>
      <c r="AP8" s="155">
        <f>IF(Q8=0,0,IF(AND(AM8&gt;=$AL$5,AM8&lt;$AN$5,K8&gt;=$AL$5,K8&lt;$AM$5,K8&gt;AM8),K8-AM8,IF(AND(AM8&gt;=$AL$5,AM8&lt;$AN$5,K8&lt;$AN$5,K8&gt;AM8),K8-$AL$5,IF(AND(AM8&gt;=$AI$7,AM8&lt;$AM$5,K8&lt;$AM$5),K8-AM8,IF(AND(AM8&lt;&gt;AI7,AM8&gt;=$AI$7,AM8&lt;=$AM$5,K8&gt;$AM$5,K8&gt;AM8),$AM$5-AM8,IF(AND(K8&gt;$AL$5,K8&lt;$AN$5),K8-$AL$5,IF(AND(K8&gt;$AI$7,K8&lt;$AM$5),$AN$5-$AL$5+K8,IF(AND(OR(K8&gt;$AL$5,H8&gt;$AO$5),AM8&gt;=$AI$7,AM8&lt;$AM$5,K8&gt;$AM$5),(1+$AM$5-$AL$5)-AG8,0))))))))</f>
        <v>0</v>
      </c>
      <c r="BE8" s="14"/>
      <c r="BF8" s="14"/>
      <c r="BG8" s="14"/>
    </row>
    <row r="9" spans="1:59" s="2" customFormat="1" ht="30" customHeight="1" thickTop="1" thickBot="1" x14ac:dyDescent="0.25">
      <c r="A9" s="1"/>
      <c r="B9"/>
      <c r="C9" s="172" t="str">
        <f>IF(Funcionários!C8=0,"",Funcionários!C8)</f>
        <v/>
      </c>
      <c r="D9"/>
      <c r="E9" s="115">
        <f>Lanç!E9</f>
        <v>2</v>
      </c>
      <c r="F9" s="189" t="str">
        <f>Lanç!F9</f>
        <v>Seg</v>
      </c>
      <c r="G9" s="81"/>
      <c r="H9" s="94"/>
      <c r="I9" s="94"/>
      <c r="J9" s="94"/>
      <c r="K9" s="94"/>
      <c r="L9" s="197"/>
      <c r="M9" s="95">
        <f t="shared" ref="M9:M38" si="1">IF(AND(H9=K9,H9&lt;&gt;0),$M$6-IF(J9&lt;I9,$AJ$7+J9-I9,J9-I9),IF(H9&gt;K9,(K9+1-H9)-IF(J9&lt;I9,$AJ$7+J9-I9,J9-I9),(K9-H9)-IF(J9&lt;I9,$AJ$7+J9-I9,J9-I9)))</f>
        <v>0</v>
      </c>
      <c r="N9" s="196"/>
      <c r="O9" s="95">
        <f ca="1">IF(OR(G9=0,G9="Férias",G9="Falta Justificada",G9="Feriado",G9="Folga (DSR)"),0,IF(G9="Falta Injustificada",HLOOKUP($F9,Jornada!$X$7:$AD$37,VLOOKUP(INDIRECT($C$5),Jornada!$C$8:$W$37,21,0),0),IF(HLOOKUP($F9,Jornada!$X$7:$AD$37,VLOOKUP(INDIRECT($C$5),Jornada!$C$8:$W$37,21,0),0)-M9&gt;0,HLOOKUP($F9,Jornada!$X$7:$AD$37,VLOOKUP(INDIRECT($C$5),Jornada!$C$8:$W$37,21,0),0)-M9,0)))</f>
        <v>0</v>
      </c>
      <c r="P9" s="193">
        <f ca="1">IF(HLOOKUP($F9,Jornada!$X$7:$AD$37,VLOOKUP(INDIRECT($C$5),Jornada!$C$8:$W$37,21,0),0)-M9&lt;0,ABS(HLOOKUP($F9,Jornada!$X$7:$AD$37,VLOOKUP(INDIRECT($C$5),Jornada!$C$8:$W$37,21,0),0)-M9),0)</f>
        <v>0</v>
      </c>
      <c r="Q9" s="95">
        <f t="shared" si="0"/>
        <v>0</v>
      </c>
      <c r="R9" s="2">
        <f t="shared" ref="R9:R38" si="2">IF(Q9&gt;$R$7,1,0)</f>
        <v>0</v>
      </c>
      <c r="S9" s="294"/>
      <c r="T9" s="294"/>
      <c r="U9" s="295"/>
      <c r="W9" s="2" t="s">
        <v>92</v>
      </c>
      <c r="X9" s="156">
        <v>3</v>
      </c>
      <c r="AB9" s="177">
        <f>AB8+1</f>
        <v>2</v>
      </c>
      <c r="AC9" s="2">
        <f t="shared" ref="AC9:AC35" si="3">WEEKDAY(AB9)</f>
        <v>2</v>
      </c>
      <c r="AE9" s="2">
        <v>2</v>
      </c>
      <c r="AF9" s="2" t="s">
        <v>52</v>
      </c>
      <c r="AG9" s="220">
        <f t="shared" ref="AG9:AG38" si="4">IF(J9&lt;I9,$AJ$7+J9-I9,J9-I9)</f>
        <v>0</v>
      </c>
      <c r="AH9" s="220">
        <f ca="1">IF(HLOOKUP($F9,Jornada!$X$7:$AD$37,VLOOKUP(INDIRECT($C$5),Jornada!$C$8:$W$37,21,0),0)=0,0,VLOOKUP(INDIRECT($C$5),Jornada!$C$8:$H$37,4,0))</f>
        <v>0</v>
      </c>
      <c r="AI9" s="155">
        <f ca="1">IF(AND(I9=0,J9=0,OR(H9&lt;&gt;0,K9&lt;&gt;0),HLOOKUP($F9,Jornada!$X$7:$AD$37,VLOOKUP(INDIRECT($C$5),Jornada!$C$8:$W$37,21,0),0)&gt;$AK$5,M9&gt;$AK$5),VLOOKUP(INDIRECT($C$5),Jornada!$C$8:$H$37,6,0),IF(AG9&gt;VLOOKUP(INDIRECT($C$5),Jornada!$C$8:$H$37,6,0),IF(VLOOKUP(INDIRECT($C$5),Jornada!$C$8:$H$37,6,0)&lt;AG9,0,ABS(VLOOKUP(INDIRECT($C$5),Jornada!$C$8:$H$37,6,0))-AG9),0))</f>
        <v>0</v>
      </c>
      <c r="AJ9" s="155">
        <f t="shared" ref="AJ9:AJ38" si="5">($AJ$7-K9)+H9</f>
        <v>1</v>
      </c>
      <c r="AK9" s="155">
        <f t="shared" ref="AK9:AK38" si="6">IF(AJ9&lt;$AK$7,$AK$7-AJ9,$AI$7)</f>
        <v>0</v>
      </c>
      <c r="AL9" s="155">
        <f ca="1">HLOOKUP($F9,Jornada!$I$5:$V$37,VLOOKUP(INDIRECT($C$5),Jornada!$C$8:$W$37,21,0)+2,0)</f>
        <v>0</v>
      </c>
      <c r="AM9" s="155">
        <f ca="1">HLOOKUP($F9,Jornada!$I$4:$V$37,VLOOKUP(INDIRECT($C$5),Jornada!$C$8:$W$37,21,0)+3,0)</f>
        <v>0</v>
      </c>
      <c r="AN9" s="155">
        <f t="shared" ref="AN9:AN38" ca="1" si="7">IF(AND(AL9&gt;=$AL$5,AL9&lt;$AN$5,H9&gt;=$AL$5,H9&lt;AL9),AL9-H9,IF(AND(AL9&gt;$AI$7,AL9&lt;=$AM$5,H9&gt;=$AL$5,H9&lt;=$AN$5),$AN$5-H9+AL9,IF(AND(AL9&gt;=$AI$7,AL9&lt;=$AM$5,H9&gt;=$AI$7,H9&lt;=$AM$5,H9&lt;AL9),H9-AL9,0)))</f>
        <v>0</v>
      </c>
      <c r="AO9" s="155">
        <f t="shared" ref="AO9:AO38" si="8">IF(AP9&gt;Q9,0,AP9)</f>
        <v>0</v>
      </c>
      <c r="AP9" s="155">
        <f t="shared" ref="AP9:AP38" si="9">IF(Q9=0,0,IF(AND(AM9&gt;=$AL$5,AM9&lt;$AN$5,K9&gt;=$AL$5,K9&lt;$AM$5,K9&gt;AM9),K9-AM9,IF(AND(AM9&gt;=$AL$5,AM9&lt;$AN$5,K9&lt;$AN$5,K9&gt;AM9),K9-$AL$5,IF(AND(AM9&gt;=$AI$7,AM9&lt;$AM$5,K9&lt;$AM$5),K9-AM9,IF(AND(AM9&lt;&gt;AI8,AM9&gt;=$AI$7,AM9&lt;=$AM$5,K9&gt;$AM$5,K9&gt;AM9),$AM$5-AM9,IF(AND(K9&gt;$AL$5,K9&lt;$AN$5),K9-$AL$5,IF(AND(K9&gt;$AI$7,K9&lt;$AM$5),$AN$5-$AL$5+K9,IF(AND(OR(K9&gt;$AL$5,H9&gt;$AO$5),AM9&gt;=$AI$7,AM9&lt;$AM$5,K9&gt;$AM$5),(1+$AM$5-$AL$5)-AG9,0))))))))</f>
        <v>0</v>
      </c>
      <c r="BE9" s="14"/>
      <c r="BF9" s="14"/>
      <c r="BG9" s="14"/>
    </row>
    <row r="10" spans="1:59" s="2" customFormat="1" ht="30" customHeight="1" thickTop="1" thickBot="1" x14ac:dyDescent="0.25">
      <c r="A10" s="1"/>
      <c r="B10"/>
      <c r="C10" s="171" t="str">
        <f>IF(Funcionários!C9=0,"",Funcionários!C9)</f>
        <v/>
      </c>
      <c r="D10"/>
      <c r="E10" s="115">
        <f>Lanç!E10</f>
        <v>3</v>
      </c>
      <c r="F10" s="189" t="str">
        <f>Lanç!F10</f>
        <v>Ter</v>
      </c>
      <c r="G10" s="81"/>
      <c r="H10" s="94"/>
      <c r="I10" s="94"/>
      <c r="J10" s="94"/>
      <c r="K10" s="94"/>
      <c r="L10" s="197"/>
      <c r="M10" s="95">
        <f t="shared" si="1"/>
        <v>0</v>
      </c>
      <c r="N10" s="196"/>
      <c r="O10" s="95">
        <f ca="1">IF(OR(G10=0,G10="Férias",G10="Falta Justificada",G10="Feriado",G10="Folga (DSR)"),0,IF(G10="Falta Injustificada",HLOOKUP($F10,Jornada!$X$7:$AD$37,VLOOKUP(INDIRECT($C$5),Jornada!$C$8:$W$37,21,0),0),IF(HLOOKUP($F10,Jornada!$X$7:$AD$37,VLOOKUP(INDIRECT($C$5),Jornada!$C$8:$W$37,21,0),0)-M10&gt;0,HLOOKUP($F10,Jornada!$X$7:$AD$37,VLOOKUP(INDIRECT($C$5),Jornada!$C$8:$W$37,21,0),0)-M10,0)))</f>
        <v>0</v>
      </c>
      <c r="P10" s="193">
        <f ca="1">IF(HLOOKUP($F10,Jornada!$X$7:$AD$37,VLOOKUP(INDIRECT($C$5),Jornada!$C$8:$W$37,21,0),0)-M10&lt;0,ABS(HLOOKUP($F10,Jornada!$X$7:$AD$37,VLOOKUP(INDIRECT($C$5),Jornada!$C$8:$W$37,21,0),0)-M10),0)</f>
        <v>0</v>
      </c>
      <c r="Q10" s="95">
        <f t="shared" si="0"/>
        <v>0</v>
      </c>
      <c r="R10" s="2">
        <f t="shared" si="2"/>
        <v>0</v>
      </c>
      <c r="S10" s="294" t="s">
        <v>66</v>
      </c>
      <c r="T10" s="294"/>
      <c r="U10" s="295">
        <f ca="1">IF(M5="Horas devidas",ABS(-K5+F58-U14),ABS(K5+F58-U14))</f>
        <v>0</v>
      </c>
      <c r="W10" s="2" t="s">
        <v>93</v>
      </c>
      <c r="X10" s="156">
        <v>4</v>
      </c>
      <c r="AB10" s="177">
        <f t="shared" ref="AB10:AB34" si="10">AB9+1</f>
        <v>3</v>
      </c>
      <c r="AC10" s="2">
        <f t="shared" si="3"/>
        <v>3</v>
      </c>
      <c r="AE10" s="2">
        <v>3</v>
      </c>
      <c r="AF10" s="2" t="s">
        <v>53</v>
      </c>
      <c r="AG10" s="220">
        <f t="shared" si="4"/>
        <v>0</v>
      </c>
      <c r="AH10" s="220">
        <f ca="1">IF(HLOOKUP($F10,Jornada!$X$7:$AD$37,VLOOKUP(INDIRECT($C$5),Jornada!$C$8:$W$37,21,0),0)=0,0,VLOOKUP(INDIRECT($C$5),Jornada!$C$8:$H$37,4,0))</f>
        <v>0</v>
      </c>
      <c r="AI10" s="155">
        <f ca="1">IF(AND(I10=0,J10=0,OR(H10&lt;&gt;0,K10&lt;&gt;0),HLOOKUP($F10,Jornada!$X$7:$AD$37,VLOOKUP(INDIRECT($C$5),Jornada!$C$8:$W$37,21,0),0)&gt;$AK$5,M10&gt;$AK$5),VLOOKUP(INDIRECT($C$5),Jornada!$C$8:$H$37,6,0),IF(AG10&gt;VLOOKUP(INDIRECT($C$5),Jornada!$C$8:$H$37,6,0),IF(VLOOKUP(INDIRECT($C$5),Jornada!$C$8:$H$37,6,0)&lt;AG10,0,ABS(VLOOKUP(INDIRECT($C$5),Jornada!$C$8:$H$37,6,0))-AG10),0))</f>
        <v>0</v>
      </c>
      <c r="AJ10" s="155">
        <f t="shared" si="5"/>
        <v>1</v>
      </c>
      <c r="AK10" s="155">
        <f t="shared" si="6"/>
        <v>0</v>
      </c>
      <c r="AL10" s="155">
        <f ca="1">HLOOKUP($F10,Jornada!$I$5:$V$37,VLOOKUP(INDIRECT($C$5),Jornada!$C$8:$W$37,21,0)+2,0)</f>
        <v>0</v>
      </c>
      <c r="AM10" s="155">
        <f ca="1">HLOOKUP($F10,Jornada!$I$4:$V$37,VLOOKUP(INDIRECT($C$5),Jornada!$C$8:$W$37,21,0)+3,0)</f>
        <v>0</v>
      </c>
      <c r="AN10" s="155">
        <f t="shared" ca="1" si="7"/>
        <v>0</v>
      </c>
      <c r="AO10" s="155">
        <f t="shared" si="8"/>
        <v>0</v>
      </c>
      <c r="AP10" s="155">
        <f t="shared" si="9"/>
        <v>0</v>
      </c>
      <c r="BE10" s="14"/>
      <c r="BF10" s="14"/>
      <c r="BG10" s="14"/>
    </row>
    <row r="11" spans="1:59" s="2" customFormat="1" ht="30" customHeight="1" thickTop="1" thickBot="1" x14ac:dyDescent="0.25">
      <c r="A11" s="1"/>
      <c r="B11"/>
      <c r="C11" s="172" t="str">
        <f>IF(Funcionários!C10=0,"",Funcionários!C10)</f>
        <v/>
      </c>
      <c r="D11"/>
      <c r="E11" s="115">
        <f>Lanç!E11</f>
        <v>4</v>
      </c>
      <c r="F11" s="189" t="str">
        <f>Lanç!F11</f>
        <v>Qua</v>
      </c>
      <c r="G11" s="81"/>
      <c r="H11" s="94"/>
      <c r="I11" s="94"/>
      <c r="J11" s="94"/>
      <c r="K11" s="94"/>
      <c r="L11" s="197"/>
      <c r="M11" s="95">
        <f t="shared" si="1"/>
        <v>0</v>
      </c>
      <c r="N11" s="196"/>
      <c r="O11" s="95">
        <f ca="1">IF(OR(G11=0,G11="Férias",G11="Falta Justificada",G11="Feriado",G11="Folga (DSR)"),0,IF(G11="Falta Injustificada",HLOOKUP($F11,Jornada!$X$7:$AD$37,VLOOKUP(INDIRECT($C$5),Jornada!$C$8:$W$37,21,0),0),IF(HLOOKUP($F11,Jornada!$X$7:$AD$37,VLOOKUP(INDIRECT($C$5),Jornada!$C$8:$W$37,21,0),0)-M11&gt;0,HLOOKUP($F11,Jornada!$X$7:$AD$37,VLOOKUP(INDIRECT($C$5),Jornada!$C$8:$W$37,21,0),0)-M11,0)))</f>
        <v>0</v>
      </c>
      <c r="P11" s="193">
        <f ca="1">IF(HLOOKUP($F11,Jornada!$X$7:$AD$37,VLOOKUP(INDIRECT($C$5),Jornada!$C$8:$W$37,21,0),0)-M11&lt;0,ABS(HLOOKUP($F11,Jornada!$X$7:$AD$37,VLOOKUP(INDIRECT($C$5),Jornada!$C$8:$W$37,21,0),0)-M11),0)</f>
        <v>0</v>
      </c>
      <c r="Q11" s="95">
        <f t="shared" si="0"/>
        <v>0</v>
      </c>
      <c r="R11" s="2">
        <f t="shared" si="2"/>
        <v>0</v>
      </c>
      <c r="S11" s="294"/>
      <c r="T11" s="294"/>
      <c r="U11" s="295"/>
      <c r="V11" s="2">
        <f ca="1">IF(AND(K5&gt;U12,M5="Horas devidas"),"Negativo",IF(AND(U12&gt;K5,U14&gt;F58),"Negativo",0))</f>
        <v>0</v>
      </c>
      <c r="W11" s="2" t="s">
        <v>94</v>
      </c>
      <c r="X11" s="156">
        <v>5</v>
      </c>
      <c r="Z11" s="2" t="str">
        <f ca="1">IF(AND(M5="horas extras",Z13="positivo"),"positivo",IF(AND(M5="horas devidas",Z13="Negativo"),"Negativo",IF(AND(Z13="positivo",M5="horas devidas",U12&gt;K5),"Positivo","Negativo")))</f>
        <v>Negativo</v>
      </c>
      <c r="AB11" s="177">
        <f t="shared" si="10"/>
        <v>4</v>
      </c>
      <c r="AC11" s="2">
        <f t="shared" si="3"/>
        <v>4</v>
      </c>
      <c r="AE11" s="2">
        <v>4</v>
      </c>
      <c r="AF11" s="2" t="s">
        <v>54</v>
      </c>
      <c r="AG11" s="220">
        <f t="shared" si="4"/>
        <v>0</v>
      </c>
      <c r="AH11" s="220">
        <f ca="1">IF(HLOOKUP($F11,Jornada!$X$7:$AD$37,VLOOKUP(INDIRECT($C$5),Jornada!$C$8:$W$37,21,0),0)=0,0,VLOOKUP(INDIRECT($C$5),Jornada!$C$8:$H$37,4,0))</f>
        <v>0</v>
      </c>
      <c r="AI11" s="155">
        <f ca="1">IF(AND(I11=0,J11=0,OR(H11&lt;&gt;0,K11&lt;&gt;0),HLOOKUP($F11,Jornada!$X$7:$AD$37,VLOOKUP(INDIRECT($C$5),Jornada!$C$8:$W$37,21,0),0)&gt;$AK$5,M11&gt;$AK$5),VLOOKUP(INDIRECT($C$5),Jornada!$C$8:$H$37,6,0),IF(AG11&gt;VLOOKUP(INDIRECT($C$5),Jornada!$C$8:$H$37,6,0),IF(VLOOKUP(INDIRECT($C$5),Jornada!$C$8:$H$37,6,0)&lt;AG11,0,ABS(VLOOKUP(INDIRECT($C$5),Jornada!$C$8:$H$37,6,0))-AG11),0))</f>
        <v>0</v>
      </c>
      <c r="AJ11" s="155">
        <f t="shared" si="5"/>
        <v>1</v>
      </c>
      <c r="AK11" s="155">
        <f t="shared" si="6"/>
        <v>0</v>
      </c>
      <c r="AL11" s="155">
        <f ca="1">HLOOKUP($F11,Jornada!$I$5:$V$37,VLOOKUP(INDIRECT($C$5),Jornada!$C$8:$W$37,21,0)+2,0)</f>
        <v>0</v>
      </c>
      <c r="AM11" s="155">
        <f ca="1">HLOOKUP($F11,Jornada!$I$4:$V$37,VLOOKUP(INDIRECT($C$5),Jornada!$C$8:$W$37,21,0)+3,0)</f>
        <v>0</v>
      </c>
      <c r="AN11" s="155">
        <f t="shared" ca="1" si="7"/>
        <v>0</v>
      </c>
      <c r="AO11" s="155">
        <f t="shared" si="8"/>
        <v>0</v>
      </c>
      <c r="AP11" s="155">
        <f t="shared" si="9"/>
        <v>0</v>
      </c>
      <c r="BE11" s="14"/>
      <c r="BF11" s="14"/>
      <c r="BG11" s="14"/>
    </row>
    <row r="12" spans="1:59" s="2" customFormat="1" ht="30" customHeight="1" thickTop="1" thickBot="1" x14ac:dyDescent="0.25">
      <c r="A12" s="1"/>
      <c r="B12"/>
      <c r="C12" s="172" t="str">
        <f>IF(Funcionários!C11=0,"",Funcionários!C11)</f>
        <v/>
      </c>
      <c r="D12"/>
      <c r="E12" s="115">
        <f>Lanç!E12</f>
        <v>5</v>
      </c>
      <c r="F12" s="189" t="str">
        <f>Lanç!F12</f>
        <v>Qui</v>
      </c>
      <c r="G12" s="81"/>
      <c r="H12" s="94"/>
      <c r="I12" s="94"/>
      <c r="J12" s="94"/>
      <c r="K12" s="94"/>
      <c r="L12" s="197"/>
      <c r="M12" s="95">
        <f t="shared" si="1"/>
        <v>0</v>
      </c>
      <c r="N12" s="196"/>
      <c r="O12" s="95">
        <f ca="1">IF(OR(G12=0,G12="Férias",G12="Falta Justificada",G12="Feriado",G12="Folga (DSR)"),0,IF(G12="Falta Injustificada",HLOOKUP($F12,Jornada!$X$7:$AD$37,VLOOKUP(INDIRECT($C$5),Jornada!$C$8:$W$37,21,0),0),IF(HLOOKUP($F12,Jornada!$X$7:$AD$37,VLOOKUP(INDIRECT($C$5),Jornada!$C$8:$W$37,21,0),0)-M12&gt;0,HLOOKUP($F12,Jornada!$X$7:$AD$37,VLOOKUP(INDIRECT($C$5),Jornada!$C$8:$W$37,21,0),0)-M12,0)))</f>
        <v>0</v>
      </c>
      <c r="P12" s="193">
        <f ca="1">IF(HLOOKUP($F12,Jornada!$X$7:$AD$37,VLOOKUP(INDIRECT($C$5),Jornada!$C$8:$W$37,21,0),0)-M12&lt;0,ABS(HLOOKUP($F12,Jornada!$X$7:$AD$37,VLOOKUP(INDIRECT($C$5),Jornada!$C$8:$W$37,21,0),0)-M12),0)</f>
        <v>0</v>
      </c>
      <c r="Q12" s="95">
        <f t="shared" si="0"/>
        <v>0</v>
      </c>
      <c r="R12" s="2">
        <f t="shared" si="2"/>
        <v>0</v>
      </c>
      <c r="S12" s="294" t="s">
        <v>175</v>
      </c>
      <c r="T12" s="294"/>
      <c r="U12" s="295">
        <f ca="1">IF(U14&gt;=F58,(U14)-F58,(F58-U14))</f>
        <v>0</v>
      </c>
      <c r="W12" s="2" t="s">
        <v>95</v>
      </c>
      <c r="X12" s="156">
        <v>6</v>
      </c>
      <c r="AB12" s="177">
        <f t="shared" si="10"/>
        <v>5</v>
      </c>
      <c r="AC12" s="2">
        <f t="shared" si="3"/>
        <v>5</v>
      </c>
      <c r="AE12" s="2">
        <v>5</v>
      </c>
      <c r="AF12" s="2" t="s">
        <v>55</v>
      </c>
      <c r="AG12" s="220">
        <f t="shared" si="4"/>
        <v>0</v>
      </c>
      <c r="AH12" s="220">
        <f ca="1">IF(HLOOKUP($F12,Jornada!$X$7:$AD$37,VLOOKUP(INDIRECT($C$5),Jornada!$C$8:$W$37,21,0),0)=0,0,VLOOKUP(INDIRECT($C$5),Jornada!$C$8:$H$37,4,0))</f>
        <v>0</v>
      </c>
      <c r="AI12" s="155">
        <f ca="1">IF(AND(I12=0,J12=0,OR(H12&lt;&gt;0,K12&lt;&gt;0),HLOOKUP($F12,Jornada!$X$7:$AD$37,VLOOKUP(INDIRECT($C$5),Jornada!$C$8:$W$37,21,0),0)&gt;$AK$5,M12&gt;$AK$5),VLOOKUP(INDIRECT($C$5),Jornada!$C$8:$H$37,6,0),IF(AG12&gt;VLOOKUP(INDIRECT($C$5),Jornada!$C$8:$H$37,6,0),IF(VLOOKUP(INDIRECT($C$5),Jornada!$C$8:$H$37,6,0)&lt;AG12,0,ABS(VLOOKUP(INDIRECT($C$5),Jornada!$C$8:$H$37,6,0))-AG12),0))</f>
        <v>0</v>
      </c>
      <c r="AJ12" s="155">
        <f t="shared" si="5"/>
        <v>1</v>
      </c>
      <c r="AK12" s="155">
        <f t="shared" si="6"/>
        <v>0</v>
      </c>
      <c r="AL12" s="155">
        <f ca="1">HLOOKUP($F12,Jornada!$I$5:$V$37,VLOOKUP(INDIRECT($C$5),Jornada!$C$8:$W$37,21,0)+2,0)</f>
        <v>0</v>
      </c>
      <c r="AM12" s="155">
        <f ca="1">HLOOKUP($F12,Jornada!$I$4:$V$37,VLOOKUP(INDIRECT($C$5),Jornada!$C$8:$W$37,21,0)+3,0)</f>
        <v>0</v>
      </c>
      <c r="AN12" s="155">
        <f t="shared" ca="1" si="7"/>
        <v>0</v>
      </c>
      <c r="AO12" s="155">
        <f t="shared" si="8"/>
        <v>0</v>
      </c>
      <c r="AP12" s="155">
        <f t="shared" si="9"/>
        <v>0</v>
      </c>
      <c r="BE12" s="14"/>
      <c r="BF12" s="14"/>
      <c r="BG12" s="14"/>
    </row>
    <row r="13" spans="1:59" s="2" customFormat="1" ht="30" customHeight="1" thickTop="1" thickBot="1" x14ac:dyDescent="0.25">
      <c r="A13" s="1"/>
      <c r="B13"/>
      <c r="C13" s="172" t="str">
        <f>IF(Funcionários!C12=0,"",Funcionários!C12)</f>
        <v/>
      </c>
      <c r="D13"/>
      <c r="E13" s="115">
        <f>Lanç!E13</f>
        <v>6</v>
      </c>
      <c r="F13" s="189" t="str">
        <f>Lanç!F13</f>
        <v>Sex</v>
      </c>
      <c r="G13" s="81"/>
      <c r="H13" s="94"/>
      <c r="I13" s="94"/>
      <c r="J13" s="94"/>
      <c r="K13" s="94"/>
      <c r="L13" s="197"/>
      <c r="M13" s="95">
        <f t="shared" si="1"/>
        <v>0</v>
      </c>
      <c r="N13" s="196"/>
      <c r="O13" s="95">
        <f ca="1">IF(OR(G13=0,G13="Férias",G13="Falta Justificada",G13="Feriado",G13="Folga (DSR)"),0,IF(G13="Falta Injustificada",HLOOKUP($F13,Jornada!$X$7:$AD$37,VLOOKUP(INDIRECT($C$5),Jornada!$C$8:$W$37,21,0),0),IF(HLOOKUP($F13,Jornada!$X$7:$AD$37,VLOOKUP(INDIRECT($C$5),Jornada!$C$8:$W$37,21,0),0)-M13&gt;0,HLOOKUP($F13,Jornada!$X$7:$AD$37,VLOOKUP(INDIRECT($C$5),Jornada!$C$8:$W$37,21,0),0)-M13,0)))</f>
        <v>0</v>
      </c>
      <c r="P13" s="193">
        <f ca="1">IF(HLOOKUP($F13,Jornada!$X$7:$AD$37,VLOOKUP(INDIRECT($C$5),Jornada!$C$8:$W$37,21,0),0)-M13&lt;0,ABS(HLOOKUP($F13,Jornada!$X$7:$AD$37,VLOOKUP(INDIRECT($C$5),Jornada!$C$8:$W$37,21,0),0)-M13),0)</f>
        <v>0</v>
      </c>
      <c r="Q13" s="95">
        <f t="shared" si="0"/>
        <v>0</v>
      </c>
      <c r="R13" s="2">
        <f t="shared" si="2"/>
        <v>0</v>
      </c>
      <c r="S13" s="294"/>
      <c r="T13" s="294"/>
      <c r="U13" s="295"/>
      <c r="W13" s="2" t="s">
        <v>96</v>
      </c>
      <c r="X13" s="156">
        <v>7</v>
      </c>
      <c r="Z13" s="2" t="str">
        <f ca="1">IF(U14&gt;F58,"Negativo","Positivo")</f>
        <v>Positivo</v>
      </c>
      <c r="AB13" s="177">
        <f t="shared" si="10"/>
        <v>6</v>
      </c>
      <c r="AC13" s="2">
        <f t="shared" si="3"/>
        <v>6</v>
      </c>
      <c r="AE13" s="2">
        <v>6</v>
      </c>
      <c r="AF13" s="2" t="s">
        <v>56</v>
      </c>
      <c r="AG13" s="220">
        <f t="shared" si="4"/>
        <v>0</v>
      </c>
      <c r="AH13" s="220">
        <f ca="1">IF(HLOOKUP($F13,Jornada!$X$7:$AD$37,VLOOKUP(INDIRECT($C$5),Jornada!$C$8:$W$37,21,0),0)=0,0,VLOOKUP(INDIRECT($C$5),Jornada!$C$8:$H$37,4,0))</f>
        <v>0</v>
      </c>
      <c r="AI13" s="155">
        <f ca="1">IF(AND(I13=0,J13=0,OR(H13&lt;&gt;0,K13&lt;&gt;0),HLOOKUP($F13,Jornada!$X$7:$AD$37,VLOOKUP(INDIRECT($C$5),Jornada!$C$8:$W$37,21,0),0)&gt;$AK$5,M13&gt;$AK$5),VLOOKUP(INDIRECT($C$5),Jornada!$C$8:$H$37,6,0),IF(AG13&gt;VLOOKUP(INDIRECT($C$5),Jornada!$C$8:$H$37,6,0),IF(VLOOKUP(INDIRECT($C$5),Jornada!$C$8:$H$37,6,0)&lt;AG13,0,ABS(VLOOKUP(INDIRECT($C$5),Jornada!$C$8:$H$37,6,0))-AG13),0))</f>
        <v>0</v>
      </c>
      <c r="AJ13" s="155">
        <f t="shared" si="5"/>
        <v>1</v>
      </c>
      <c r="AK13" s="155">
        <f t="shared" si="6"/>
        <v>0</v>
      </c>
      <c r="AL13" s="155">
        <f ca="1">HLOOKUP($F13,Jornada!$I$5:$V$37,VLOOKUP(INDIRECT($C$5),Jornada!$C$8:$W$37,21,0)+2,0)</f>
        <v>0</v>
      </c>
      <c r="AM13" s="155">
        <f ca="1">HLOOKUP($F13,Jornada!$I$4:$V$37,VLOOKUP(INDIRECT($C$5),Jornada!$C$8:$W$37,21,0)+3,0)</f>
        <v>0</v>
      </c>
      <c r="AN13" s="155">
        <f t="shared" ca="1" si="7"/>
        <v>0</v>
      </c>
      <c r="AO13" s="155">
        <f t="shared" si="8"/>
        <v>0</v>
      </c>
      <c r="AP13" s="155">
        <f t="shared" si="9"/>
        <v>0</v>
      </c>
      <c r="BE13" s="14"/>
      <c r="BF13" s="14"/>
      <c r="BG13" s="14"/>
    </row>
    <row r="14" spans="1:59" s="2" customFormat="1" ht="30" customHeight="1" thickTop="1" thickBot="1" x14ac:dyDescent="0.25">
      <c r="A14" s="1"/>
      <c r="B14"/>
      <c r="C14" s="172" t="str">
        <f>IF(Funcionários!C13=0,"",Funcionários!C13)</f>
        <v/>
      </c>
      <c r="D14"/>
      <c r="E14" s="115">
        <f>Lanç!E14</f>
        <v>7</v>
      </c>
      <c r="F14" s="189" t="str">
        <f>Lanç!F14</f>
        <v>Sáb</v>
      </c>
      <c r="G14" s="81"/>
      <c r="H14" s="94"/>
      <c r="I14" s="94"/>
      <c r="J14" s="94"/>
      <c r="K14" s="94"/>
      <c r="L14" s="197"/>
      <c r="M14" s="95">
        <f t="shared" si="1"/>
        <v>0</v>
      </c>
      <c r="N14" s="196"/>
      <c r="O14" s="95">
        <f ca="1">IF(OR(G14=0,G14="Férias",G14="Falta Justificada",G14="Feriado",G14="Folga (DSR)"),0,IF(G14="Falta Injustificada",HLOOKUP($F14,Jornada!$X$7:$AD$37,VLOOKUP(INDIRECT($C$5),Jornada!$C$8:$W$37,21,0),0),IF(HLOOKUP($F14,Jornada!$X$7:$AD$37,VLOOKUP(INDIRECT($C$5),Jornada!$C$8:$W$37,21,0),0)-M14&gt;0,HLOOKUP($F14,Jornada!$X$7:$AD$37,VLOOKUP(INDIRECT($C$5),Jornada!$C$8:$W$37,21,0),0)-M14,0)))</f>
        <v>0</v>
      </c>
      <c r="P14" s="193">
        <f ca="1">IF(HLOOKUP($F14,Jornada!$X$7:$AD$37,VLOOKUP(INDIRECT($C$5),Jornada!$C$8:$W$37,21,0),0)-M14&lt;0,ABS(HLOOKUP($F14,Jornada!$X$7:$AD$37,VLOOKUP(INDIRECT($C$5),Jornada!$C$8:$W$37,21,0),0)-M14),0)</f>
        <v>0</v>
      </c>
      <c r="Q14" s="95">
        <f t="shared" si="0"/>
        <v>0</v>
      </c>
      <c r="R14" s="2">
        <f t="shared" si="2"/>
        <v>0</v>
      </c>
      <c r="S14" s="294" t="s">
        <v>68</v>
      </c>
      <c r="T14" s="294"/>
      <c r="U14" s="295">
        <f ca="1">SUM(O8:O38)</f>
        <v>0</v>
      </c>
      <c r="W14" s="2" t="s">
        <v>97</v>
      </c>
      <c r="X14" s="156">
        <v>8</v>
      </c>
      <c r="AB14" s="177">
        <f t="shared" si="10"/>
        <v>7</v>
      </c>
      <c r="AC14" s="2">
        <f t="shared" si="3"/>
        <v>7</v>
      </c>
      <c r="AE14" s="2">
        <v>7</v>
      </c>
      <c r="AF14" s="2" t="s">
        <v>57</v>
      </c>
      <c r="AG14" s="220">
        <f t="shared" si="4"/>
        <v>0</v>
      </c>
      <c r="AH14" s="220">
        <f ca="1">IF(HLOOKUP($F14,Jornada!$X$7:$AD$37,VLOOKUP(INDIRECT($C$5),Jornada!$C$8:$W$37,21,0),0)=0,0,VLOOKUP(INDIRECT($C$5),Jornada!$C$8:$H$37,4,0))</f>
        <v>0</v>
      </c>
      <c r="AI14" s="155">
        <f ca="1">IF(AND(I14=0,J14=0,OR(H14&lt;&gt;0,K14&lt;&gt;0),HLOOKUP($F14,Jornada!$X$7:$AD$37,VLOOKUP(INDIRECT($C$5),Jornada!$C$8:$W$37,21,0),0)&gt;$AK$5,M14&gt;$AK$5),VLOOKUP(INDIRECT($C$5),Jornada!$C$8:$H$37,6,0),IF(AG14&gt;VLOOKUP(INDIRECT($C$5),Jornada!$C$8:$H$37,6,0),IF(VLOOKUP(INDIRECT($C$5),Jornada!$C$8:$H$37,6,0)&lt;AG14,0,ABS(VLOOKUP(INDIRECT($C$5),Jornada!$C$8:$H$37,6,0))-AG14),0))</f>
        <v>0</v>
      </c>
      <c r="AJ14" s="155">
        <f t="shared" si="5"/>
        <v>1</v>
      </c>
      <c r="AK14" s="155">
        <f t="shared" si="6"/>
        <v>0</v>
      </c>
      <c r="AL14" s="155">
        <f ca="1">HLOOKUP($F14,Jornada!$I$5:$V$37,VLOOKUP(INDIRECT($C$5),Jornada!$C$8:$W$37,21,0)+2,0)</f>
        <v>0</v>
      </c>
      <c r="AM14" s="155">
        <f ca="1">HLOOKUP($F14,Jornada!$I$4:$V$37,VLOOKUP(INDIRECT($C$5),Jornada!$C$8:$W$37,21,0)+3,0)</f>
        <v>0</v>
      </c>
      <c r="AN14" s="155">
        <f t="shared" ca="1" si="7"/>
        <v>0</v>
      </c>
      <c r="AO14" s="155">
        <f t="shared" si="8"/>
        <v>0</v>
      </c>
      <c r="AP14" s="155">
        <f t="shared" si="9"/>
        <v>0</v>
      </c>
      <c r="BE14" s="14"/>
      <c r="BF14" s="14"/>
      <c r="BG14" s="14"/>
    </row>
    <row r="15" spans="1:59" s="2" customFormat="1" ht="30" customHeight="1" thickTop="1" thickBot="1" x14ac:dyDescent="0.25">
      <c r="A15" s="1"/>
      <c r="B15"/>
      <c r="C15" s="172" t="str">
        <f>IF(Funcionários!C14=0,"",Funcionários!C14)</f>
        <v/>
      </c>
      <c r="D15"/>
      <c r="E15" s="115">
        <f>Lanç!E15</f>
        <v>8</v>
      </c>
      <c r="F15" s="189" t="str">
        <f>Lanç!F15</f>
        <v>Dom</v>
      </c>
      <c r="G15" s="81"/>
      <c r="H15" s="94"/>
      <c r="I15" s="94"/>
      <c r="J15" s="94"/>
      <c r="K15" s="94"/>
      <c r="L15" s="197"/>
      <c r="M15" s="95">
        <f t="shared" si="1"/>
        <v>0</v>
      </c>
      <c r="N15" s="196"/>
      <c r="O15" s="95">
        <f ca="1">IF(OR(G15=0,G15="Férias",G15="Falta Justificada",G15="Feriado",G15="Folga (DSR)"),0,IF(G15="Falta Injustificada",HLOOKUP($F15,Jornada!$X$7:$AD$37,VLOOKUP(INDIRECT($C$5),Jornada!$C$8:$W$37,21,0),0),IF(HLOOKUP($F15,Jornada!$X$7:$AD$37,VLOOKUP(INDIRECT($C$5),Jornada!$C$8:$W$37,21,0),0)-M15&gt;0,HLOOKUP($F15,Jornada!$X$7:$AD$37,VLOOKUP(INDIRECT($C$5),Jornada!$C$8:$W$37,21,0),0)-M15,0)))</f>
        <v>0</v>
      </c>
      <c r="P15" s="193">
        <f ca="1">IF(HLOOKUP($F15,Jornada!$X$7:$AD$37,VLOOKUP(INDIRECT($C$5),Jornada!$C$8:$W$37,21,0),0)-M15&lt;0,ABS(HLOOKUP($F15,Jornada!$X$7:$AD$37,VLOOKUP(INDIRECT($C$5),Jornada!$C$8:$W$37,21,0),0)-M15),0)</f>
        <v>0</v>
      </c>
      <c r="Q15" s="95">
        <f t="shared" si="0"/>
        <v>0</v>
      </c>
      <c r="R15" s="2">
        <f t="shared" si="2"/>
        <v>0</v>
      </c>
      <c r="S15" s="294"/>
      <c r="T15" s="294"/>
      <c r="U15" s="295"/>
      <c r="W15" s="2" t="s">
        <v>98</v>
      </c>
      <c r="X15" s="156">
        <v>9</v>
      </c>
      <c r="AB15" s="177">
        <f t="shared" si="10"/>
        <v>8</v>
      </c>
      <c r="AC15" s="2">
        <f t="shared" si="3"/>
        <v>1</v>
      </c>
      <c r="AG15" s="220">
        <f t="shared" si="4"/>
        <v>0</v>
      </c>
      <c r="AH15" s="220">
        <f ca="1">IF(HLOOKUP($F15,Jornada!$X$7:$AD$37,VLOOKUP(INDIRECT($C$5),Jornada!$C$8:$W$37,21,0),0)=0,0,VLOOKUP(INDIRECT($C$5),Jornada!$C$8:$H$37,4,0))</f>
        <v>0</v>
      </c>
      <c r="AI15" s="155">
        <f ca="1">IF(AND(I15=0,J15=0,OR(H15&lt;&gt;0,K15&lt;&gt;0),HLOOKUP($F15,Jornada!$X$7:$AD$37,VLOOKUP(INDIRECT($C$5),Jornada!$C$8:$W$37,21,0),0)&gt;$AK$5,M15&gt;$AK$5),VLOOKUP(INDIRECT($C$5),Jornada!$C$8:$H$37,6,0),IF(AG15&gt;VLOOKUP(INDIRECT($C$5),Jornada!$C$8:$H$37,6,0),IF(VLOOKUP(INDIRECT($C$5),Jornada!$C$8:$H$37,6,0)&lt;AG15,0,ABS(VLOOKUP(INDIRECT($C$5),Jornada!$C$8:$H$37,6,0))-AG15),0))</f>
        <v>0</v>
      </c>
      <c r="AJ15" s="155">
        <f t="shared" si="5"/>
        <v>1</v>
      </c>
      <c r="AK15" s="155">
        <f t="shared" si="6"/>
        <v>0</v>
      </c>
      <c r="AL15" s="155">
        <f ca="1">HLOOKUP($F15,Jornada!$I$5:$V$37,VLOOKUP(INDIRECT($C$5),Jornada!$C$8:$W$37,21,0)+2,0)</f>
        <v>0</v>
      </c>
      <c r="AM15" s="155">
        <f ca="1">HLOOKUP($F15,Jornada!$I$4:$V$37,VLOOKUP(INDIRECT($C$5),Jornada!$C$8:$W$37,21,0)+3,0)</f>
        <v>0</v>
      </c>
      <c r="AN15" s="155">
        <f t="shared" ca="1" si="7"/>
        <v>0</v>
      </c>
      <c r="AO15" s="155">
        <f t="shared" si="8"/>
        <v>0</v>
      </c>
      <c r="AP15" s="155">
        <f t="shared" si="9"/>
        <v>0</v>
      </c>
      <c r="BE15" s="14"/>
      <c r="BF15" s="14"/>
      <c r="BG15" s="14"/>
    </row>
    <row r="16" spans="1:59" s="2" customFormat="1" ht="30" customHeight="1" thickTop="1" thickBot="1" x14ac:dyDescent="0.25">
      <c r="A16" s="1"/>
      <c r="B16"/>
      <c r="C16" s="172" t="str">
        <f>IF(Funcionários!C15=0,"",Funcionários!C15)</f>
        <v/>
      </c>
      <c r="D16"/>
      <c r="E16" s="115">
        <f>Lanç!E16</f>
        <v>9</v>
      </c>
      <c r="F16" s="189" t="str">
        <f>Lanç!F16</f>
        <v>Seg</v>
      </c>
      <c r="G16" s="81"/>
      <c r="H16" s="94"/>
      <c r="I16" s="94"/>
      <c r="J16" s="94"/>
      <c r="K16" s="94"/>
      <c r="L16" s="197"/>
      <c r="M16" s="95">
        <f t="shared" si="1"/>
        <v>0</v>
      </c>
      <c r="N16" s="196"/>
      <c r="O16" s="95">
        <f ca="1">IF(OR(G16=0,G16="Férias",G16="Falta Justificada",G16="Feriado",G16="Folga (DSR)"),0,IF(G16="Falta Injustificada",HLOOKUP($F16,Jornada!$X$7:$AD$37,VLOOKUP(INDIRECT($C$5),Jornada!$C$8:$W$37,21,0),0),IF(HLOOKUP($F16,Jornada!$X$7:$AD$37,VLOOKUP(INDIRECT($C$5),Jornada!$C$8:$W$37,21,0),0)-M16&gt;0,HLOOKUP($F16,Jornada!$X$7:$AD$37,VLOOKUP(INDIRECT($C$5),Jornada!$C$8:$W$37,21,0),0)-M16,0)))</f>
        <v>0</v>
      </c>
      <c r="P16" s="193">
        <f ca="1">IF(HLOOKUP($F16,Jornada!$X$7:$AD$37,VLOOKUP(INDIRECT($C$5),Jornada!$C$8:$W$37,21,0),0)-M16&lt;0,ABS(HLOOKUP($F16,Jornada!$X$7:$AD$37,VLOOKUP(INDIRECT($C$5),Jornada!$C$8:$W$37,21,0),0)-M16),0)</f>
        <v>0</v>
      </c>
      <c r="Q16" s="95">
        <f t="shared" si="0"/>
        <v>0</v>
      </c>
      <c r="R16" s="2">
        <f t="shared" si="2"/>
        <v>0</v>
      </c>
      <c r="S16" s="294" t="s">
        <v>67</v>
      </c>
      <c r="T16" s="294"/>
      <c r="U16" s="295">
        <f>SUM(Q8:Q38)</f>
        <v>0</v>
      </c>
      <c r="W16" s="2" t="s">
        <v>99</v>
      </c>
      <c r="X16" s="156">
        <v>10</v>
      </c>
      <c r="AB16" s="177">
        <f t="shared" si="10"/>
        <v>9</v>
      </c>
      <c r="AC16" s="2">
        <f t="shared" si="3"/>
        <v>2</v>
      </c>
      <c r="AG16" s="220">
        <f t="shared" si="4"/>
        <v>0</v>
      </c>
      <c r="AH16" s="220">
        <f ca="1">IF(HLOOKUP($F16,Jornada!$X$7:$AD$37,VLOOKUP(INDIRECT($C$5),Jornada!$C$8:$W$37,21,0),0)=0,0,VLOOKUP(INDIRECT($C$5),Jornada!$C$8:$H$37,4,0))</f>
        <v>0</v>
      </c>
      <c r="AI16" s="155">
        <f ca="1">IF(AND(I16=0,J16=0,OR(H16&lt;&gt;0,K16&lt;&gt;0),HLOOKUP($F16,Jornada!$X$7:$AD$37,VLOOKUP(INDIRECT($C$5),Jornada!$C$8:$W$37,21,0),0)&gt;$AK$5,M16&gt;$AK$5),VLOOKUP(INDIRECT($C$5),Jornada!$C$8:$H$37,6,0),IF(AG16&gt;VLOOKUP(INDIRECT($C$5),Jornada!$C$8:$H$37,6,0),IF(VLOOKUP(INDIRECT($C$5),Jornada!$C$8:$H$37,6,0)&lt;AG16,0,ABS(VLOOKUP(INDIRECT($C$5),Jornada!$C$8:$H$37,6,0))-AG16),0))</f>
        <v>0</v>
      </c>
      <c r="AJ16" s="155">
        <f t="shared" si="5"/>
        <v>1</v>
      </c>
      <c r="AK16" s="155">
        <f t="shared" si="6"/>
        <v>0</v>
      </c>
      <c r="AL16" s="155">
        <f ca="1">HLOOKUP($F16,Jornada!$I$5:$V$37,VLOOKUP(INDIRECT($C$5),Jornada!$C$8:$W$37,21,0)+2,0)</f>
        <v>0</v>
      </c>
      <c r="AM16" s="155">
        <f ca="1">HLOOKUP($F16,Jornada!$I$4:$V$37,VLOOKUP(INDIRECT($C$5),Jornada!$C$8:$W$37,21,0)+3,0)</f>
        <v>0</v>
      </c>
      <c r="AN16" s="155">
        <f t="shared" ca="1" si="7"/>
        <v>0</v>
      </c>
      <c r="AO16" s="155">
        <f t="shared" si="8"/>
        <v>0</v>
      </c>
      <c r="AP16" s="155">
        <f t="shared" si="9"/>
        <v>0</v>
      </c>
      <c r="BE16" s="14"/>
      <c r="BF16" s="14"/>
      <c r="BG16" s="14"/>
    </row>
    <row r="17" spans="1:59" s="2" customFormat="1" ht="30" customHeight="1" thickTop="1" thickBot="1" x14ac:dyDescent="0.25">
      <c r="A17" s="1"/>
      <c r="B17"/>
      <c r="C17" s="172" t="str">
        <f>IF(Funcionários!C16=0,"",Funcionários!C16)</f>
        <v/>
      </c>
      <c r="D17"/>
      <c r="E17" s="115">
        <f>Lanç!E17</f>
        <v>10</v>
      </c>
      <c r="F17" s="189" t="str">
        <f>Lanç!F17</f>
        <v>Ter</v>
      </c>
      <c r="G17" s="81"/>
      <c r="H17" s="94"/>
      <c r="I17" s="94"/>
      <c r="J17" s="94"/>
      <c r="K17" s="94"/>
      <c r="L17" s="197"/>
      <c r="M17" s="95">
        <f t="shared" si="1"/>
        <v>0</v>
      </c>
      <c r="N17" s="196"/>
      <c r="O17" s="95">
        <f ca="1">IF(OR(G17=0,G17="Férias",G17="Falta Justificada",G17="Feriado",G17="Folga (DSR)"),0,IF(G17="Falta Injustificada",HLOOKUP($F17,Jornada!$X$7:$AD$37,VLOOKUP(INDIRECT($C$5),Jornada!$C$8:$W$37,21,0),0),IF(HLOOKUP($F17,Jornada!$X$7:$AD$37,VLOOKUP(INDIRECT($C$5),Jornada!$C$8:$W$37,21,0),0)-M17&gt;0,HLOOKUP($F17,Jornada!$X$7:$AD$37,VLOOKUP(INDIRECT($C$5),Jornada!$C$8:$W$37,21,0),0)-M17,0)))</f>
        <v>0</v>
      </c>
      <c r="P17" s="193">
        <f ca="1">IF(HLOOKUP($F17,Jornada!$X$7:$AD$37,VLOOKUP(INDIRECT($C$5),Jornada!$C$8:$W$37,21,0),0)-M17&lt;0,ABS(HLOOKUP($F17,Jornada!$X$7:$AD$37,VLOOKUP(INDIRECT($C$5),Jornada!$C$8:$W$37,21,0),0)-M17),0)</f>
        <v>0</v>
      </c>
      <c r="Q17" s="95">
        <f t="shared" si="0"/>
        <v>0</v>
      </c>
      <c r="R17" s="2">
        <f t="shared" si="2"/>
        <v>0</v>
      </c>
      <c r="S17" s="294"/>
      <c r="T17" s="294"/>
      <c r="U17" s="295"/>
      <c r="W17" s="2" t="s">
        <v>100</v>
      </c>
      <c r="X17" s="156">
        <v>11</v>
      </c>
      <c r="AB17" s="177">
        <f t="shared" si="10"/>
        <v>10</v>
      </c>
      <c r="AC17" s="2">
        <f t="shared" si="3"/>
        <v>3</v>
      </c>
      <c r="AG17" s="220">
        <f t="shared" si="4"/>
        <v>0</v>
      </c>
      <c r="AH17" s="220">
        <f ca="1">IF(HLOOKUP($F17,Jornada!$X$7:$AD$37,VLOOKUP(INDIRECT($C$5),Jornada!$C$8:$W$37,21,0),0)=0,0,VLOOKUP(INDIRECT($C$5),Jornada!$C$8:$H$37,4,0))</f>
        <v>0</v>
      </c>
      <c r="AI17" s="155">
        <f ca="1">IF(AND(I17=0,J17=0,OR(H17&lt;&gt;0,K17&lt;&gt;0),HLOOKUP($F17,Jornada!$X$7:$AD$37,VLOOKUP(INDIRECT($C$5),Jornada!$C$8:$W$37,21,0),0)&gt;$AK$5,M17&gt;$AK$5),VLOOKUP(INDIRECT($C$5),Jornada!$C$8:$H$37,6,0),IF(AG17&gt;VLOOKUP(INDIRECT($C$5),Jornada!$C$8:$H$37,6,0),IF(VLOOKUP(INDIRECT($C$5),Jornada!$C$8:$H$37,6,0)&lt;AG17,0,ABS(VLOOKUP(INDIRECT($C$5),Jornada!$C$8:$H$37,6,0))-AG17),0))</f>
        <v>0</v>
      </c>
      <c r="AJ17" s="155">
        <f t="shared" si="5"/>
        <v>1</v>
      </c>
      <c r="AK17" s="155">
        <f t="shared" si="6"/>
        <v>0</v>
      </c>
      <c r="AL17" s="155">
        <f ca="1">HLOOKUP($F17,Jornada!$I$5:$V$37,VLOOKUP(INDIRECT($C$5),Jornada!$C$8:$W$37,21,0)+2,0)</f>
        <v>0</v>
      </c>
      <c r="AM17" s="155">
        <f ca="1">HLOOKUP($F17,Jornada!$I$4:$V$37,VLOOKUP(INDIRECT($C$5),Jornada!$C$8:$W$37,21,0)+3,0)</f>
        <v>0</v>
      </c>
      <c r="AN17" s="155">
        <f t="shared" ca="1" si="7"/>
        <v>0</v>
      </c>
      <c r="AO17" s="155">
        <f t="shared" si="8"/>
        <v>0</v>
      </c>
      <c r="AP17" s="155">
        <f t="shared" si="9"/>
        <v>0</v>
      </c>
      <c r="BE17" s="14"/>
      <c r="BF17" s="14"/>
      <c r="BG17" s="14"/>
    </row>
    <row r="18" spans="1:59" s="2" customFormat="1" ht="30" customHeight="1" thickTop="1" thickBot="1" x14ac:dyDescent="0.25">
      <c r="A18" s="1"/>
      <c r="B18"/>
      <c r="C18" s="172" t="str">
        <f>IF(Funcionários!C17=0,"",Funcionários!C17)</f>
        <v/>
      </c>
      <c r="D18"/>
      <c r="E18" s="115">
        <f>Lanç!E18</f>
        <v>11</v>
      </c>
      <c r="F18" s="189" t="str">
        <f>Lanç!F18</f>
        <v>Qua</v>
      </c>
      <c r="G18" s="81"/>
      <c r="H18" s="94"/>
      <c r="I18" s="94"/>
      <c r="J18" s="94"/>
      <c r="K18" s="94"/>
      <c r="L18" s="197"/>
      <c r="M18" s="95">
        <f t="shared" si="1"/>
        <v>0</v>
      </c>
      <c r="N18" s="196"/>
      <c r="O18" s="95">
        <f ca="1">IF(OR(G18=0,G18="Férias",G18="Falta Justificada",G18="Feriado",G18="Folga (DSR)"),0,IF(G18="Falta Injustificada",HLOOKUP($F18,Jornada!$X$7:$AD$37,VLOOKUP(INDIRECT($C$5),Jornada!$C$8:$W$37,21,0),0),IF(HLOOKUP($F18,Jornada!$X$7:$AD$37,VLOOKUP(INDIRECT($C$5),Jornada!$C$8:$W$37,21,0),0)-M18&gt;0,HLOOKUP($F18,Jornada!$X$7:$AD$37,VLOOKUP(INDIRECT($C$5),Jornada!$C$8:$W$37,21,0),0)-M18,0)))</f>
        <v>0</v>
      </c>
      <c r="P18" s="193">
        <f ca="1">IF(HLOOKUP($F18,Jornada!$X$7:$AD$37,VLOOKUP(INDIRECT($C$5),Jornada!$C$8:$W$37,21,0),0)-M18&lt;0,ABS(HLOOKUP($F18,Jornada!$X$7:$AD$37,VLOOKUP(INDIRECT($C$5),Jornada!$C$8:$W$37,21,0),0)-M18),0)</f>
        <v>0</v>
      </c>
      <c r="Q18" s="95">
        <f t="shared" si="0"/>
        <v>0</v>
      </c>
      <c r="R18" s="2">
        <f t="shared" si="2"/>
        <v>0</v>
      </c>
      <c r="S18" s="294" t="s">
        <v>69</v>
      </c>
      <c r="T18" s="294"/>
      <c r="U18" s="299">
        <f ca="1">F54</f>
        <v>0</v>
      </c>
      <c r="W18" s="2" t="s">
        <v>101</v>
      </c>
      <c r="X18" s="156">
        <v>12</v>
      </c>
      <c r="AB18" s="177">
        <f t="shared" si="10"/>
        <v>11</v>
      </c>
      <c r="AC18" s="2">
        <f t="shared" si="3"/>
        <v>4</v>
      </c>
      <c r="AG18" s="220">
        <f t="shared" si="4"/>
        <v>0</v>
      </c>
      <c r="AH18" s="220">
        <f ca="1">IF(HLOOKUP($F18,Jornada!$X$7:$AD$37,VLOOKUP(INDIRECT($C$5),Jornada!$C$8:$W$37,21,0),0)=0,0,VLOOKUP(INDIRECT($C$5),Jornada!$C$8:$H$37,4,0))</f>
        <v>0</v>
      </c>
      <c r="AI18" s="155">
        <f ca="1">IF(AND(I18=0,J18=0,OR(H18&lt;&gt;0,K18&lt;&gt;0),HLOOKUP($F18,Jornada!$X$7:$AD$37,VLOOKUP(INDIRECT($C$5),Jornada!$C$8:$W$37,21,0),0)&gt;$AK$5,M18&gt;$AK$5),VLOOKUP(INDIRECT($C$5),Jornada!$C$8:$H$37,6,0),IF(AG18&gt;VLOOKUP(INDIRECT($C$5),Jornada!$C$8:$H$37,6,0),IF(VLOOKUP(INDIRECT($C$5),Jornada!$C$8:$H$37,6,0)&lt;AG18,0,ABS(VLOOKUP(INDIRECT($C$5),Jornada!$C$8:$H$37,6,0))-AG18),0))</f>
        <v>0</v>
      </c>
      <c r="AJ18" s="155">
        <f t="shared" si="5"/>
        <v>1</v>
      </c>
      <c r="AK18" s="155">
        <f t="shared" si="6"/>
        <v>0</v>
      </c>
      <c r="AL18" s="155">
        <f ca="1">HLOOKUP($F18,Jornada!$I$5:$V$37,VLOOKUP(INDIRECT($C$5),Jornada!$C$8:$W$37,21,0)+2,0)</f>
        <v>0</v>
      </c>
      <c r="AM18" s="155">
        <f ca="1">HLOOKUP($F18,Jornada!$I$4:$V$37,VLOOKUP(INDIRECT($C$5),Jornada!$C$8:$W$37,21,0)+3,0)</f>
        <v>0</v>
      </c>
      <c r="AN18" s="155">
        <f t="shared" ca="1" si="7"/>
        <v>0</v>
      </c>
      <c r="AO18" s="155">
        <f t="shared" si="8"/>
        <v>0</v>
      </c>
      <c r="AP18" s="155">
        <f t="shared" si="9"/>
        <v>0</v>
      </c>
      <c r="BE18" s="14"/>
      <c r="BF18" s="14"/>
      <c r="BG18" s="14"/>
    </row>
    <row r="19" spans="1:59" s="2" customFormat="1" ht="30" customHeight="1" thickTop="1" thickBot="1" x14ac:dyDescent="0.25">
      <c r="A19" s="1"/>
      <c r="B19"/>
      <c r="C19" s="172" t="str">
        <f>IF(Funcionários!C18=0,"",Funcionários!C18)</f>
        <v/>
      </c>
      <c r="D19"/>
      <c r="E19" s="115">
        <f>Lanç!E19</f>
        <v>12</v>
      </c>
      <c r="F19" s="189" t="str">
        <f>Lanç!F19</f>
        <v>Qui</v>
      </c>
      <c r="G19" s="81"/>
      <c r="H19" s="94"/>
      <c r="I19" s="94"/>
      <c r="J19" s="94"/>
      <c r="K19" s="94"/>
      <c r="L19" s="197"/>
      <c r="M19" s="95">
        <f t="shared" si="1"/>
        <v>0</v>
      </c>
      <c r="N19" s="196"/>
      <c r="O19" s="95">
        <f ca="1">IF(OR(G19=0,G19="Férias",G19="Falta Justificada",G19="Feriado",G19="Folga (DSR)"),0,IF(G19="Falta Injustificada",HLOOKUP($F19,Jornada!$X$7:$AD$37,VLOOKUP(INDIRECT($C$5),Jornada!$C$8:$W$37,21,0),0),IF(HLOOKUP($F19,Jornada!$X$7:$AD$37,VLOOKUP(INDIRECT($C$5),Jornada!$C$8:$W$37,21,0),0)-M19&gt;0,HLOOKUP($F19,Jornada!$X$7:$AD$37,VLOOKUP(INDIRECT($C$5),Jornada!$C$8:$W$37,21,0),0)-M19,0)))</f>
        <v>0</v>
      </c>
      <c r="P19" s="193">
        <f ca="1">IF(HLOOKUP($F19,Jornada!$X$7:$AD$37,VLOOKUP(INDIRECT($C$5),Jornada!$C$8:$W$37,21,0),0)-M19&lt;0,ABS(HLOOKUP($F19,Jornada!$X$7:$AD$37,VLOOKUP(INDIRECT($C$5),Jornada!$C$8:$W$37,21,0),0)-M19),0)</f>
        <v>0</v>
      </c>
      <c r="Q19" s="95">
        <f t="shared" si="0"/>
        <v>0</v>
      </c>
      <c r="R19" s="2">
        <f t="shared" si="2"/>
        <v>0</v>
      </c>
      <c r="S19" s="294"/>
      <c r="T19" s="294"/>
      <c r="U19" s="299"/>
      <c r="X19" s="177"/>
      <c r="AB19" s="177">
        <f t="shared" si="10"/>
        <v>12</v>
      </c>
      <c r="AC19" s="2">
        <f t="shared" si="3"/>
        <v>5</v>
      </c>
      <c r="AG19" s="220">
        <f t="shared" si="4"/>
        <v>0</v>
      </c>
      <c r="AH19" s="220">
        <f ca="1">IF(HLOOKUP($F19,Jornada!$X$7:$AD$37,VLOOKUP(INDIRECT($C$5),Jornada!$C$8:$W$37,21,0),0)=0,0,VLOOKUP(INDIRECT($C$5),Jornada!$C$8:$H$37,4,0))</f>
        <v>0</v>
      </c>
      <c r="AI19" s="155">
        <f ca="1">IF(AND(I19=0,J19=0,OR(H19&lt;&gt;0,K19&lt;&gt;0),HLOOKUP($F19,Jornada!$X$7:$AD$37,VLOOKUP(INDIRECT($C$5),Jornada!$C$8:$W$37,21,0),0)&gt;$AK$5,M19&gt;$AK$5),VLOOKUP(INDIRECT($C$5),Jornada!$C$8:$H$37,6,0),IF(AG19&gt;VLOOKUP(INDIRECT($C$5),Jornada!$C$8:$H$37,6,0),IF(VLOOKUP(INDIRECT($C$5),Jornada!$C$8:$H$37,6,0)&lt;AG19,0,ABS(VLOOKUP(INDIRECT($C$5),Jornada!$C$8:$H$37,6,0))-AG19),0))</f>
        <v>0</v>
      </c>
      <c r="AJ19" s="155">
        <f t="shared" si="5"/>
        <v>1</v>
      </c>
      <c r="AK19" s="155">
        <f t="shared" si="6"/>
        <v>0</v>
      </c>
      <c r="AL19" s="155">
        <f ca="1">HLOOKUP($F19,Jornada!$I$5:$V$37,VLOOKUP(INDIRECT($C$5),Jornada!$C$8:$W$37,21,0)+2,0)</f>
        <v>0</v>
      </c>
      <c r="AM19" s="155">
        <f ca="1">HLOOKUP($F19,Jornada!$I$4:$V$37,VLOOKUP(INDIRECT($C$5),Jornada!$C$8:$W$37,21,0)+3,0)</f>
        <v>0</v>
      </c>
      <c r="AN19" s="155">
        <f t="shared" ca="1" si="7"/>
        <v>0</v>
      </c>
      <c r="AO19" s="155">
        <f t="shared" si="8"/>
        <v>0</v>
      </c>
      <c r="AP19" s="155">
        <f t="shared" si="9"/>
        <v>0</v>
      </c>
      <c r="BE19" s="14"/>
      <c r="BF19" s="14"/>
      <c r="BG19" s="14"/>
    </row>
    <row r="20" spans="1:59" s="2" customFormat="1" ht="30" customHeight="1" thickTop="1" thickBot="1" x14ac:dyDescent="0.25">
      <c r="A20" s="1"/>
      <c r="B20"/>
      <c r="C20" s="172" t="str">
        <f>IF(Funcionários!C19=0,"",Funcionários!C19)</f>
        <v/>
      </c>
      <c r="D20"/>
      <c r="E20" s="115">
        <f>Lanç!E20</f>
        <v>13</v>
      </c>
      <c r="F20" s="189" t="str">
        <f>Lanç!F20</f>
        <v>Sex</v>
      </c>
      <c r="G20" s="81"/>
      <c r="H20" s="94"/>
      <c r="I20" s="94"/>
      <c r="J20" s="94"/>
      <c r="K20" s="94"/>
      <c r="L20" s="197"/>
      <c r="M20" s="95">
        <f t="shared" si="1"/>
        <v>0</v>
      </c>
      <c r="N20" s="196"/>
      <c r="O20" s="95">
        <f ca="1">IF(OR(G20=0,G20="Férias",G20="Falta Justificada",G20="Feriado",G20="Folga (DSR)"),0,IF(G20="Falta Injustificada",HLOOKUP($F20,Jornada!$X$7:$AD$37,VLOOKUP(INDIRECT($C$5),Jornada!$C$8:$W$37,21,0),0),IF(HLOOKUP($F20,Jornada!$X$7:$AD$37,VLOOKUP(INDIRECT($C$5),Jornada!$C$8:$W$37,21,0),0)-M20&gt;0,HLOOKUP($F20,Jornada!$X$7:$AD$37,VLOOKUP(INDIRECT($C$5),Jornada!$C$8:$W$37,21,0),0)-M20,0)))</f>
        <v>0</v>
      </c>
      <c r="P20" s="193">
        <f ca="1">IF(HLOOKUP($F20,Jornada!$X$7:$AD$37,VLOOKUP(INDIRECT($C$5),Jornada!$C$8:$W$37,21,0),0)-M20&lt;0,ABS(HLOOKUP($F20,Jornada!$X$7:$AD$37,VLOOKUP(INDIRECT($C$5),Jornada!$C$8:$W$37,21,0),0)-M20),0)</f>
        <v>0</v>
      </c>
      <c r="Q20" s="95">
        <f t="shared" si="0"/>
        <v>0</v>
      </c>
      <c r="R20" s="2">
        <f t="shared" si="2"/>
        <v>0</v>
      </c>
      <c r="S20"/>
      <c r="T20"/>
      <c r="U20"/>
      <c r="X20" s="177"/>
      <c r="AB20" s="177">
        <f t="shared" si="10"/>
        <v>13</v>
      </c>
      <c r="AC20" s="2">
        <f t="shared" si="3"/>
        <v>6</v>
      </c>
      <c r="AG20" s="220">
        <f t="shared" si="4"/>
        <v>0</v>
      </c>
      <c r="AH20" s="220">
        <f ca="1">IF(HLOOKUP($F20,Jornada!$X$7:$AD$37,VLOOKUP(INDIRECT($C$5),Jornada!$C$8:$W$37,21,0),0)=0,0,VLOOKUP(INDIRECT($C$5),Jornada!$C$8:$H$37,4,0))</f>
        <v>0</v>
      </c>
      <c r="AI20" s="155">
        <f ca="1">IF(AND(I20=0,J20=0,OR(H20&lt;&gt;0,K20&lt;&gt;0),HLOOKUP($F20,Jornada!$X$7:$AD$37,VLOOKUP(INDIRECT($C$5),Jornada!$C$8:$W$37,21,0),0)&gt;$AK$5,M20&gt;$AK$5),VLOOKUP(INDIRECT($C$5),Jornada!$C$8:$H$37,6,0),IF(AG20&gt;VLOOKUP(INDIRECT($C$5),Jornada!$C$8:$H$37,6,0),IF(VLOOKUP(INDIRECT($C$5),Jornada!$C$8:$H$37,6,0)&lt;AG20,0,ABS(VLOOKUP(INDIRECT($C$5),Jornada!$C$8:$H$37,6,0))-AG20),0))</f>
        <v>0</v>
      </c>
      <c r="AJ20" s="155">
        <f t="shared" si="5"/>
        <v>1</v>
      </c>
      <c r="AK20" s="155">
        <f t="shared" si="6"/>
        <v>0</v>
      </c>
      <c r="AL20" s="155">
        <f ca="1">HLOOKUP($F20,Jornada!$I$5:$V$37,VLOOKUP(INDIRECT($C$5),Jornada!$C$8:$W$37,21,0)+2,0)</f>
        <v>0</v>
      </c>
      <c r="AM20" s="155">
        <f ca="1">HLOOKUP($F20,Jornada!$I$4:$V$37,VLOOKUP(INDIRECT($C$5),Jornada!$C$8:$W$37,21,0)+3,0)</f>
        <v>0</v>
      </c>
      <c r="AN20" s="155">
        <f t="shared" ca="1" si="7"/>
        <v>0</v>
      </c>
      <c r="AO20" s="155">
        <f t="shared" si="8"/>
        <v>0</v>
      </c>
      <c r="AP20" s="155">
        <f t="shared" si="9"/>
        <v>0</v>
      </c>
      <c r="BE20" s="14"/>
      <c r="BF20" s="14"/>
      <c r="BG20" s="14"/>
    </row>
    <row r="21" spans="1:59" s="2" customFormat="1" ht="30" customHeight="1" thickTop="1" thickBot="1" x14ac:dyDescent="0.25">
      <c r="A21" s="1"/>
      <c r="B21"/>
      <c r="C21" s="172" t="str">
        <f>IF(Funcionários!C20=0,"",Funcionários!C20)</f>
        <v/>
      </c>
      <c r="D21"/>
      <c r="E21" s="115">
        <f>Lanç!E21</f>
        <v>14</v>
      </c>
      <c r="F21" s="189" t="str">
        <f>Lanç!F21</f>
        <v>Sáb</v>
      </c>
      <c r="G21" s="81"/>
      <c r="H21" s="94"/>
      <c r="I21" s="94"/>
      <c r="J21" s="94"/>
      <c r="K21" s="94"/>
      <c r="L21" s="197"/>
      <c r="M21" s="95">
        <f t="shared" si="1"/>
        <v>0</v>
      </c>
      <c r="N21" s="196"/>
      <c r="O21" s="95">
        <f ca="1">IF(OR(G21=0,G21="Férias",G21="Falta Justificada",G21="Feriado",G21="Folga (DSR)"),0,IF(G21="Falta Injustificada",HLOOKUP($F21,Jornada!$X$7:$AD$37,VLOOKUP(INDIRECT($C$5),Jornada!$C$8:$W$37,21,0),0),IF(HLOOKUP($F21,Jornada!$X$7:$AD$37,VLOOKUP(INDIRECT($C$5),Jornada!$C$8:$W$37,21,0),0)-M21&gt;0,HLOOKUP($F21,Jornada!$X$7:$AD$37,VLOOKUP(INDIRECT($C$5),Jornada!$C$8:$W$37,21,0),0)-M21,0)))</f>
        <v>0</v>
      </c>
      <c r="P21" s="193">
        <f ca="1">IF(HLOOKUP($F21,Jornada!$X$7:$AD$37,VLOOKUP(INDIRECT($C$5),Jornada!$C$8:$W$37,21,0),0)-M21&lt;0,ABS(HLOOKUP($F21,Jornada!$X$7:$AD$37,VLOOKUP(INDIRECT($C$5),Jornada!$C$8:$W$37,21,0),0)-M21),0)</f>
        <v>0</v>
      </c>
      <c r="Q21" s="95">
        <f t="shared" si="0"/>
        <v>0</v>
      </c>
      <c r="R21" s="2">
        <f t="shared" si="2"/>
        <v>0</v>
      </c>
      <c r="S21"/>
      <c r="T21"/>
      <c r="U21"/>
      <c r="X21" s="177"/>
      <c r="AB21" s="177">
        <f t="shared" si="10"/>
        <v>14</v>
      </c>
      <c r="AC21" s="2">
        <f t="shared" si="3"/>
        <v>7</v>
      </c>
      <c r="AG21" s="220">
        <f t="shared" si="4"/>
        <v>0</v>
      </c>
      <c r="AH21" s="220">
        <f ca="1">IF(HLOOKUP($F21,Jornada!$X$7:$AD$37,VLOOKUP(INDIRECT($C$5),Jornada!$C$8:$W$37,21,0),0)=0,0,VLOOKUP(INDIRECT($C$5),Jornada!$C$8:$H$37,4,0))</f>
        <v>0</v>
      </c>
      <c r="AI21" s="155">
        <f ca="1">IF(AND(I21=0,J21=0,OR(H21&lt;&gt;0,K21&lt;&gt;0),HLOOKUP($F21,Jornada!$X$7:$AD$37,VLOOKUP(INDIRECT($C$5),Jornada!$C$8:$W$37,21,0),0)&gt;$AK$5,M21&gt;$AK$5),VLOOKUP(INDIRECT($C$5),Jornada!$C$8:$H$37,6,0),IF(AG21&gt;VLOOKUP(INDIRECT($C$5),Jornada!$C$8:$H$37,6,0),IF(VLOOKUP(INDIRECT($C$5),Jornada!$C$8:$H$37,6,0)&lt;AG21,0,ABS(VLOOKUP(INDIRECT($C$5),Jornada!$C$8:$H$37,6,0))-AG21),0))</f>
        <v>0</v>
      </c>
      <c r="AJ21" s="155">
        <f t="shared" si="5"/>
        <v>1</v>
      </c>
      <c r="AK21" s="155">
        <f t="shared" si="6"/>
        <v>0</v>
      </c>
      <c r="AL21" s="155">
        <f ca="1">HLOOKUP($F21,Jornada!$I$5:$V$37,VLOOKUP(INDIRECT($C$5),Jornada!$C$8:$W$37,21,0)+2,0)</f>
        <v>0</v>
      </c>
      <c r="AM21" s="155">
        <f ca="1">HLOOKUP($F21,Jornada!$I$4:$V$37,VLOOKUP(INDIRECT($C$5),Jornada!$C$8:$W$37,21,0)+3,0)</f>
        <v>0</v>
      </c>
      <c r="AN21" s="155">
        <f t="shared" ca="1" si="7"/>
        <v>0</v>
      </c>
      <c r="AO21" s="155">
        <f t="shared" si="8"/>
        <v>0</v>
      </c>
      <c r="AP21" s="155">
        <f t="shared" si="9"/>
        <v>0</v>
      </c>
      <c r="BE21" s="14"/>
      <c r="BF21" s="14"/>
      <c r="BG21" s="14"/>
    </row>
    <row r="22" spans="1:59" s="2" customFormat="1" ht="30" customHeight="1" thickTop="1" thickBot="1" x14ac:dyDescent="0.25">
      <c r="A22" s="1"/>
      <c r="B22"/>
      <c r="C22" s="172" t="str">
        <f>IF(Funcionários!C21=0,"",Funcionários!C21)</f>
        <v/>
      </c>
      <c r="D22"/>
      <c r="E22" s="115">
        <f>Lanç!E22</f>
        <v>15</v>
      </c>
      <c r="F22" s="189" t="str">
        <f>Lanç!F22</f>
        <v>Dom</v>
      </c>
      <c r="G22" s="81"/>
      <c r="H22" s="94"/>
      <c r="I22" s="94"/>
      <c r="J22" s="94"/>
      <c r="K22" s="94"/>
      <c r="L22" s="197"/>
      <c r="M22" s="95">
        <f t="shared" si="1"/>
        <v>0</v>
      </c>
      <c r="N22" s="196"/>
      <c r="O22" s="95">
        <f ca="1">IF(OR(G22=0,G22="Férias",G22="Falta Justificada",G22="Feriado",G22="Folga (DSR)"),0,IF(G22="Falta Injustificada",HLOOKUP($F22,Jornada!$X$7:$AD$37,VLOOKUP(INDIRECT($C$5),Jornada!$C$8:$W$37,21,0),0),IF(HLOOKUP($F22,Jornada!$X$7:$AD$37,VLOOKUP(INDIRECT($C$5),Jornada!$C$8:$W$37,21,0),0)-M22&gt;0,HLOOKUP($F22,Jornada!$X$7:$AD$37,VLOOKUP(INDIRECT($C$5),Jornada!$C$8:$W$37,21,0),0)-M22,0)))</f>
        <v>0</v>
      </c>
      <c r="P22" s="193">
        <f ca="1">IF(HLOOKUP($F22,Jornada!$X$7:$AD$37,VLOOKUP(INDIRECT($C$5),Jornada!$C$8:$W$37,21,0),0)-M22&lt;0,ABS(HLOOKUP($F22,Jornada!$X$7:$AD$37,VLOOKUP(INDIRECT($C$5),Jornada!$C$8:$W$37,21,0),0)-M22),0)</f>
        <v>0</v>
      </c>
      <c r="Q22" s="95">
        <f t="shared" si="0"/>
        <v>0</v>
      </c>
      <c r="R22" s="2">
        <f t="shared" si="2"/>
        <v>0</v>
      </c>
      <c r="S22" s="300" t="s">
        <v>63</v>
      </c>
      <c r="T22" s="301"/>
      <c r="U22" s="302"/>
      <c r="X22" s="177"/>
      <c r="AB22" s="177">
        <f t="shared" si="10"/>
        <v>15</v>
      </c>
      <c r="AC22" s="2">
        <f t="shared" si="3"/>
        <v>1</v>
      </c>
      <c r="AG22" s="220">
        <f t="shared" si="4"/>
        <v>0</v>
      </c>
      <c r="AH22" s="220">
        <f ca="1">IF(HLOOKUP($F22,Jornada!$X$7:$AD$37,VLOOKUP(INDIRECT($C$5),Jornada!$C$8:$W$37,21,0),0)=0,0,VLOOKUP(INDIRECT($C$5),Jornada!$C$8:$H$37,4,0))</f>
        <v>0</v>
      </c>
      <c r="AI22" s="155">
        <f ca="1">IF(AND(I22=0,J22=0,OR(H22&lt;&gt;0,K22&lt;&gt;0),HLOOKUP($F22,Jornada!$X$7:$AD$37,VLOOKUP(INDIRECT($C$5),Jornada!$C$8:$W$37,21,0),0)&gt;$AK$5,M22&gt;$AK$5),VLOOKUP(INDIRECT($C$5),Jornada!$C$8:$H$37,6,0),IF(AG22&gt;VLOOKUP(INDIRECT($C$5),Jornada!$C$8:$H$37,6,0),IF(VLOOKUP(INDIRECT($C$5),Jornada!$C$8:$H$37,6,0)&lt;AG22,0,ABS(VLOOKUP(INDIRECT($C$5),Jornada!$C$8:$H$37,6,0))-AG22),0))</f>
        <v>0</v>
      </c>
      <c r="AJ22" s="155">
        <f t="shared" si="5"/>
        <v>1</v>
      </c>
      <c r="AK22" s="155">
        <f t="shared" si="6"/>
        <v>0</v>
      </c>
      <c r="AL22" s="155">
        <f ca="1">HLOOKUP($F22,Jornada!$I$5:$V$37,VLOOKUP(INDIRECT($C$5),Jornada!$C$8:$W$37,21,0)+2,0)</f>
        <v>0</v>
      </c>
      <c r="AM22" s="155">
        <f ca="1">HLOOKUP($F22,Jornada!$I$4:$V$37,VLOOKUP(INDIRECT($C$5),Jornada!$C$8:$W$37,21,0)+3,0)</f>
        <v>0</v>
      </c>
      <c r="AN22" s="155">
        <f t="shared" ca="1" si="7"/>
        <v>0</v>
      </c>
      <c r="AO22" s="155">
        <f t="shared" si="8"/>
        <v>0</v>
      </c>
      <c r="AP22" s="155">
        <f t="shared" si="9"/>
        <v>0</v>
      </c>
      <c r="BE22" s="14"/>
      <c r="BF22" s="14"/>
      <c r="BG22" s="14"/>
    </row>
    <row r="23" spans="1:59" s="2" customFormat="1" ht="30" customHeight="1" thickTop="1" thickBot="1" x14ac:dyDescent="0.25">
      <c r="A23" s="1"/>
      <c r="B23"/>
      <c r="C23" s="172" t="str">
        <f>IF(Funcionários!C22=0,"",Funcionários!C22)</f>
        <v/>
      </c>
      <c r="D23"/>
      <c r="E23" s="115">
        <f>Lanç!E23</f>
        <v>16</v>
      </c>
      <c r="F23" s="189" t="str">
        <f>Lanç!F23</f>
        <v>Seg</v>
      </c>
      <c r="G23" s="81"/>
      <c r="H23" s="94"/>
      <c r="I23" s="94"/>
      <c r="J23" s="94"/>
      <c r="K23" s="94"/>
      <c r="L23" s="197"/>
      <c r="M23" s="95">
        <f t="shared" si="1"/>
        <v>0</v>
      </c>
      <c r="N23" s="196"/>
      <c r="O23" s="95">
        <f ca="1">IF(OR(G23=0,G23="Férias",G23="Falta Justificada",G23="Feriado",G23="Folga (DSR)"),0,IF(G23="Falta Injustificada",HLOOKUP($F23,Jornada!$X$7:$AD$37,VLOOKUP(INDIRECT($C$5),Jornada!$C$8:$W$37,21,0),0),IF(HLOOKUP($F23,Jornada!$X$7:$AD$37,VLOOKUP(INDIRECT($C$5),Jornada!$C$8:$W$37,21,0),0)-M23&gt;0,HLOOKUP($F23,Jornada!$X$7:$AD$37,VLOOKUP(INDIRECT($C$5),Jornada!$C$8:$W$37,21,0),0)-M23,0)))</f>
        <v>0</v>
      </c>
      <c r="P23" s="193">
        <f ca="1">IF(HLOOKUP($F23,Jornada!$X$7:$AD$37,VLOOKUP(INDIRECT($C$5),Jornada!$C$8:$W$37,21,0),0)-M23&lt;0,ABS(HLOOKUP($F23,Jornada!$X$7:$AD$37,VLOOKUP(INDIRECT($C$5),Jornada!$C$8:$W$37,21,0),0)-M23),0)</f>
        <v>0</v>
      </c>
      <c r="Q23" s="95">
        <f t="shared" si="0"/>
        <v>0</v>
      </c>
      <c r="R23" s="2">
        <f t="shared" si="2"/>
        <v>0</v>
      </c>
      <c r="S23" s="296" t="str">
        <f>IF(SUM(R8:R38)&gt;0,"Segundo o art 59 da CLT, o máximo de horas extras permitidas por dia são 2 horas.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T23" s="297"/>
      <c r="U23" s="298"/>
      <c r="X23" s="177"/>
      <c r="AB23" s="177">
        <f t="shared" si="10"/>
        <v>16</v>
      </c>
      <c r="AC23" s="2">
        <f t="shared" si="3"/>
        <v>2</v>
      </c>
      <c r="AG23" s="220">
        <f t="shared" si="4"/>
        <v>0</v>
      </c>
      <c r="AH23" s="220">
        <f ca="1">IF(HLOOKUP($F23,Jornada!$X$7:$AD$37,VLOOKUP(INDIRECT($C$5),Jornada!$C$8:$W$37,21,0),0)=0,0,VLOOKUP(INDIRECT($C$5),Jornada!$C$8:$H$37,4,0))</f>
        <v>0</v>
      </c>
      <c r="AI23" s="155">
        <f ca="1">IF(AND(I23=0,J23=0,OR(H23&lt;&gt;0,K23&lt;&gt;0),HLOOKUP($F23,Jornada!$X$7:$AD$37,VLOOKUP(INDIRECT($C$5),Jornada!$C$8:$W$37,21,0),0)&gt;$AK$5,M23&gt;$AK$5),VLOOKUP(INDIRECT($C$5),Jornada!$C$8:$H$37,6,0),IF(AG23&gt;VLOOKUP(INDIRECT($C$5),Jornada!$C$8:$H$37,6,0),IF(VLOOKUP(INDIRECT($C$5),Jornada!$C$8:$H$37,6,0)&lt;AG23,0,ABS(VLOOKUP(INDIRECT($C$5),Jornada!$C$8:$H$37,6,0))-AG23),0))</f>
        <v>0</v>
      </c>
      <c r="AJ23" s="155">
        <f t="shared" si="5"/>
        <v>1</v>
      </c>
      <c r="AK23" s="155">
        <f t="shared" si="6"/>
        <v>0</v>
      </c>
      <c r="AL23" s="155">
        <f ca="1">HLOOKUP($F23,Jornada!$I$5:$V$37,VLOOKUP(INDIRECT($C$5),Jornada!$C$8:$W$37,21,0)+2,0)</f>
        <v>0</v>
      </c>
      <c r="AM23" s="155">
        <f ca="1">HLOOKUP($F23,Jornada!$I$4:$V$37,VLOOKUP(INDIRECT($C$5),Jornada!$C$8:$W$37,21,0)+3,0)</f>
        <v>0</v>
      </c>
      <c r="AN23" s="155">
        <f t="shared" ca="1" si="7"/>
        <v>0</v>
      </c>
      <c r="AO23" s="155">
        <f t="shared" si="8"/>
        <v>0</v>
      </c>
      <c r="AP23" s="155">
        <f t="shared" si="9"/>
        <v>0</v>
      </c>
      <c r="BE23" s="14"/>
      <c r="BF23" s="14"/>
      <c r="BG23" s="14"/>
    </row>
    <row r="24" spans="1:59" s="2" customFormat="1" ht="30" customHeight="1" thickTop="1" thickBot="1" x14ac:dyDescent="0.25">
      <c r="A24" s="1"/>
      <c r="B24"/>
      <c r="C24" s="172" t="str">
        <f>IF(Funcionários!C23=0,"",Funcionários!C23)</f>
        <v/>
      </c>
      <c r="D24"/>
      <c r="E24" s="115">
        <f>Lanç!E24</f>
        <v>17</v>
      </c>
      <c r="F24" s="189" t="str">
        <f>Lanç!F24</f>
        <v>Ter</v>
      </c>
      <c r="G24" s="81"/>
      <c r="H24" s="94"/>
      <c r="I24" s="94"/>
      <c r="J24" s="94"/>
      <c r="K24" s="94"/>
      <c r="L24" s="197"/>
      <c r="M24" s="95">
        <f t="shared" si="1"/>
        <v>0</v>
      </c>
      <c r="N24" s="196"/>
      <c r="O24" s="95">
        <f ca="1">IF(OR(G24=0,G24="Férias",G24="Falta Justificada",G24="Feriado",G24="Folga (DSR)"),0,IF(G24="Falta Injustificada",HLOOKUP($F24,Jornada!$X$7:$AD$37,VLOOKUP(INDIRECT($C$5),Jornada!$C$8:$W$37,21,0),0),IF(HLOOKUP($F24,Jornada!$X$7:$AD$37,VLOOKUP(INDIRECT($C$5),Jornada!$C$8:$W$37,21,0),0)-M24&gt;0,HLOOKUP($F24,Jornada!$X$7:$AD$37,VLOOKUP(INDIRECT($C$5),Jornada!$C$8:$W$37,21,0),0)-M24,0)))</f>
        <v>0</v>
      </c>
      <c r="P24" s="193">
        <f ca="1">IF(HLOOKUP($F24,Jornada!$X$7:$AD$37,VLOOKUP(INDIRECT($C$5),Jornada!$C$8:$W$37,21,0),0)-M24&lt;0,ABS(HLOOKUP($F24,Jornada!$X$7:$AD$37,VLOOKUP(INDIRECT($C$5),Jornada!$C$8:$W$37,21,0),0)-M24),0)</f>
        <v>0</v>
      </c>
      <c r="Q24" s="95">
        <f t="shared" si="0"/>
        <v>0</v>
      </c>
      <c r="R24" s="2">
        <f t="shared" si="2"/>
        <v>0</v>
      </c>
      <c r="S24" s="296"/>
      <c r="T24" s="297"/>
      <c r="U24" s="298"/>
      <c r="X24" s="177"/>
      <c r="AB24" s="177">
        <f t="shared" si="10"/>
        <v>17</v>
      </c>
      <c r="AC24" s="2">
        <f t="shared" si="3"/>
        <v>3</v>
      </c>
      <c r="AG24" s="220">
        <f t="shared" si="4"/>
        <v>0</v>
      </c>
      <c r="AH24" s="220">
        <f ca="1">IF(HLOOKUP($F24,Jornada!$X$7:$AD$37,VLOOKUP(INDIRECT($C$5),Jornada!$C$8:$W$37,21,0),0)=0,0,VLOOKUP(INDIRECT($C$5),Jornada!$C$8:$H$37,4,0))</f>
        <v>0</v>
      </c>
      <c r="AI24" s="155">
        <f ca="1">IF(AND(I24=0,J24=0,OR(H24&lt;&gt;0,K24&lt;&gt;0),HLOOKUP($F24,Jornada!$X$7:$AD$37,VLOOKUP(INDIRECT($C$5),Jornada!$C$8:$W$37,21,0),0)&gt;$AK$5,M24&gt;$AK$5),VLOOKUP(INDIRECT($C$5),Jornada!$C$8:$H$37,6,0),IF(AG24&gt;VLOOKUP(INDIRECT($C$5),Jornada!$C$8:$H$37,6,0),IF(VLOOKUP(INDIRECT($C$5),Jornada!$C$8:$H$37,6,0)&lt;AG24,0,ABS(VLOOKUP(INDIRECT($C$5),Jornada!$C$8:$H$37,6,0))-AG24),0))</f>
        <v>0</v>
      </c>
      <c r="AJ24" s="155">
        <f t="shared" si="5"/>
        <v>1</v>
      </c>
      <c r="AK24" s="155">
        <f t="shared" si="6"/>
        <v>0</v>
      </c>
      <c r="AL24" s="155">
        <f ca="1">HLOOKUP($F24,Jornada!$I$5:$V$37,VLOOKUP(INDIRECT($C$5),Jornada!$C$8:$W$37,21,0)+2,0)</f>
        <v>0</v>
      </c>
      <c r="AM24" s="155">
        <f ca="1">HLOOKUP($F24,Jornada!$I$4:$V$37,VLOOKUP(INDIRECT($C$5),Jornada!$C$8:$W$37,21,0)+3,0)</f>
        <v>0</v>
      </c>
      <c r="AN24" s="155">
        <f t="shared" ca="1" si="7"/>
        <v>0</v>
      </c>
      <c r="AO24" s="155">
        <f t="shared" si="8"/>
        <v>0</v>
      </c>
      <c r="AP24" s="155">
        <f t="shared" si="9"/>
        <v>0</v>
      </c>
      <c r="BE24" s="14"/>
      <c r="BF24" s="14"/>
      <c r="BG24" s="14"/>
    </row>
    <row r="25" spans="1:59" s="2" customFormat="1" ht="30" customHeight="1" thickTop="1" thickBot="1" x14ac:dyDescent="0.25">
      <c r="A25" s="1"/>
      <c r="B25"/>
      <c r="C25" s="172" t="str">
        <f>IF(Funcionários!C24=0,"",Funcionários!C24)</f>
        <v/>
      </c>
      <c r="D25"/>
      <c r="E25" s="115">
        <f>Lanç!E25</f>
        <v>18</v>
      </c>
      <c r="F25" s="189" t="str">
        <f>Lanç!F25</f>
        <v>Qua</v>
      </c>
      <c r="G25" s="81"/>
      <c r="H25" s="94"/>
      <c r="I25" s="94"/>
      <c r="J25" s="94"/>
      <c r="K25" s="94"/>
      <c r="L25" s="197"/>
      <c r="M25" s="95">
        <f t="shared" si="1"/>
        <v>0</v>
      </c>
      <c r="N25" s="196"/>
      <c r="O25" s="95">
        <f ca="1">IF(OR(G25=0,G25="Férias",G25="Falta Justificada",G25="Feriado",G25="Folga (DSR)"),0,IF(G25="Falta Injustificada",HLOOKUP($F25,Jornada!$X$7:$AD$37,VLOOKUP(INDIRECT($C$5),Jornada!$C$8:$W$37,21,0),0),IF(HLOOKUP($F25,Jornada!$X$7:$AD$37,VLOOKUP(INDIRECT($C$5),Jornada!$C$8:$W$37,21,0),0)-M25&gt;0,HLOOKUP($F25,Jornada!$X$7:$AD$37,VLOOKUP(INDIRECT($C$5),Jornada!$C$8:$W$37,21,0),0)-M25,0)))</f>
        <v>0</v>
      </c>
      <c r="P25" s="193">
        <f ca="1">IF(HLOOKUP($F25,Jornada!$X$7:$AD$37,VLOOKUP(INDIRECT($C$5),Jornada!$C$8:$W$37,21,0),0)-M25&lt;0,ABS(HLOOKUP($F25,Jornada!$X$7:$AD$37,VLOOKUP(INDIRECT($C$5),Jornada!$C$8:$W$37,21,0),0)-M25),0)</f>
        <v>0</v>
      </c>
      <c r="Q25" s="95">
        <f t="shared" si="0"/>
        <v>0</v>
      </c>
      <c r="R25" s="2">
        <f t="shared" si="2"/>
        <v>0</v>
      </c>
      <c r="S25" s="296"/>
      <c r="T25" s="297"/>
      <c r="U25" s="298"/>
      <c r="X25" s="177"/>
      <c r="Z25" s="2">
        <f>IF(SUM(R8:R38)&gt;0,1,0)</f>
        <v>0</v>
      </c>
      <c r="AB25" s="177">
        <f t="shared" si="10"/>
        <v>18</v>
      </c>
      <c r="AC25" s="2">
        <f t="shared" si="3"/>
        <v>4</v>
      </c>
      <c r="AG25" s="220">
        <f t="shared" si="4"/>
        <v>0</v>
      </c>
      <c r="AH25" s="220">
        <f ca="1">IF(HLOOKUP($F25,Jornada!$X$7:$AD$37,VLOOKUP(INDIRECT($C$5),Jornada!$C$8:$W$37,21,0),0)=0,0,VLOOKUP(INDIRECT($C$5),Jornada!$C$8:$H$37,4,0))</f>
        <v>0</v>
      </c>
      <c r="AI25" s="155">
        <f ca="1">IF(AND(I25=0,J25=0,OR(H25&lt;&gt;0,K25&lt;&gt;0),HLOOKUP($F25,Jornada!$X$7:$AD$37,VLOOKUP(INDIRECT($C$5),Jornada!$C$8:$W$37,21,0),0)&gt;$AK$5,M25&gt;$AK$5),VLOOKUP(INDIRECT($C$5),Jornada!$C$8:$H$37,6,0),IF(AG25&gt;VLOOKUP(INDIRECT($C$5),Jornada!$C$8:$H$37,6,0),IF(VLOOKUP(INDIRECT($C$5),Jornada!$C$8:$H$37,6,0)&lt;AG25,0,ABS(VLOOKUP(INDIRECT($C$5),Jornada!$C$8:$H$37,6,0))-AG25),0))</f>
        <v>0</v>
      </c>
      <c r="AJ25" s="155">
        <f t="shared" si="5"/>
        <v>1</v>
      </c>
      <c r="AK25" s="155">
        <f t="shared" si="6"/>
        <v>0</v>
      </c>
      <c r="AL25" s="155">
        <f ca="1">HLOOKUP($F25,Jornada!$I$5:$V$37,VLOOKUP(INDIRECT($C$5),Jornada!$C$8:$W$37,21,0)+2,0)</f>
        <v>0</v>
      </c>
      <c r="AM25" s="155">
        <f ca="1">HLOOKUP($F25,Jornada!$I$4:$V$37,VLOOKUP(INDIRECT($C$5),Jornada!$C$8:$W$37,21,0)+3,0)</f>
        <v>0</v>
      </c>
      <c r="AN25" s="155">
        <f t="shared" ca="1" si="7"/>
        <v>0</v>
      </c>
      <c r="AO25" s="155">
        <f t="shared" si="8"/>
        <v>0</v>
      </c>
      <c r="AP25" s="155">
        <f t="shared" si="9"/>
        <v>0</v>
      </c>
      <c r="BE25" s="14"/>
      <c r="BF25" s="14"/>
      <c r="BG25" s="14"/>
    </row>
    <row r="26" spans="1:59" s="2" customFormat="1" ht="30" customHeight="1" thickTop="1" thickBot="1" x14ac:dyDescent="0.25">
      <c r="A26" s="1"/>
      <c r="B26"/>
      <c r="C26" s="172" t="str">
        <f>IF(Funcionários!C25=0,"",Funcionários!C25)</f>
        <v/>
      </c>
      <c r="D26"/>
      <c r="E26" s="115">
        <f>Lanç!E26</f>
        <v>19</v>
      </c>
      <c r="F26" s="189" t="str">
        <f>Lanç!F26</f>
        <v>Qui</v>
      </c>
      <c r="G26" s="81"/>
      <c r="H26" s="94"/>
      <c r="I26" s="94"/>
      <c r="J26" s="94"/>
      <c r="K26" s="94"/>
      <c r="L26" s="197"/>
      <c r="M26" s="95">
        <f t="shared" si="1"/>
        <v>0</v>
      </c>
      <c r="N26" s="196"/>
      <c r="O26" s="95">
        <f ca="1">IF(OR(G26=0,G26="Férias",G26="Falta Justificada",G26="Feriado",G26="Folga (DSR)"),0,IF(G26="Falta Injustificada",HLOOKUP($F26,Jornada!$X$7:$AD$37,VLOOKUP(INDIRECT($C$5),Jornada!$C$8:$W$37,21,0),0),IF(HLOOKUP($F26,Jornada!$X$7:$AD$37,VLOOKUP(INDIRECT($C$5),Jornada!$C$8:$W$37,21,0),0)-M26&gt;0,HLOOKUP($F26,Jornada!$X$7:$AD$37,VLOOKUP(INDIRECT($C$5),Jornada!$C$8:$W$37,21,0),0)-M26,0)))</f>
        <v>0</v>
      </c>
      <c r="P26" s="193">
        <f ca="1">IF(HLOOKUP($F26,Jornada!$X$7:$AD$37,VLOOKUP(INDIRECT($C$5),Jornada!$C$8:$W$37,21,0),0)-M26&lt;0,ABS(HLOOKUP($F26,Jornada!$X$7:$AD$37,VLOOKUP(INDIRECT($C$5),Jornada!$C$8:$W$37,21,0),0)-M26),0)</f>
        <v>0</v>
      </c>
      <c r="Q26" s="95">
        <f t="shared" si="0"/>
        <v>0</v>
      </c>
      <c r="R26" s="2">
        <f t="shared" si="2"/>
        <v>0</v>
      </c>
      <c r="S26" s="296" t="str">
        <f>IF(COUNTIF(G8:G38,"Folga (DSR)")&lt;DAY(E39)/8,"O mês não está contemplando um DSR (Descanso Semanal Remunerado) por semana. Isso pode configurar uma irregularidade segundo as leis trabalhistas.","Parabéns!! Sua folha de pagamento contempla uma DSR por semana conforme a lei trabalhista.")</f>
        <v>O mês não está contemplando um DSR (Descanso Semanal Remunerado) por semana. Isso pode configurar uma irregularidade segundo as leis trabalhistas.</v>
      </c>
      <c r="T26" s="297"/>
      <c r="U26" s="298"/>
      <c r="X26" s="177"/>
      <c r="AB26" s="177">
        <f t="shared" si="10"/>
        <v>19</v>
      </c>
      <c r="AC26" s="2">
        <f t="shared" si="3"/>
        <v>5</v>
      </c>
      <c r="AG26" s="220">
        <f t="shared" si="4"/>
        <v>0</v>
      </c>
      <c r="AH26" s="220">
        <f ca="1">IF(HLOOKUP($F26,Jornada!$X$7:$AD$37,VLOOKUP(INDIRECT($C$5),Jornada!$C$8:$W$37,21,0),0)=0,0,VLOOKUP(INDIRECT($C$5),Jornada!$C$8:$H$37,4,0))</f>
        <v>0</v>
      </c>
      <c r="AI26" s="155">
        <f ca="1">IF(AND(I26=0,J26=0,OR(H26&lt;&gt;0,K26&lt;&gt;0),HLOOKUP($F26,Jornada!$X$7:$AD$37,VLOOKUP(INDIRECT($C$5),Jornada!$C$8:$W$37,21,0),0)&gt;$AK$5,M26&gt;$AK$5),VLOOKUP(INDIRECT($C$5),Jornada!$C$8:$H$37,6,0),IF(AG26&gt;VLOOKUP(INDIRECT($C$5),Jornada!$C$8:$H$37,6,0),IF(VLOOKUP(INDIRECT($C$5),Jornada!$C$8:$H$37,6,0)&lt;AG26,0,ABS(VLOOKUP(INDIRECT($C$5),Jornada!$C$8:$H$37,6,0))-AG26),0))</f>
        <v>0</v>
      </c>
      <c r="AJ26" s="155">
        <f t="shared" si="5"/>
        <v>1</v>
      </c>
      <c r="AK26" s="155">
        <f t="shared" si="6"/>
        <v>0</v>
      </c>
      <c r="AL26" s="155">
        <f ca="1">HLOOKUP($F26,Jornada!$I$5:$V$37,VLOOKUP(INDIRECT($C$5),Jornada!$C$8:$W$37,21,0)+2,0)</f>
        <v>0</v>
      </c>
      <c r="AM26" s="155">
        <f ca="1">HLOOKUP($F26,Jornada!$I$4:$V$37,VLOOKUP(INDIRECT($C$5),Jornada!$C$8:$W$37,21,0)+3,0)</f>
        <v>0</v>
      </c>
      <c r="AN26" s="155">
        <f t="shared" ca="1" si="7"/>
        <v>0</v>
      </c>
      <c r="AO26" s="155">
        <f t="shared" si="8"/>
        <v>0</v>
      </c>
      <c r="AP26" s="155">
        <f t="shared" si="9"/>
        <v>0</v>
      </c>
      <c r="BE26" s="14"/>
      <c r="BF26" s="14"/>
      <c r="BG26" s="14"/>
    </row>
    <row r="27" spans="1:59" s="2" customFormat="1" ht="30" customHeight="1" thickTop="1" thickBot="1" x14ac:dyDescent="0.25">
      <c r="A27" s="1"/>
      <c r="B27"/>
      <c r="C27" s="172" t="str">
        <f>IF(Funcionários!C26=0,"",Funcionários!C26)</f>
        <v/>
      </c>
      <c r="D27"/>
      <c r="E27" s="115">
        <f>Lanç!E27</f>
        <v>20</v>
      </c>
      <c r="F27" s="189" t="str">
        <f>Lanç!F27</f>
        <v>Sex</v>
      </c>
      <c r="G27" s="81"/>
      <c r="H27" s="94"/>
      <c r="I27" s="94"/>
      <c r="J27" s="94"/>
      <c r="K27" s="94"/>
      <c r="L27" s="197"/>
      <c r="M27" s="95">
        <f t="shared" si="1"/>
        <v>0</v>
      </c>
      <c r="N27" s="196"/>
      <c r="O27" s="95">
        <f ca="1">IF(OR(G27=0,G27="Férias",G27="Falta Justificada",G27="Feriado",G27="Folga (DSR)"),0,IF(G27="Falta Injustificada",HLOOKUP($F27,Jornada!$X$7:$AD$37,VLOOKUP(INDIRECT($C$5),Jornada!$C$8:$W$37,21,0),0),IF(HLOOKUP($F27,Jornada!$X$7:$AD$37,VLOOKUP(INDIRECT($C$5),Jornada!$C$8:$W$37,21,0),0)-M27&gt;0,HLOOKUP($F27,Jornada!$X$7:$AD$37,VLOOKUP(INDIRECT($C$5),Jornada!$C$8:$W$37,21,0),0)-M27,0)))</f>
        <v>0</v>
      </c>
      <c r="P27" s="193">
        <f ca="1">IF(HLOOKUP($F27,Jornada!$X$7:$AD$37,VLOOKUP(INDIRECT($C$5),Jornada!$C$8:$W$37,21,0),0)-M27&lt;0,ABS(HLOOKUP($F27,Jornada!$X$7:$AD$37,VLOOKUP(INDIRECT($C$5),Jornada!$C$8:$W$37,21,0),0)-M27),0)</f>
        <v>0</v>
      </c>
      <c r="Q27" s="95">
        <f t="shared" si="0"/>
        <v>0</v>
      </c>
      <c r="R27" s="2">
        <f t="shared" si="2"/>
        <v>0</v>
      </c>
      <c r="S27" s="296"/>
      <c r="T27" s="297"/>
      <c r="U27" s="298"/>
      <c r="X27" s="177"/>
      <c r="AB27" s="177">
        <f t="shared" si="10"/>
        <v>20</v>
      </c>
      <c r="AC27" s="2">
        <f t="shared" si="3"/>
        <v>6</v>
      </c>
      <c r="AG27" s="220">
        <f t="shared" si="4"/>
        <v>0</v>
      </c>
      <c r="AH27" s="220">
        <f ca="1">IF(HLOOKUP($F27,Jornada!$X$7:$AD$37,VLOOKUP(INDIRECT($C$5),Jornada!$C$8:$W$37,21,0),0)=0,0,VLOOKUP(INDIRECT($C$5),Jornada!$C$8:$H$37,4,0))</f>
        <v>0</v>
      </c>
      <c r="AI27" s="155">
        <f ca="1">IF(AND(I27=0,J27=0,OR(H27&lt;&gt;0,K27&lt;&gt;0),HLOOKUP($F27,Jornada!$X$7:$AD$37,VLOOKUP(INDIRECT($C$5),Jornada!$C$8:$W$37,21,0),0)&gt;$AK$5,M27&gt;$AK$5),VLOOKUP(INDIRECT($C$5),Jornada!$C$8:$H$37,6,0),IF(AG27&gt;VLOOKUP(INDIRECT($C$5),Jornada!$C$8:$H$37,6,0),IF(VLOOKUP(INDIRECT($C$5),Jornada!$C$8:$H$37,6,0)&lt;AG27,0,ABS(VLOOKUP(INDIRECT($C$5),Jornada!$C$8:$H$37,6,0))-AG27),0))</f>
        <v>0</v>
      </c>
      <c r="AJ27" s="155">
        <f t="shared" si="5"/>
        <v>1</v>
      </c>
      <c r="AK27" s="155">
        <f t="shared" si="6"/>
        <v>0</v>
      </c>
      <c r="AL27" s="155">
        <f ca="1">HLOOKUP($F27,Jornada!$I$5:$V$37,VLOOKUP(INDIRECT($C$5),Jornada!$C$8:$W$37,21,0)+2,0)</f>
        <v>0</v>
      </c>
      <c r="AM27" s="155">
        <f ca="1">HLOOKUP($F27,Jornada!$I$4:$V$37,VLOOKUP(INDIRECT($C$5),Jornada!$C$8:$W$37,21,0)+3,0)</f>
        <v>0</v>
      </c>
      <c r="AN27" s="155">
        <f t="shared" ca="1" si="7"/>
        <v>0</v>
      </c>
      <c r="AO27" s="155">
        <f t="shared" si="8"/>
        <v>0</v>
      </c>
      <c r="AP27" s="155">
        <f t="shared" si="9"/>
        <v>0</v>
      </c>
    </row>
    <row r="28" spans="1:59" s="2" customFormat="1" ht="30" customHeight="1" thickTop="1" thickBot="1" x14ac:dyDescent="0.25">
      <c r="A28" s="1"/>
      <c r="B28"/>
      <c r="C28" s="172" t="str">
        <f>IF(Funcionários!C27=0,"",Funcionários!C27)</f>
        <v/>
      </c>
      <c r="D28"/>
      <c r="E28" s="115">
        <f>Lanç!E28</f>
        <v>21</v>
      </c>
      <c r="F28" s="189" t="str">
        <f>Lanç!F28</f>
        <v>Sáb</v>
      </c>
      <c r="G28" s="81"/>
      <c r="H28" s="94"/>
      <c r="I28" s="94"/>
      <c r="J28" s="94"/>
      <c r="K28" s="94"/>
      <c r="L28" s="197"/>
      <c r="M28" s="95">
        <f t="shared" si="1"/>
        <v>0</v>
      </c>
      <c r="N28" s="196"/>
      <c r="O28" s="95">
        <f ca="1">IF(OR(G28=0,G28="Férias",G28="Falta Justificada",G28="Feriado",G28="Folga (DSR)"),0,IF(G28="Falta Injustificada",HLOOKUP($F28,Jornada!$X$7:$AD$37,VLOOKUP(INDIRECT($C$5),Jornada!$C$8:$W$37,21,0),0),IF(HLOOKUP($F28,Jornada!$X$7:$AD$37,VLOOKUP(INDIRECT($C$5),Jornada!$C$8:$W$37,21,0),0)-M28&gt;0,HLOOKUP($F28,Jornada!$X$7:$AD$37,VLOOKUP(INDIRECT($C$5),Jornada!$C$8:$W$37,21,0),0)-M28,0)))</f>
        <v>0</v>
      </c>
      <c r="P28" s="193">
        <f ca="1">IF(HLOOKUP($F28,Jornada!$X$7:$AD$37,VLOOKUP(INDIRECT($C$5),Jornada!$C$8:$W$37,21,0),0)-M28&lt;0,ABS(HLOOKUP($F28,Jornada!$X$7:$AD$37,VLOOKUP(INDIRECT($C$5),Jornada!$C$8:$W$37,21,0),0)-M28),0)</f>
        <v>0</v>
      </c>
      <c r="Q28" s="95">
        <f t="shared" si="0"/>
        <v>0</v>
      </c>
      <c r="R28" s="2">
        <f t="shared" si="2"/>
        <v>0</v>
      </c>
      <c r="S28" s="296"/>
      <c r="T28" s="297"/>
      <c r="U28" s="298"/>
      <c r="X28" s="177"/>
      <c r="AB28" s="177">
        <f t="shared" si="10"/>
        <v>21</v>
      </c>
      <c r="AC28" s="2">
        <f t="shared" si="3"/>
        <v>7</v>
      </c>
      <c r="AG28" s="220">
        <f t="shared" si="4"/>
        <v>0</v>
      </c>
      <c r="AH28" s="220">
        <f ca="1">IF(HLOOKUP($F28,Jornada!$X$7:$AD$37,VLOOKUP(INDIRECT($C$5),Jornada!$C$8:$W$37,21,0),0)=0,0,VLOOKUP(INDIRECT($C$5),Jornada!$C$8:$H$37,4,0))</f>
        <v>0</v>
      </c>
      <c r="AI28" s="155">
        <f ca="1">IF(AND(I28=0,J28=0,OR(H28&lt;&gt;0,K28&lt;&gt;0),HLOOKUP($F28,Jornada!$X$7:$AD$37,VLOOKUP(INDIRECT($C$5),Jornada!$C$8:$W$37,21,0),0)&gt;$AK$5,M28&gt;$AK$5),VLOOKUP(INDIRECT($C$5),Jornada!$C$8:$H$37,6,0),IF(AG28&gt;VLOOKUP(INDIRECT($C$5),Jornada!$C$8:$H$37,6,0),IF(VLOOKUP(INDIRECT($C$5),Jornada!$C$8:$H$37,6,0)&lt;AG28,0,ABS(VLOOKUP(INDIRECT($C$5),Jornada!$C$8:$H$37,6,0))-AG28),0))</f>
        <v>0</v>
      </c>
      <c r="AJ28" s="155">
        <f t="shared" si="5"/>
        <v>1</v>
      </c>
      <c r="AK28" s="155">
        <f t="shared" si="6"/>
        <v>0</v>
      </c>
      <c r="AL28" s="155">
        <f ca="1">HLOOKUP($F28,Jornada!$I$5:$V$37,VLOOKUP(INDIRECT($C$5),Jornada!$C$8:$W$37,21,0)+2,0)</f>
        <v>0</v>
      </c>
      <c r="AM28" s="155">
        <f ca="1">HLOOKUP($F28,Jornada!$I$4:$V$37,VLOOKUP(INDIRECT($C$5),Jornada!$C$8:$W$37,21,0)+3,0)</f>
        <v>0</v>
      </c>
      <c r="AN28" s="155">
        <f t="shared" ca="1" si="7"/>
        <v>0</v>
      </c>
      <c r="AO28" s="155">
        <f t="shared" si="8"/>
        <v>0</v>
      </c>
      <c r="AP28" s="155">
        <f t="shared" si="9"/>
        <v>0</v>
      </c>
    </row>
    <row r="29" spans="1:59" s="2" customFormat="1" ht="30" customHeight="1" thickTop="1" thickBot="1" x14ac:dyDescent="0.25">
      <c r="A29" s="1"/>
      <c r="B29"/>
      <c r="C29" s="172" t="str">
        <f>IF(Funcionários!C28=0,"",Funcionários!C28)</f>
        <v/>
      </c>
      <c r="D29"/>
      <c r="E29" s="115">
        <f>Lanç!E29</f>
        <v>22</v>
      </c>
      <c r="F29" s="189" t="str">
        <f>Lanç!F29</f>
        <v>Dom</v>
      </c>
      <c r="G29" s="81"/>
      <c r="H29" s="94"/>
      <c r="I29" s="94"/>
      <c r="J29" s="94"/>
      <c r="K29" s="94"/>
      <c r="L29" s="197"/>
      <c r="M29" s="95">
        <f t="shared" si="1"/>
        <v>0</v>
      </c>
      <c r="N29" s="196"/>
      <c r="O29" s="95">
        <f ca="1">IF(OR(G29=0,G29="Férias",G29="Falta Justificada",G29="Feriado",G29="Folga (DSR)"),0,IF(G29="Falta Injustificada",HLOOKUP($F29,Jornada!$X$7:$AD$37,VLOOKUP(INDIRECT($C$5),Jornada!$C$8:$W$37,21,0),0),IF(HLOOKUP($F29,Jornada!$X$7:$AD$37,VLOOKUP(INDIRECT($C$5),Jornada!$C$8:$W$37,21,0),0)-M29&gt;0,HLOOKUP($F29,Jornada!$X$7:$AD$37,VLOOKUP(INDIRECT($C$5),Jornada!$C$8:$W$37,21,0),0)-M29,0)))</f>
        <v>0</v>
      </c>
      <c r="P29" s="193">
        <f ca="1">IF(HLOOKUP($F29,Jornada!$X$7:$AD$37,VLOOKUP(INDIRECT($C$5),Jornada!$C$8:$W$37,21,0),0)-M29&lt;0,ABS(HLOOKUP($F29,Jornada!$X$7:$AD$37,VLOOKUP(INDIRECT($C$5),Jornada!$C$8:$W$37,21,0),0)-M29),0)</f>
        <v>0</v>
      </c>
      <c r="Q29" s="95">
        <f t="shared" si="0"/>
        <v>0</v>
      </c>
      <c r="R29" s="2">
        <f t="shared" si="2"/>
        <v>0</v>
      </c>
      <c r="S29" s="13"/>
      <c r="T29" s="74"/>
      <c r="U29" s="74"/>
      <c r="X29" s="177"/>
      <c r="AB29" s="177">
        <f t="shared" si="10"/>
        <v>22</v>
      </c>
      <c r="AC29" s="2">
        <f t="shared" si="3"/>
        <v>1</v>
      </c>
      <c r="AG29" s="220">
        <f t="shared" si="4"/>
        <v>0</v>
      </c>
      <c r="AH29" s="220">
        <f ca="1">IF(HLOOKUP($F29,Jornada!$X$7:$AD$37,VLOOKUP(INDIRECT($C$5),Jornada!$C$8:$W$37,21,0),0)=0,0,VLOOKUP(INDIRECT($C$5),Jornada!$C$8:$H$37,4,0))</f>
        <v>0</v>
      </c>
      <c r="AI29" s="155">
        <f ca="1">IF(AND(I29=0,J29=0,OR(H29&lt;&gt;0,K29&lt;&gt;0),HLOOKUP($F29,Jornada!$X$7:$AD$37,VLOOKUP(INDIRECT($C$5),Jornada!$C$8:$W$37,21,0),0)&gt;$AK$5,M29&gt;$AK$5),VLOOKUP(INDIRECT($C$5),Jornada!$C$8:$H$37,6,0),IF(AG29&gt;VLOOKUP(INDIRECT($C$5),Jornada!$C$8:$H$37,6,0),IF(VLOOKUP(INDIRECT($C$5),Jornada!$C$8:$H$37,6,0)&lt;AG29,0,ABS(VLOOKUP(INDIRECT($C$5),Jornada!$C$8:$H$37,6,0))-AG29),0))</f>
        <v>0</v>
      </c>
      <c r="AJ29" s="155">
        <f t="shared" si="5"/>
        <v>1</v>
      </c>
      <c r="AK29" s="155">
        <f t="shared" si="6"/>
        <v>0</v>
      </c>
      <c r="AL29" s="155">
        <f ca="1">HLOOKUP($F29,Jornada!$I$5:$V$37,VLOOKUP(INDIRECT($C$5),Jornada!$C$8:$W$37,21,0)+2,0)</f>
        <v>0</v>
      </c>
      <c r="AM29" s="155">
        <f ca="1">HLOOKUP($F29,Jornada!$I$4:$V$37,VLOOKUP(INDIRECT($C$5),Jornada!$C$8:$W$37,21,0)+3,0)</f>
        <v>0</v>
      </c>
      <c r="AN29" s="155">
        <f t="shared" ca="1" si="7"/>
        <v>0</v>
      </c>
      <c r="AO29" s="155">
        <f t="shared" si="8"/>
        <v>0</v>
      </c>
      <c r="AP29" s="155">
        <f t="shared" si="9"/>
        <v>0</v>
      </c>
    </row>
    <row r="30" spans="1:59" s="2" customFormat="1" ht="30" customHeight="1" thickTop="1" thickBot="1" x14ac:dyDescent="0.25">
      <c r="A30" s="1"/>
      <c r="B30"/>
      <c r="C30" s="172" t="str">
        <f>IF(Funcionários!C29=0,"",Funcionários!C29)</f>
        <v/>
      </c>
      <c r="D30"/>
      <c r="E30" s="173">
        <f>Lanç!E30</f>
        <v>23</v>
      </c>
      <c r="F30" s="189" t="str">
        <f>Lanç!F30</f>
        <v>Seg</v>
      </c>
      <c r="G30" s="81"/>
      <c r="H30" s="94"/>
      <c r="I30" s="94"/>
      <c r="J30" s="94"/>
      <c r="K30" s="94"/>
      <c r="L30" s="197"/>
      <c r="M30" s="95">
        <f t="shared" si="1"/>
        <v>0</v>
      </c>
      <c r="N30" s="196"/>
      <c r="O30" s="95">
        <f ca="1">IF(OR(G30=0,G30="Férias",G30="Falta Justificada",G30="Feriado",G30="Folga (DSR)"),0,IF(G30="Falta Injustificada",HLOOKUP($F30,Jornada!$X$7:$AD$37,VLOOKUP(INDIRECT($C$5),Jornada!$C$8:$W$37,21,0),0),IF(HLOOKUP($F30,Jornada!$X$7:$AD$37,VLOOKUP(INDIRECT($C$5),Jornada!$C$8:$W$37,21,0),0)-M30&gt;0,HLOOKUP($F30,Jornada!$X$7:$AD$37,VLOOKUP(INDIRECT($C$5),Jornada!$C$8:$W$37,21,0),0)-M30,0)))</f>
        <v>0</v>
      </c>
      <c r="P30" s="193">
        <f ca="1">IF(HLOOKUP($F30,Jornada!$X$7:$AD$37,VLOOKUP(INDIRECT($C$5),Jornada!$C$8:$W$37,21,0),0)-M30&lt;0,ABS(HLOOKUP($F30,Jornada!$X$7:$AD$37,VLOOKUP(INDIRECT($C$5),Jornada!$C$8:$W$37,21,0),0)-M30),0)</f>
        <v>0</v>
      </c>
      <c r="Q30" s="95">
        <f t="shared" si="0"/>
        <v>0</v>
      </c>
      <c r="R30" s="2">
        <f>IF(Q30&gt;$R$7,1,0)</f>
        <v>0</v>
      </c>
      <c r="S30" s="13"/>
      <c r="T30" s="74"/>
      <c r="U30" s="74"/>
      <c r="X30" s="177"/>
      <c r="AB30" s="177">
        <f t="shared" si="10"/>
        <v>23</v>
      </c>
      <c r="AC30" s="2">
        <f>WEEKDAY(AB30)</f>
        <v>2</v>
      </c>
      <c r="AG30" s="220">
        <f t="shared" si="4"/>
        <v>0</v>
      </c>
      <c r="AH30" s="220">
        <f ca="1">IF(HLOOKUP($F30,Jornada!$X$7:$AD$37,VLOOKUP(INDIRECT($C$5),Jornada!$C$8:$W$37,21,0),0)=0,0,VLOOKUP(INDIRECT($C$5),Jornada!$C$8:$H$37,4,0))</f>
        <v>0</v>
      </c>
      <c r="AI30" s="155">
        <f ca="1">IF(AND(I30=0,J30=0,OR(H30&lt;&gt;0,K30&lt;&gt;0),HLOOKUP($F30,Jornada!$X$7:$AD$37,VLOOKUP(INDIRECT($C$5),Jornada!$C$8:$W$37,21,0),0)&gt;$AK$5,M30&gt;$AK$5),VLOOKUP(INDIRECT($C$5),Jornada!$C$8:$H$37,6,0),IF(AG30&gt;VLOOKUP(INDIRECT($C$5),Jornada!$C$8:$H$37,6,0),IF(VLOOKUP(INDIRECT($C$5),Jornada!$C$8:$H$37,6,0)&lt;AG30,0,ABS(VLOOKUP(INDIRECT($C$5),Jornada!$C$8:$H$37,6,0))-AG30),0))</f>
        <v>0</v>
      </c>
      <c r="AJ30" s="155">
        <f>($AJ$7-K30)+H30</f>
        <v>1</v>
      </c>
      <c r="AK30" s="155">
        <f>IF(AJ30&lt;$AK$7,$AK$7-AJ30,$AI$7)</f>
        <v>0</v>
      </c>
      <c r="AL30" s="155">
        <f ca="1">HLOOKUP($F30,Jornada!$I$5:$V$37,VLOOKUP(INDIRECT($C$5),Jornada!$C$8:$W$37,21,0)+2,0)</f>
        <v>0</v>
      </c>
      <c r="AM30" s="155">
        <f ca="1">HLOOKUP($F30,Jornada!$I$4:$V$37,VLOOKUP(INDIRECT($C$5),Jornada!$C$8:$W$37,21,0)+3,0)</f>
        <v>0</v>
      </c>
      <c r="AN30" s="155">
        <f t="shared" ca="1" si="7"/>
        <v>0</v>
      </c>
      <c r="AO30" s="155">
        <f t="shared" si="8"/>
        <v>0</v>
      </c>
      <c r="AP30" s="155">
        <f t="shared" si="9"/>
        <v>0</v>
      </c>
    </row>
    <row r="31" spans="1:59" s="2" customFormat="1" ht="30" customHeight="1" thickTop="1" thickBot="1" x14ac:dyDescent="0.25">
      <c r="A31" s="1"/>
      <c r="B31"/>
      <c r="C31" s="172" t="str">
        <f>IF(Funcionários!C30=0,"",Funcionários!C30)</f>
        <v/>
      </c>
      <c r="D31"/>
      <c r="E31" s="173">
        <f>Lanç!E31</f>
        <v>24</v>
      </c>
      <c r="F31" s="189" t="str">
        <f>Lanç!F31</f>
        <v>Ter</v>
      </c>
      <c r="G31" s="81"/>
      <c r="H31" s="94"/>
      <c r="I31" s="94"/>
      <c r="J31" s="94"/>
      <c r="K31" s="94"/>
      <c r="L31" s="197"/>
      <c r="M31" s="95">
        <f t="shared" si="1"/>
        <v>0</v>
      </c>
      <c r="N31" s="196"/>
      <c r="O31" s="95">
        <f ca="1">IF(OR(G31=0,G31="Férias",G31="Falta Justificada",G31="Feriado",G31="Folga (DSR)"),0,IF(G31="Falta Injustificada",HLOOKUP($F31,Jornada!$X$7:$AD$37,VLOOKUP(INDIRECT($C$5),Jornada!$C$8:$W$37,21,0),0),IF(HLOOKUP($F31,Jornada!$X$7:$AD$37,VLOOKUP(INDIRECT($C$5),Jornada!$C$8:$W$37,21,0),0)-M31&gt;0,HLOOKUP($F31,Jornada!$X$7:$AD$37,VLOOKUP(INDIRECT($C$5),Jornada!$C$8:$W$37,21,0),0)-M31,0)))</f>
        <v>0</v>
      </c>
      <c r="P31" s="193">
        <f ca="1">IF(HLOOKUP($F31,Jornada!$X$7:$AD$37,VLOOKUP(INDIRECT($C$5),Jornada!$C$8:$W$37,21,0),0)-M31&lt;0,ABS(HLOOKUP($F31,Jornada!$X$7:$AD$37,VLOOKUP(INDIRECT($C$5),Jornada!$C$8:$W$37,21,0),0)-M31),0)</f>
        <v>0</v>
      </c>
      <c r="Q31" s="95">
        <f t="shared" si="0"/>
        <v>0</v>
      </c>
      <c r="R31" s="2">
        <f>IF(Q31&gt;$R$7,1,0)</f>
        <v>0</v>
      </c>
      <c r="S31" s="13"/>
      <c r="T31" s="74"/>
      <c r="U31" s="74"/>
      <c r="X31" s="177"/>
      <c r="AB31" s="177">
        <f t="shared" si="10"/>
        <v>24</v>
      </c>
      <c r="AC31" s="2">
        <f>WEEKDAY(AB31)</f>
        <v>3</v>
      </c>
      <c r="AG31" s="220">
        <f t="shared" si="4"/>
        <v>0</v>
      </c>
      <c r="AH31" s="220">
        <f ca="1">IF(HLOOKUP($F31,Jornada!$X$7:$AD$37,VLOOKUP(INDIRECT($C$5),Jornada!$C$8:$W$37,21,0),0)=0,0,VLOOKUP(INDIRECT($C$5),Jornada!$C$8:$H$37,4,0))</f>
        <v>0</v>
      </c>
      <c r="AI31" s="155">
        <f ca="1">IF(AND(I31=0,J31=0,OR(H31&lt;&gt;0,K31&lt;&gt;0),HLOOKUP($F31,Jornada!$X$7:$AD$37,VLOOKUP(INDIRECT($C$5),Jornada!$C$8:$W$37,21,0),0)&gt;$AK$5,M31&gt;$AK$5),VLOOKUP(INDIRECT($C$5),Jornada!$C$8:$H$37,6,0),IF(AG31&gt;VLOOKUP(INDIRECT($C$5),Jornada!$C$8:$H$37,6,0),IF(VLOOKUP(INDIRECT($C$5),Jornada!$C$8:$H$37,6,0)&lt;AG31,0,ABS(VLOOKUP(INDIRECT($C$5),Jornada!$C$8:$H$37,6,0))-AG31),0))</f>
        <v>0</v>
      </c>
      <c r="AJ31" s="155">
        <f>($AJ$7-K31)+H31</f>
        <v>1</v>
      </c>
      <c r="AK31" s="155">
        <f>IF(AJ31&lt;$AK$7,$AK$7-AJ31,$AI$7)</f>
        <v>0</v>
      </c>
      <c r="AL31" s="155">
        <f ca="1">HLOOKUP($F31,Jornada!$I$5:$V$37,VLOOKUP(INDIRECT($C$5),Jornada!$C$8:$W$37,21,0)+2,0)</f>
        <v>0</v>
      </c>
      <c r="AM31" s="155">
        <f ca="1">HLOOKUP($F31,Jornada!$I$4:$V$37,VLOOKUP(INDIRECT($C$5),Jornada!$C$8:$W$37,21,0)+3,0)</f>
        <v>0</v>
      </c>
      <c r="AN31" s="155">
        <f t="shared" ca="1" si="7"/>
        <v>0</v>
      </c>
      <c r="AO31" s="155">
        <f t="shared" si="8"/>
        <v>0</v>
      </c>
      <c r="AP31" s="155">
        <f t="shared" si="9"/>
        <v>0</v>
      </c>
    </row>
    <row r="32" spans="1:59" s="2" customFormat="1" ht="30" customHeight="1" thickTop="1" thickBot="1" x14ac:dyDescent="0.25">
      <c r="A32" s="1"/>
      <c r="B32"/>
      <c r="C32" s="172" t="str">
        <f>IF(Funcionários!C31=0,"",Funcionários!C31)</f>
        <v/>
      </c>
      <c r="D32"/>
      <c r="E32" s="115">
        <f>Lanç!E32</f>
        <v>25</v>
      </c>
      <c r="F32" s="189" t="str">
        <f>Lanç!F32</f>
        <v>Qua</v>
      </c>
      <c r="G32" s="81"/>
      <c r="H32" s="94"/>
      <c r="I32" s="94"/>
      <c r="J32" s="94"/>
      <c r="K32" s="94"/>
      <c r="L32" s="197"/>
      <c r="M32" s="95">
        <f t="shared" si="1"/>
        <v>0</v>
      </c>
      <c r="N32" s="196"/>
      <c r="O32" s="95">
        <f ca="1">IF(OR(G32=0,G32="Férias",G32="Falta Justificada",G32="Feriado",G32="Folga (DSR)"),0,IF(G32="Falta Injustificada",HLOOKUP($F32,Jornada!$X$7:$AD$37,VLOOKUP(INDIRECT($C$5),Jornada!$C$8:$W$37,21,0),0),IF(HLOOKUP($F32,Jornada!$X$7:$AD$37,VLOOKUP(INDIRECT($C$5),Jornada!$C$8:$W$37,21,0),0)-M32&gt;0,HLOOKUP($F32,Jornada!$X$7:$AD$37,VLOOKUP(INDIRECT($C$5),Jornada!$C$8:$W$37,21,0),0)-M32,0)))</f>
        <v>0</v>
      </c>
      <c r="P32" s="193">
        <f ca="1">IF(HLOOKUP($F32,Jornada!$X$7:$AD$37,VLOOKUP(INDIRECT($C$5),Jornada!$C$8:$W$37,21,0),0)-M32&lt;0,ABS(HLOOKUP($F32,Jornada!$X$7:$AD$37,VLOOKUP(INDIRECT($C$5),Jornada!$C$8:$W$37,21,0),0)-M32),0)</f>
        <v>0</v>
      </c>
      <c r="Q32" s="95">
        <f t="shared" si="0"/>
        <v>0</v>
      </c>
      <c r="R32" s="2">
        <f t="shared" si="2"/>
        <v>0</v>
      </c>
      <c r="S32" s="74"/>
      <c r="T32" s="74"/>
      <c r="U32" s="74"/>
      <c r="X32" s="177"/>
      <c r="AB32" s="177">
        <f t="shared" si="10"/>
        <v>25</v>
      </c>
      <c r="AC32" s="2">
        <f t="shared" si="3"/>
        <v>4</v>
      </c>
      <c r="AG32" s="220">
        <f t="shared" si="4"/>
        <v>0</v>
      </c>
      <c r="AH32" s="220">
        <f ca="1">IF(HLOOKUP($F32,Jornada!$X$7:$AD$37,VLOOKUP(INDIRECT($C$5),Jornada!$C$8:$W$37,21,0),0)=0,0,VLOOKUP(INDIRECT($C$5),Jornada!$C$8:$H$37,4,0))</f>
        <v>0</v>
      </c>
      <c r="AI32" s="155">
        <f ca="1">IF(AND(I32=0,J32=0,OR(H32&lt;&gt;0,K32&lt;&gt;0),HLOOKUP($F32,Jornada!$X$7:$AD$37,VLOOKUP(INDIRECT($C$5),Jornada!$C$8:$W$37,21,0),0)&gt;$AK$5,M32&gt;$AK$5),VLOOKUP(INDIRECT($C$5),Jornada!$C$8:$H$37,6,0),IF(AG32&gt;VLOOKUP(INDIRECT($C$5),Jornada!$C$8:$H$37,6,0),IF(VLOOKUP(INDIRECT($C$5),Jornada!$C$8:$H$37,6,0)&lt;AG32,0,ABS(VLOOKUP(INDIRECT($C$5),Jornada!$C$8:$H$37,6,0))-AG32),0))</f>
        <v>0</v>
      </c>
      <c r="AJ32" s="155">
        <f t="shared" si="5"/>
        <v>1</v>
      </c>
      <c r="AK32" s="155">
        <f t="shared" si="6"/>
        <v>0</v>
      </c>
      <c r="AL32" s="155">
        <f ca="1">HLOOKUP($F32,Jornada!$I$5:$V$37,VLOOKUP(INDIRECT($C$5),Jornada!$C$8:$W$37,21,0)+2,0)</f>
        <v>0</v>
      </c>
      <c r="AM32" s="155">
        <f ca="1">HLOOKUP($F32,Jornada!$I$4:$V$37,VLOOKUP(INDIRECT($C$5),Jornada!$C$8:$W$37,21,0)+3,0)</f>
        <v>0</v>
      </c>
      <c r="AN32" s="155">
        <f t="shared" ca="1" si="7"/>
        <v>0</v>
      </c>
      <c r="AO32" s="155">
        <f t="shared" si="8"/>
        <v>0</v>
      </c>
      <c r="AP32" s="155">
        <f t="shared" si="9"/>
        <v>0</v>
      </c>
    </row>
    <row r="33" spans="1:42" s="2" customFormat="1" ht="30" customHeight="1" thickTop="1" thickBot="1" x14ac:dyDescent="0.25">
      <c r="A33" s="1"/>
      <c r="B33"/>
      <c r="C33" s="172" t="str">
        <f>IF(Funcionários!C32=0,"",Funcionários!C32)</f>
        <v/>
      </c>
      <c r="D33"/>
      <c r="E33" s="115">
        <f>Lanç!E33</f>
        <v>26</v>
      </c>
      <c r="F33" s="189" t="str">
        <f>Lanç!F33</f>
        <v>Qui</v>
      </c>
      <c r="G33" s="81"/>
      <c r="H33" s="94"/>
      <c r="I33" s="94"/>
      <c r="J33" s="94"/>
      <c r="K33" s="94"/>
      <c r="L33" s="197"/>
      <c r="M33" s="95">
        <f t="shared" si="1"/>
        <v>0</v>
      </c>
      <c r="N33" s="196"/>
      <c r="O33" s="95">
        <f ca="1">IF(OR(G33=0,G33="Férias",G33="Falta Justificada",G33="Feriado",G33="Folga (DSR)"),0,IF(G33="Falta Injustificada",HLOOKUP($F33,Jornada!$X$7:$AD$37,VLOOKUP(INDIRECT($C$5),Jornada!$C$8:$W$37,21,0),0),IF(HLOOKUP($F33,Jornada!$X$7:$AD$37,VLOOKUP(INDIRECT($C$5),Jornada!$C$8:$W$37,21,0),0)-M33&gt;0,HLOOKUP($F33,Jornada!$X$7:$AD$37,VLOOKUP(INDIRECT($C$5),Jornada!$C$8:$W$37,21,0),0)-M33,0)))</f>
        <v>0</v>
      </c>
      <c r="P33" s="193">
        <f ca="1">IF(HLOOKUP($F33,Jornada!$X$7:$AD$37,VLOOKUP(INDIRECT($C$5),Jornada!$C$8:$W$37,21,0),0)-M33&lt;0,ABS(HLOOKUP($F33,Jornada!$X$7:$AD$37,VLOOKUP(INDIRECT($C$5),Jornada!$C$8:$W$37,21,0),0)-M33),0)</f>
        <v>0</v>
      </c>
      <c r="Q33" s="95">
        <f t="shared" si="0"/>
        <v>0</v>
      </c>
      <c r="R33" s="2">
        <f t="shared" si="2"/>
        <v>0</v>
      </c>
      <c r="S33" s="74"/>
      <c r="T33" s="74"/>
      <c r="U33" s="74"/>
      <c r="X33" s="177"/>
      <c r="AB33" s="177">
        <f t="shared" si="10"/>
        <v>26</v>
      </c>
      <c r="AC33" s="2">
        <f t="shared" si="3"/>
        <v>5</v>
      </c>
      <c r="AG33" s="220">
        <f t="shared" si="4"/>
        <v>0</v>
      </c>
      <c r="AH33" s="220">
        <f ca="1">IF(HLOOKUP($F33,Jornada!$X$7:$AD$37,VLOOKUP(INDIRECT($C$5),Jornada!$C$8:$W$37,21,0),0)=0,0,VLOOKUP(INDIRECT($C$5),Jornada!$C$8:$H$37,4,0))</f>
        <v>0</v>
      </c>
      <c r="AI33" s="155">
        <f ca="1">IF(AND(I33=0,J33=0,OR(H33&lt;&gt;0,K33&lt;&gt;0),HLOOKUP($F33,Jornada!$X$7:$AD$37,VLOOKUP(INDIRECT($C$5),Jornada!$C$8:$W$37,21,0),0)&gt;$AK$5,M33&gt;$AK$5),VLOOKUP(INDIRECT($C$5),Jornada!$C$8:$H$37,6,0),IF(AG33&gt;VLOOKUP(INDIRECT($C$5),Jornada!$C$8:$H$37,6,0),IF(VLOOKUP(INDIRECT($C$5),Jornada!$C$8:$H$37,6,0)&lt;AG33,0,ABS(VLOOKUP(INDIRECT($C$5),Jornada!$C$8:$H$37,6,0))-AG33),0))</f>
        <v>0</v>
      </c>
      <c r="AJ33" s="155">
        <f t="shared" si="5"/>
        <v>1</v>
      </c>
      <c r="AK33" s="155">
        <f t="shared" si="6"/>
        <v>0</v>
      </c>
      <c r="AL33" s="155">
        <f ca="1">HLOOKUP($F33,Jornada!$I$5:$V$37,VLOOKUP(INDIRECT($C$5),Jornada!$C$8:$W$37,21,0)+2,0)</f>
        <v>0</v>
      </c>
      <c r="AM33" s="155">
        <f ca="1">HLOOKUP($F33,Jornada!$I$4:$V$37,VLOOKUP(INDIRECT($C$5),Jornada!$C$8:$W$37,21,0)+3,0)</f>
        <v>0</v>
      </c>
      <c r="AN33" s="155">
        <f t="shared" ca="1" si="7"/>
        <v>0</v>
      </c>
      <c r="AO33" s="155">
        <f t="shared" si="8"/>
        <v>0</v>
      </c>
      <c r="AP33" s="155">
        <f t="shared" si="9"/>
        <v>0</v>
      </c>
    </row>
    <row r="34" spans="1:42" s="2" customFormat="1" ht="30" customHeight="1" thickTop="1" thickBot="1" x14ac:dyDescent="0.25">
      <c r="A34" s="1"/>
      <c r="B34"/>
      <c r="C34" s="172" t="str">
        <f>IF(Funcionários!C33=0,"",Funcionários!C33)</f>
        <v/>
      </c>
      <c r="D34"/>
      <c r="E34" s="115">
        <f>Lanç!E34</f>
        <v>27</v>
      </c>
      <c r="F34" s="189" t="str">
        <f>Lanç!F34</f>
        <v>Sex</v>
      </c>
      <c r="G34" s="81"/>
      <c r="H34" s="94"/>
      <c r="I34" s="94"/>
      <c r="J34" s="94"/>
      <c r="K34" s="94"/>
      <c r="L34" s="197"/>
      <c r="M34" s="95">
        <f t="shared" si="1"/>
        <v>0</v>
      </c>
      <c r="N34" s="196"/>
      <c r="O34" s="95">
        <f ca="1">IF(OR(G34=0,G34="Férias",G34="Falta Justificada",G34="Feriado",G34="Folga (DSR)"),0,IF(G34="Falta Injustificada",HLOOKUP($F34,Jornada!$X$7:$AD$37,VLOOKUP(INDIRECT($C$5),Jornada!$C$8:$W$37,21,0),0),IF(HLOOKUP($F34,Jornada!$X$7:$AD$37,VLOOKUP(INDIRECT($C$5),Jornada!$C$8:$W$37,21,0),0)-M34&gt;0,HLOOKUP($F34,Jornada!$X$7:$AD$37,VLOOKUP(INDIRECT($C$5),Jornada!$C$8:$W$37,21,0),0)-M34,0)))</f>
        <v>0</v>
      </c>
      <c r="P34" s="193">
        <f ca="1">IF(HLOOKUP($F34,Jornada!$X$7:$AD$37,VLOOKUP(INDIRECT($C$5),Jornada!$C$8:$W$37,21,0),0)-M34&lt;0,ABS(HLOOKUP($F34,Jornada!$X$7:$AD$37,VLOOKUP(INDIRECT($C$5),Jornada!$C$8:$W$37,21,0),0)-M34),0)</f>
        <v>0</v>
      </c>
      <c r="Q34" s="95">
        <f t="shared" si="0"/>
        <v>0</v>
      </c>
      <c r="R34" s="2">
        <f t="shared" si="2"/>
        <v>0</v>
      </c>
      <c r="S34" s="74"/>
      <c r="T34" s="74"/>
      <c r="U34" s="74"/>
      <c r="X34" s="177"/>
      <c r="AB34" s="177">
        <f t="shared" si="10"/>
        <v>27</v>
      </c>
      <c r="AC34" s="2">
        <f t="shared" si="3"/>
        <v>6</v>
      </c>
      <c r="AG34" s="220">
        <f t="shared" si="4"/>
        <v>0</v>
      </c>
      <c r="AH34" s="220">
        <f ca="1">IF(HLOOKUP($F34,Jornada!$X$7:$AD$37,VLOOKUP(INDIRECT($C$5),Jornada!$C$8:$W$37,21,0),0)=0,0,VLOOKUP(INDIRECT($C$5),Jornada!$C$8:$H$37,4,0))</f>
        <v>0</v>
      </c>
      <c r="AI34" s="155">
        <f ca="1">IF(AND(I34=0,J34=0,OR(H34&lt;&gt;0,K34&lt;&gt;0),HLOOKUP($F34,Jornada!$X$7:$AD$37,VLOOKUP(INDIRECT($C$5),Jornada!$C$8:$W$37,21,0),0)&gt;$AK$5,M34&gt;$AK$5),VLOOKUP(INDIRECT($C$5),Jornada!$C$8:$H$37,6,0),IF(AG34&gt;VLOOKUP(INDIRECT($C$5),Jornada!$C$8:$H$37,6,0),IF(VLOOKUP(INDIRECT($C$5),Jornada!$C$8:$H$37,6,0)&lt;AG34,0,ABS(VLOOKUP(INDIRECT($C$5),Jornada!$C$8:$H$37,6,0))-AG34),0))</f>
        <v>0</v>
      </c>
      <c r="AJ34" s="155">
        <f t="shared" si="5"/>
        <v>1</v>
      </c>
      <c r="AK34" s="155">
        <f t="shared" si="6"/>
        <v>0</v>
      </c>
      <c r="AL34" s="155">
        <f ca="1">HLOOKUP($F34,Jornada!$I$5:$V$37,VLOOKUP(INDIRECT($C$5),Jornada!$C$8:$W$37,21,0)+2,0)</f>
        <v>0</v>
      </c>
      <c r="AM34" s="155">
        <f ca="1">HLOOKUP($F34,Jornada!$I$4:$V$37,VLOOKUP(INDIRECT($C$5),Jornada!$C$8:$W$37,21,0)+3,0)</f>
        <v>0</v>
      </c>
      <c r="AN34" s="155">
        <f t="shared" ca="1" si="7"/>
        <v>0</v>
      </c>
      <c r="AO34" s="155">
        <f t="shared" si="8"/>
        <v>0</v>
      </c>
      <c r="AP34" s="155">
        <f t="shared" si="9"/>
        <v>0</v>
      </c>
    </row>
    <row r="35" spans="1:42" s="2" customFormat="1" ht="30" customHeight="1" thickTop="1" thickBot="1" x14ac:dyDescent="0.25">
      <c r="A35" s="1"/>
      <c r="B35"/>
      <c r="C35" s="172" t="str">
        <f>IF(Funcionários!C34=0,"",Funcionários!C34)</f>
        <v/>
      </c>
      <c r="D35"/>
      <c r="E35" s="115">
        <f>Lanç!E35</f>
        <v>28</v>
      </c>
      <c r="F35" s="189" t="str">
        <f>Lanç!F35</f>
        <v>Sáb</v>
      </c>
      <c r="G35" s="81"/>
      <c r="H35" s="94"/>
      <c r="I35" s="94"/>
      <c r="J35" s="94"/>
      <c r="K35" s="94"/>
      <c r="L35" s="197"/>
      <c r="M35" s="95">
        <f t="shared" si="1"/>
        <v>0</v>
      </c>
      <c r="N35" s="196"/>
      <c r="O35" s="95">
        <f ca="1">IF(OR(G35=0,G35="Férias",G35="Falta Justificada",G35="Feriado",G35="Folga (DSR)"),0,IF(G35="Falta Injustificada",HLOOKUP($F35,Jornada!$X$7:$AD$37,VLOOKUP(INDIRECT($C$5),Jornada!$C$8:$W$37,21,0),0),IF(HLOOKUP($F35,Jornada!$X$7:$AD$37,VLOOKUP(INDIRECT($C$5),Jornada!$C$8:$W$37,21,0),0)-M35&gt;0,HLOOKUP($F35,Jornada!$X$7:$AD$37,VLOOKUP(INDIRECT($C$5),Jornada!$C$8:$W$37,21,0),0)-M35,0)))</f>
        <v>0</v>
      </c>
      <c r="P35" s="193">
        <f ca="1">IF(HLOOKUP($F35,Jornada!$X$7:$AD$37,VLOOKUP(INDIRECT($C$5),Jornada!$C$8:$W$37,21,0),0)-M35&lt;0,ABS(HLOOKUP($F35,Jornada!$X$7:$AD$37,VLOOKUP(INDIRECT($C$5),Jornada!$C$8:$W$37,21,0),0)-M35),0)</f>
        <v>0</v>
      </c>
      <c r="Q35" s="95">
        <f t="shared" si="0"/>
        <v>0</v>
      </c>
      <c r="R35" s="2">
        <f t="shared" si="2"/>
        <v>0</v>
      </c>
      <c r="S35"/>
      <c r="T35"/>
      <c r="U35"/>
      <c r="X35" s="177"/>
      <c r="AB35" s="177">
        <f>IF(MONTH(AB34+1)&lt;&gt;MONTH(AB34),"",AB34+1)</f>
        <v>28</v>
      </c>
      <c r="AC35" s="2">
        <f t="shared" si="3"/>
        <v>7</v>
      </c>
      <c r="AG35" s="220">
        <f t="shared" si="4"/>
        <v>0</v>
      </c>
      <c r="AH35" s="220">
        <f ca="1">IF(HLOOKUP($F35,Jornada!$X$7:$AD$37,VLOOKUP(INDIRECT($C$5),Jornada!$C$8:$W$37,21,0),0)=0,0,VLOOKUP(INDIRECT($C$5),Jornada!$C$8:$H$37,4,0))</f>
        <v>0</v>
      </c>
      <c r="AI35" s="155">
        <f ca="1">IF(AND(I35=0,J35=0,OR(H35&lt;&gt;0,K35&lt;&gt;0),HLOOKUP($F35,Jornada!$X$7:$AD$37,VLOOKUP(INDIRECT($C$5),Jornada!$C$8:$W$37,21,0),0)&gt;$AK$5,M35&gt;$AK$5),VLOOKUP(INDIRECT($C$5),Jornada!$C$8:$H$37,6,0),IF(AG35&gt;VLOOKUP(INDIRECT($C$5),Jornada!$C$8:$H$37,6,0),IF(VLOOKUP(INDIRECT($C$5),Jornada!$C$8:$H$37,6,0)&lt;AG35,0,ABS(VLOOKUP(INDIRECT($C$5),Jornada!$C$8:$H$37,6,0))-AG35),0))</f>
        <v>0</v>
      </c>
      <c r="AJ35" s="155">
        <f t="shared" si="5"/>
        <v>1</v>
      </c>
      <c r="AK35" s="155">
        <f t="shared" si="6"/>
        <v>0</v>
      </c>
      <c r="AL35" s="155">
        <f ca="1">HLOOKUP($F35,Jornada!$I$5:$V$37,VLOOKUP(INDIRECT($C$5),Jornada!$C$8:$W$37,21,0)+2,0)</f>
        <v>0</v>
      </c>
      <c r="AM35" s="155">
        <f ca="1">HLOOKUP($F35,Jornada!$I$4:$V$37,VLOOKUP(INDIRECT($C$5),Jornada!$C$8:$W$37,21,0)+3,0)</f>
        <v>0</v>
      </c>
      <c r="AN35" s="155">
        <f t="shared" ca="1" si="7"/>
        <v>0</v>
      </c>
      <c r="AO35" s="155">
        <f t="shared" si="8"/>
        <v>0</v>
      </c>
      <c r="AP35" s="155">
        <f t="shared" si="9"/>
        <v>0</v>
      </c>
    </row>
    <row r="36" spans="1:42" s="2" customFormat="1" ht="30" customHeight="1" thickTop="1" thickBot="1" x14ac:dyDescent="0.25">
      <c r="A36" s="1"/>
      <c r="B36"/>
      <c r="C36" s="172" t="str">
        <f>IF(Funcionários!C35=0,"",Funcionários!C35)</f>
        <v/>
      </c>
      <c r="D36"/>
      <c r="E36" s="115">
        <f>Lanç!E36</f>
        <v>29</v>
      </c>
      <c r="F36" s="189" t="str">
        <f>Lanç!F36</f>
        <v>Dom</v>
      </c>
      <c r="G36" s="81"/>
      <c r="H36" s="94"/>
      <c r="I36" s="94"/>
      <c r="J36" s="94"/>
      <c r="K36" s="94"/>
      <c r="L36" s="197"/>
      <c r="M36" s="95">
        <f t="shared" si="1"/>
        <v>0</v>
      </c>
      <c r="N36" s="196"/>
      <c r="O36" s="95">
        <f ca="1">IF(OR(G36=0,G36="Férias",G36="Falta Justificada",G36="Feriado",G36="Folga (DSR)"),0,IF(G36="Falta Injustificada",HLOOKUP($F36,Jornada!$X$7:$AD$37,VLOOKUP(INDIRECT($C$5),Jornada!$C$8:$W$37,21,0),0),IF(HLOOKUP($F36,Jornada!$X$7:$AD$37,VLOOKUP(INDIRECT($C$5),Jornada!$C$8:$W$37,21,0),0)-M36&gt;0,HLOOKUP($F36,Jornada!$X$7:$AD$37,VLOOKUP(INDIRECT($C$5),Jornada!$C$8:$W$37,21,0),0)-M36,0)))</f>
        <v>0</v>
      </c>
      <c r="P36" s="193">
        <f ca="1">IF(HLOOKUP($F36,Jornada!$X$7:$AD$37,VLOOKUP(INDIRECT($C$5),Jornada!$C$8:$W$37,21,0),0)-M36&lt;0,ABS(HLOOKUP($F36,Jornada!$X$7:$AD$37,VLOOKUP(INDIRECT($C$5),Jornada!$C$8:$W$37,21,0),0)-M36),0)</f>
        <v>0</v>
      </c>
      <c r="Q36" s="95">
        <f t="shared" si="0"/>
        <v>0</v>
      </c>
      <c r="R36" s="2">
        <f t="shared" si="2"/>
        <v>0</v>
      </c>
      <c r="S36"/>
      <c r="T36"/>
      <c r="U36"/>
      <c r="X36" s="177"/>
      <c r="AB36" s="177">
        <f>IF(MONTH(AB35+1)&lt;&gt;MONTH(AB35),"",IF(AB35="","",AB35+1))</f>
        <v>29</v>
      </c>
      <c r="AC36" s="2">
        <f>IF(ISERROR(WEEKDAY(AB36)),"",WEEKDAY(AB36))</f>
        <v>1</v>
      </c>
      <c r="AG36" s="220">
        <f t="shared" si="4"/>
        <v>0</v>
      </c>
      <c r="AH36" s="220">
        <f ca="1">IF(HLOOKUP($F36,Jornada!$X$7:$AD$37,VLOOKUP(INDIRECT($C$5),Jornada!$C$8:$W$37,21,0),0)=0,0,VLOOKUP(INDIRECT($C$5),Jornada!$C$8:$H$37,4,0))</f>
        <v>0</v>
      </c>
      <c r="AI36" s="155">
        <f ca="1">IF(AND(I36=0,J36=0,OR(H36&lt;&gt;0,K36&lt;&gt;0),HLOOKUP($F36,Jornada!$X$7:$AD$37,VLOOKUP(INDIRECT($C$5),Jornada!$C$8:$W$37,21,0),0)&gt;$AK$5,M36&gt;$AK$5),VLOOKUP(INDIRECT($C$5),Jornada!$C$8:$H$37,6,0),IF(AG36&gt;VLOOKUP(INDIRECT($C$5),Jornada!$C$8:$H$37,6,0),IF(VLOOKUP(INDIRECT($C$5),Jornada!$C$8:$H$37,6,0)&lt;AG36,0,ABS(VLOOKUP(INDIRECT($C$5),Jornada!$C$8:$H$37,6,0))-AG36),0))</f>
        <v>0</v>
      </c>
      <c r="AJ36" s="155">
        <f t="shared" si="5"/>
        <v>1</v>
      </c>
      <c r="AK36" s="155">
        <f t="shared" si="6"/>
        <v>0</v>
      </c>
      <c r="AL36" s="155">
        <f ca="1">HLOOKUP($F36,Jornada!$I$5:$V$37,VLOOKUP(INDIRECT($C$5),Jornada!$C$8:$W$37,21,0)+2,0)</f>
        <v>0</v>
      </c>
      <c r="AM36" s="155">
        <f ca="1">HLOOKUP($F36,Jornada!$I$4:$V$37,VLOOKUP(INDIRECT($C$5),Jornada!$C$8:$W$37,21,0)+3,0)</f>
        <v>0</v>
      </c>
      <c r="AN36" s="155">
        <f t="shared" ca="1" si="7"/>
        <v>0</v>
      </c>
      <c r="AO36" s="155">
        <f t="shared" si="8"/>
        <v>0</v>
      </c>
      <c r="AP36" s="155">
        <f t="shared" si="9"/>
        <v>0</v>
      </c>
    </row>
    <row r="37" spans="1:42" s="2" customFormat="1" ht="30" customHeight="1" thickTop="1" thickBot="1" x14ac:dyDescent="0.25">
      <c r="A37" s="1"/>
      <c r="B37"/>
      <c r="C37" s="172" t="str">
        <f>IF(Funcionários!C36=0,"",Funcionários!C36)</f>
        <v/>
      </c>
      <c r="D37"/>
      <c r="E37" s="115">
        <f>Lanç!E37</f>
        <v>30</v>
      </c>
      <c r="F37" s="189" t="str">
        <f>Lanç!F37</f>
        <v>Seg</v>
      </c>
      <c r="G37" s="81"/>
      <c r="H37" s="94"/>
      <c r="I37" s="94"/>
      <c r="J37" s="94"/>
      <c r="K37" s="94"/>
      <c r="L37" s="197"/>
      <c r="M37" s="95">
        <f t="shared" si="1"/>
        <v>0</v>
      </c>
      <c r="N37" s="196"/>
      <c r="O37" s="95">
        <f ca="1">IF(OR(G37=0,G37="Férias",G37="Falta Justificada",G37="Feriado",G37="Folga (DSR)"),0,IF(G37="Falta Injustificada",HLOOKUP($F37,Jornada!$X$7:$AD$37,VLOOKUP(INDIRECT($C$5),Jornada!$C$8:$W$37,21,0),0),IF(HLOOKUP($F37,Jornada!$X$7:$AD$37,VLOOKUP(INDIRECT($C$5),Jornada!$C$8:$W$37,21,0),0)-M37&gt;0,HLOOKUP($F37,Jornada!$X$7:$AD$37,VLOOKUP(INDIRECT($C$5),Jornada!$C$8:$W$37,21,0),0)-M37,0)))</f>
        <v>0</v>
      </c>
      <c r="P37" s="193">
        <f ca="1">IF(HLOOKUP($F37,Jornada!$X$7:$AD$37,VLOOKUP(INDIRECT($C$5),Jornada!$C$8:$W$37,21,0),0)-M37&lt;0,ABS(HLOOKUP($F37,Jornada!$X$7:$AD$37,VLOOKUP(INDIRECT($C$5),Jornada!$C$8:$W$37,21,0),0)-M37),0)</f>
        <v>0</v>
      </c>
      <c r="Q37" s="95">
        <f t="shared" si="0"/>
        <v>0</v>
      </c>
      <c r="R37" s="2">
        <f t="shared" si="2"/>
        <v>0</v>
      </c>
      <c r="S37"/>
      <c r="T37"/>
      <c r="U37"/>
      <c r="X37" s="177"/>
      <c r="AB37" s="177">
        <f>IF(AB36="","",IF(MONTH(AB36+1)&lt;&gt;MONTH(AB36),"",AB36+1))</f>
        <v>30</v>
      </c>
      <c r="AC37" s="2">
        <f>IF(ISERROR(WEEKDAY(AB37)),"",WEEKDAY(AB37))</f>
        <v>2</v>
      </c>
      <c r="AG37" s="220">
        <f t="shared" si="4"/>
        <v>0</v>
      </c>
      <c r="AH37" s="220">
        <f ca="1">IF(HLOOKUP($F37,Jornada!$X$7:$AD$37,VLOOKUP(INDIRECT($C$5),Jornada!$C$8:$W$37,21,0),0)=0,0,VLOOKUP(INDIRECT($C$5),Jornada!$C$8:$H$37,4,0))</f>
        <v>0</v>
      </c>
      <c r="AI37" s="155">
        <f ca="1">IF(AND(I37=0,J37=0,OR(H37&lt;&gt;0,K37&lt;&gt;0),HLOOKUP($F37,Jornada!$X$7:$AD$37,VLOOKUP(INDIRECT($C$5),Jornada!$C$8:$W$37,21,0),0)&gt;$AK$5,M37&gt;$AK$5),VLOOKUP(INDIRECT($C$5),Jornada!$C$8:$H$37,6,0),IF(AG37&gt;VLOOKUP(INDIRECT($C$5),Jornada!$C$8:$H$37,6,0),IF(VLOOKUP(INDIRECT($C$5),Jornada!$C$8:$H$37,6,0)&lt;AG37,0,ABS(VLOOKUP(INDIRECT($C$5),Jornada!$C$8:$H$37,6,0))-AG37),0))</f>
        <v>0</v>
      </c>
      <c r="AJ37" s="155">
        <f t="shared" si="5"/>
        <v>1</v>
      </c>
      <c r="AK37" s="155">
        <f t="shared" si="6"/>
        <v>0</v>
      </c>
      <c r="AL37" s="155">
        <f ca="1">HLOOKUP($F37,Jornada!$I$5:$V$37,VLOOKUP(INDIRECT($C$5),Jornada!$C$8:$W$37,21,0)+2,0)</f>
        <v>0</v>
      </c>
      <c r="AM37" s="155">
        <f ca="1">HLOOKUP($F37,Jornada!$I$4:$V$37,VLOOKUP(INDIRECT($C$5),Jornada!$C$8:$W$37,21,0)+3,0)</f>
        <v>0</v>
      </c>
      <c r="AN37" s="155">
        <f t="shared" ca="1" si="7"/>
        <v>0</v>
      </c>
      <c r="AO37" s="155">
        <f t="shared" si="8"/>
        <v>0</v>
      </c>
      <c r="AP37" s="155">
        <f t="shared" si="9"/>
        <v>0</v>
      </c>
    </row>
    <row r="38" spans="1:42" s="2" customFormat="1" ht="30" customHeight="1" thickTop="1" thickBot="1" x14ac:dyDescent="0.25">
      <c r="A38" s="1"/>
      <c r="B38"/>
      <c r="C38"/>
      <c r="D38" s="2">
        <f t="shared" ref="D38" si="11">IF(D37=7,1,D37+1)</f>
        <v>1</v>
      </c>
      <c r="E38" s="210">
        <f>Lanç!E38</f>
        <v>31</v>
      </c>
      <c r="F38" s="210" t="str">
        <f>Lanç!F38</f>
        <v>Ter</v>
      </c>
      <c r="G38" s="81"/>
      <c r="H38" s="94"/>
      <c r="I38" s="94"/>
      <c r="J38" s="94"/>
      <c r="K38" s="94"/>
      <c r="L38" s="197"/>
      <c r="M38" s="95">
        <f t="shared" si="1"/>
        <v>0</v>
      </c>
      <c r="N38" s="196"/>
      <c r="O38" s="95">
        <f ca="1">IF(OR(G38=0,G38="Férias",G38="Falta Justificada",G38="Feriado",G38="Folga (DSR)"),0,IF(G38="Falta Injustificada",HLOOKUP($F38,Jornada!$X$7:$AD$37,VLOOKUP(INDIRECT($C$5),Jornada!$C$8:$W$37,21,0),0),IF(HLOOKUP($F38,Jornada!$X$7:$AD$37,VLOOKUP(INDIRECT($C$5),Jornada!$C$8:$W$37,21,0),0)-M38&gt;0,HLOOKUP($F38,Jornada!$X$7:$AD$37,VLOOKUP(INDIRECT($C$5),Jornada!$C$8:$W$37,21,0),0)-M38,0)))</f>
        <v>0</v>
      </c>
      <c r="P38" s="201">
        <f ca="1">IF(HLOOKUP($F38,Jornada!$X$7:$AD$37,VLOOKUP(INDIRECT($C$5),Jornada!$C$8:$W$37,21,0),0)-M38&lt;0,ABS(HLOOKUP($F38,Jornada!$X$7:$AD$37,VLOOKUP(INDIRECT($C$5),Jornada!$C$8:$W$37,21,0),0)-M38),0)</f>
        <v>0</v>
      </c>
      <c r="Q38" s="95">
        <f t="shared" si="0"/>
        <v>0</v>
      </c>
      <c r="R38" s="2">
        <f t="shared" si="2"/>
        <v>0</v>
      </c>
      <c r="X38" s="177"/>
      <c r="AB38" s="177">
        <f>IF(AB37="","",IF(MONTH(AB37+1)&lt;&gt;MONTH(AB37),"",AB37+1))</f>
        <v>31</v>
      </c>
      <c r="AC38" s="2">
        <f>IF(ISERROR(WEEKDAY(AB38)),"",WEEKDAY(AB38))</f>
        <v>3</v>
      </c>
      <c r="AG38" s="220">
        <f t="shared" si="4"/>
        <v>0</v>
      </c>
      <c r="AH38" s="220">
        <f ca="1">IF(HLOOKUP($F38,Jornada!$X$7:$AD$37,VLOOKUP(INDIRECT($C$5),Jornada!$C$8:$W$37,21,0),0)=0,0,VLOOKUP(INDIRECT($C$5),Jornada!$C$8:$H$37,4,0))</f>
        <v>0</v>
      </c>
      <c r="AI38" s="155">
        <f ca="1">IF(AND(I38=0,J38=0,OR(H38&lt;&gt;0,K38&lt;&gt;0),HLOOKUP($F38,Jornada!$X$7:$AD$37,VLOOKUP(INDIRECT($C$5),Jornada!$C$8:$W$37,21,0),0)&gt;$AK$5,M38&gt;$AK$5),VLOOKUP(INDIRECT($C$5),Jornada!$C$8:$H$37,6,0),IF(AG38&gt;VLOOKUP(INDIRECT($C$5),Jornada!$C$8:$H$37,6,0),IF(VLOOKUP(INDIRECT($C$5),Jornada!$C$8:$H$37,6,0)&lt;AG38,0,ABS(VLOOKUP(INDIRECT($C$5),Jornada!$C$8:$H$37,6,0))-AG38),0))</f>
        <v>0</v>
      </c>
      <c r="AJ38" s="155">
        <f t="shared" si="5"/>
        <v>1</v>
      </c>
      <c r="AK38" s="155">
        <f t="shared" si="6"/>
        <v>0</v>
      </c>
      <c r="AL38" s="155">
        <f ca="1">HLOOKUP($F38,Jornada!$I$5:$V$37,VLOOKUP(INDIRECT($C$5),Jornada!$C$8:$W$37,21,0)+2,0)</f>
        <v>0</v>
      </c>
      <c r="AM38" s="155">
        <f ca="1">HLOOKUP($F38,Jornada!$I$4:$V$37,VLOOKUP(INDIRECT($C$5),Jornada!$C$8:$W$37,21,0)+3,0)</f>
        <v>0</v>
      </c>
      <c r="AN38" s="155">
        <f t="shared" ca="1" si="7"/>
        <v>0</v>
      </c>
      <c r="AO38" s="155">
        <f t="shared" si="8"/>
        <v>0</v>
      </c>
      <c r="AP38" s="155">
        <f t="shared" si="9"/>
        <v>0</v>
      </c>
    </row>
    <row r="39" spans="1:42" s="2" customFormat="1" ht="30" customHeight="1" thickTop="1" x14ac:dyDescent="0.2">
      <c r="A39" s="9"/>
      <c r="B39" s="234"/>
      <c r="C39" s="234"/>
      <c r="D39" s="234"/>
      <c r="E39" s="236">
        <f>EOMONTH(AB8,0)</f>
        <v>31</v>
      </c>
      <c r="F39" s="234">
        <f>DAY(E39)</f>
        <v>31</v>
      </c>
      <c r="G39" s="237">
        <f>COUNTIF(F8:F38,"Dom")+COUNTIF(G8:G38,"Feriado")</f>
        <v>5</v>
      </c>
      <c r="H39" s="238">
        <f>(SUM(Q8:Q38)/(F39-G39))*G39</f>
        <v>0</v>
      </c>
      <c r="I39" s="234"/>
      <c r="J39" s="234"/>
      <c r="K39" s="234"/>
      <c r="L39" s="234"/>
      <c r="M39" s="234"/>
      <c r="Z39" s="219"/>
    </row>
    <row r="40" spans="1:42" s="2" customFormat="1" ht="30" customHeight="1" x14ac:dyDescent="0.2">
      <c r="A40" s="9"/>
      <c r="B40" s="234"/>
      <c r="C40" s="239"/>
      <c r="D40" s="239"/>
      <c r="E40" s="239"/>
      <c r="F40" s="240"/>
      <c r="G40" s="241"/>
      <c r="H40" s="234">
        <f ca="1">IF(INDIRECT($C$5)="",0,VLOOKUP(INDIRECT($C$5),Funcionários!$C$7:$E$36,3,0)+IF(VLOOKUP(INDIRECT($C$5),Jornada!$C$8:$E$37,2,0)="Sim",IF('P Gerais'!$I$8&lt;&gt;0,VLOOKUP(INDIRECT($C$5),Funcionários!$C$7:$E$36,3,0)*'P Gerais'!$L$14,'P Gerais'!$I$8*'P Gerais'!$L$14),0)+IF(VLOOKUP(INDIRECT($C$5),Jornada!$C$8:$E$37,3,0)="Sim",VLOOKUP(INDIRECT($C$5),Funcionários!$C$7:$E$36,3,0)*'P Gerais'!$K$14,0))</f>
        <v>0</v>
      </c>
      <c r="I40" s="234">
        <f ca="1">VLOOKUP(INDIRECT($C$5),Jornada!$C$8:$AF$37,30,0)</f>
        <v>0</v>
      </c>
      <c r="J40" s="234" t="s">
        <v>298</v>
      </c>
      <c r="K40" s="242">
        <f ca="1">IF(I40=0,0,H40/I40)</f>
        <v>0</v>
      </c>
      <c r="L40" s="234"/>
      <c r="M40" s="234"/>
      <c r="Z40" s="219"/>
    </row>
    <row r="41" spans="1:42" s="2" customFormat="1" ht="30" customHeight="1" x14ac:dyDescent="0.2">
      <c r="A41" s="9"/>
      <c r="B41" s="234" t="s">
        <v>52</v>
      </c>
      <c r="C41" s="292" t="s">
        <v>75</v>
      </c>
      <c r="D41" s="292"/>
      <c r="E41" s="292"/>
      <c r="F41" s="243">
        <f t="shared" ref="F41:F47" si="12">SUMIFS($Q$8:$Q$38,$F$8:$F$38,$B41,$G$8:$G$38,"Normal")</f>
        <v>0</v>
      </c>
      <c r="G41" s="244">
        <f>IF($M$41="Sistema de banco de horas",0,'P Gerais'!$C$14)</f>
        <v>0.5</v>
      </c>
      <c r="H41" s="245">
        <f t="shared" ref="H41:H48" ca="1" si="13">IF($M$41="Sistema de banco de horas",0,$K$40*(1+G41)*(F41*24))</f>
        <v>0</v>
      </c>
      <c r="I41" s="243">
        <f t="shared" ref="I41:I47" ca="1" si="14">IF(SUMIF($F$8:$F$38,$B41,$Q$8:$Q$38)-SUMIFS($M$8:$M$38,$F$8:$F$38,$B41,$G$8:$G$38,"Feriado")-SUMIFS($M$8:$M$38,$F$8:$F$38,$B41,$G$8:$G$38,"Folga (DSR)")-SUMIFS($M$8:$M$38,$F$8:$F$38,$B41,$G$8:$G$38,"Férias")-SUMIF($F$8:$F$38,$B41,$AN$8:$AN$38)-SUMIF($F$8:$F$38,$B41,$AO$8:$AO$38)&lt;0,0,SUMIF($F$8:$F$38,$B41,$Q$8:$Q$38)-SUMIFS($M$8:$M$38,$F$8:$F$38,$B41,$G$8:$G$38,"Feriado")-SUMIFS($M$8:$M$38,$F$8:$F$38,$B41,$G$8:$G$38,"Folga (DSR)")-SUMIFS($M$8:$M$38,$F$8:$F$38,$B41,$G$8:$G$38,"Férias")-SUMIF($F$8:$F$38,$B41,$AN$8:$AN$38)-SUMIF($F$8:$F$38,$B41,$AO$8:$AO$38))</f>
        <v>0</v>
      </c>
      <c r="J41" s="245">
        <f ca="1">H41</f>
        <v>0</v>
      </c>
      <c r="K41" s="234"/>
      <c r="L41" s="234"/>
      <c r="M41" s="234">
        <f>'P Gerais'!I10</f>
        <v>0</v>
      </c>
      <c r="Z41" s="219"/>
    </row>
    <row r="42" spans="1:42" s="2" customFormat="1" ht="30" customHeight="1" x14ac:dyDescent="0.2">
      <c r="A42" s="9"/>
      <c r="B42" s="234" t="s">
        <v>53</v>
      </c>
      <c r="C42" s="292" t="s">
        <v>76</v>
      </c>
      <c r="D42" s="292"/>
      <c r="E42" s="292"/>
      <c r="F42" s="243">
        <f t="shared" si="12"/>
        <v>0</v>
      </c>
      <c r="G42" s="244">
        <f>IF($M$41="Sistema de banco de horas",0,'P Gerais'!$C$14)</f>
        <v>0.5</v>
      </c>
      <c r="H42" s="245">
        <f t="shared" ca="1" si="13"/>
        <v>0</v>
      </c>
      <c r="I42" s="243">
        <f t="shared" ca="1" si="14"/>
        <v>0</v>
      </c>
      <c r="J42" s="245">
        <f t="shared" ref="J42:J51" ca="1" si="15">H42</f>
        <v>0</v>
      </c>
      <c r="K42" s="234"/>
      <c r="L42" s="234"/>
      <c r="M42" s="234"/>
      <c r="Z42" s="219"/>
    </row>
    <row r="43" spans="1:42" s="2" customFormat="1" ht="30" customHeight="1" x14ac:dyDescent="0.2">
      <c r="A43" s="9"/>
      <c r="B43" s="234" t="s">
        <v>54</v>
      </c>
      <c r="C43" s="292" t="s">
        <v>77</v>
      </c>
      <c r="D43" s="292"/>
      <c r="E43" s="292"/>
      <c r="F43" s="243">
        <f t="shared" si="12"/>
        <v>0</v>
      </c>
      <c r="G43" s="244">
        <f>IF($M$41="Sistema de banco de horas",0,'P Gerais'!$C$14)</f>
        <v>0.5</v>
      </c>
      <c r="H43" s="245">
        <f t="shared" ca="1" si="13"/>
        <v>0</v>
      </c>
      <c r="I43" s="243">
        <f t="shared" ca="1" si="14"/>
        <v>0</v>
      </c>
      <c r="J43" s="245">
        <f t="shared" ca="1" si="15"/>
        <v>0</v>
      </c>
      <c r="K43" s="234"/>
      <c r="L43" s="234"/>
      <c r="M43" s="234"/>
      <c r="Z43" s="219"/>
    </row>
    <row r="44" spans="1:42" s="2" customFormat="1" ht="30" customHeight="1" x14ac:dyDescent="0.2">
      <c r="A44" s="9"/>
      <c r="B44" s="234" t="s">
        <v>55</v>
      </c>
      <c r="C44" s="292" t="s">
        <v>78</v>
      </c>
      <c r="D44" s="292"/>
      <c r="E44" s="292"/>
      <c r="F44" s="243">
        <f t="shared" si="12"/>
        <v>0</v>
      </c>
      <c r="G44" s="244">
        <f>IF($M$41="Sistema de banco de horas",0,'P Gerais'!$C$14)</f>
        <v>0.5</v>
      </c>
      <c r="H44" s="245">
        <f t="shared" ca="1" si="13"/>
        <v>0</v>
      </c>
      <c r="I44" s="243">
        <f t="shared" ca="1" si="14"/>
        <v>0</v>
      </c>
      <c r="J44" s="245">
        <f t="shared" ca="1" si="15"/>
        <v>0</v>
      </c>
      <c r="K44" s="234"/>
      <c r="L44" s="234"/>
      <c r="M44" s="234"/>
      <c r="Z44" s="219"/>
    </row>
    <row r="45" spans="1:42" s="2" customFormat="1" ht="30" customHeight="1" x14ac:dyDescent="0.2">
      <c r="A45" s="9"/>
      <c r="B45" s="234" t="s">
        <v>56</v>
      </c>
      <c r="C45" s="292" t="s">
        <v>79</v>
      </c>
      <c r="D45" s="292"/>
      <c r="E45" s="292"/>
      <c r="F45" s="243">
        <f t="shared" si="12"/>
        <v>0</v>
      </c>
      <c r="G45" s="244">
        <f>IF($M$41="Sistema de banco de horas",0,'P Gerais'!$C$14)</f>
        <v>0.5</v>
      </c>
      <c r="H45" s="245">
        <f t="shared" ca="1" si="13"/>
        <v>0</v>
      </c>
      <c r="I45" s="243">
        <f t="shared" ca="1" si="14"/>
        <v>0</v>
      </c>
      <c r="J45" s="245">
        <f t="shared" ca="1" si="15"/>
        <v>0</v>
      </c>
      <c r="K45" s="234"/>
      <c r="L45" s="234"/>
      <c r="M45" s="234"/>
      <c r="Z45" s="219"/>
    </row>
    <row r="46" spans="1:42" s="2" customFormat="1" ht="30" customHeight="1" x14ac:dyDescent="0.2">
      <c r="A46" s="9"/>
      <c r="B46" s="234" t="s">
        <v>57</v>
      </c>
      <c r="C46" s="292" t="s">
        <v>82</v>
      </c>
      <c r="D46" s="292"/>
      <c r="E46" s="292"/>
      <c r="F46" s="243">
        <f t="shared" si="12"/>
        <v>0</v>
      </c>
      <c r="G46" s="244">
        <f>IF($M$41="Sistema de banco de horas",0,'P Gerais'!$E$14)</f>
        <v>0.5</v>
      </c>
      <c r="H46" s="245">
        <f t="shared" ca="1" si="13"/>
        <v>0</v>
      </c>
      <c r="I46" s="243">
        <f t="shared" ca="1" si="14"/>
        <v>0</v>
      </c>
      <c r="J46" s="245">
        <f t="shared" ca="1" si="15"/>
        <v>0</v>
      </c>
      <c r="K46" s="234"/>
      <c r="L46" s="234"/>
      <c r="M46" s="234"/>
      <c r="Z46" s="219"/>
    </row>
    <row r="47" spans="1:42" s="2" customFormat="1" ht="30" customHeight="1" x14ac:dyDescent="0.2">
      <c r="A47" s="9"/>
      <c r="B47" s="234" t="s">
        <v>51</v>
      </c>
      <c r="C47" s="292" t="s">
        <v>81</v>
      </c>
      <c r="D47" s="292"/>
      <c r="E47" s="292"/>
      <c r="F47" s="243">
        <f t="shared" si="12"/>
        <v>0</v>
      </c>
      <c r="G47" s="244">
        <f>IF($M$41="Sistema de banco de horas",0,'P Gerais'!$F$14)</f>
        <v>1</v>
      </c>
      <c r="H47" s="245">
        <f t="shared" ca="1" si="13"/>
        <v>0</v>
      </c>
      <c r="I47" s="243">
        <f t="shared" ca="1" si="14"/>
        <v>0</v>
      </c>
      <c r="J47" s="245">
        <f t="shared" ca="1" si="15"/>
        <v>0</v>
      </c>
      <c r="K47" s="234"/>
      <c r="L47" s="234"/>
      <c r="M47" s="234"/>
      <c r="Z47" s="219"/>
    </row>
    <row r="48" spans="1:42" s="2" customFormat="1" ht="30" customHeight="1" x14ac:dyDescent="0.2">
      <c r="A48" s="9"/>
      <c r="B48" s="234"/>
      <c r="C48" s="292" t="s">
        <v>80</v>
      </c>
      <c r="D48" s="292"/>
      <c r="E48" s="292"/>
      <c r="F48" s="243">
        <f>SUMIFS($Q$8:$Q$38,$G$8:$G$38,"Feriado")</f>
        <v>0</v>
      </c>
      <c r="G48" s="244">
        <f>IF($M$41="Sistema de banco de horas",0,'P Gerais'!$I$14)</f>
        <v>1</v>
      </c>
      <c r="H48" s="245">
        <f t="shared" ca="1" si="13"/>
        <v>0</v>
      </c>
      <c r="I48" s="243"/>
      <c r="J48" s="245">
        <f t="shared" ca="1" si="15"/>
        <v>0</v>
      </c>
      <c r="K48" s="234"/>
      <c r="L48" s="234"/>
      <c r="M48" s="234"/>
      <c r="Z48" s="219"/>
    </row>
    <row r="49" spans="1:26" s="2" customFormat="1" ht="15" x14ac:dyDescent="0.2">
      <c r="A49" s="9"/>
      <c r="B49" s="234"/>
      <c r="C49" s="292" t="s">
        <v>146</v>
      </c>
      <c r="D49" s="292"/>
      <c r="E49" s="292"/>
      <c r="F49" s="243">
        <f>SUMIFS($Q$8:$Q$38,$G$8:$G$38,"Folga (DSR)")</f>
        <v>0</v>
      </c>
      <c r="G49" s="244">
        <f>IF($M$41="Sistema de banco de horas",0,'P Gerais'!H14)</f>
        <v>1</v>
      </c>
      <c r="H49" s="245">
        <f ca="1">((F53/(F39-G39))*G39)</f>
        <v>0</v>
      </c>
      <c r="I49" s="243"/>
      <c r="J49" s="245">
        <f t="shared" ca="1" si="15"/>
        <v>0</v>
      </c>
      <c r="K49" s="234"/>
      <c r="L49" s="234"/>
      <c r="M49" s="234"/>
      <c r="Z49" s="219"/>
    </row>
    <row r="50" spans="1:26" s="2" customFormat="1" ht="15" x14ac:dyDescent="0.2">
      <c r="A50" s="9"/>
      <c r="B50" s="234"/>
      <c r="C50" s="292" t="s">
        <v>84</v>
      </c>
      <c r="D50" s="292"/>
      <c r="E50" s="292"/>
      <c r="F50" s="243">
        <f ca="1">IF($M$41="Sistema de banco de horas",(SUM(AI$8:AI$38)*(1+G50)),SUM(AI$8:AI$38))</f>
        <v>0</v>
      </c>
      <c r="G50" s="244">
        <f>IF($M$41="Sistema de banco de horas",0,'P Gerais'!$I$17)</f>
        <v>0.5</v>
      </c>
      <c r="H50" s="245">
        <f ca="1">IF($M$41="Sistema de banco de horas",0,$K$40*(1+G50)*(F50*24))</f>
        <v>0</v>
      </c>
      <c r="I50" s="243">
        <f ca="1">IF(SUM($AN$8:$AO$38)&gt;SUM(AI$8:AI$38),0,SUM(AI$8:AI$38)-SUM($AN$8:$AO$38))</f>
        <v>0</v>
      </c>
      <c r="J50" s="245">
        <f t="shared" ca="1" si="15"/>
        <v>0</v>
      </c>
      <c r="K50" s="234"/>
      <c r="L50" s="234"/>
      <c r="M50" s="234"/>
      <c r="Z50" s="219"/>
    </row>
    <row r="51" spans="1:26" s="2" customFormat="1" ht="15" x14ac:dyDescent="0.2">
      <c r="A51" s="9"/>
      <c r="B51" s="234"/>
      <c r="C51" s="292" t="s">
        <v>85</v>
      </c>
      <c r="D51" s="292"/>
      <c r="E51" s="292"/>
      <c r="F51" s="243">
        <f>IF($M$41="Sistema de banco de horas",(SUM(AK$8:AK$38)*(1+G51)),SUM(AK$8:AK$38))</f>
        <v>0</v>
      </c>
      <c r="G51" s="244">
        <f>IF($M$41="Sistema de banco de horas",0,'P Gerais'!$C$17)</f>
        <v>1</v>
      </c>
      <c r="H51" s="245">
        <f ca="1">IF($M$41="Sistema de banco de horas",0,$K$40*(1+G51)*(F51*24))</f>
        <v>0</v>
      </c>
      <c r="I51" s="243"/>
      <c r="J51" s="245">
        <f t="shared" ca="1" si="15"/>
        <v>0</v>
      </c>
      <c r="K51" s="234"/>
      <c r="L51" s="234"/>
      <c r="M51" s="234"/>
      <c r="Z51" s="219"/>
    </row>
    <row r="52" spans="1:26" s="2" customFormat="1" ht="15" customHeight="1" x14ac:dyDescent="0.2">
      <c r="A52" s="9"/>
      <c r="B52" s="234"/>
      <c r="C52" s="292" t="s">
        <v>87</v>
      </c>
      <c r="D52" s="292"/>
      <c r="E52" s="292"/>
      <c r="F52" s="243">
        <f ca="1">U12</f>
        <v>0</v>
      </c>
      <c r="G52" s="246"/>
      <c r="H52" s="234"/>
      <c r="I52" s="234"/>
      <c r="J52" s="234"/>
      <c r="K52" s="234"/>
      <c r="L52" s="234"/>
      <c r="M52" s="234"/>
      <c r="Z52" s="219"/>
    </row>
    <row r="53" spans="1:26" s="2" customFormat="1" ht="15" x14ac:dyDescent="0.2">
      <c r="A53" s="9"/>
      <c r="B53" s="234"/>
      <c r="C53" s="292" t="s">
        <v>299</v>
      </c>
      <c r="D53" s="292"/>
      <c r="E53" s="292"/>
      <c r="F53" s="247">
        <f ca="1">SUM(H48)+J50+H51+SUM(J41:J47)</f>
        <v>0</v>
      </c>
      <c r="G53" s="248"/>
      <c r="H53" s="234"/>
      <c r="I53" s="234"/>
      <c r="J53" s="234"/>
      <c r="K53" s="234"/>
      <c r="L53" s="234"/>
      <c r="M53" s="234"/>
      <c r="Z53" s="219"/>
    </row>
    <row r="54" spans="1:26" s="2" customFormat="1" ht="15" x14ac:dyDescent="0.2">
      <c r="A54" s="9"/>
      <c r="B54" s="234"/>
      <c r="C54" s="292" t="s">
        <v>88</v>
      </c>
      <c r="D54" s="292"/>
      <c r="E54" s="292"/>
      <c r="F54" s="247">
        <f ca="1">F53+(H49*(1+G49))</f>
        <v>0</v>
      </c>
      <c r="G54" s="248"/>
      <c r="H54" s="249"/>
      <c r="I54" s="234"/>
      <c r="J54" s="234"/>
      <c r="K54" s="234"/>
      <c r="L54" s="234"/>
      <c r="M54" s="234"/>
      <c r="Z54" s="219"/>
    </row>
    <row r="55" spans="1:26" s="2" customFormat="1" ht="15" x14ac:dyDescent="0.2">
      <c r="A55" s="9"/>
      <c r="B55" s="234"/>
      <c r="C55" s="292" t="s">
        <v>89</v>
      </c>
      <c r="D55" s="292"/>
      <c r="E55" s="292"/>
      <c r="F55" s="247">
        <f ca="1">H40+F54</f>
        <v>0</v>
      </c>
      <c r="G55" s="246"/>
      <c r="H55" s="234"/>
      <c r="I55" s="234"/>
      <c r="J55" s="234"/>
      <c r="K55" s="234"/>
      <c r="L55" s="234"/>
      <c r="M55" s="234"/>
      <c r="Z55" s="219"/>
    </row>
    <row r="56" spans="1:26" s="2" customFormat="1" ht="15" x14ac:dyDescent="0.2">
      <c r="A56" s="9"/>
      <c r="B56" s="234"/>
      <c r="C56" s="292" t="s">
        <v>178</v>
      </c>
      <c r="D56" s="292"/>
      <c r="E56" s="292"/>
      <c r="F56" s="243">
        <f>IF($M$41="Sistema de banco de horas",(SUMIF($G$8:$G$38,"Férias",Q8:Q38))*(1+G48),SUMIF($G$8:$G$38,"Férias",Q8:Q38))</f>
        <v>0</v>
      </c>
      <c r="G56" s="246"/>
      <c r="H56" s="234"/>
      <c r="I56" s="234"/>
      <c r="J56" s="234"/>
      <c r="K56" s="234"/>
      <c r="L56" s="234"/>
      <c r="M56" s="234"/>
      <c r="Z56" s="219"/>
    </row>
    <row r="57" spans="1:26" s="2" customFormat="1" ht="15" x14ac:dyDescent="0.2">
      <c r="A57" s="9"/>
      <c r="B57" s="234"/>
      <c r="C57" s="239"/>
      <c r="D57" s="239"/>
      <c r="E57" s="239"/>
      <c r="F57" s="250">
        <f ca="1">U14</f>
        <v>0</v>
      </c>
      <c r="G57" s="246"/>
      <c r="H57" s="234"/>
      <c r="I57" s="234"/>
      <c r="J57" s="234"/>
      <c r="K57" s="234"/>
      <c r="L57" s="234"/>
      <c r="M57" s="234"/>
      <c r="Z57" s="219"/>
    </row>
    <row r="58" spans="1:26" s="2" customFormat="1" ht="15" x14ac:dyDescent="0.2">
      <c r="A58" s="9"/>
      <c r="B58" s="234"/>
      <c r="C58" s="239"/>
      <c r="D58" s="239"/>
      <c r="E58" s="239"/>
      <c r="F58" s="243">
        <f ca="1">SUM(F41:F51)</f>
        <v>0</v>
      </c>
      <c r="G58" s="246"/>
      <c r="H58" s="234"/>
      <c r="I58" s="234"/>
      <c r="J58" s="234"/>
      <c r="K58" s="234"/>
      <c r="L58" s="234"/>
      <c r="M58" s="234"/>
      <c r="Z58" s="219"/>
    </row>
    <row r="59" spans="1:26" s="2" customFormat="1" ht="15" x14ac:dyDescent="0.2">
      <c r="A59" s="9"/>
      <c r="Z59" s="219"/>
    </row>
    <row r="60" spans="1:26" s="2" customFormat="1" ht="15" x14ac:dyDescent="0.2">
      <c r="A60" s="9"/>
      <c r="G60" s="178"/>
      <c r="Z60" s="219"/>
    </row>
    <row r="61" spans="1:26" ht="15" x14ac:dyDescent="0.2"/>
    <row r="62" spans="1:26" ht="15" x14ac:dyDescent="0.2"/>
    <row r="63" spans="1:26" ht="15" x14ac:dyDescent="0.2"/>
    <row r="64" spans="1:26" ht="15" x14ac:dyDescent="0.2"/>
    <row r="65" ht="15" x14ac:dyDescent="0.2"/>
    <row r="66" ht="15" x14ac:dyDescent="0.2"/>
    <row r="67" ht="15" x14ac:dyDescent="0.2"/>
    <row r="68" ht="15" x14ac:dyDescent="0.2"/>
    <row r="69" ht="15" x14ac:dyDescent="0.2"/>
    <row r="70" ht="15" x14ac:dyDescent="0.2"/>
    <row r="71" ht="15" x14ac:dyDescent="0.2"/>
    <row r="72" ht="15" x14ac:dyDescent="0.2"/>
    <row r="73" ht="15" x14ac:dyDescent="0.2"/>
    <row r="74" ht="15" x14ac:dyDescent="0.2"/>
    <row r="75" ht="15" x14ac:dyDescent="0.2"/>
    <row r="76" ht="15" x14ac:dyDescent="0.2"/>
    <row r="77" ht="15" x14ac:dyDescent="0.2"/>
    <row r="78" ht="15" x14ac:dyDescent="0.2"/>
    <row r="79" ht="15" x14ac:dyDescent="0.2"/>
    <row r="80" ht="15" x14ac:dyDescent="0.2"/>
    <row r="81" ht="15" x14ac:dyDescent="0.2"/>
    <row r="82" ht="15" x14ac:dyDescent="0.2"/>
    <row r="83" ht="15" x14ac:dyDescent="0.2"/>
    <row r="84" ht="15" x14ac:dyDescent="0.2"/>
    <row r="85" ht="15" x14ac:dyDescent="0.2"/>
    <row r="86" ht="15" x14ac:dyDescent="0.2"/>
    <row r="87" ht="15" x14ac:dyDescent="0.2"/>
    <row r="88" ht="15" x14ac:dyDescent="0.2"/>
    <row r="89" ht="15" x14ac:dyDescent="0.2"/>
    <row r="90" ht="15" x14ac:dyDescent="0.2"/>
    <row r="91" ht="15" x14ac:dyDescent="0.2"/>
    <row r="92" ht="15" x14ac:dyDescent="0.2"/>
    <row r="93" ht="15" x14ac:dyDescent="0.2"/>
    <row r="94" ht="15" x14ac:dyDescent="0.2"/>
    <row r="95" ht="15" x14ac:dyDescent="0.2"/>
    <row r="96" ht="15" x14ac:dyDescent="0.2"/>
    <row r="97" ht="15" x14ac:dyDescent="0.2"/>
    <row r="98" ht="15" x14ac:dyDescent="0.2"/>
    <row r="99" ht="15" x14ac:dyDescent="0.2"/>
    <row r="100" ht="15" x14ac:dyDescent="0.2"/>
    <row r="101" ht="15" x14ac:dyDescent="0.2"/>
    <row r="102" ht="15" x14ac:dyDescent="0.2"/>
    <row r="103" ht="15" x14ac:dyDescent="0.2"/>
  </sheetData>
  <sheetProtection sheet="1" objects="1" scenarios="1" selectLockedCells="1"/>
  <mergeCells count="34">
    <mergeCell ref="C56:E56"/>
    <mergeCell ref="C48:E48"/>
    <mergeCell ref="C49:E49"/>
    <mergeCell ref="C50:E50"/>
    <mergeCell ref="C52:E52"/>
    <mergeCell ref="C53:E53"/>
    <mergeCell ref="C54:E54"/>
    <mergeCell ref="C51:E51"/>
    <mergeCell ref="C44:E44"/>
    <mergeCell ref="C55:E55"/>
    <mergeCell ref="C45:E45"/>
    <mergeCell ref="C46:E46"/>
    <mergeCell ref="C47:E47"/>
    <mergeCell ref="S22:U22"/>
    <mergeCell ref="C41:E41"/>
    <mergeCell ref="C42:E42"/>
    <mergeCell ref="C43:E43"/>
    <mergeCell ref="S26:U28"/>
    <mergeCell ref="S23:U25"/>
    <mergeCell ref="E7:F7"/>
    <mergeCell ref="I7:J7"/>
    <mergeCell ref="S7:U7"/>
    <mergeCell ref="S8:T9"/>
    <mergeCell ref="U8:U9"/>
    <mergeCell ref="S16:T17"/>
    <mergeCell ref="U16:U17"/>
    <mergeCell ref="S18:T19"/>
    <mergeCell ref="S10:T11"/>
    <mergeCell ref="U10:U11"/>
    <mergeCell ref="S12:T13"/>
    <mergeCell ref="U12:U13"/>
    <mergeCell ref="S14:T15"/>
    <mergeCell ref="U14:U15"/>
    <mergeCell ref="U18:U19"/>
  </mergeCells>
  <phoneticPr fontId="50" type="noConversion"/>
  <conditionalFormatting sqref="M8:M37">
    <cfRule type="cellIs" dxfId="1379" priority="270" operator="greaterThan">
      <formula>0</formula>
    </cfRule>
  </conditionalFormatting>
  <conditionalFormatting sqref="N36:N37 L36:L37">
    <cfRule type="expression" dxfId="1378" priority="237">
      <formula>AND($E36&lt;$E$35,$E$8=1)</formula>
    </cfRule>
    <cfRule type="expression" dxfId="1377" priority="238">
      <formula>AND($E36&gt;=$E$8,$E$8&lt;&gt;1)</formula>
    </cfRule>
  </conditionalFormatting>
  <conditionalFormatting sqref="E36:E38">
    <cfRule type="expression" dxfId="1376" priority="235">
      <formula>AND($E36&lt;$E$35,$E$8=1)</formula>
    </cfRule>
    <cfRule type="expression" dxfId="1375" priority="236">
      <formula>AND($E36&gt;=$E$8,$E$8&lt;&gt;1)</formula>
    </cfRule>
  </conditionalFormatting>
  <conditionalFormatting sqref="O8:O37">
    <cfRule type="cellIs" dxfId="1374" priority="230" operator="greaterThan">
      <formula>0.000001</formula>
    </cfRule>
  </conditionalFormatting>
  <conditionalFormatting sqref="O36:O37">
    <cfRule type="expression" dxfId="1373" priority="228">
      <formula>AND($E36&lt;$E$35,$E$8=1)</formula>
    </cfRule>
    <cfRule type="expression" dxfId="1372" priority="229">
      <formula>AND($E36&gt;=$E$8,$E$8&lt;&gt;1)</formula>
    </cfRule>
  </conditionalFormatting>
  <conditionalFormatting sqref="F8:F38">
    <cfRule type="containsText" dxfId="1371" priority="183" operator="containsText" text="Dom">
      <formula>NOT(ISERROR(SEARCH("Dom",F8)))</formula>
    </cfRule>
    <cfRule type="containsText" dxfId="1370" priority="184" operator="containsText" text="Sáb">
      <formula>NOT(ISERROR(SEARCH("Sáb",F8)))</formula>
    </cfRule>
  </conditionalFormatting>
  <conditionalFormatting sqref="Q8:Q37">
    <cfRule type="cellIs" dxfId="1369" priority="128" operator="greaterThan">
      <formula>0.000001</formula>
    </cfRule>
  </conditionalFormatting>
  <conditionalFormatting sqref="O38">
    <cfRule type="cellIs" dxfId="1368" priority="69" operator="greaterThan">
      <formula>0.000001</formula>
    </cfRule>
  </conditionalFormatting>
  <conditionalFormatting sqref="M38">
    <cfRule type="cellIs" dxfId="1367" priority="70" operator="greaterThan">
      <formula>0</formula>
    </cfRule>
  </conditionalFormatting>
  <conditionalFormatting sqref="L38:O38">
    <cfRule type="expression" dxfId="1366" priority="68">
      <formula>AND($E38&gt;=$E$8,$E$8&lt;&gt;1)</formula>
    </cfRule>
  </conditionalFormatting>
  <conditionalFormatting sqref="Q38">
    <cfRule type="cellIs" dxfId="1365" priority="51" operator="greaterThan">
      <formula>0.000001</formula>
    </cfRule>
  </conditionalFormatting>
  <conditionalFormatting sqref="L38:Q38">
    <cfRule type="expression" dxfId="1364" priority="67">
      <formula>AND($E38&lt;$E$35,$E$8=1)</formula>
    </cfRule>
  </conditionalFormatting>
  <conditionalFormatting sqref="L38:Q38">
    <cfRule type="expression" dxfId="1363" priority="52">
      <formula>AND($E38&lt;$E$35,$E$8=1)</formula>
    </cfRule>
    <cfRule type="expression" dxfId="1362" priority="53">
      <formula>AND($E38&gt;=$E$8,$E$8&lt;&gt;1)</formula>
    </cfRule>
  </conditionalFormatting>
  <conditionalFormatting sqref="U10:U11">
    <cfRule type="expression" dxfId="1361" priority="20">
      <formula>$V$11="Negativo"</formula>
    </cfRule>
  </conditionalFormatting>
  <conditionalFormatting sqref="G8:K35">
    <cfRule type="expression" dxfId="1360" priority="15">
      <formula>OR($G8="Férias",$G8="Falta Injustificada")</formula>
    </cfRule>
    <cfRule type="expression" dxfId="1359" priority="16">
      <formula>$G8="Folga (DSR)"</formula>
    </cfRule>
    <cfRule type="expression" dxfId="1358" priority="17">
      <formula>$G8="Feriado"</formula>
    </cfRule>
    <cfRule type="expression" dxfId="1357" priority="18">
      <formula>$F8="Dom"</formula>
    </cfRule>
  </conditionalFormatting>
  <conditionalFormatting sqref="H8:K35">
    <cfRule type="expression" dxfId="1356" priority="14">
      <formula>OR($G8="Falta Justificada",$G8="Falta Injustificada")</formula>
    </cfRule>
  </conditionalFormatting>
  <conditionalFormatting sqref="G36:K38">
    <cfRule type="expression" dxfId="1355" priority="10">
      <formula>OR($G36="Férias",$G36="Falta Injustificada")</formula>
    </cfRule>
    <cfRule type="expression" dxfId="1354" priority="11">
      <formula>$G36="Folga (DSR)"</formula>
    </cfRule>
    <cfRule type="expression" dxfId="1353" priority="12">
      <formula>$G36="Feriado"</formula>
    </cfRule>
    <cfRule type="expression" dxfId="1352" priority="13">
      <formula>$F36="Dom"</formula>
    </cfRule>
  </conditionalFormatting>
  <conditionalFormatting sqref="G36:K38">
    <cfRule type="expression" dxfId="1351" priority="7">
      <formula>AND($E36&lt;$E$35,$E$8=1)</formula>
    </cfRule>
    <cfRule type="expression" dxfId="1350" priority="8">
      <formula>AND($E36&gt;=$E$8,$E$8&lt;&gt;1)</formula>
    </cfRule>
  </conditionalFormatting>
  <conditionalFormatting sqref="H36:K38">
    <cfRule type="expression" dxfId="1349" priority="9">
      <formula>OR($G36="Falta Justificada",$G36="Falta Injustificada")</formula>
    </cfRule>
  </conditionalFormatting>
  <conditionalFormatting sqref="U12:U13">
    <cfRule type="expression" dxfId="1348" priority="592">
      <formula>$U$14&gt;$F$58</formula>
    </cfRule>
  </conditionalFormatting>
  <conditionalFormatting sqref="F40">
    <cfRule type="expression" dxfId="1347" priority="593">
      <formula>$E40="Folga(DSR)"</formula>
    </cfRule>
    <cfRule type="expression" dxfId="1346" priority="594">
      <formula>$E40="Feriado"</formula>
    </cfRule>
    <cfRule type="expression" dxfId="1345" priority="595">
      <formula>$D40="Dom"</formula>
    </cfRule>
  </conditionalFormatting>
  <dataValidations count="3">
    <dataValidation type="list" allowBlank="1" showInputMessage="1" showErrorMessage="1" sqref="G8:G38">
      <formula1>"Normal,Feriado,Folga (DSR),Falta Justificada,Férias,Falta Injustificada"</formula1>
    </dataValidation>
    <dataValidation type="time" allowBlank="1" showInputMessage="1" showErrorMessage="1" sqref="H8:K38">
      <formula1>0</formula1>
      <formula2>0.999988425925926</formula2>
    </dataValidation>
    <dataValidation type="list" allowBlank="1" showInputMessage="1" showErrorMessage="1" sqref="E9:E35">
      <formula1>"1,5,10,16"</formula1>
    </dataValidation>
  </dataValidations>
  <hyperlinks>
    <hyperlink ref="C8" location="Lanç!A1" display="Lanç!A1"/>
    <hyperlink ref="C9" location="'Lanç (2)'!A1" display="'Lanç (2)'!A1"/>
    <hyperlink ref="C10" location="'Lanç (3)'!A1" display="'Lanç (3)'!A1"/>
    <hyperlink ref="C11" location="'Lanç (4)'!A1" display="'Lanç (4)'!A1"/>
    <hyperlink ref="C12" location="'Lanç (5)'!A1" display="'Lanç (5)'!A1"/>
    <hyperlink ref="C13" location="'Lanç (6)'!A1" display="'Lanç (6)'!A1"/>
    <hyperlink ref="C14" location="'Lanç (7)'!A1" display="'Lanç (7)'!A1"/>
    <hyperlink ref="C15" location="'Lanç (8)'!A1" display="'Lanç (8)'!A1"/>
    <hyperlink ref="C16" location="'Lanç (9)'!A1" display="'Lanç (9)'!A1"/>
    <hyperlink ref="C17" location="'Lanç (10)'!A1" display="'Lanç (10)'!A1"/>
    <hyperlink ref="C18" location="'Lanç (11)'!A1" display="'Lanç (11)'!A1"/>
    <hyperlink ref="C19" location="'Lanç (12)'!A1" display="'Lanç (12)'!A1"/>
    <hyperlink ref="C20" location="'Lanç (13)'!A1" display="'Lanç (13)'!A1"/>
    <hyperlink ref="C21" location="'Lanç (14)'!A1" display="'Lanç (14)'!A1"/>
    <hyperlink ref="C22" location="'Lanç (15)'!A1" display="'Lanç (15)'!A1"/>
    <hyperlink ref="C23" location="'Lanç (16)'!A1" display="'Lanç (16)'!A1"/>
    <hyperlink ref="C24" location="'Lanç (17)'!A1" display="'Lanç (17)'!A1"/>
    <hyperlink ref="C25" location="'Lanç (18)'!A1" display="'Lanç (18)'!A1"/>
    <hyperlink ref="C26" location="'Lanç (19)'!A1" display="'Lanç (19)'!A1"/>
    <hyperlink ref="C27" location="'Lanç (20)'!A1" display="'Lanç (20)'!A1"/>
    <hyperlink ref="C28" location="'Lanç (21)'!A1" display="'Lanç (21)'!A1"/>
    <hyperlink ref="C29" location="'Lanç (22)'!A1" display="'Lanç (22)'!A1"/>
    <hyperlink ref="C30" location="'Lanç (23)'!A1" display="'Lanç (23)'!A1"/>
    <hyperlink ref="C31" location="'Lanç (24)'!A1" display="'Lanç (24)'!A1"/>
    <hyperlink ref="C32" location="'Lanç (25)'!A1" display="'Lanç (25)'!A1"/>
    <hyperlink ref="C33" location="'Lanç (26)'!A1" display="'Lanç (26)'!A1"/>
    <hyperlink ref="C34" location="'Lanç (27)'!A1" display="'Lanç (27)'!A1"/>
    <hyperlink ref="C35" location="'Lanç (28)'!A1" display="'Lanç (28)'!A1"/>
    <hyperlink ref="C36" location="'Lanç (29)'!A1" display="'Lanç (29)'!A1"/>
    <hyperlink ref="C37" location="'Lanç (30)'!A1" display="'Lanç (30)'!A1"/>
  </hyperlinks>
  <printOptions horizontalCentered="1"/>
  <pageMargins left="0.23622047244094502" right="0.23622047244094502" top="0.74803149606299202" bottom="0.74803149606299202" header="0.31496062992126" footer="0.31496062992126"/>
  <pageSetup paperSize="9" scale="53" orientation="portrait" cellComments="atEnd"/>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120" id="{4186BEB7-D1AF-9F4B-882B-B718C9CDDBBA}">
            <xm:f>'P Gerais'!$I$10:$M$10="Pagas em Dinheiro"</xm:f>
            <x14:dxf>
              <font>
                <color theme="0"/>
              </font>
              <fill>
                <patternFill>
                  <bgColor theme="0"/>
                </patternFill>
              </fill>
              <border>
                <left/>
                <right/>
                <top/>
                <bottom/>
              </border>
            </x14:dxf>
          </x14:cfRule>
          <xm:sqref>S10:T13</xm:sqref>
        </x14:conditionalFormatting>
        <x14:conditionalFormatting xmlns:xm="http://schemas.microsoft.com/office/excel/2006/main">
          <x14:cfRule type="expression" priority="119" id="{8109F4E1-FB6A-3641-ABED-AC9DAD8F69EE}">
            <xm:f>'P Gerais'!$I$10:$M$10="Sistema de banco de horas"</xm:f>
            <x14:dxf>
              <font>
                <color theme="0"/>
              </font>
              <fill>
                <patternFill>
                  <bgColor theme="0"/>
                </patternFill>
              </fill>
              <border>
                <left/>
                <right/>
                <top/>
                <bottom/>
              </border>
            </x14:dxf>
          </x14:cfRule>
          <xm:sqref>S18:T19</xm:sqref>
        </x14:conditionalFormatting>
        <x14:conditionalFormatting xmlns:xm="http://schemas.microsoft.com/office/excel/2006/main">
          <x14:cfRule type="expression" priority="22" id="{304F01B7-1619-004C-B5D7-0C5C49FCD3C6}">
            <xm:f>'P Gerais'!$I$10:$M$10="Sistema de banco de horas"</xm:f>
            <x14:dxf>
              <font>
                <color theme="0"/>
              </font>
              <fill>
                <patternFill>
                  <bgColor theme="0"/>
                </patternFill>
              </fill>
              <border>
                <left/>
                <right/>
                <top/>
                <bottom/>
              </border>
            </x14:dxf>
          </x14:cfRule>
          <xm:sqref>U18:U19</xm:sqref>
        </x14:conditionalFormatting>
        <x14:conditionalFormatting xmlns:xm="http://schemas.microsoft.com/office/excel/2006/main">
          <x14:cfRule type="expression" priority="19" id="{05EF9A6D-2007-1341-877C-2D337EB585B9}">
            <xm:f>'P Gerais'!$I$10:$M$10="Pagas em Dinheiro"</xm:f>
            <x14:dxf>
              <font>
                <color theme="0"/>
              </font>
              <fill>
                <patternFill>
                  <bgColor theme="0"/>
                </patternFill>
              </fill>
              <border>
                <left/>
                <right/>
                <top/>
                <bottom/>
              </border>
            </x14:dxf>
          </x14:cfRule>
          <xm:sqref>U10:U13</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6" enableFormatConditionsCalculation="0"/>
  <dimension ref="A1:BG103"/>
  <sheetViews>
    <sheetView showGridLines="0" zoomScale="90" zoomScaleNormal="90" zoomScalePageLayoutView="90" workbookViewId="0">
      <selection activeCell="G8" sqref="G8"/>
    </sheetView>
  </sheetViews>
  <sheetFormatPr baseColWidth="10" defaultColWidth="9.1640625" defaultRowHeight="0" customHeight="1" zeroHeight="1" x14ac:dyDescent="0.2"/>
  <cols>
    <col min="1" max="1" width="27.83203125" style="194" customWidth="1"/>
    <col min="2" max="2" width="3.83203125" style="14" customWidth="1"/>
    <col min="3" max="3" width="33.33203125" style="14" customWidth="1"/>
    <col min="4" max="4" width="2.83203125" style="14" customWidth="1"/>
    <col min="5" max="5" width="5.83203125" style="14" customWidth="1"/>
    <col min="6" max="6" width="11.83203125" style="14" customWidth="1"/>
    <col min="7" max="7" width="14.33203125" style="195" customWidth="1"/>
    <col min="8" max="11" width="9.83203125" style="14" customWidth="1"/>
    <col min="12" max="12" width="1.83203125" style="14" customWidth="1"/>
    <col min="13" max="13" width="13.33203125" style="14" customWidth="1"/>
    <col min="14" max="14" width="1.83203125" style="14" customWidth="1"/>
    <col min="15" max="15" width="13.33203125" style="14" customWidth="1"/>
    <col min="16" max="16" width="1.83203125" style="14" customWidth="1"/>
    <col min="17" max="17" width="13.33203125" style="14" customWidth="1"/>
    <col min="18" max="18" width="4.83203125" style="2" bestFit="1" customWidth="1"/>
    <col min="19" max="21" width="11.83203125" style="14" customWidth="1"/>
    <col min="22" max="23" width="8.83203125" style="2" customWidth="1"/>
    <col min="24" max="24" width="11.33203125" style="2" bestFit="1" customWidth="1"/>
    <col min="25" max="25" width="8.83203125" style="2" customWidth="1"/>
    <col min="26" max="26" width="8.1640625" style="219" bestFit="1" customWidth="1"/>
    <col min="27" max="27" width="8.83203125" style="2" customWidth="1"/>
    <col min="28" max="28" width="11.33203125" style="2" bestFit="1" customWidth="1"/>
    <col min="29" max="43" width="8.83203125" style="2" customWidth="1"/>
    <col min="44" max="50" width="11.33203125" style="2" customWidth="1"/>
    <col min="51" max="57" width="11.33203125" style="14" customWidth="1"/>
    <col min="58" max="16384" width="9.1640625" style="14"/>
  </cols>
  <sheetData>
    <row r="1" spans="1:59" s="15" customFormat="1" ht="33.75" customHeight="1" x14ac:dyDescent="0.3">
      <c r="A1" s="56"/>
      <c r="B1" s="3"/>
      <c r="C1" s="4" t="s">
        <v>30</v>
      </c>
      <c r="D1" s="3"/>
      <c r="E1" s="3"/>
      <c r="F1" s="3"/>
      <c r="G1" s="77"/>
      <c r="H1" s="3"/>
      <c r="I1" s="3"/>
      <c r="J1" s="3"/>
      <c r="K1" s="3"/>
      <c r="M1" s="3"/>
      <c r="O1" s="3"/>
      <c r="Q1" s="3"/>
      <c r="S1" s="3"/>
      <c r="T1" s="3"/>
      <c r="U1" s="3"/>
      <c r="Z1" s="174"/>
    </row>
    <row r="2" spans="1:59" s="15" customFormat="1" ht="21.5" customHeight="1" x14ac:dyDescent="0.2">
      <c r="A2" s="1"/>
      <c r="B2" s="3"/>
      <c r="C2" s="3"/>
      <c r="D2" s="3"/>
      <c r="E2" s="3"/>
      <c r="F2" s="3"/>
      <c r="G2" s="77"/>
      <c r="H2" s="3"/>
      <c r="I2" s="3"/>
      <c r="J2" s="3"/>
      <c r="K2" s="3"/>
      <c r="M2" s="3"/>
      <c r="O2" s="3"/>
      <c r="Q2" s="3"/>
      <c r="S2" s="3"/>
      <c r="T2" s="3"/>
      <c r="U2" s="3"/>
      <c r="Z2" s="174"/>
    </row>
    <row r="3" spans="1:59" s="15" customFormat="1" ht="21.5" customHeight="1" x14ac:dyDescent="0.2">
      <c r="A3" s="1"/>
      <c r="B3" s="3"/>
      <c r="C3" s="3"/>
      <c r="D3" s="3"/>
      <c r="E3" s="3"/>
      <c r="F3" s="3"/>
      <c r="G3" s="77"/>
      <c r="H3" s="3"/>
      <c r="I3" s="3"/>
      <c r="J3" s="3"/>
      <c r="K3" s="3"/>
      <c r="M3" s="3"/>
      <c r="O3" s="3"/>
      <c r="Q3" s="3"/>
      <c r="S3" s="3"/>
      <c r="T3" s="3"/>
      <c r="U3" s="3"/>
      <c r="Z3" s="174"/>
    </row>
    <row r="4" spans="1:59" s="2" customFormat="1" ht="30" customHeight="1" x14ac:dyDescent="0.2">
      <c r="A4" s="1"/>
      <c r="B4"/>
      <c r="C4"/>
      <c r="D4"/>
      <c r="E4"/>
      <c r="F4"/>
      <c r="G4" s="78"/>
      <c r="H4"/>
      <c r="I4"/>
      <c r="J4"/>
      <c r="K4"/>
      <c r="M4"/>
      <c r="O4" s="13"/>
      <c r="Q4"/>
      <c r="S4"/>
      <c r="T4"/>
      <c r="U4"/>
      <c r="Z4" s="219"/>
      <c r="AN4" s="175"/>
    </row>
    <row r="5" spans="1:59" s="2" customFormat="1" ht="30" customHeight="1" x14ac:dyDescent="0.2">
      <c r="A5" s="9"/>
      <c r="C5" s="160" t="s">
        <v>187</v>
      </c>
      <c r="K5" s="157">
        <f ca="1">IF(ISERROR(VLOOKUP(INDIRECT($C$5),Jornada!$C$8:$F$37,4,0)),0,VLOOKUP(INDIRECT($C$5),Jornada!$C$8:$F$37,4,0))</f>
        <v>0</v>
      </c>
      <c r="L5" s="158"/>
      <c r="M5" s="157">
        <f ca="1">IF(ISERROR(VLOOKUP(INDIRECT($C$5),Jornada!$C$8:$G$37,5,0)),0,VLOOKUP(INDIRECT($C$5),Jornada!$C$8:$G$37,5,0))</f>
        <v>0</v>
      </c>
      <c r="O5" s="12"/>
      <c r="U5" s="12"/>
      <c r="Z5" s="219"/>
      <c r="AC5" s="12"/>
      <c r="AK5" s="179">
        <v>0.25</v>
      </c>
      <c r="AL5" s="155">
        <v>0.91666666666666663</v>
      </c>
      <c r="AM5" s="155">
        <v>0.20833333333333334</v>
      </c>
      <c r="AN5" s="155">
        <v>1</v>
      </c>
      <c r="AO5" s="155">
        <v>0.70833333333333337</v>
      </c>
    </row>
    <row r="6" spans="1:59" s="2" customFormat="1" ht="8" customHeight="1" thickBot="1" x14ac:dyDescent="0.25">
      <c r="A6" s="9"/>
      <c r="C6" s="198"/>
      <c r="G6" s="178"/>
      <c r="M6" s="220">
        <v>1</v>
      </c>
      <c r="O6" s="156"/>
      <c r="Q6" s="156"/>
      <c r="Z6" s="176"/>
    </row>
    <row r="7" spans="1:59" s="2" customFormat="1" ht="30" customHeight="1" thickTop="1" thickBot="1" x14ac:dyDescent="0.25">
      <c r="A7" s="1"/>
      <c r="B7"/>
      <c r="C7" s="76" t="s">
        <v>176</v>
      </c>
      <c r="D7"/>
      <c r="E7" s="281" t="str">
        <f>Lanç!E7</f>
        <v>Janeiro</v>
      </c>
      <c r="F7" s="283"/>
      <c r="G7" s="79" t="s">
        <v>58</v>
      </c>
      <c r="H7" s="82" t="s">
        <v>0</v>
      </c>
      <c r="I7" s="293" t="s">
        <v>59</v>
      </c>
      <c r="J7" s="293"/>
      <c r="K7" s="82" t="s">
        <v>60</v>
      </c>
      <c r="M7" s="73" t="s">
        <v>61</v>
      </c>
      <c r="O7" s="73" t="s">
        <v>62</v>
      </c>
      <c r="Q7" s="73" t="s">
        <v>63</v>
      </c>
      <c r="R7" s="155">
        <v>8.3333333333333329E-2</v>
      </c>
      <c r="S7" s="293" t="s">
        <v>64</v>
      </c>
      <c r="T7" s="293"/>
      <c r="U7" s="293"/>
      <c r="W7" s="2" t="s">
        <v>90</v>
      </c>
      <c r="X7" s="156">
        <v>1</v>
      </c>
      <c r="AB7" s="2">
        <f>VLOOKUP($E$7,$W$7:$X$18,2,0)</f>
        <v>1</v>
      </c>
      <c r="AG7" s="176" t="s">
        <v>167</v>
      </c>
      <c r="AH7" s="176" t="s">
        <v>168</v>
      </c>
      <c r="AI7" s="155">
        <v>0</v>
      </c>
      <c r="AJ7" s="155">
        <v>1</v>
      </c>
      <c r="AK7" s="155">
        <v>0.45833333333333331</v>
      </c>
      <c r="AL7" s="2" t="s">
        <v>0</v>
      </c>
      <c r="AM7" s="2" t="s">
        <v>162</v>
      </c>
      <c r="AN7" s="2" t="s">
        <v>184</v>
      </c>
      <c r="BE7" s="14"/>
      <c r="BF7" s="14"/>
      <c r="BG7" s="14"/>
    </row>
    <row r="8" spans="1:59" s="2" customFormat="1" ht="30" customHeight="1" thickTop="1" thickBot="1" x14ac:dyDescent="0.25">
      <c r="A8" s="1"/>
      <c r="B8"/>
      <c r="C8" s="172" t="str">
        <f>IF(Funcionários!C7=0,"",Funcionários!C7)</f>
        <v/>
      </c>
      <c r="D8"/>
      <c r="E8" s="115">
        <f>Lanç!E8</f>
        <v>1</v>
      </c>
      <c r="F8" s="189" t="str">
        <f>Lanç!F8</f>
        <v>Dom</v>
      </c>
      <c r="G8" s="80"/>
      <c r="H8" s="93"/>
      <c r="I8" s="93"/>
      <c r="J8" s="93"/>
      <c r="K8" s="93"/>
      <c r="L8" s="197"/>
      <c r="M8" s="95">
        <f>IF(AND(H8=K8,H8&lt;&gt;0),$M$6-IF(J8&lt;I8,$AJ$7+J8-I8,J8-I8),IF(H8&gt;K8,(K8+1-H8)-IF(J8&lt;I8,$AJ$7+J8-I8,J8-I8),(K8-H8)-IF(J8&lt;I8,$AJ$7+J8-I8,J8-I8)))</f>
        <v>0</v>
      </c>
      <c r="N8" s="196"/>
      <c r="O8" s="95">
        <f ca="1">IF(OR(G8=0,G8="Férias",G8="Falta Justificada",G8="Feriado",G8="Folga (DSR)"),0,IF(G8="Falta Injustificada",HLOOKUP($F8,Jornada!$X$7:$AD$37,VLOOKUP(INDIRECT($C$5),Jornada!$C$8:$W$37,21,0),0),IF(HLOOKUP($F8,Jornada!$X$7:$AD$37,VLOOKUP(INDIRECT($C$5),Jornada!$C$8:$W$37,21,0),0)-M8&gt;0,HLOOKUP($F8,Jornada!$X$7:$AD$37,VLOOKUP(INDIRECT($C$5),Jornada!$C$8:$W$37,21,0),0)-M8,0)))</f>
        <v>0</v>
      </c>
      <c r="P8" s="193">
        <f ca="1">IF(HLOOKUP($F8,Jornada!$X$7:$AD$37,VLOOKUP(INDIRECT($C$5),Jornada!$C$8:$W$37,21,0),0)-M8&lt;0,ABS(HLOOKUP($F8,Jornada!$X$7:$AD$37,VLOOKUP(INDIRECT($C$5),Jornada!$C$8:$W$37,21,0),0)-M8),0)</f>
        <v>0</v>
      </c>
      <c r="Q8" s="95">
        <f t="shared" ref="Q8:Q38" si="0">IF(G8="Normal",P8,IF(G8=0,0,IF(OR(G8="Feriado",G8="Férias"),IF(H8&gt;K8,(K8+1-H8)-IF(J8&lt;I8,$AJ$7+J8-I8,J8-I8),(K8-H8)-IF(J8&lt;I8,$AJ$7+J8-I8,J8-I8)),IF(G8="Folga (DSR)",IF(H8&gt;K8,(K8+1-H8)-IF(J8&lt;I8,$AJ$7+J8-I8,J8-I8),(K8-H8)-IF(J8&lt;I8,$AJ$7+J8-I8,J8-I8)),IF(G8="Falta Justificada",IF(H8&gt;K8,(K8+1-H8)-IF(J8&lt;I8,$AJ$7+J8-I8,J8-I8),(K8-H8)-IF(J8&lt;I8,$AJ$7+J8-I8,J8-I8)),0)))))</f>
        <v>0</v>
      </c>
      <c r="R8" s="2">
        <f>IF(Q8&gt;$R$7,1,0)</f>
        <v>0</v>
      </c>
      <c r="S8" s="294" t="s">
        <v>65</v>
      </c>
      <c r="T8" s="294"/>
      <c r="U8" s="295">
        <f>SUM(M8:M38)</f>
        <v>0</v>
      </c>
      <c r="W8" s="2" t="s">
        <v>91</v>
      </c>
      <c r="X8" s="156">
        <v>2</v>
      </c>
      <c r="AB8" s="177">
        <f>DATE('P Gerais'!$D$6,AB7,1)</f>
        <v>1</v>
      </c>
      <c r="AC8" s="2">
        <f>WEEKDAY(AB8)</f>
        <v>1</v>
      </c>
      <c r="AE8" s="2">
        <v>1</v>
      </c>
      <c r="AF8" s="2" t="s">
        <v>51</v>
      </c>
      <c r="AG8" s="220">
        <f>IF(J8&lt;I8,$AJ$7+J8-I8,J8-I8)</f>
        <v>0</v>
      </c>
      <c r="AH8" s="220">
        <f ca="1">IF(HLOOKUP($F8,Jornada!$X$7:$AD$37,VLOOKUP(INDIRECT($C$5),Jornada!$C$8:$W$37,21,0),0)=0,0,VLOOKUP(INDIRECT($C$5),Jornada!$C$8:$H$37,4,0))</f>
        <v>0</v>
      </c>
      <c r="AI8" s="155">
        <f ca="1">IF(AND(I8=0,J8=0,OR(H8&lt;&gt;0,K8&lt;&gt;0),HLOOKUP($F8,Jornada!$X$7:$AD$37,VLOOKUP(INDIRECT($C$5),Jornada!$C$8:$W$37,21,0),0)&gt;$AK$5,M8&gt;$AK$5),VLOOKUP(INDIRECT($C$5),Jornada!$C$8:$H$37,6,0),IF(AG8&gt;VLOOKUP(INDIRECT($C$5),Jornada!$C$8:$H$37,6,0),IF(VLOOKUP(INDIRECT($C$5),Jornada!$C$8:$H$37,6,0)&lt;AG8,0,ABS(VLOOKUP(INDIRECT($C$5),Jornada!$C$8:$H$37,6,0))-AG8),0))</f>
        <v>0</v>
      </c>
      <c r="AJ8" s="155">
        <f>($AJ$7-K8)+H8</f>
        <v>1</v>
      </c>
      <c r="AK8" s="155">
        <f>IF(AJ8&lt;$AK$7,$AK$7-AJ8,$AI$7)</f>
        <v>0</v>
      </c>
      <c r="AL8" s="155">
        <f ca="1">HLOOKUP($F8,Jornada!$I$5:$V$37,VLOOKUP(INDIRECT($C$5),Jornada!$C$8:$W$37,21,0)+2,0)</f>
        <v>0</v>
      </c>
      <c r="AM8" s="155">
        <f ca="1">HLOOKUP($F8,Jornada!$I$4:$V$37,VLOOKUP(INDIRECT($C$5),Jornada!$C$8:$W$37,21,0)+3,0)</f>
        <v>0</v>
      </c>
      <c r="AN8" s="155">
        <f ca="1">IF(AND(AL8&gt;=$AL$5,AL8&lt;$AN$5,H8&gt;=$AL$5,H8&lt;AL8),AL8-H8,IF(AND(AL8&gt;$AI$7,AL8&lt;=$AM$5,H8&gt;=$AL$5,H8&lt;=$AN$5),$AN$5-H8+AL8,IF(AND(AL8&gt;=$AI$7,AL8&lt;=$AM$5,H8&gt;=$AI$7,H8&lt;=$AM$5,H8&lt;AL8),H8-AL8,0)))</f>
        <v>0</v>
      </c>
      <c r="AO8" s="155">
        <f>IF(AP8&gt;Q8,0,AP8)</f>
        <v>0</v>
      </c>
      <c r="AP8" s="155">
        <f>IF(Q8=0,0,IF(AND(AM8&gt;=$AL$5,AM8&lt;$AN$5,K8&gt;=$AL$5,K8&lt;$AM$5,K8&gt;AM8),K8-AM8,IF(AND(AM8&gt;=$AL$5,AM8&lt;$AN$5,K8&lt;$AN$5,K8&gt;AM8),K8-$AL$5,IF(AND(AM8&gt;=$AI$7,AM8&lt;$AM$5,K8&lt;$AM$5),K8-AM8,IF(AND(AM8&lt;&gt;AI7,AM8&gt;=$AI$7,AM8&lt;=$AM$5,K8&gt;$AM$5,K8&gt;AM8),$AM$5-AM8,IF(AND(K8&gt;$AL$5,K8&lt;$AN$5),K8-$AL$5,IF(AND(K8&gt;$AI$7,K8&lt;$AM$5),$AN$5-$AL$5+K8,IF(AND(OR(K8&gt;$AL$5,H8&gt;$AO$5),AM8&gt;=$AI$7,AM8&lt;$AM$5,K8&gt;$AM$5),(1+$AM$5-$AL$5)-AG8,0))))))))</f>
        <v>0</v>
      </c>
      <c r="BE8" s="14"/>
      <c r="BF8" s="14"/>
      <c r="BG8" s="14"/>
    </row>
    <row r="9" spans="1:59" s="2" customFormat="1" ht="30" customHeight="1" thickTop="1" thickBot="1" x14ac:dyDescent="0.25">
      <c r="A9" s="1"/>
      <c r="B9"/>
      <c r="C9" s="172" t="str">
        <f>IF(Funcionários!C8=0,"",Funcionários!C8)</f>
        <v/>
      </c>
      <c r="D9"/>
      <c r="E9" s="115">
        <f>Lanç!E9</f>
        <v>2</v>
      </c>
      <c r="F9" s="189" t="str">
        <f>Lanç!F9</f>
        <v>Seg</v>
      </c>
      <c r="G9" s="81"/>
      <c r="H9" s="94"/>
      <c r="I9" s="94"/>
      <c r="J9" s="94"/>
      <c r="K9" s="94"/>
      <c r="L9" s="197"/>
      <c r="M9" s="95">
        <f t="shared" ref="M9:M38" si="1">IF(AND(H9=K9,H9&lt;&gt;0),$M$6-IF(J9&lt;I9,$AJ$7+J9-I9,J9-I9),IF(H9&gt;K9,(K9+1-H9)-IF(J9&lt;I9,$AJ$7+J9-I9,J9-I9),(K9-H9)-IF(J9&lt;I9,$AJ$7+J9-I9,J9-I9)))</f>
        <v>0</v>
      </c>
      <c r="N9" s="196"/>
      <c r="O9" s="95">
        <f ca="1">IF(OR(G9=0,G9="Férias",G9="Falta Justificada",G9="Feriado",G9="Folga (DSR)"),0,IF(G9="Falta Injustificada",HLOOKUP($F9,Jornada!$X$7:$AD$37,VLOOKUP(INDIRECT($C$5),Jornada!$C$8:$W$37,21,0),0),IF(HLOOKUP($F9,Jornada!$X$7:$AD$37,VLOOKUP(INDIRECT($C$5),Jornada!$C$8:$W$37,21,0),0)-M9&gt;0,HLOOKUP($F9,Jornada!$X$7:$AD$37,VLOOKUP(INDIRECT($C$5),Jornada!$C$8:$W$37,21,0),0)-M9,0)))</f>
        <v>0</v>
      </c>
      <c r="P9" s="193">
        <f ca="1">IF(HLOOKUP($F9,Jornada!$X$7:$AD$37,VLOOKUP(INDIRECT($C$5),Jornada!$C$8:$W$37,21,0),0)-M9&lt;0,ABS(HLOOKUP($F9,Jornada!$X$7:$AD$37,VLOOKUP(INDIRECT($C$5),Jornada!$C$8:$W$37,21,0),0)-M9),0)</f>
        <v>0</v>
      </c>
      <c r="Q9" s="95">
        <f t="shared" si="0"/>
        <v>0</v>
      </c>
      <c r="R9" s="2">
        <f t="shared" ref="R9:R38" si="2">IF(Q9&gt;$R$7,1,0)</f>
        <v>0</v>
      </c>
      <c r="S9" s="294"/>
      <c r="T9" s="294"/>
      <c r="U9" s="295"/>
      <c r="W9" s="2" t="s">
        <v>92</v>
      </c>
      <c r="X9" s="156">
        <v>3</v>
      </c>
      <c r="AB9" s="177">
        <f>AB8+1</f>
        <v>2</v>
      </c>
      <c r="AC9" s="2">
        <f t="shared" ref="AC9:AC35" si="3">WEEKDAY(AB9)</f>
        <v>2</v>
      </c>
      <c r="AE9" s="2">
        <v>2</v>
      </c>
      <c r="AF9" s="2" t="s">
        <v>52</v>
      </c>
      <c r="AG9" s="220">
        <f t="shared" ref="AG9:AG38" si="4">IF(J9&lt;I9,$AJ$7+J9-I9,J9-I9)</f>
        <v>0</v>
      </c>
      <c r="AH9" s="220">
        <f ca="1">IF(HLOOKUP($F9,Jornada!$X$7:$AD$37,VLOOKUP(INDIRECT($C$5),Jornada!$C$8:$W$37,21,0),0)=0,0,VLOOKUP(INDIRECT($C$5),Jornada!$C$8:$H$37,4,0))</f>
        <v>0</v>
      </c>
      <c r="AI9" s="155">
        <f ca="1">IF(AND(I9=0,J9=0,OR(H9&lt;&gt;0,K9&lt;&gt;0),HLOOKUP($F9,Jornada!$X$7:$AD$37,VLOOKUP(INDIRECT($C$5),Jornada!$C$8:$W$37,21,0),0)&gt;$AK$5,M9&gt;$AK$5),VLOOKUP(INDIRECT($C$5),Jornada!$C$8:$H$37,6,0),IF(AG9&gt;VLOOKUP(INDIRECT($C$5),Jornada!$C$8:$H$37,6,0),IF(VLOOKUP(INDIRECT($C$5),Jornada!$C$8:$H$37,6,0)&lt;AG9,0,ABS(VLOOKUP(INDIRECT($C$5),Jornada!$C$8:$H$37,6,0))-AG9),0))</f>
        <v>0</v>
      </c>
      <c r="AJ9" s="155">
        <f t="shared" ref="AJ9:AJ38" si="5">($AJ$7-K9)+H9</f>
        <v>1</v>
      </c>
      <c r="AK9" s="155">
        <f t="shared" ref="AK9:AK38" si="6">IF(AJ9&lt;$AK$7,$AK$7-AJ9,$AI$7)</f>
        <v>0</v>
      </c>
      <c r="AL9" s="155">
        <f ca="1">HLOOKUP($F9,Jornada!$I$5:$V$37,VLOOKUP(INDIRECT($C$5),Jornada!$C$8:$W$37,21,0)+2,0)</f>
        <v>0</v>
      </c>
      <c r="AM9" s="155">
        <f ca="1">HLOOKUP($F9,Jornada!$I$4:$V$37,VLOOKUP(INDIRECT($C$5),Jornada!$C$8:$W$37,21,0)+3,0)</f>
        <v>0</v>
      </c>
      <c r="AN9" s="155">
        <f t="shared" ref="AN9:AN38" ca="1" si="7">IF(AND(AL9&gt;=$AL$5,AL9&lt;$AN$5,H9&gt;=$AL$5,H9&lt;AL9),AL9-H9,IF(AND(AL9&gt;$AI$7,AL9&lt;=$AM$5,H9&gt;=$AL$5,H9&lt;=$AN$5),$AN$5-H9+AL9,IF(AND(AL9&gt;=$AI$7,AL9&lt;=$AM$5,H9&gt;=$AI$7,H9&lt;=$AM$5,H9&lt;AL9),H9-AL9,0)))</f>
        <v>0</v>
      </c>
      <c r="AO9" s="155">
        <f t="shared" ref="AO9:AO38" si="8">IF(AP9&gt;Q9,0,AP9)</f>
        <v>0</v>
      </c>
      <c r="AP9" s="155">
        <f t="shared" ref="AP9:AP38" si="9">IF(Q9=0,0,IF(AND(AM9&gt;=$AL$5,AM9&lt;$AN$5,K9&gt;=$AL$5,K9&lt;$AM$5,K9&gt;AM9),K9-AM9,IF(AND(AM9&gt;=$AL$5,AM9&lt;$AN$5,K9&lt;$AN$5,K9&gt;AM9),K9-$AL$5,IF(AND(AM9&gt;=$AI$7,AM9&lt;$AM$5,K9&lt;$AM$5),K9-AM9,IF(AND(AM9&lt;&gt;AI8,AM9&gt;=$AI$7,AM9&lt;=$AM$5,K9&gt;$AM$5,K9&gt;AM9),$AM$5-AM9,IF(AND(K9&gt;$AL$5,K9&lt;$AN$5),K9-$AL$5,IF(AND(K9&gt;$AI$7,K9&lt;$AM$5),$AN$5-$AL$5+K9,IF(AND(OR(K9&gt;$AL$5,H9&gt;$AO$5),AM9&gt;=$AI$7,AM9&lt;$AM$5,K9&gt;$AM$5),(1+$AM$5-$AL$5)-AG9,0))))))))</f>
        <v>0</v>
      </c>
      <c r="BE9" s="14"/>
      <c r="BF9" s="14"/>
      <c r="BG9" s="14"/>
    </row>
    <row r="10" spans="1:59" s="2" customFormat="1" ht="30" customHeight="1" thickTop="1" thickBot="1" x14ac:dyDescent="0.25">
      <c r="A10" s="1"/>
      <c r="B10"/>
      <c r="C10" s="172" t="str">
        <f>IF(Funcionários!C9=0,"",Funcionários!C9)</f>
        <v/>
      </c>
      <c r="D10"/>
      <c r="E10" s="115">
        <f>Lanç!E10</f>
        <v>3</v>
      </c>
      <c r="F10" s="189" t="str">
        <f>Lanç!F10</f>
        <v>Ter</v>
      </c>
      <c r="G10" s="81"/>
      <c r="H10" s="94"/>
      <c r="I10" s="94"/>
      <c r="J10" s="94"/>
      <c r="K10" s="94"/>
      <c r="L10" s="197"/>
      <c r="M10" s="95">
        <f t="shared" si="1"/>
        <v>0</v>
      </c>
      <c r="N10" s="196"/>
      <c r="O10" s="95">
        <f ca="1">IF(OR(G10=0,G10="Férias",G10="Falta Justificada",G10="Feriado",G10="Folga (DSR)"),0,IF(G10="Falta Injustificada",HLOOKUP($F10,Jornada!$X$7:$AD$37,VLOOKUP(INDIRECT($C$5),Jornada!$C$8:$W$37,21,0),0),IF(HLOOKUP($F10,Jornada!$X$7:$AD$37,VLOOKUP(INDIRECT($C$5),Jornada!$C$8:$W$37,21,0),0)-M10&gt;0,HLOOKUP($F10,Jornada!$X$7:$AD$37,VLOOKUP(INDIRECT($C$5),Jornada!$C$8:$W$37,21,0),0)-M10,0)))</f>
        <v>0</v>
      </c>
      <c r="P10" s="193">
        <f ca="1">IF(HLOOKUP($F10,Jornada!$X$7:$AD$37,VLOOKUP(INDIRECT($C$5),Jornada!$C$8:$W$37,21,0),0)-M10&lt;0,ABS(HLOOKUP($F10,Jornada!$X$7:$AD$37,VLOOKUP(INDIRECT($C$5),Jornada!$C$8:$W$37,21,0),0)-M10),0)</f>
        <v>0</v>
      </c>
      <c r="Q10" s="95">
        <f t="shared" si="0"/>
        <v>0</v>
      </c>
      <c r="R10" s="2">
        <f t="shared" si="2"/>
        <v>0</v>
      </c>
      <c r="S10" s="294" t="s">
        <v>66</v>
      </c>
      <c r="T10" s="294"/>
      <c r="U10" s="295">
        <f ca="1">IF(M5="Horas devidas",ABS(-K5+F58-U14),ABS(K5+F58-U14))</f>
        <v>0</v>
      </c>
      <c r="W10" s="2" t="s">
        <v>93</v>
      </c>
      <c r="X10" s="156">
        <v>4</v>
      </c>
      <c r="AB10" s="177">
        <f t="shared" ref="AB10:AB34" si="10">AB9+1</f>
        <v>3</v>
      </c>
      <c r="AC10" s="2">
        <f t="shared" si="3"/>
        <v>3</v>
      </c>
      <c r="AE10" s="2">
        <v>3</v>
      </c>
      <c r="AF10" s="2" t="s">
        <v>53</v>
      </c>
      <c r="AG10" s="220">
        <f t="shared" si="4"/>
        <v>0</v>
      </c>
      <c r="AH10" s="220">
        <f ca="1">IF(HLOOKUP($F10,Jornada!$X$7:$AD$37,VLOOKUP(INDIRECT($C$5),Jornada!$C$8:$W$37,21,0),0)=0,0,VLOOKUP(INDIRECT($C$5),Jornada!$C$8:$H$37,4,0))</f>
        <v>0</v>
      </c>
      <c r="AI10" s="155">
        <f ca="1">IF(AND(I10=0,J10=0,OR(H10&lt;&gt;0,K10&lt;&gt;0),HLOOKUP($F10,Jornada!$X$7:$AD$37,VLOOKUP(INDIRECT($C$5),Jornada!$C$8:$W$37,21,0),0)&gt;$AK$5,M10&gt;$AK$5),VLOOKUP(INDIRECT($C$5),Jornada!$C$8:$H$37,6,0),IF(AG10&gt;VLOOKUP(INDIRECT($C$5),Jornada!$C$8:$H$37,6,0),IF(VLOOKUP(INDIRECT($C$5),Jornada!$C$8:$H$37,6,0)&lt;AG10,0,ABS(VLOOKUP(INDIRECT($C$5),Jornada!$C$8:$H$37,6,0))-AG10),0))</f>
        <v>0</v>
      </c>
      <c r="AJ10" s="155">
        <f t="shared" si="5"/>
        <v>1</v>
      </c>
      <c r="AK10" s="155">
        <f t="shared" si="6"/>
        <v>0</v>
      </c>
      <c r="AL10" s="155">
        <f ca="1">HLOOKUP($F10,Jornada!$I$5:$V$37,VLOOKUP(INDIRECT($C$5),Jornada!$C$8:$W$37,21,0)+2,0)</f>
        <v>0</v>
      </c>
      <c r="AM10" s="155">
        <f ca="1">HLOOKUP($F10,Jornada!$I$4:$V$37,VLOOKUP(INDIRECT($C$5),Jornada!$C$8:$W$37,21,0)+3,0)</f>
        <v>0</v>
      </c>
      <c r="AN10" s="155">
        <f t="shared" ca="1" si="7"/>
        <v>0</v>
      </c>
      <c r="AO10" s="155">
        <f t="shared" si="8"/>
        <v>0</v>
      </c>
      <c r="AP10" s="155">
        <f t="shared" si="9"/>
        <v>0</v>
      </c>
      <c r="BE10" s="14"/>
      <c r="BF10" s="14"/>
      <c r="BG10" s="14"/>
    </row>
    <row r="11" spans="1:59" s="2" customFormat="1" ht="30" customHeight="1" thickTop="1" thickBot="1" x14ac:dyDescent="0.25">
      <c r="A11" s="1"/>
      <c r="B11"/>
      <c r="C11" s="171" t="str">
        <f>IF(Funcionários!C10=0,"",Funcionários!C10)</f>
        <v/>
      </c>
      <c r="D11"/>
      <c r="E11" s="115">
        <f>Lanç!E11</f>
        <v>4</v>
      </c>
      <c r="F11" s="189" t="str">
        <f>Lanç!F11</f>
        <v>Qua</v>
      </c>
      <c r="G11" s="81"/>
      <c r="H11" s="94"/>
      <c r="I11" s="94"/>
      <c r="J11" s="94"/>
      <c r="K11" s="94"/>
      <c r="L11" s="197"/>
      <c r="M11" s="95">
        <f>IF(AND(H11=K11,H11&lt;&gt;0),$M$6-IF(J11&lt;I11,$AJ$7+J11-I11,J11-I11),IF(H11&gt;K11,(K11+1-H11)-IF(J11&lt;I11,$AJ$7+J11-I11,J11-I11),(K11-H11)-IF(J11&lt;I11,$AJ$7+J11-I11,J11-I11)))</f>
        <v>0</v>
      </c>
      <c r="N11" s="196"/>
      <c r="O11" s="95">
        <f ca="1">IF(OR(G11=0,G11="Férias",G11="Falta Justificada",G11="Feriado",G11="Folga (DSR)"),0,IF(G11="Falta Injustificada",HLOOKUP($F11,Jornada!$X$7:$AD$37,VLOOKUP(INDIRECT($C$5),Jornada!$C$8:$W$37,21,0),0),IF(HLOOKUP($F11,Jornada!$X$7:$AD$37,VLOOKUP(INDIRECT($C$5),Jornada!$C$8:$W$37,21,0),0)-M11&gt;0,HLOOKUP($F11,Jornada!$X$7:$AD$37,VLOOKUP(INDIRECT($C$5),Jornada!$C$8:$W$37,21,0),0)-M11,0)))</f>
        <v>0</v>
      </c>
      <c r="P11" s="193">
        <f ca="1">IF(HLOOKUP($F11,Jornada!$X$7:$AD$37,VLOOKUP(INDIRECT($C$5),Jornada!$C$8:$W$37,21,0),0)-M11&lt;0,ABS(HLOOKUP($F11,Jornada!$X$7:$AD$37,VLOOKUP(INDIRECT($C$5),Jornada!$C$8:$W$37,21,0),0)-M11),0)</f>
        <v>0</v>
      </c>
      <c r="Q11" s="95">
        <f t="shared" si="0"/>
        <v>0</v>
      </c>
      <c r="R11" s="2">
        <f t="shared" si="2"/>
        <v>0</v>
      </c>
      <c r="S11" s="294"/>
      <c r="T11" s="294"/>
      <c r="U11" s="295"/>
      <c r="V11" s="2">
        <f ca="1">IF(AND(K5&gt;U12,M5="Horas devidas"),"Negativo",IF(AND(U12&gt;K5,U14&gt;F58),"Negativo",0))</f>
        <v>0</v>
      </c>
      <c r="W11" s="2" t="s">
        <v>94</v>
      </c>
      <c r="X11" s="156">
        <v>5</v>
      </c>
      <c r="Z11" s="2" t="str">
        <f ca="1">IF(AND(M5="horas extras",Z13="positivo"),"positivo",IF(AND(M5="horas devidas",Z13="Negativo"),"Negativo",IF(AND(Z13="positivo",M5="horas devidas",U12&gt;K5),"Positivo","Negativo")))</f>
        <v>Negativo</v>
      </c>
      <c r="AB11" s="177">
        <f t="shared" si="10"/>
        <v>4</v>
      </c>
      <c r="AC11" s="2">
        <f t="shared" si="3"/>
        <v>4</v>
      </c>
      <c r="AE11" s="2">
        <v>4</v>
      </c>
      <c r="AF11" s="2" t="s">
        <v>54</v>
      </c>
      <c r="AG11" s="220">
        <f t="shared" si="4"/>
        <v>0</v>
      </c>
      <c r="AH11" s="220">
        <f ca="1">IF(HLOOKUP($F11,Jornada!$X$7:$AD$37,VLOOKUP(INDIRECT($C$5),Jornada!$C$8:$W$37,21,0),0)=0,0,VLOOKUP(INDIRECT($C$5),Jornada!$C$8:$H$37,4,0))</f>
        <v>0</v>
      </c>
      <c r="AI11" s="155">
        <f ca="1">IF(AND(I11=0,J11=0,OR(H11&lt;&gt;0,K11&lt;&gt;0),HLOOKUP($F11,Jornada!$X$7:$AD$37,VLOOKUP(INDIRECT($C$5),Jornada!$C$8:$W$37,21,0),0)&gt;$AK$5,M11&gt;$AK$5),VLOOKUP(INDIRECT($C$5),Jornada!$C$8:$H$37,6,0),IF(AG11&gt;VLOOKUP(INDIRECT($C$5),Jornada!$C$8:$H$37,6,0),IF(VLOOKUP(INDIRECT($C$5),Jornada!$C$8:$H$37,6,0)&lt;AG11,0,ABS(VLOOKUP(INDIRECT($C$5),Jornada!$C$8:$H$37,6,0))-AG11),0))</f>
        <v>0</v>
      </c>
      <c r="AJ11" s="155">
        <f t="shared" si="5"/>
        <v>1</v>
      </c>
      <c r="AK11" s="155">
        <f t="shared" si="6"/>
        <v>0</v>
      </c>
      <c r="AL11" s="155">
        <f ca="1">HLOOKUP($F11,Jornada!$I$5:$V$37,VLOOKUP(INDIRECT($C$5),Jornada!$C$8:$W$37,21,0)+2,0)</f>
        <v>0</v>
      </c>
      <c r="AM11" s="155">
        <f ca="1">HLOOKUP($F11,Jornada!$I$4:$V$37,VLOOKUP(INDIRECT($C$5),Jornada!$C$8:$W$37,21,0)+3,0)</f>
        <v>0</v>
      </c>
      <c r="AN11" s="155">
        <f t="shared" ca="1" si="7"/>
        <v>0</v>
      </c>
      <c r="AO11" s="155">
        <f t="shared" si="8"/>
        <v>0</v>
      </c>
      <c r="AP11" s="155">
        <f t="shared" si="9"/>
        <v>0</v>
      </c>
      <c r="BE11" s="14"/>
      <c r="BF11" s="14"/>
      <c r="BG11" s="14"/>
    </row>
    <row r="12" spans="1:59" s="2" customFormat="1" ht="30" customHeight="1" thickTop="1" thickBot="1" x14ac:dyDescent="0.25">
      <c r="A12" s="1"/>
      <c r="B12"/>
      <c r="C12" s="172" t="str">
        <f>IF(Funcionários!C11=0,"",Funcionários!C11)</f>
        <v/>
      </c>
      <c r="D12"/>
      <c r="E12" s="115">
        <f>Lanç!E12</f>
        <v>5</v>
      </c>
      <c r="F12" s="189" t="str">
        <f>Lanç!F12</f>
        <v>Qui</v>
      </c>
      <c r="G12" s="81"/>
      <c r="H12" s="94"/>
      <c r="I12" s="94"/>
      <c r="J12" s="94"/>
      <c r="K12" s="94"/>
      <c r="L12" s="197"/>
      <c r="M12" s="95">
        <f t="shared" si="1"/>
        <v>0</v>
      </c>
      <c r="N12" s="196"/>
      <c r="O12" s="95">
        <f ca="1">IF(OR(G12=0,G12="Férias",G12="Falta Justificada",G12="Feriado",G12="Folga (DSR)"),0,IF(G12="Falta Injustificada",HLOOKUP($F12,Jornada!$X$7:$AD$37,VLOOKUP(INDIRECT($C$5),Jornada!$C$8:$W$37,21,0),0),IF(HLOOKUP($F12,Jornada!$X$7:$AD$37,VLOOKUP(INDIRECT($C$5),Jornada!$C$8:$W$37,21,0),0)-M12&gt;0,HLOOKUP($F12,Jornada!$X$7:$AD$37,VLOOKUP(INDIRECT($C$5),Jornada!$C$8:$W$37,21,0),0)-M12,0)))</f>
        <v>0</v>
      </c>
      <c r="P12" s="193">
        <f ca="1">IF(HLOOKUP($F12,Jornada!$X$7:$AD$37,VLOOKUP(INDIRECT($C$5),Jornada!$C$8:$W$37,21,0),0)-M12&lt;0,ABS(HLOOKUP($F12,Jornada!$X$7:$AD$37,VLOOKUP(INDIRECT($C$5),Jornada!$C$8:$W$37,21,0),0)-M12),0)</f>
        <v>0</v>
      </c>
      <c r="Q12" s="95">
        <f t="shared" si="0"/>
        <v>0</v>
      </c>
      <c r="R12" s="2">
        <f t="shared" si="2"/>
        <v>0</v>
      </c>
      <c r="S12" s="294" t="s">
        <v>175</v>
      </c>
      <c r="T12" s="294"/>
      <c r="U12" s="295">
        <f ca="1">IF(U14&gt;=F58,(U14)-F58,(F58-U14))</f>
        <v>0</v>
      </c>
      <c r="W12" s="2" t="s">
        <v>95</v>
      </c>
      <c r="X12" s="156">
        <v>6</v>
      </c>
      <c r="AB12" s="177">
        <f t="shared" si="10"/>
        <v>5</v>
      </c>
      <c r="AC12" s="2">
        <f t="shared" si="3"/>
        <v>5</v>
      </c>
      <c r="AE12" s="2">
        <v>5</v>
      </c>
      <c r="AF12" s="2" t="s">
        <v>55</v>
      </c>
      <c r="AG12" s="220">
        <f t="shared" si="4"/>
        <v>0</v>
      </c>
      <c r="AH12" s="220">
        <f ca="1">IF(HLOOKUP($F12,Jornada!$X$7:$AD$37,VLOOKUP(INDIRECT($C$5),Jornada!$C$8:$W$37,21,0),0)=0,0,VLOOKUP(INDIRECT($C$5),Jornada!$C$8:$H$37,4,0))</f>
        <v>0</v>
      </c>
      <c r="AI12" s="155">
        <f ca="1">IF(AND(I12=0,J12=0,OR(H12&lt;&gt;0,K12&lt;&gt;0),HLOOKUP($F12,Jornada!$X$7:$AD$37,VLOOKUP(INDIRECT($C$5),Jornada!$C$8:$W$37,21,0),0)&gt;$AK$5,M12&gt;$AK$5),VLOOKUP(INDIRECT($C$5),Jornada!$C$8:$H$37,6,0),IF(AG12&gt;VLOOKUP(INDIRECT($C$5),Jornada!$C$8:$H$37,6,0),IF(VLOOKUP(INDIRECT($C$5),Jornada!$C$8:$H$37,6,0)&lt;AG12,0,ABS(VLOOKUP(INDIRECT($C$5),Jornada!$C$8:$H$37,6,0))-AG12),0))</f>
        <v>0</v>
      </c>
      <c r="AJ12" s="155">
        <f t="shared" si="5"/>
        <v>1</v>
      </c>
      <c r="AK12" s="155">
        <f t="shared" si="6"/>
        <v>0</v>
      </c>
      <c r="AL12" s="155">
        <f ca="1">HLOOKUP($F12,Jornada!$I$5:$V$37,VLOOKUP(INDIRECT($C$5),Jornada!$C$8:$W$37,21,0)+2,0)</f>
        <v>0</v>
      </c>
      <c r="AM12" s="155">
        <f ca="1">HLOOKUP($F12,Jornada!$I$4:$V$37,VLOOKUP(INDIRECT($C$5),Jornada!$C$8:$W$37,21,0)+3,0)</f>
        <v>0</v>
      </c>
      <c r="AN12" s="155">
        <f t="shared" ca="1" si="7"/>
        <v>0</v>
      </c>
      <c r="AO12" s="155">
        <f t="shared" si="8"/>
        <v>0</v>
      </c>
      <c r="AP12" s="155">
        <f t="shared" si="9"/>
        <v>0</v>
      </c>
      <c r="BE12" s="14"/>
      <c r="BF12" s="14"/>
      <c r="BG12" s="14"/>
    </row>
    <row r="13" spans="1:59" s="2" customFormat="1" ht="30" customHeight="1" thickTop="1" thickBot="1" x14ac:dyDescent="0.25">
      <c r="A13" s="1"/>
      <c r="B13"/>
      <c r="C13" s="172" t="str">
        <f>IF(Funcionários!C12=0,"",Funcionários!C12)</f>
        <v/>
      </c>
      <c r="D13"/>
      <c r="E13" s="115">
        <f>Lanç!E13</f>
        <v>6</v>
      </c>
      <c r="F13" s="189" t="str">
        <f>Lanç!F13</f>
        <v>Sex</v>
      </c>
      <c r="G13" s="81"/>
      <c r="H13" s="94"/>
      <c r="I13" s="94"/>
      <c r="J13" s="94"/>
      <c r="K13" s="94"/>
      <c r="L13" s="197"/>
      <c r="M13" s="95">
        <f t="shared" si="1"/>
        <v>0</v>
      </c>
      <c r="N13" s="196"/>
      <c r="O13" s="95">
        <f ca="1">IF(OR(G13=0,G13="Férias",G13="Falta Justificada",G13="Feriado",G13="Folga (DSR)"),0,IF(G13="Falta Injustificada",HLOOKUP($F13,Jornada!$X$7:$AD$37,VLOOKUP(INDIRECT($C$5),Jornada!$C$8:$W$37,21,0),0),IF(HLOOKUP($F13,Jornada!$X$7:$AD$37,VLOOKUP(INDIRECT($C$5),Jornada!$C$8:$W$37,21,0),0)-M13&gt;0,HLOOKUP($F13,Jornada!$X$7:$AD$37,VLOOKUP(INDIRECT($C$5),Jornada!$C$8:$W$37,21,0),0)-M13,0)))</f>
        <v>0</v>
      </c>
      <c r="P13" s="193">
        <f ca="1">IF(HLOOKUP($F13,Jornada!$X$7:$AD$37,VLOOKUP(INDIRECT($C$5),Jornada!$C$8:$W$37,21,0),0)-M13&lt;0,ABS(HLOOKUP($F13,Jornada!$X$7:$AD$37,VLOOKUP(INDIRECT($C$5),Jornada!$C$8:$W$37,21,0),0)-M13),0)</f>
        <v>0</v>
      </c>
      <c r="Q13" s="95">
        <f t="shared" si="0"/>
        <v>0</v>
      </c>
      <c r="R13" s="2">
        <f t="shared" si="2"/>
        <v>0</v>
      </c>
      <c r="S13" s="294"/>
      <c r="T13" s="294"/>
      <c r="U13" s="295"/>
      <c r="W13" s="2" t="s">
        <v>96</v>
      </c>
      <c r="X13" s="156">
        <v>7</v>
      </c>
      <c r="Z13" s="2" t="str">
        <f ca="1">IF(U14&gt;F58,"Negativo","Positivo")</f>
        <v>Positivo</v>
      </c>
      <c r="AB13" s="177">
        <f t="shared" si="10"/>
        <v>6</v>
      </c>
      <c r="AC13" s="2">
        <f t="shared" si="3"/>
        <v>6</v>
      </c>
      <c r="AE13" s="2">
        <v>6</v>
      </c>
      <c r="AF13" s="2" t="s">
        <v>56</v>
      </c>
      <c r="AG13" s="220">
        <f t="shared" si="4"/>
        <v>0</v>
      </c>
      <c r="AH13" s="220">
        <f ca="1">IF(HLOOKUP($F13,Jornada!$X$7:$AD$37,VLOOKUP(INDIRECT($C$5),Jornada!$C$8:$W$37,21,0),0)=0,0,VLOOKUP(INDIRECT($C$5),Jornada!$C$8:$H$37,4,0))</f>
        <v>0</v>
      </c>
      <c r="AI13" s="155">
        <f ca="1">IF(AND(I13=0,J13=0,OR(H13&lt;&gt;0,K13&lt;&gt;0),HLOOKUP($F13,Jornada!$X$7:$AD$37,VLOOKUP(INDIRECT($C$5),Jornada!$C$8:$W$37,21,0),0)&gt;$AK$5,M13&gt;$AK$5),VLOOKUP(INDIRECT($C$5),Jornada!$C$8:$H$37,6,0),IF(AG13&gt;VLOOKUP(INDIRECT($C$5),Jornada!$C$8:$H$37,6,0),IF(VLOOKUP(INDIRECT($C$5),Jornada!$C$8:$H$37,6,0)&lt;AG13,0,ABS(VLOOKUP(INDIRECT($C$5),Jornada!$C$8:$H$37,6,0))-AG13),0))</f>
        <v>0</v>
      </c>
      <c r="AJ13" s="155">
        <f t="shared" si="5"/>
        <v>1</v>
      </c>
      <c r="AK13" s="155">
        <f t="shared" si="6"/>
        <v>0</v>
      </c>
      <c r="AL13" s="155">
        <f ca="1">HLOOKUP($F13,Jornada!$I$5:$V$37,VLOOKUP(INDIRECT($C$5),Jornada!$C$8:$W$37,21,0)+2,0)</f>
        <v>0</v>
      </c>
      <c r="AM13" s="155">
        <f ca="1">HLOOKUP($F13,Jornada!$I$4:$V$37,VLOOKUP(INDIRECT($C$5),Jornada!$C$8:$W$37,21,0)+3,0)</f>
        <v>0</v>
      </c>
      <c r="AN13" s="155">
        <f t="shared" ca="1" si="7"/>
        <v>0</v>
      </c>
      <c r="AO13" s="155">
        <f t="shared" si="8"/>
        <v>0</v>
      </c>
      <c r="AP13" s="155">
        <f t="shared" si="9"/>
        <v>0</v>
      </c>
      <c r="BE13" s="14"/>
      <c r="BF13" s="14"/>
      <c r="BG13" s="14"/>
    </row>
    <row r="14" spans="1:59" s="2" customFormat="1" ht="30" customHeight="1" thickTop="1" thickBot="1" x14ac:dyDescent="0.25">
      <c r="A14" s="1"/>
      <c r="B14"/>
      <c r="C14" s="172" t="str">
        <f>IF(Funcionários!C13=0,"",Funcionários!C13)</f>
        <v/>
      </c>
      <c r="D14"/>
      <c r="E14" s="115">
        <f>Lanç!E14</f>
        <v>7</v>
      </c>
      <c r="F14" s="189" t="str">
        <f>Lanç!F14</f>
        <v>Sáb</v>
      </c>
      <c r="G14" s="81"/>
      <c r="H14" s="94"/>
      <c r="I14" s="94"/>
      <c r="J14" s="94"/>
      <c r="K14" s="94"/>
      <c r="L14" s="197"/>
      <c r="M14" s="95">
        <f t="shared" si="1"/>
        <v>0</v>
      </c>
      <c r="N14" s="196"/>
      <c r="O14" s="95">
        <f ca="1">IF(OR(G14=0,G14="Férias",G14="Falta Justificada",G14="Feriado",G14="Folga (DSR)"),0,IF(G14="Falta Injustificada",HLOOKUP($F14,Jornada!$X$7:$AD$37,VLOOKUP(INDIRECT($C$5),Jornada!$C$8:$W$37,21,0),0),IF(HLOOKUP($F14,Jornada!$X$7:$AD$37,VLOOKUP(INDIRECT($C$5),Jornada!$C$8:$W$37,21,0),0)-M14&gt;0,HLOOKUP($F14,Jornada!$X$7:$AD$37,VLOOKUP(INDIRECT($C$5),Jornada!$C$8:$W$37,21,0),0)-M14,0)))</f>
        <v>0</v>
      </c>
      <c r="P14" s="193">
        <f ca="1">IF(HLOOKUP($F14,Jornada!$X$7:$AD$37,VLOOKUP(INDIRECT($C$5),Jornada!$C$8:$W$37,21,0),0)-M14&lt;0,ABS(HLOOKUP($F14,Jornada!$X$7:$AD$37,VLOOKUP(INDIRECT($C$5),Jornada!$C$8:$W$37,21,0),0)-M14),0)</f>
        <v>0</v>
      </c>
      <c r="Q14" s="95">
        <f t="shared" si="0"/>
        <v>0</v>
      </c>
      <c r="R14" s="2">
        <f t="shared" si="2"/>
        <v>0</v>
      </c>
      <c r="S14" s="294" t="s">
        <v>68</v>
      </c>
      <c r="T14" s="294"/>
      <c r="U14" s="295">
        <f ca="1">SUM(O8:O38)</f>
        <v>0</v>
      </c>
      <c r="W14" s="2" t="s">
        <v>97</v>
      </c>
      <c r="X14" s="156">
        <v>8</v>
      </c>
      <c r="AB14" s="177">
        <f t="shared" si="10"/>
        <v>7</v>
      </c>
      <c r="AC14" s="2">
        <f t="shared" si="3"/>
        <v>7</v>
      </c>
      <c r="AE14" s="2">
        <v>7</v>
      </c>
      <c r="AF14" s="2" t="s">
        <v>57</v>
      </c>
      <c r="AG14" s="220">
        <f t="shared" si="4"/>
        <v>0</v>
      </c>
      <c r="AH14" s="220">
        <f ca="1">IF(HLOOKUP($F14,Jornada!$X$7:$AD$37,VLOOKUP(INDIRECT($C$5),Jornada!$C$8:$W$37,21,0),0)=0,0,VLOOKUP(INDIRECT($C$5),Jornada!$C$8:$H$37,4,0))</f>
        <v>0</v>
      </c>
      <c r="AI14" s="155">
        <f ca="1">IF(AND(I14=0,J14=0,OR(H14&lt;&gt;0,K14&lt;&gt;0),HLOOKUP($F14,Jornada!$X$7:$AD$37,VLOOKUP(INDIRECT($C$5),Jornada!$C$8:$W$37,21,0),0)&gt;$AK$5,M14&gt;$AK$5),VLOOKUP(INDIRECT($C$5),Jornada!$C$8:$H$37,6,0),IF(AG14&gt;VLOOKUP(INDIRECT($C$5),Jornada!$C$8:$H$37,6,0),IF(VLOOKUP(INDIRECT($C$5),Jornada!$C$8:$H$37,6,0)&lt;AG14,0,ABS(VLOOKUP(INDIRECT($C$5),Jornada!$C$8:$H$37,6,0))-AG14),0))</f>
        <v>0</v>
      </c>
      <c r="AJ14" s="155">
        <f t="shared" si="5"/>
        <v>1</v>
      </c>
      <c r="AK14" s="155">
        <f t="shared" si="6"/>
        <v>0</v>
      </c>
      <c r="AL14" s="155">
        <f ca="1">HLOOKUP($F14,Jornada!$I$5:$V$37,VLOOKUP(INDIRECT($C$5),Jornada!$C$8:$W$37,21,0)+2,0)</f>
        <v>0</v>
      </c>
      <c r="AM14" s="155">
        <f ca="1">HLOOKUP($F14,Jornada!$I$4:$V$37,VLOOKUP(INDIRECT($C$5),Jornada!$C$8:$W$37,21,0)+3,0)</f>
        <v>0</v>
      </c>
      <c r="AN14" s="155">
        <f t="shared" ca="1" si="7"/>
        <v>0</v>
      </c>
      <c r="AO14" s="155">
        <f t="shared" si="8"/>
        <v>0</v>
      </c>
      <c r="AP14" s="155">
        <f t="shared" si="9"/>
        <v>0</v>
      </c>
      <c r="BE14" s="14"/>
      <c r="BF14" s="14"/>
      <c r="BG14" s="14"/>
    </row>
    <row r="15" spans="1:59" s="2" customFormat="1" ht="30" customHeight="1" thickTop="1" thickBot="1" x14ac:dyDescent="0.25">
      <c r="A15" s="1"/>
      <c r="B15"/>
      <c r="C15" s="172" t="str">
        <f>IF(Funcionários!C14=0,"",Funcionários!C14)</f>
        <v/>
      </c>
      <c r="D15"/>
      <c r="E15" s="115">
        <f>Lanç!E15</f>
        <v>8</v>
      </c>
      <c r="F15" s="189" t="str">
        <f>Lanç!F15</f>
        <v>Dom</v>
      </c>
      <c r="G15" s="81"/>
      <c r="H15" s="94"/>
      <c r="I15" s="94"/>
      <c r="J15" s="94"/>
      <c r="K15" s="94"/>
      <c r="L15" s="197"/>
      <c r="M15" s="95">
        <f t="shared" si="1"/>
        <v>0</v>
      </c>
      <c r="N15" s="196"/>
      <c r="O15" s="95">
        <f ca="1">IF(OR(G15=0,G15="Férias",G15="Falta Justificada",G15="Feriado",G15="Folga (DSR)"),0,IF(G15="Falta Injustificada",HLOOKUP($F15,Jornada!$X$7:$AD$37,VLOOKUP(INDIRECT($C$5),Jornada!$C$8:$W$37,21,0),0),IF(HLOOKUP($F15,Jornada!$X$7:$AD$37,VLOOKUP(INDIRECT($C$5),Jornada!$C$8:$W$37,21,0),0)-M15&gt;0,HLOOKUP($F15,Jornada!$X$7:$AD$37,VLOOKUP(INDIRECT($C$5),Jornada!$C$8:$W$37,21,0),0)-M15,0)))</f>
        <v>0</v>
      </c>
      <c r="P15" s="193">
        <f ca="1">IF(HLOOKUP($F15,Jornada!$X$7:$AD$37,VLOOKUP(INDIRECT($C$5),Jornada!$C$8:$W$37,21,0),0)-M15&lt;0,ABS(HLOOKUP($F15,Jornada!$X$7:$AD$37,VLOOKUP(INDIRECT($C$5),Jornada!$C$8:$W$37,21,0),0)-M15),0)</f>
        <v>0</v>
      </c>
      <c r="Q15" s="95">
        <f t="shared" si="0"/>
        <v>0</v>
      </c>
      <c r="R15" s="2">
        <f t="shared" si="2"/>
        <v>0</v>
      </c>
      <c r="S15" s="294"/>
      <c r="T15" s="294"/>
      <c r="U15" s="295"/>
      <c r="W15" s="2" t="s">
        <v>98</v>
      </c>
      <c r="X15" s="156">
        <v>9</v>
      </c>
      <c r="AB15" s="177">
        <f t="shared" si="10"/>
        <v>8</v>
      </c>
      <c r="AC15" s="2">
        <f t="shared" si="3"/>
        <v>1</v>
      </c>
      <c r="AG15" s="220">
        <f t="shared" si="4"/>
        <v>0</v>
      </c>
      <c r="AH15" s="220">
        <f ca="1">IF(HLOOKUP($F15,Jornada!$X$7:$AD$37,VLOOKUP(INDIRECT($C$5),Jornada!$C$8:$W$37,21,0),0)=0,0,VLOOKUP(INDIRECT($C$5),Jornada!$C$8:$H$37,4,0))</f>
        <v>0</v>
      </c>
      <c r="AI15" s="155">
        <f ca="1">IF(AND(I15=0,J15=0,OR(H15&lt;&gt;0,K15&lt;&gt;0),HLOOKUP($F15,Jornada!$X$7:$AD$37,VLOOKUP(INDIRECT($C$5),Jornada!$C$8:$W$37,21,0),0)&gt;$AK$5,M15&gt;$AK$5),VLOOKUP(INDIRECT($C$5),Jornada!$C$8:$H$37,6,0),IF(AG15&gt;VLOOKUP(INDIRECT($C$5),Jornada!$C$8:$H$37,6,0),IF(VLOOKUP(INDIRECT($C$5),Jornada!$C$8:$H$37,6,0)&lt;AG15,0,ABS(VLOOKUP(INDIRECT($C$5),Jornada!$C$8:$H$37,6,0))-AG15),0))</f>
        <v>0</v>
      </c>
      <c r="AJ15" s="155">
        <f t="shared" si="5"/>
        <v>1</v>
      </c>
      <c r="AK15" s="155">
        <f t="shared" si="6"/>
        <v>0</v>
      </c>
      <c r="AL15" s="155">
        <f ca="1">HLOOKUP($F15,Jornada!$I$5:$V$37,VLOOKUP(INDIRECT($C$5),Jornada!$C$8:$W$37,21,0)+2,0)</f>
        <v>0</v>
      </c>
      <c r="AM15" s="155">
        <f ca="1">HLOOKUP($F15,Jornada!$I$4:$V$37,VLOOKUP(INDIRECT($C$5),Jornada!$C$8:$W$37,21,0)+3,0)</f>
        <v>0</v>
      </c>
      <c r="AN15" s="155">
        <f t="shared" ca="1" si="7"/>
        <v>0</v>
      </c>
      <c r="AO15" s="155">
        <f t="shared" si="8"/>
        <v>0</v>
      </c>
      <c r="AP15" s="155">
        <f t="shared" si="9"/>
        <v>0</v>
      </c>
      <c r="BE15" s="14"/>
      <c r="BF15" s="14"/>
      <c r="BG15" s="14"/>
    </row>
    <row r="16" spans="1:59" s="2" customFormat="1" ht="30" customHeight="1" thickTop="1" thickBot="1" x14ac:dyDescent="0.25">
      <c r="A16" s="1"/>
      <c r="B16"/>
      <c r="C16" s="172" t="str">
        <f>IF(Funcionários!C15=0,"",Funcionários!C15)</f>
        <v/>
      </c>
      <c r="D16"/>
      <c r="E16" s="115">
        <f>Lanç!E16</f>
        <v>9</v>
      </c>
      <c r="F16" s="189" t="str">
        <f>Lanç!F16</f>
        <v>Seg</v>
      </c>
      <c r="G16" s="81"/>
      <c r="H16" s="94"/>
      <c r="I16" s="94"/>
      <c r="J16" s="94"/>
      <c r="K16" s="94"/>
      <c r="L16" s="197"/>
      <c r="M16" s="95">
        <f t="shared" si="1"/>
        <v>0</v>
      </c>
      <c r="N16" s="196"/>
      <c r="O16" s="95">
        <f ca="1">IF(OR(G16=0,G16="Férias",G16="Falta Justificada",G16="Feriado",G16="Folga (DSR)"),0,IF(G16="Falta Injustificada",HLOOKUP($F16,Jornada!$X$7:$AD$37,VLOOKUP(INDIRECT($C$5),Jornada!$C$8:$W$37,21,0),0),IF(HLOOKUP($F16,Jornada!$X$7:$AD$37,VLOOKUP(INDIRECT($C$5),Jornada!$C$8:$W$37,21,0),0)-M16&gt;0,HLOOKUP($F16,Jornada!$X$7:$AD$37,VLOOKUP(INDIRECT($C$5),Jornada!$C$8:$W$37,21,0),0)-M16,0)))</f>
        <v>0</v>
      </c>
      <c r="P16" s="193">
        <f ca="1">IF(HLOOKUP($F16,Jornada!$X$7:$AD$37,VLOOKUP(INDIRECT($C$5),Jornada!$C$8:$W$37,21,0),0)-M16&lt;0,ABS(HLOOKUP($F16,Jornada!$X$7:$AD$37,VLOOKUP(INDIRECT($C$5),Jornada!$C$8:$W$37,21,0),0)-M16),0)</f>
        <v>0</v>
      </c>
      <c r="Q16" s="95">
        <f t="shared" si="0"/>
        <v>0</v>
      </c>
      <c r="R16" s="2">
        <f t="shared" si="2"/>
        <v>0</v>
      </c>
      <c r="S16" s="294" t="s">
        <v>67</v>
      </c>
      <c r="T16" s="294"/>
      <c r="U16" s="295">
        <f>SUM(Q8:Q38)</f>
        <v>0</v>
      </c>
      <c r="W16" s="2" t="s">
        <v>99</v>
      </c>
      <c r="X16" s="156">
        <v>10</v>
      </c>
      <c r="AB16" s="177">
        <f t="shared" si="10"/>
        <v>9</v>
      </c>
      <c r="AC16" s="2">
        <f t="shared" si="3"/>
        <v>2</v>
      </c>
      <c r="AG16" s="220">
        <f t="shared" si="4"/>
        <v>0</v>
      </c>
      <c r="AH16" s="220">
        <f ca="1">IF(HLOOKUP($F16,Jornada!$X$7:$AD$37,VLOOKUP(INDIRECT($C$5),Jornada!$C$8:$W$37,21,0),0)=0,0,VLOOKUP(INDIRECT($C$5),Jornada!$C$8:$H$37,4,0))</f>
        <v>0</v>
      </c>
      <c r="AI16" s="155">
        <f ca="1">IF(AND(I16=0,J16=0,OR(H16&lt;&gt;0,K16&lt;&gt;0),HLOOKUP($F16,Jornada!$X$7:$AD$37,VLOOKUP(INDIRECT($C$5),Jornada!$C$8:$W$37,21,0),0)&gt;$AK$5,M16&gt;$AK$5),VLOOKUP(INDIRECT($C$5),Jornada!$C$8:$H$37,6,0),IF(AG16&gt;VLOOKUP(INDIRECT($C$5),Jornada!$C$8:$H$37,6,0),IF(VLOOKUP(INDIRECT($C$5),Jornada!$C$8:$H$37,6,0)&lt;AG16,0,ABS(VLOOKUP(INDIRECT($C$5),Jornada!$C$8:$H$37,6,0))-AG16),0))</f>
        <v>0</v>
      </c>
      <c r="AJ16" s="155">
        <f t="shared" si="5"/>
        <v>1</v>
      </c>
      <c r="AK16" s="155">
        <f t="shared" si="6"/>
        <v>0</v>
      </c>
      <c r="AL16" s="155">
        <f ca="1">HLOOKUP($F16,Jornada!$I$5:$V$37,VLOOKUP(INDIRECT($C$5),Jornada!$C$8:$W$37,21,0)+2,0)</f>
        <v>0</v>
      </c>
      <c r="AM16" s="155">
        <f ca="1">HLOOKUP($F16,Jornada!$I$4:$V$37,VLOOKUP(INDIRECT($C$5),Jornada!$C$8:$W$37,21,0)+3,0)</f>
        <v>0</v>
      </c>
      <c r="AN16" s="155">
        <f t="shared" ca="1" si="7"/>
        <v>0</v>
      </c>
      <c r="AO16" s="155">
        <f t="shared" si="8"/>
        <v>0</v>
      </c>
      <c r="AP16" s="155">
        <f t="shared" si="9"/>
        <v>0</v>
      </c>
      <c r="BE16" s="14"/>
      <c r="BF16" s="14"/>
      <c r="BG16" s="14"/>
    </row>
    <row r="17" spans="1:59" s="2" customFormat="1" ht="30" customHeight="1" thickTop="1" thickBot="1" x14ac:dyDescent="0.25">
      <c r="A17" s="1"/>
      <c r="B17"/>
      <c r="C17" s="172" t="str">
        <f>IF(Funcionários!C16=0,"",Funcionários!C16)</f>
        <v/>
      </c>
      <c r="D17"/>
      <c r="E17" s="115">
        <f>Lanç!E17</f>
        <v>10</v>
      </c>
      <c r="F17" s="189" t="str">
        <f>Lanç!F17</f>
        <v>Ter</v>
      </c>
      <c r="G17" s="81"/>
      <c r="H17" s="94"/>
      <c r="I17" s="94"/>
      <c r="J17" s="94"/>
      <c r="K17" s="94"/>
      <c r="L17" s="197"/>
      <c r="M17" s="95">
        <f t="shared" si="1"/>
        <v>0</v>
      </c>
      <c r="N17" s="196"/>
      <c r="O17" s="95">
        <f ca="1">IF(OR(G17=0,G17="Férias",G17="Falta Justificada",G17="Feriado",G17="Folga (DSR)"),0,IF(G17="Falta Injustificada",HLOOKUP($F17,Jornada!$X$7:$AD$37,VLOOKUP(INDIRECT($C$5),Jornada!$C$8:$W$37,21,0),0),IF(HLOOKUP($F17,Jornada!$X$7:$AD$37,VLOOKUP(INDIRECT($C$5),Jornada!$C$8:$W$37,21,0),0)-M17&gt;0,HLOOKUP($F17,Jornada!$X$7:$AD$37,VLOOKUP(INDIRECT($C$5),Jornada!$C$8:$W$37,21,0),0)-M17,0)))</f>
        <v>0</v>
      </c>
      <c r="P17" s="193">
        <f ca="1">IF(HLOOKUP($F17,Jornada!$X$7:$AD$37,VLOOKUP(INDIRECT($C$5),Jornada!$C$8:$W$37,21,0),0)-M17&lt;0,ABS(HLOOKUP($F17,Jornada!$X$7:$AD$37,VLOOKUP(INDIRECT($C$5),Jornada!$C$8:$W$37,21,0),0)-M17),0)</f>
        <v>0</v>
      </c>
      <c r="Q17" s="95">
        <f t="shared" si="0"/>
        <v>0</v>
      </c>
      <c r="R17" s="2">
        <f t="shared" si="2"/>
        <v>0</v>
      </c>
      <c r="S17" s="294"/>
      <c r="T17" s="294"/>
      <c r="U17" s="295"/>
      <c r="W17" s="2" t="s">
        <v>100</v>
      </c>
      <c r="X17" s="156">
        <v>11</v>
      </c>
      <c r="AB17" s="177">
        <f t="shared" si="10"/>
        <v>10</v>
      </c>
      <c r="AC17" s="2">
        <f t="shared" si="3"/>
        <v>3</v>
      </c>
      <c r="AG17" s="220">
        <f t="shared" si="4"/>
        <v>0</v>
      </c>
      <c r="AH17" s="220">
        <f ca="1">IF(HLOOKUP($F17,Jornada!$X$7:$AD$37,VLOOKUP(INDIRECT($C$5),Jornada!$C$8:$W$37,21,0),0)=0,0,VLOOKUP(INDIRECT($C$5),Jornada!$C$8:$H$37,4,0))</f>
        <v>0</v>
      </c>
      <c r="AI17" s="155">
        <f ca="1">IF(AND(I17=0,J17=0,OR(H17&lt;&gt;0,K17&lt;&gt;0),HLOOKUP($F17,Jornada!$X$7:$AD$37,VLOOKUP(INDIRECT($C$5),Jornada!$C$8:$W$37,21,0),0)&gt;$AK$5,M17&gt;$AK$5),VLOOKUP(INDIRECT($C$5),Jornada!$C$8:$H$37,6,0),IF(AG17&gt;VLOOKUP(INDIRECT($C$5),Jornada!$C$8:$H$37,6,0),IF(VLOOKUP(INDIRECT($C$5),Jornada!$C$8:$H$37,6,0)&lt;AG17,0,ABS(VLOOKUP(INDIRECT($C$5),Jornada!$C$8:$H$37,6,0))-AG17),0))</f>
        <v>0</v>
      </c>
      <c r="AJ17" s="155">
        <f t="shared" si="5"/>
        <v>1</v>
      </c>
      <c r="AK17" s="155">
        <f t="shared" si="6"/>
        <v>0</v>
      </c>
      <c r="AL17" s="155">
        <f ca="1">HLOOKUP($F17,Jornada!$I$5:$V$37,VLOOKUP(INDIRECT($C$5),Jornada!$C$8:$W$37,21,0)+2,0)</f>
        <v>0</v>
      </c>
      <c r="AM17" s="155">
        <f ca="1">HLOOKUP($F17,Jornada!$I$4:$V$37,VLOOKUP(INDIRECT($C$5),Jornada!$C$8:$W$37,21,0)+3,0)</f>
        <v>0</v>
      </c>
      <c r="AN17" s="155">
        <f t="shared" ca="1" si="7"/>
        <v>0</v>
      </c>
      <c r="AO17" s="155">
        <f t="shared" si="8"/>
        <v>0</v>
      </c>
      <c r="AP17" s="155">
        <f t="shared" si="9"/>
        <v>0</v>
      </c>
      <c r="BE17" s="14"/>
      <c r="BF17" s="14"/>
      <c r="BG17" s="14"/>
    </row>
    <row r="18" spans="1:59" s="2" customFormat="1" ht="30" customHeight="1" thickTop="1" thickBot="1" x14ac:dyDescent="0.25">
      <c r="A18" s="1"/>
      <c r="B18"/>
      <c r="C18" s="172" t="str">
        <f>IF(Funcionários!C17=0,"",Funcionários!C17)</f>
        <v/>
      </c>
      <c r="D18"/>
      <c r="E18" s="115">
        <f>Lanç!E18</f>
        <v>11</v>
      </c>
      <c r="F18" s="189" t="str">
        <f>Lanç!F18</f>
        <v>Qua</v>
      </c>
      <c r="G18" s="81"/>
      <c r="H18" s="94"/>
      <c r="I18" s="94"/>
      <c r="J18" s="94"/>
      <c r="K18" s="94"/>
      <c r="L18" s="197"/>
      <c r="M18" s="95">
        <f t="shared" si="1"/>
        <v>0</v>
      </c>
      <c r="N18" s="196"/>
      <c r="O18" s="95">
        <f ca="1">IF(OR(G18=0,G18="Férias",G18="Falta Justificada",G18="Feriado",G18="Folga (DSR)"),0,IF(G18="Falta Injustificada",HLOOKUP($F18,Jornada!$X$7:$AD$37,VLOOKUP(INDIRECT($C$5),Jornada!$C$8:$W$37,21,0),0),IF(HLOOKUP($F18,Jornada!$X$7:$AD$37,VLOOKUP(INDIRECT($C$5),Jornada!$C$8:$W$37,21,0),0)-M18&gt;0,HLOOKUP($F18,Jornada!$X$7:$AD$37,VLOOKUP(INDIRECT($C$5),Jornada!$C$8:$W$37,21,0),0)-M18,0)))</f>
        <v>0</v>
      </c>
      <c r="P18" s="193">
        <f ca="1">IF(HLOOKUP($F18,Jornada!$X$7:$AD$37,VLOOKUP(INDIRECT($C$5),Jornada!$C$8:$W$37,21,0),0)-M18&lt;0,ABS(HLOOKUP($F18,Jornada!$X$7:$AD$37,VLOOKUP(INDIRECT($C$5),Jornada!$C$8:$W$37,21,0),0)-M18),0)</f>
        <v>0</v>
      </c>
      <c r="Q18" s="95">
        <f t="shared" si="0"/>
        <v>0</v>
      </c>
      <c r="R18" s="2">
        <f t="shared" si="2"/>
        <v>0</v>
      </c>
      <c r="S18" s="294" t="s">
        <v>69</v>
      </c>
      <c r="T18" s="294"/>
      <c r="U18" s="299">
        <f ca="1">F54</f>
        <v>0</v>
      </c>
      <c r="W18" s="2" t="s">
        <v>101</v>
      </c>
      <c r="X18" s="156">
        <v>12</v>
      </c>
      <c r="AB18" s="177">
        <f t="shared" si="10"/>
        <v>11</v>
      </c>
      <c r="AC18" s="2">
        <f t="shared" si="3"/>
        <v>4</v>
      </c>
      <c r="AG18" s="220">
        <f t="shared" si="4"/>
        <v>0</v>
      </c>
      <c r="AH18" s="220">
        <f ca="1">IF(HLOOKUP($F18,Jornada!$X$7:$AD$37,VLOOKUP(INDIRECT($C$5),Jornada!$C$8:$W$37,21,0),0)=0,0,VLOOKUP(INDIRECT($C$5),Jornada!$C$8:$H$37,4,0))</f>
        <v>0</v>
      </c>
      <c r="AI18" s="155">
        <f ca="1">IF(AND(I18=0,J18=0,OR(H18&lt;&gt;0,K18&lt;&gt;0),HLOOKUP($F18,Jornada!$X$7:$AD$37,VLOOKUP(INDIRECT($C$5),Jornada!$C$8:$W$37,21,0),0)&gt;$AK$5,M18&gt;$AK$5),VLOOKUP(INDIRECT($C$5),Jornada!$C$8:$H$37,6,0),IF(AG18&gt;VLOOKUP(INDIRECT($C$5),Jornada!$C$8:$H$37,6,0),IF(VLOOKUP(INDIRECT($C$5),Jornada!$C$8:$H$37,6,0)&lt;AG18,0,ABS(VLOOKUP(INDIRECT($C$5),Jornada!$C$8:$H$37,6,0))-AG18),0))</f>
        <v>0</v>
      </c>
      <c r="AJ18" s="155">
        <f t="shared" si="5"/>
        <v>1</v>
      </c>
      <c r="AK18" s="155">
        <f t="shared" si="6"/>
        <v>0</v>
      </c>
      <c r="AL18" s="155">
        <f ca="1">HLOOKUP($F18,Jornada!$I$5:$V$37,VLOOKUP(INDIRECT($C$5),Jornada!$C$8:$W$37,21,0)+2,0)</f>
        <v>0</v>
      </c>
      <c r="AM18" s="155">
        <f ca="1">HLOOKUP($F18,Jornada!$I$4:$V$37,VLOOKUP(INDIRECT($C$5),Jornada!$C$8:$W$37,21,0)+3,0)</f>
        <v>0</v>
      </c>
      <c r="AN18" s="155">
        <f t="shared" ca="1" si="7"/>
        <v>0</v>
      </c>
      <c r="AO18" s="155">
        <f t="shared" si="8"/>
        <v>0</v>
      </c>
      <c r="AP18" s="155">
        <f t="shared" si="9"/>
        <v>0</v>
      </c>
      <c r="BE18" s="14"/>
      <c r="BF18" s="14"/>
      <c r="BG18" s="14"/>
    </row>
    <row r="19" spans="1:59" s="2" customFormat="1" ht="30" customHeight="1" thickTop="1" thickBot="1" x14ac:dyDescent="0.25">
      <c r="A19" s="1"/>
      <c r="B19"/>
      <c r="C19" s="172" t="str">
        <f>IF(Funcionários!C18=0,"",Funcionários!C18)</f>
        <v/>
      </c>
      <c r="D19"/>
      <c r="E19" s="115">
        <f>Lanç!E19</f>
        <v>12</v>
      </c>
      <c r="F19" s="189" t="str">
        <f>Lanç!F19</f>
        <v>Qui</v>
      </c>
      <c r="G19" s="81"/>
      <c r="H19" s="94"/>
      <c r="I19" s="94"/>
      <c r="J19" s="94"/>
      <c r="K19" s="94"/>
      <c r="L19" s="197"/>
      <c r="M19" s="95">
        <f t="shared" si="1"/>
        <v>0</v>
      </c>
      <c r="N19" s="196"/>
      <c r="O19" s="95">
        <f ca="1">IF(OR(G19=0,G19="Férias",G19="Falta Justificada",G19="Feriado",G19="Folga (DSR)"),0,IF(G19="Falta Injustificada",HLOOKUP($F19,Jornada!$X$7:$AD$37,VLOOKUP(INDIRECT($C$5),Jornada!$C$8:$W$37,21,0),0),IF(HLOOKUP($F19,Jornada!$X$7:$AD$37,VLOOKUP(INDIRECT($C$5),Jornada!$C$8:$W$37,21,0),0)-M19&gt;0,HLOOKUP($F19,Jornada!$X$7:$AD$37,VLOOKUP(INDIRECT($C$5),Jornada!$C$8:$W$37,21,0),0)-M19,0)))</f>
        <v>0</v>
      </c>
      <c r="P19" s="193">
        <f ca="1">IF(HLOOKUP($F19,Jornada!$X$7:$AD$37,VLOOKUP(INDIRECT($C$5),Jornada!$C$8:$W$37,21,0),0)-M19&lt;0,ABS(HLOOKUP($F19,Jornada!$X$7:$AD$37,VLOOKUP(INDIRECT($C$5),Jornada!$C$8:$W$37,21,0),0)-M19),0)</f>
        <v>0</v>
      </c>
      <c r="Q19" s="95">
        <f t="shared" si="0"/>
        <v>0</v>
      </c>
      <c r="R19" s="2">
        <f t="shared" si="2"/>
        <v>0</v>
      </c>
      <c r="S19" s="294"/>
      <c r="T19" s="294"/>
      <c r="U19" s="299"/>
      <c r="X19" s="177"/>
      <c r="AB19" s="177">
        <f t="shared" si="10"/>
        <v>12</v>
      </c>
      <c r="AC19" s="2">
        <f t="shared" si="3"/>
        <v>5</v>
      </c>
      <c r="AG19" s="220">
        <f t="shared" si="4"/>
        <v>0</v>
      </c>
      <c r="AH19" s="220">
        <f ca="1">IF(HLOOKUP($F19,Jornada!$X$7:$AD$37,VLOOKUP(INDIRECT($C$5),Jornada!$C$8:$W$37,21,0),0)=0,0,VLOOKUP(INDIRECT($C$5),Jornada!$C$8:$H$37,4,0))</f>
        <v>0</v>
      </c>
      <c r="AI19" s="155">
        <f ca="1">IF(AND(I19=0,J19=0,OR(H19&lt;&gt;0,K19&lt;&gt;0),HLOOKUP($F19,Jornada!$X$7:$AD$37,VLOOKUP(INDIRECT($C$5),Jornada!$C$8:$W$37,21,0),0)&gt;$AK$5,M19&gt;$AK$5),VLOOKUP(INDIRECT($C$5),Jornada!$C$8:$H$37,6,0),IF(AG19&gt;VLOOKUP(INDIRECT($C$5),Jornada!$C$8:$H$37,6,0),IF(VLOOKUP(INDIRECT($C$5),Jornada!$C$8:$H$37,6,0)&lt;AG19,0,ABS(VLOOKUP(INDIRECT($C$5),Jornada!$C$8:$H$37,6,0))-AG19),0))</f>
        <v>0</v>
      </c>
      <c r="AJ19" s="155">
        <f t="shared" si="5"/>
        <v>1</v>
      </c>
      <c r="AK19" s="155">
        <f t="shared" si="6"/>
        <v>0</v>
      </c>
      <c r="AL19" s="155">
        <f ca="1">HLOOKUP($F19,Jornada!$I$5:$V$37,VLOOKUP(INDIRECT($C$5),Jornada!$C$8:$W$37,21,0)+2,0)</f>
        <v>0</v>
      </c>
      <c r="AM19" s="155">
        <f ca="1">HLOOKUP($F19,Jornada!$I$4:$V$37,VLOOKUP(INDIRECT($C$5),Jornada!$C$8:$W$37,21,0)+3,0)</f>
        <v>0</v>
      </c>
      <c r="AN19" s="155">
        <f t="shared" ca="1" si="7"/>
        <v>0</v>
      </c>
      <c r="AO19" s="155">
        <f t="shared" si="8"/>
        <v>0</v>
      </c>
      <c r="AP19" s="155">
        <f t="shared" si="9"/>
        <v>0</v>
      </c>
      <c r="BE19" s="14"/>
      <c r="BF19" s="14"/>
      <c r="BG19" s="14"/>
    </row>
    <row r="20" spans="1:59" s="2" customFormat="1" ht="30" customHeight="1" thickTop="1" thickBot="1" x14ac:dyDescent="0.25">
      <c r="A20" s="1"/>
      <c r="B20"/>
      <c r="C20" s="172" t="str">
        <f>IF(Funcionários!C19=0,"",Funcionários!C19)</f>
        <v/>
      </c>
      <c r="D20"/>
      <c r="E20" s="115">
        <f>Lanç!E20</f>
        <v>13</v>
      </c>
      <c r="F20" s="189" t="str">
        <f>Lanç!F20</f>
        <v>Sex</v>
      </c>
      <c r="G20" s="81"/>
      <c r="H20" s="94"/>
      <c r="I20" s="94"/>
      <c r="J20" s="94"/>
      <c r="K20" s="94"/>
      <c r="L20" s="197"/>
      <c r="M20" s="95">
        <f t="shared" si="1"/>
        <v>0</v>
      </c>
      <c r="N20" s="196"/>
      <c r="O20" s="95">
        <f ca="1">IF(OR(G20=0,G20="Férias",G20="Falta Justificada",G20="Feriado",G20="Folga (DSR)"),0,IF(G20="Falta Injustificada",HLOOKUP($F20,Jornada!$X$7:$AD$37,VLOOKUP(INDIRECT($C$5),Jornada!$C$8:$W$37,21,0),0),IF(HLOOKUP($F20,Jornada!$X$7:$AD$37,VLOOKUP(INDIRECT($C$5),Jornada!$C$8:$W$37,21,0),0)-M20&gt;0,HLOOKUP($F20,Jornada!$X$7:$AD$37,VLOOKUP(INDIRECT($C$5),Jornada!$C$8:$W$37,21,0),0)-M20,0)))</f>
        <v>0</v>
      </c>
      <c r="P20" s="193">
        <f ca="1">IF(HLOOKUP($F20,Jornada!$X$7:$AD$37,VLOOKUP(INDIRECT($C$5),Jornada!$C$8:$W$37,21,0),0)-M20&lt;0,ABS(HLOOKUP($F20,Jornada!$X$7:$AD$37,VLOOKUP(INDIRECT($C$5),Jornada!$C$8:$W$37,21,0),0)-M20),0)</f>
        <v>0</v>
      </c>
      <c r="Q20" s="95">
        <f t="shared" si="0"/>
        <v>0</v>
      </c>
      <c r="R20" s="2">
        <f t="shared" si="2"/>
        <v>0</v>
      </c>
      <c r="S20"/>
      <c r="T20"/>
      <c r="U20"/>
      <c r="X20" s="177"/>
      <c r="AB20" s="177">
        <f t="shared" si="10"/>
        <v>13</v>
      </c>
      <c r="AC20" s="2">
        <f t="shared" si="3"/>
        <v>6</v>
      </c>
      <c r="AG20" s="220">
        <f t="shared" si="4"/>
        <v>0</v>
      </c>
      <c r="AH20" s="220">
        <f ca="1">IF(HLOOKUP($F20,Jornada!$X$7:$AD$37,VLOOKUP(INDIRECT($C$5),Jornada!$C$8:$W$37,21,0),0)=0,0,VLOOKUP(INDIRECT($C$5),Jornada!$C$8:$H$37,4,0))</f>
        <v>0</v>
      </c>
      <c r="AI20" s="155">
        <f ca="1">IF(AND(I20=0,J20=0,OR(H20&lt;&gt;0,K20&lt;&gt;0),HLOOKUP($F20,Jornada!$X$7:$AD$37,VLOOKUP(INDIRECT($C$5),Jornada!$C$8:$W$37,21,0),0)&gt;$AK$5,M20&gt;$AK$5),VLOOKUP(INDIRECT($C$5),Jornada!$C$8:$H$37,6,0),IF(AG20&gt;VLOOKUP(INDIRECT($C$5),Jornada!$C$8:$H$37,6,0),IF(VLOOKUP(INDIRECT($C$5),Jornada!$C$8:$H$37,6,0)&lt;AG20,0,ABS(VLOOKUP(INDIRECT($C$5),Jornada!$C$8:$H$37,6,0))-AG20),0))</f>
        <v>0</v>
      </c>
      <c r="AJ20" s="155">
        <f t="shared" si="5"/>
        <v>1</v>
      </c>
      <c r="AK20" s="155">
        <f t="shared" si="6"/>
        <v>0</v>
      </c>
      <c r="AL20" s="155">
        <f ca="1">HLOOKUP($F20,Jornada!$I$5:$V$37,VLOOKUP(INDIRECT($C$5),Jornada!$C$8:$W$37,21,0)+2,0)</f>
        <v>0</v>
      </c>
      <c r="AM20" s="155">
        <f ca="1">HLOOKUP($F20,Jornada!$I$4:$V$37,VLOOKUP(INDIRECT($C$5),Jornada!$C$8:$W$37,21,0)+3,0)</f>
        <v>0</v>
      </c>
      <c r="AN20" s="155">
        <f t="shared" ca="1" si="7"/>
        <v>0</v>
      </c>
      <c r="AO20" s="155">
        <f t="shared" si="8"/>
        <v>0</v>
      </c>
      <c r="AP20" s="155">
        <f t="shared" si="9"/>
        <v>0</v>
      </c>
      <c r="BE20" s="14"/>
      <c r="BF20" s="14"/>
      <c r="BG20" s="14"/>
    </row>
    <row r="21" spans="1:59" s="2" customFormat="1" ht="30" customHeight="1" thickTop="1" thickBot="1" x14ac:dyDescent="0.25">
      <c r="A21" s="1"/>
      <c r="B21"/>
      <c r="C21" s="172" t="str">
        <f>IF(Funcionários!C20=0,"",Funcionários!C20)</f>
        <v/>
      </c>
      <c r="D21"/>
      <c r="E21" s="115">
        <f>Lanç!E21</f>
        <v>14</v>
      </c>
      <c r="F21" s="189" t="str">
        <f>Lanç!F21</f>
        <v>Sáb</v>
      </c>
      <c r="G21" s="81"/>
      <c r="H21" s="94"/>
      <c r="I21" s="94"/>
      <c r="J21" s="94"/>
      <c r="K21" s="94"/>
      <c r="L21" s="197"/>
      <c r="M21" s="95">
        <f t="shared" si="1"/>
        <v>0</v>
      </c>
      <c r="N21" s="196"/>
      <c r="O21" s="95">
        <f ca="1">IF(OR(G21=0,G21="Férias",G21="Falta Justificada",G21="Feriado",G21="Folga (DSR)"),0,IF(G21="Falta Injustificada",HLOOKUP($F21,Jornada!$X$7:$AD$37,VLOOKUP(INDIRECT($C$5),Jornada!$C$8:$W$37,21,0),0),IF(HLOOKUP($F21,Jornada!$X$7:$AD$37,VLOOKUP(INDIRECT($C$5),Jornada!$C$8:$W$37,21,0),0)-M21&gt;0,HLOOKUP($F21,Jornada!$X$7:$AD$37,VLOOKUP(INDIRECT($C$5),Jornada!$C$8:$W$37,21,0),0)-M21,0)))</f>
        <v>0</v>
      </c>
      <c r="P21" s="193">
        <f ca="1">IF(HLOOKUP($F21,Jornada!$X$7:$AD$37,VLOOKUP(INDIRECT($C$5),Jornada!$C$8:$W$37,21,0),0)-M21&lt;0,ABS(HLOOKUP($F21,Jornada!$X$7:$AD$37,VLOOKUP(INDIRECT($C$5),Jornada!$C$8:$W$37,21,0),0)-M21),0)</f>
        <v>0</v>
      </c>
      <c r="Q21" s="95">
        <f t="shared" si="0"/>
        <v>0</v>
      </c>
      <c r="R21" s="2">
        <f t="shared" si="2"/>
        <v>0</v>
      </c>
      <c r="S21"/>
      <c r="T21"/>
      <c r="U21"/>
      <c r="X21" s="177"/>
      <c r="AB21" s="177">
        <f t="shared" si="10"/>
        <v>14</v>
      </c>
      <c r="AC21" s="2">
        <f t="shared" si="3"/>
        <v>7</v>
      </c>
      <c r="AG21" s="220">
        <f t="shared" si="4"/>
        <v>0</v>
      </c>
      <c r="AH21" s="220">
        <f ca="1">IF(HLOOKUP($F21,Jornada!$X$7:$AD$37,VLOOKUP(INDIRECT($C$5),Jornada!$C$8:$W$37,21,0),0)=0,0,VLOOKUP(INDIRECT($C$5),Jornada!$C$8:$H$37,4,0))</f>
        <v>0</v>
      </c>
      <c r="AI21" s="155">
        <f ca="1">IF(AND(I21=0,J21=0,OR(H21&lt;&gt;0,K21&lt;&gt;0),HLOOKUP($F21,Jornada!$X$7:$AD$37,VLOOKUP(INDIRECT($C$5),Jornada!$C$8:$W$37,21,0),0)&gt;$AK$5,M21&gt;$AK$5),VLOOKUP(INDIRECT($C$5),Jornada!$C$8:$H$37,6,0),IF(AG21&gt;VLOOKUP(INDIRECT($C$5),Jornada!$C$8:$H$37,6,0),IF(VLOOKUP(INDIRECT($C$5),Jornada!$C$8:$H$37,6,0)&lt;AG21,0,ABS(VLOOKUP(INDIRECT($C$5),Jornada!$C$8:$H$37,6,0))-AG21),0))</f>
        <v>0</v>
      </c>
      <c r="AJ21" s="155">
        <f t="shared" si="5"/>
        <v>1</v>
      </c>
      <c r="AK21" s="155">
        <f t="shared" si="6"/>
        <v>0</v>
      </c>
      <c r="AL21" s="155">
        <f ca="1">HLOOKUP($F21,Jornada!$I$5:$V$37,VLOOKUP(INDIRECT($C$5),Jornada!$C$8:$W$37,21,0)+2,0)</f>
        <v>0</v>
      </c>
      <c r="AM21" s="155">
        <f ca="1">HLOOKUP($F21,Jornada!$I$4:$V$37,VLOOKUP(INDIRECT($C$5),Jornada!$C$8:$W$37,21,0)+3,0)</f>
        <v>0</v>
      </c>
      <c r="AN21" s="155">
        <f t="shared" ca="1" si="7"/>
        <v>0</v>
      </c>
      <c r="AO21" s="155">
        <f t="shared" si="8"/>
        <v>0</v>
      </c>
      <c r="AP21" s="155">
        <f t="shared" si="9"/>
        <v>0</v>
      </c>
      <c r="BE21" s="14"/>
      <c r="BF21" s="14"/>
      <c r="BG21" s="14"/>
    </row>
    <row r="22" spans="1:59" s="2" customFormat="1" ht="30" customHeight="1" thickTop="1" thickBot="1" x14ac:dyDescent="0.25">
      <c r="A22" s="1"/>
      <c r="B22"/>
      <c r="C22" s="172" t="str">
        <f>IF(Funcionários!C21=0,"",Funcionários!C21)</f>
        <v/>
      </c>
      <c r="D22"/>
      <c r="E22" s="115">
        <f>Lanç!E22</f>
        <v>15</v>
      </c>
      <c r="F22" s="189" t="str">
        <f>Lanç!F22</f>
        <v>Dom</v>
      </c>
      <c r="G22" s="81"/>
      <c r="H22" s="94"/>
      <c r="I22" s="94"/>
      <c r="J22" s="94"/>
      <c r="K22" s="94"/>
      <c r="L22" s="197"/>
      <c r="M22" s="95">
        <f t="shared" si="1"/>
        <v>0</v>
      </c>
      <c r="N22" s="196"/>
      <c r="O22" s="95">
        <f ca="1">IF(OR(G22=0,G22="Férias",G22="Falta Justificada",G22="Feriado",G22="Folga (DSR)"),0,IF(G22="Falta Injustificada",HLOOKUP($F22,Jornada!$X$7:$AD$37,VLOOKUP(INDIRECT($C$5),Jornada!$C$8:$W$37,21,0),0),IF(HLOOKUP($F22,Jornada!$X$7:$AD$37,VLOOKUP(INDIRECT($C$5),Jornada!$C$8:$W$37,21,0),0)-M22&gt;0,HLOOKUP($F22,Jornada!$X$7:$AD$37,VLOOKUP(INDIRECT($C$5),Jornada!$C$8:$W$37,21,0),0)-M22,0)))</f>
        <v>0</v>
      </c>
      <c r="P22" s="193">
        <f ca="1">IF(HLOOKUP($F22,Jornada!$X$7:$AD$37,VLOOKUP(INDIRECT($C$5),Jornada!$C$8:$W$37,21,0),0)-M22&lt;0,ABS(HLOOKUP($F22,Jornada!$X$7:$AD$37,VLOOKUP(INDIRECT($C$5),Jornada!$C$8:$W$37,21,0),0)-M22),0)</f>
        <v>0</v>
      </c>
      <c r="Q22" s="95">
        <f t="shared" si="0"/>
        <v>0</v>
      </c>
      <c r="R22" s="2">
        <f t="shared" si="2"/>
        <v>0</v>
      </c>
      <c r="S22" s="300" t="s">
        <v>63</v>
      </c>
      <c r="T22" s="301"/>
      <c r="U22" s="302"/>
      <c r="X22" s="177"/>
      <c r="AB22" s="177">
        <f t="shared" si="10"/>
        <v>15</v>
      </c>
      <c r="AC22" s="2">
        <f t="shared" si="3"/>
        <v>1</v>
      </c>
      <c r="AG22" s="220">
        <f t="shared" si="4"/>
        <v>0</v>
      </c>
      <c r="AH22" s="220">
        <f ca="1">IF(HLOOKUP($F22,Jornada!$X$7:$AD$37,VLOOKUP(INDIRECT($C$5),Jornada!$C$8:$W$37,21,0),0)=0,0,VLOOKUP(INDIRECT($C$5),Jornada!$C$8:$H$37,4,0))</f>
        <v>0</v>
      </c>
      <c r="AI22" s="155">
        <f ca="1">IF(AND(I22=0,J22=0,OR(H22&lt;&gt;0,K22&lt;&gt;0),HLOOKUP($F22,Jornada!$X$7:$AD$37,VLOOKUP(INDIRECT($C$5),Jornada!$C$8:$W$37,21,0),0)&gt;$AK$5,M22&gt;$AK$5),VLOOKUP(INDIRECT($C$5),Jornada!$C$8:$H$37,6,0),IF(AG22&gt;VLOOKUP(INDIRECT($C$5),Jornada!$C$8:$H$37,6,0),IF(VLOOKUP(INDIRECT($C$5),Jornada!$C$8:$H$37,6,0)&lt;AG22,0,ABS(VLOOKUP(INDIRECT($C$5),Jornada!$C$8:$H$37,6,0))-AG22),0))</f>
        <v>0</v>
      </c>
      <c r="AJ22" s="155">
        <f t="shared" si="5"/>
        <v>1</v>
      </c>
      <c r="AK22" s="155">
        <f t="shared" si="6"/>
        <v>0</v>
      </c>
      <c r="AL22" s="155">
        <f ca="1">HLOOKUP($F22,Jornada!$I$5:$V$37,VLOOKUP(INDIRECT($C$5),Jornada!$C$8:$W$37,21,0)+2,0)</f>
        <v>0</v>
      </c>
      <c r="AM22" s="155">
        <f ca="1">HLOOKUP($F22,Jornada!$I$4:$V$37,VLOOKUP(INDIRECT($C$5),Jornada!$C$8:$W$37,21,0)+3,0)</f>
        <v>0</v>
      </c>
      <c r="AN22" s="155">
        <f t="shared" ca="1" si="7"/>
        <v>0</v>
      </c>
      <c r="AO22" s="155">
        <f t="shared" si="8"/>
        <v>0</v>
      </c>
      <c r="AP22" s="155">
        <f t="shared" si="9"/>
        <v>0</v>
      </c>
      <c r="BE22" s="14"/>
      <c r="BF22" s="14"/>
      <c r="BG22" s="14"/>
    </row>
    <row r="23" spans="1:59" s="2" customFormat="1" ht="30" customHeight="1" thickTop="1" thickBot="1" x14ac:dyDescent="0.25">
      <c r="A23" s="1"/>
      <c r="B23"/>
      <c r="C23" s="172" t="str">
        <f>IF(Funcionários!C22=0,"",Funcionários!C22)</f>
        <v/>
      </c>
      <c r="D23"/>
      <c r="E23" s="115">
        <f>Lanç!E23</f>
        <v>16</v>
      </c>
      <c r="F23" s="189" t="str">
        <f>Lanç!F23</f>
        <v>Seg</v>
      </c>
      <c r="G23" s="81"/>
      <c r="H23" s="94"/>
      <c r="I23" s="94"/>
      <c r="J23" s="94"/>
      <c r="K23" s="94"/>
      <c r="L23" s="197"/>
      <c r="M23" s="95">
        <f t="shared" si="1"/>
        <v>0</v>
      </c>
      <c r="N23" s="196"/>
      <c r="O23" s="95">
        <f ca="1">IF(OR(G23=0,G23="Férias",G23="Falta Justificada",G23="Feriado",G23="Folga (DSR)"),0,IF(G23="Falta Injustificada",HLOOKUP($F23,Jornada!$X$7:$AD$37,VLOOKUP(INDIRECT($C$5),Jornada!$C$8:$W$37,21,0),0),IF(HLOOKUP($F23,Jornada!$X$7:$AD$37,VLOOKUP(INDIRECT($C$5),Jornada!$C$8:$W$37,21,0),0)-M23&gt;0,HLOOKUP($F23,Jornada!$X$7:$AD$37,VLOOKUP(INDIRECT($C$5),Jornada!$C$8:$W$37,21,0),0)-M23,0)))</f>
        <v>0</v>
      </c>
      <c r="P23" s="193">
        <f ca="1">IF(HLOOKUP($F23,Jornada!$X$7:$AD$37,VLOOKUP(INDIRECT($C$5),Jornada!$C$8:$W$37,21,0),0)-M23&lt;0,ABS(HLOOKUP($F23,Jornada!$X$7:$AD$37,VLOOKUP(INDIRECT($C$5),Jornada!$C$8:$W$37,21,0),0)-M23),0)</f>
        <v>0</v>
      </c>
      <c r="Q23" s="95">
        <f t="shared" si="0"/>
        <v>0</v>
      </c>
      <c r="R23" s="2">
        <f t="shared" si="2"/>
        <v>0</v>
      </c>
      <c r="S23" s="296" t="str">
        <f>IF(SUM(R8:R38)&gt;0,"Segundo o art 59 da CLT, o máximo de horas extras permitidas por dia são 2 horas.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T23" s="297"/>
      <c r="U23" s="298"/>
      <c r="X23" s="177"/>
      <c r="AB23" s="177">
        <f t="shared" si="10"/>
        <v>16</v>
      </c>
      <c r="AC23" s="2">
        <f t="shared" si="3"/>
        <v>2</v>
      </c>
      <c r="AG23" s="220">
        <f t="shared" si="4"/>
        <v>0</v>
      </c>
      <c r="AH23" s="220">
        <f ca="1">IF(HLOOKUP($F23,Jornada!$X$7:$AD$37,VLOOKUP(INDIRECT($C$5),Jornada!$C$8:$W$37,21,0),0)=0,0,VLOOKUP(INDIRECT($C$5),Jornada!$C$8:$H$37,4,0))</f>
        <v>0</v>
      </c>
      <c r="AI23" s="155">
        <f ca="1">IF(AND(I23=0,J23=0,OR(H23&lt;&gt;0,K23&lt;&gt;0),HLOOKUP($F23,Jornada!$X$7:$AD$37,VLOOKUP(INDIRECT($C$5),Jornada!$C$8:$W$37,21,0),0)&gt;$AK$5,M23&gt;$AK$5),VLOOKUP(INDIRECT($C$5),Jornada!$C$8:$H$37,6,0),IF(AG23&gt;VLOOKUP(INDIRECT($C$5),Jornada!$C$8:$H$37,6,0),IF(VLOOKUP(INDIRECT($C$5),Jornada!$C$8:$H$37,6,0)&lt;AG23,0,ABS(VLOOKUP(INDIRECT($C$5),Jornada!$C$8:$H$37,6,0))-AG23),0))</f>
        <v>0</v>
      </c>
      <c r="AJ23" s="155">
        <f t="shared" si="5"/>
        <v>1</v>
      </c>
      <c r="AK23" s="155">
        <f t="shared" si="6"/>
        <v>0</v>
      </c>
      <c r="AL23" s="155">
        <f ca="1">HLOOKUP($F23,Jornada!$I$5:$V$37,VLOOKUP(INDIRECT($C$5),Jornada!$C$8:$W$37,21,0)+2,0)</f>
        <v>0</v>
      </c>
      <c r="AM23" s="155">
        <f ca="1">HLOOKUP($F23,Jornada!$I$4:$V$37,VLOOKUP(INDIRECT($C$5),Jornada!$C$8:$W$37,21,0)+3,0)</f>
        <v>0</v>
      </c>
      <c r="AN23" s="155">
        <f t="shared" ca="1" si="7"/>
        <v>0</v>
      </c>
      <c r="AO23" s="155">
        <f t="shared" si="8"/>
        <v>0</v>
      </c>
      <c r="AP23" s="155">
        <f t="shared" si="9"/>
        <v>0</v>
      </c>
      <c r="BE23" s="14"/>
      <c r="BF23" s="14"/>
      <c r="BG23" s="14"/>
    </row>
    <row r="24" spans="1:59" s="2" customFormat="1" ht="30" customHeight="1" thickTop="1" thickBot="1" x14ac:dyDescent="0.25">
      <c r="A24" s="1"/>
      <c r="B24"/>
      <c r="C24" s="172" t="str">
        <f>IF(Funcionários!C23=0,"",Funcionários!C23)</f>
        <v/>
      </c>
      <c r="D24"/>
      <c r="E24" s="115">
        <f>Lanç!E24</f>
        <v>17</v>
      </c>
      <c r="F24" s="189" t="str">
        <f>Lanç!F24</f>
        <v>Ter</v>
      </c>
      <c r="G24" s="81"/>
      <c r="H24" s="94"/>
      <c r="I24" s="94"/>
      <c r="J24" s="94"/>
      <c r="K24" s="94"/>
      <c r="L24" s="197"/>
      <c r="M24" s="95">
        <f t="shared" si="1"/>
        <v>0</v>
      </c>
      <c r="N24" s="196"/>
      <c r="O24" s="95">
        <f ca="1">IF(OR(G24=0,G24="Férias",G24="Falta Justificada",G24="Feriado",G24="Folga (DSR)"),0,IF(G24="Falta Injustificada",HLOOKUP($F24,Jornada!$X$7:$AD$37,VLOOKUP(INDIRECT($C$5),Jornada!$C$8:$W$37,21,0),0),IF(HLOOKUP($F24,Jornada!$X$7:$AD$37,VLOOKUP(INDIRECT($C$5),Jornada!$C$8:$W$37,21,0),0)-M24&gt;0,HLOOKUP($F24,Jornada!$X$7:$AD$37,VLOOKUP(INDIRECT($C$5),Jornada!$C$8:$W$37,21,0),0)-M24,0)))</f>
        <v>0</v>
      </c>
      <c r="P24" s="193">
        <f ca="1">IF(HLOOKUP($F24,Jornada!$X$7:$AD$37,VLOOKUP(INDIRECT($C$5),Jornada!$C$8:$W$37,21,0),0)-M24&lt;0,ABS(HLOOKUP($F24,Jornada!$X$7:$AD$37,VLOOKUP(INDIRECT($C$5),Jornada!$C$8:$W$37,21,0),0)-M24),0)</f>
        <v>0</v>
      </c>
      <c r="Q24" s="95">
        <f t="shared" si="0"/>
        <v>0</v>
      </c>
      <c r="R24" s="2">
        <f t="shared" si="2"/>
        <v>0</v>
      </c>
      <c r="S24" s="296"/>
      <c r="T24" s="297"/>
      <c r="U24" s="298"/>
      <c r="X24" s="177"/>
      <c r="AB24" s="177">
        <f t="shared" si="10"/>
        <v>17</v>
      </c>
      <c r="AC24" s="2">
        <f t="shared" si="3"/>
        <v>3</v>
      </c>
      <c r="AG24" s="220">
        <f t="shared" si="4"/>
        <v>0</v>
      </c>
      <c r="AH24" s="220">
        <f ca="1">IF(HLOOKUP($F24,Jornada!$X$7:$AD$37,VLOOKUP(INDIRECT($C$5),Jornada!$C$8:$W$37,21,0),0)=0,0,VLOOKUP(INDIRECT($C$5),Jornada!$C$8:$H$37,4,0))</f>
        <v>0</v>
      </c>
      <c r="AI24" s="155">
        <f ca="1">IF(AND(I24=0,J24=0,OR(H24&lt;&gt;0,K24&lt;&gt;0),HLOOKUP($F24,Jornada!$X$7:$AD$37,VLOOKUP(INDIRECT($C$5),Jornada!$C$8:$W$37,21,0),0)&gt;$AK$5,M24&gt;$AK$5),VLOOKUP(INDIRECT($C$5),Jornada!$C$8:$H$37,6,0),IF(AG24&gt;VLOOKUP(INDIRECT($C$5),Jornada!$C$8:$H$37,6,0),IF(VLOOKUP(INDIRECT($C$5),Jornada!$C$8:$H$37,6,0)&lt;AG24,0,ABS(VLOOKUP(INDIRECT($C$5),Jornada!$C$8:$H$37,6,0))-AG24),0))</f>
        <v>0</v>
      </c>
      <c r="AJ24" s="155">
        <f t="shared" si="5"/>
        <v>1</v>
      </c>
      <c r="AK24" s="155">
        <f t="shared" si="6"/>
        <v>0</v>
      </c>
      <c r="AL24" s="155">
        <f ca="1">HLOOKUP($F24,Jornada!$I$5:$V$37,VLOOKUP(INDIRECT($C$5),Jornada!$C$8:$W$37,21,0)+2,0)</f>
        <v>0</v>
      </c>
      <c r="AM24" s="155">
        <f ca="1">HLOOKUP($F24,Jornada!$I$4:$V$37,VLOOKUP(INDIRECT($C$5),Jornada!$C$8:$W$37,21,0)+3,0)</f>
        <v>0</v>
      </c>
      <c r="AN24" s="155">
        <f t="shared" ca="1" si="7"/>
        <v>0</v>
      </c>
      <c r="AO24" s="155">
        <f t="shared" si="8"/>
        <v>0</v>
      </c>
      <c r="AP24" s="155">
        <f t="shared" si="9"/>
        <v>0</v>
      </c>
      <c r="BE24" s="14"/>
      <c r="BF24" s="14"/>
      <c r="BG24" s="14"/>
    </row>
    <row r="25" spans="1:59" s="2" customFormat="1" ht="30" customHeight="1" thickTop="1" thickBot="1" x14ac:dyDescent="0.25">
      <c r="A25" s="1"/>
      <c r="B25"/>
      <c r="C25" s="172" t="str">
        <f>IF(Funcionários!C24=0,"",Funcionários!C24)</f>
        <v/>
      </c>
      <c r="D25"/>
      <c r="E25" s="115">
        <f>Lanç!E25</f>
        <v>18</v>
      </c>
      <c r="F25" s="189" t="str">
        <f>Lanç!F25</f>
        <v>Qua</v>
      </c>
      <c r="G25" s="81"/>
      <c r="H25" s="94"/>
      <c r="I25" s="94"/>
      <c r="J25" s="94"/>
      <c r="K25" s="94"/>
      <c r="L25" s="197"/>
      <c r="M25" s="95">
        <f t="shared" si="1"/>
        <v>0</v>
      </c>
      <c r="N25" s="196"/>
      <c r="O25" s="95">
        <f ca="1">IF(OR(G25=0,G25="Férias",G25="Falta Justificada",G25="Feriado",G25="Folga (DSR)"),0,IF(G25="Falta Injustificada",HLOOKUP($F25,Jornada!$X$7:$AD$37,VLOOKUP(INDIRECT($C$5),Jornada!$C$8:$W$37,21,0),0),IF(HLOOKUP($F25,Jornada!$X$7:$AD$37,VLOOKUP(INDIRECT($C$5),Jornada!$C$8:$W$37,21,0),0)-M25&gt;0,HLOOKUP($F25,Jornada!$X$7:$AD$37,VLOOKUP(INDIRECT($C$5),Jornada!$C$8:$W$37,21,0),0)-M25,0)))</f>
        <v>0</v>
      </c>
      <c r="P25" s="193">
        <f ca="1">IF(HLOOKUP($F25,Jornada!$X$7:$AD$37,VLOOKUP(INDIRECT($C$5),Jornada!$C$8:$W$37,21,0),0)-M25&lt;0,ABS(HLOOKUP($F25,Jornada!$X$7:$AD$37,VLOOKUP(INDIRECT($C$5),Jornada!$C$8:$W$37,21,0),0)-M25),0)</f>
        <v>0</v>
      </c>
      <c r="Q25" s="95">
        <f t="shared" si="0"/>
        <v>0</v>
      </c>
      <c r="R25" s="2">
        <f t="shared" si="2"/>
        <v>0</v>
      </c>
      <c r="S25" s="296"/>
      <c r="T25" s="297"/>
      <c r="U25" s="298"/>
      <c r="X25" s="177"/>
      <c r="Z25" s="2">
        <f>IF(SUM(R8:R38)&gt;0,1,0)</f>
        <v>0</v>
      </c>
      <c r="AB25" s="177">
        <f t="shared" si="10"/>
        <v>18</v>
      </c>
      <c r="AC25" s="2">
        <f t="shared" si="3"/>
        <v>4</v>
      </c>
      <c r="AG25" s="220">
        <f t="shared" si="4"/>
        <v>0</v>
      </c>
      <c r="AH25" s="220">
        <f ca="1">IF(HLOOKUP($F25,Jornada!$X$7:$AD$37,VLOOKUP(INDIRECT($C$5),Jornada!$C$8:$W$37,21,0),0)=0,0,VLOOKUP(INDIRECT($C$5),Jornada!$C$8:$H$37,4,0))</f>
        <v>0</v>
      </c>
      <c r="AI25" s="155">
        <f ca="1">IF(AND(I25=0,J25=0,OR(H25&lt;&gt;0,K25&lt;&gt;0),HLOOKUP($F25,Jornada!$X$7:$AD$37,VLOOKUP(INDIRECT($C$5),Jornada!$C$8:$W$37,21,0),0)&gt;$AK$5,M25&gt;$AK$5),VLOOKUP(INDIRECT($C$5),Jornada!$C$8:$H$37,6,0),IF(AG25&gt;VLOOKUP(INDIRECT($C$5),Jornada!$C$8:$H$37,6,0),IF(VLOOKUP(INDIRECT($C$5),Jornada!$C$8:$H$37,6,0)&lt;AG25,0,ABS(VLOOKUP(INDIRECT($C$5),Jornada!$C$8:$H$37,6,0))-AG25),0))</f>
        <v>0</v>
      </c>
      <c r="AJ25" s="155">
        <f t="shared" si="5"/>
        <v>1</v>
      </c>
      <c r="AK25" s="155">
        <f t="shared" si="6"/>
        <v>0</v>
      </c>
      <c r="AL25" s="155">
        <f ca="1">HLOOKUP($F25,Jornada!$I$5:$V$37,VLOOKUP(INDIRECT($C$5),Jornada!$C$8:$W$37,21,0)+2,0)</f>
        <v>0</v>
      </c>
      <c r="AM25" s="155">
        <f ca="1">HLOOKUP($F25,Jornada!$I$4:$V$37,VLOOKUP(INDIRECT($C$5),Jornada!$C$8:$W$37,21,0)+3,0)</f>
        <v>0</v>
      </c>
      <c r="AN25" s="155">
        <f t="shared" ca="1" si="7"/>
        <v>0</v>
      </c>
      <c r="AO25" s="155">
        <f t="shared" si="8"/>
        <v>0</v>
      </c>
      <c r="AP25" s="155">
        <f t="shared" si="9"/>
        <v>0</v>
      </c>
      <c r="BE25" s="14"/>
      <c r="BF25" s="14"/>
      <c r="BG25" s="14"/>
    </row>
    <row r="26" spans="1:59" s="2" customFormat="1" ht="30" customHeight="1" thickTop="1" thickBot="1" x14ac:dyDescent="0.25">
      <c r="A26" s="1"/>
      <c r="B26"/>
      <c r="C26" s="172" t="str">
        <f>IF(Funcionários!C25=0,"",Funcionários!C25)</f>
        <v/>
      </c>
      <c r="D26"/>
      <c r="E26" s="115">
        <f>Lanç!E26</f>
        <v>19</v>
      </c>
      <c r="F26" s="189" t="str">
        <f>Lanç!F26</f>
        <v>Qui</v>
      </c>
      <c r="G26" s="81"/>
      <c r="H26" s="94"/>
      <c r="I26" s="94"/>
      <c r="J26" s="94"/>
      <c r="K26" s="94"/>
      <c r="L26" s="197"/>
      <c r="M26" s="95">
        <f t="shared" si="1"/>
        <v>0</v>
      </c>
      <c r="N26" s="196"/>
      <c r="O26" s="95">
        <f ca="1">IF(OR(G26=0,G26="Férias",G26="Falta Justificada",G26="Feriado",G26="Folga (DSR)"),0,IF(G26="Falta Injustificada",HLOOKUP($F26,Jornada!$X$7:$AD$37,VLOOKUP(INDIRECT($C$5),Jornada!$C$8:$W$37,21,0),0),IF(HLOOKUP($F26,Jornada!$X$7:$AD$37,VLOOKUP(INDIRECT($C$5),Jornada!$C$8:$W$37,21,0),0)-M26&gt;0,HLOOKUP($F26,Jornada!$X$7:$AD$37,VLOOKUP(INDIRECT($C$5),Jornada!$C$8:$W$37,21,0),0)-M26,0)))</f>
        <v>0</v>
      </c>
      <c r="P26" s="193">
        <f ca="1">IF(HLOOKUP($F26,Jornada!$X$7:$AD$37,VLOOKUP(INDIRECT($C$5),Jornada!$C$8:$W$37,21,0),0)-M26&lt;0,ABS(HLOOKUP($F26,Jornada!$X$7:$AD$37,VLOOKUP(INDIRECT($C$5),Jornada!$C$8:$W$37,21,0),0)-M26),0)</f>
        <v>0</v>
      </c>
      <c r="Q26" s="95">
        <f t="shared" si="0"/>
        <v>0</v>
      </c>
      <c r="R26" s="2">
        <f t="shared" si="2"/>
        <v>0</v>
      </c>
      <c r="S26" s="296" t="str">
        <f>IF(COUNTIF(G8:G38,"Folga (DSR)")&lt;DAY(E39)/8,"O mês não está contemplando um DSR (Descanso Semanal Remunerado) por semana. Isso pode configurar uma irregularidade segundo as leis trabalhistas.","Parabéns!! Sua folha de pagamento contempla uma DSR por semana conforme a lei trabalhista.")</f>
        <v>O mês não está contemplando um DSR (Descanso Semanal Remunerado) por semana. Isso pode configurar uma irregularidade segundo as leis trabalhistas.</v>
      </c>
      <c r="T26" s="297"/>
      <c r="U26" s="298"/>
      <c r="X26" s="177"/>
      <c r="AB26" s="177">
        <f t="shared" si="10"/>
        <v>19</v>
      </c>
      <c r="AC26" s="2">
        <f t="shared" si="3"/>
        <v>5</v>
      </c>
      <c r="AG26" s="220">
        <f t="shared" si="4"/>
        <v>0</v>
      </c>
      <c r="AH26" s="220">
        <f ca="1">IF(HLOOKUP($F26,Jornada!$X$7:$AD$37,VLOOKUP(INDIRECT($C$5),Jornada!$C$8:$W$37,21,0),0)=0,0,VLOOKUP(INDIRECT($C$5),Jornada!$C$8:$H$37,4,0))</f>
        <v>0</v>
      </c>
      <c r="AI26" s="155">
        <f ca="1">IF(AND(I26=0,J26=0,OR(H26&lt;&gt;0,K26&lt;&gt;0),HLOOKUP($F26,Jornada!$X$7:$AD$37,VLOOKUP(INDIRECT($C$5),Jornada!$C$8:$W$37,21,0),0)&gt;$AK$5,M26&gt;$AK$5),VLOOKUP(INDIRECT($C$5),Jornada!$C$8:$H$37,6,0),IF(AG26&gt;VLOOKUP(INDIRECT($C$5),Jornada!$C$8:$H$37,6,0),IF(VLOOKUP(INDIRECT($C$5),Jornada!$C$8:$H$37,6,0)&lt;AG26,0,ABS(VLOOKUP(INDIRECT($C$5),Jornada!$C$8:$H$37,6,0))-AG26),0))</f>
        <v>0</v>
      </c>
      <c r="AJ26" s="155">
        <f t="shared" si="5"/>
        <v>1</v>
      </c>
      <c r="AK26" s="155">
        <f t="shared" si="6"/>
        <v>0</v>
      </c>
      <c r="AL26" s="155">
        <f ca="1">HLOOKUP($F26,Jornada!$I$5:$V$37,VLOOKUP(INDIRECT($C$5),Jornada!$C$8:$W$37,21,0)+2,0)</f>
        <v>0</v>
      </c>
      <c r="AM26" s="155">
        <f ca="1">HLOOKUP($F26,Jornada!$I$4:$V$37,VLOOKUP(INDIRECT($C$5),Jornada!$C$8:$W$37,21,0)+3,0)</f>
        <v>0</v>
      </c>
      <c r="AN26" s="155">
        <f t="shared" ca="1" si="7"/>
        <v>0</v>
      </c>
      <c r="AO26" s="155">
        <f t="shared" si="8"/>
        <v>0</v>
      </c>
      <c r="AP26" s="155">
        <f t="shared" si="9"/>
        <v>0</v>
      </c>
      <c r="BE26" s="14"/>
      <c r="BF26" s="14"/>
      <c r="BG26" s="14"/>
    </row>
    <row r="27" spans="1:59" s="2" customFormat="1" ht="30" customHeight="1" thickTop="1" thickBot="1" x14ac:dyDescent="0.25">
      <c r="A27" s="1"/>
      <c r="B27"/>
      <c r="C27" s="172" t="str">
        <f>IF(Funcionários!C26=0,"",Funcionários!C26)</f>
        <v/>
      </c>
      <c r="D27"/>
      <c r="E27" s="115">
        <f>Lanç!E27</f>
        <v>20</v>
      </c>
      <c r="F27" s="189" t="str">
        <f>Lanç!F27</f>
        <v>Sex</v>
      </c>
      <c r="G27" s="81"/>
      <c r="H27" s="94"/>
      <c r="I27" s="94"/>
      <c r="J27" s="94"/>
      <c r="K27" s="94"/>
      <c r="L27" s="197"/>
      <c r="M27" s="95">
        <f>IF(AND(H27=K27,H27&lt;&gt;0),$M$6-IF(J27&lt;I27,$AJ$7+J27-I27,J27-I27),IF(H27&gt;K27,(K27+1-H27)-IF(J27&lt;I27,$AJ$7+J27-I27,J27-I27),(K27-H27)-IF(J27&lt;I27,$AJ$7+J27-I27,J27-I27)))</f>
        <v>0</v>
      </c>
      <c r="N27" s="196"/>
      <c r="O27" s="95">
        <f ca="1">IF(OR(G27=0,G27="Férias",G27="Falta Justificada",G27="Feriado",G27="Folga (DSR)"),0,IF(G27="Falta Injustificada",HLOOKUP($F27,Jornada!$X$7:$AD$37,VLOOKUP(INDIRECT($C$5),Jornada!$C$8:$W$37,21,0),0),IF(HLOOKUP($F27,Jornada!$X$7:$AD$37,VLOOKUP(INDIRECT($C$5),Jornada!$C$8:$W$37,21,0),0)-M27&gt;0,HLOOKUP($F27,Jornada!$X$7:$AD$37,VLOOKUP(INDIRECT($C$5),Jornada!$C$8:$W$37,21,0),0)-M27,0)))</f>
        <v>0</v>
      </c>
      <c r="P27" s="193">
        <f ca="1">IF(HLOOKUP($F27,Jornada!$X$7:$AD$37,VLOOKUP(INDIRECT($C$5),Jornada!$C$8:$W$37,21,0),0)-M27&lt;0,ABS(HLOOKUP($F27,Jornada!$X$7:$AD$37,VLOOKUP(INDIRECT($C$5),Jornada!$C$8:$W$37,21,0),0)-M27),0)</f>
        <v>0</v>
      </c>
      <c r="Q27" s="95">
        <f t="shared" si="0"/>
        <v>0</v>
      </c>
      <c r="R27" s="2">
        <f t="shared" si="2"/>
        <v>0</v>
      </c>
      <c r="S27" s="296"/>
      <c r="T27" s="297"/>
      <c r="U27" s="298"/>
      <c r="X27" s="177"/>
      <c r="AB27" s="177">
        <f t="shared" si="10"/>
        <v>20</v>
      </c>
      <c r="AC27" s="2">
        <f t="shared" si="3"/>
        <v>6</v>
      </c>
      <c r="AG27" s="220">
        <f t="shared" si="4"/>
        <v>0</v>
      </c>
      <c r="AH27" s="220">
        <f ca="1">IF(HLOOKUP($F27,Jornada!$X$7:$AD$37,VLOOKUP(INDIRECT($C$5),Jornada!$C$8:$W$37,21,0),0)=0,0,VLOOKUP(INDIRECT($C$5),Jornada!$C$8:$H$37,4,0))</f>
        <v>0</v>
      </c>
      <c r="AI27" s="155">
        <f ca="1">IF(AND(I27=0,J27=0,OR(H27&lt;&gt;0,K27&lt;&gt;0),HLOOKUP($F27,Jornada!$X$7:$AD$37,VLOOKUP(INDIRECT($C$5),Jornada!$C$8:$W$37,21,0),0)&gt;$AK$5,M27&gt;$AK$5),VLOOKUP(INDIRECT($C$5),Jornada!$C$8:$H$37,6,0),IF(AG27&gt;VLOOKUP(INDIRECT($C$5),Jornada!$C$8:$H$37,6,0),IF(VLOOKUP(INDIRECT($C$5),Jornada!$C$8:$H$37,6,0)&lt;AG27,0,ABS(VLOOKUP(INDIRECT($C$5),Jornada!$C$8:$H$37,6,0))-AG27),0))</f>
        <v>0</v>
      </c>
      <c r="AJ27" s="155">
        <f t="shared" si="5"/>
        <v>1</v>
      </c>
      <c r="AK27" s="155">
        <f t="shared" si="6"/>
        <v>0</v>
      </c>
      <c r="AL27" s="155">
        <f ca="1">HLOOKUP($F27,Jornada!$I$5:$V$37,VLOOKUP(INDIRECT($C$5),Jornada!$C$8:$W$37,21,0)+2,0)</f>
        <v>0</v>
      </c>
      <c r="AM27" s="155">
        <f ca="1">HLOOKUP($F27,Jornada!$I$4:$V$37,VLOOKUP(INDIRECT($C$5),Jornada!$C$8:$W$37,21,0)+3,0)</f>
        <v>0</v>
      </c>
      <c r="AN27" s="155">
        <f t="shared" ca="1" si="7"/>
        <v>0</v>
      </c>
      <c r="AO27" s="155">
        <f t="shared" si="8"/>
        <v>0</v>
      </c>
      <c r="AP27" s="155">
        <f t="shared" si="9"/>
        <v>0</v>
      </c>
    </row>
    <row r="28" spans="1:59" s="2" customFormat="1" ht="30" customHeight="1" thickTop="1" thickBot="1" x14ac:dyDescent="0.25">
      <c r="A28" s="1"/>
      <c r="B28"/>
      <c r="C28" s="172" t="str">
        <f>IF(Funcionários!C27=0,"",Funcionários!C27)</f>
        <v/>
      </c>
      <c r="D28"/>
      <c r="E28" s="115">
        <f>Lanç!E28</f>
        <v>21</v>
      </c>
      <c r="F28" s="189" t="str">
        <f>Lanç!F28</f>
        <v>Sáb</v>
      </c>
      <c r="G28" s="81"/>
      <c r="H28" s="94"/>
      <c r="I28" s="94"/>
      <c r="J28" s="94"/>
      <c r="K28" s="94"/>
      <c r="L28" s="197"/>
      <c r="M28" s="95">
        <f t="shared" si="1"/>
        <v>0</v>
      </c>
      <c r="N28" s="196"/>
      <c r="O28" s="95">
        <f ca="1">IF(OR(G28=0,G28="Férias",G28="Falta Justificada",G28="Feriado",G28="Folga (DSR)"),0,IF(G28="Falta Injustificada",HLOOKUP($F28,Jornada!$X$7:$AD$37,VLOOKUP(INDIRECT($C$5),Jornada!$C$8:$W$37,21,0),0),IF(HLOOKUP($F28,Jornada!$X$7:$AD$37,VLOOKUP(INDIRECT($C$5),Jornada!$C$8:$W$37,21,0),0)-M28&gt;0,HLOOKUP($F28,Jornada!$X$7:$AD$37,VLOOKUP(INDIRECT($C$5),Jornada!$C$8:$W$37,21,0),0)-M28,0)))</f>
        <v>0</v>
      </c>
      <c r="P28" s="193">
        <f ca="1">IF(HLOOKUP($F28,Jornada!$X$7:$AD$37,VLOOKUP(INDIRECT($C$5),Jornada!$C$8:$W$37,21,0),0)-M28&lt;0,ABS(HLOOKUP($F28,Jornada!$X$7:$AD$37,VLOOKUP(INDIRECT($C$5),Jornada!$C$8:$W$37,21,0),0)-M28),0)</f>
        <v>0</v>
      </c>
      <c r="Q28" s="95">
        <f t="shared" si="0"/>
        <v>0</v>
      </c>
      <c r="R28" s="2">
        <f t="shared" si="2"/>
        <v>0</v>
      </c>
      <c r="S28" s="296"/>
      <c r="T28" s="297"/>
      <c r="U28" s="298"/>
      <c r="X28" s="177"/>
      <c r="AB28" s="177">
        <f t="shared" si="10"/>
        <v>21</v>
      </c>
      <c r="AC28" s="2">
        <f t="shared" si="3"/>
        <v>7</v>
      </c>
      <c r="AG28" s="220">
        <f t="shared" si="4"/>
        <v>0</v>
      </c>
      <c r="AH28" s="220">
        <f ca="1">IF(HLOOKUP($F28,Jornada!$X$7:$AD$37,VLOOKUP(INDIRECT($C$5),Jornada!$C$8:$W$37,21,0),0)=0,0,VLOOKUP(INDIRECT($C$5),Jornada!$C$8:$H$37,4,0))</f>
        <v>0</v>
      </c>
      <c r="AI28" s="155">
        <f ca="1">IF(AND(I28=0,J28=0,OR(H28&lt;&gt;0,K28&lt;&gt;0),HLOOKUP($F28,Jornada!$X$7:$AD$37,VLOOKUP(INDIRECT($C$5),Jornada!$C$8:$W$37,21,0),0)&gt;$AK$5,M28&gt;$AK$5),VLOOKUP(INDIRECT($C$5),Jornada!$C$8:$H$37,6,0),IF(AG28&gt;VLOOKUP(INDIRECT($C$5),Jornada!$C$8:$H$37,6,0),IF(VLOOKUP(INDIRECT($C$5),Jornada!$C$8:$H$37,6,0)&lt;AG28,0,ABS(VLOOKUP(INDIRECT($C$5),Jornada!$C$8:$H$37,6,0))-AG28),0))</f>
        <v>0</v>
      </c>
      <c r="AJ28" s="155">
        <f t="shared" si="5"/>
        <v>1</v>
      </c>
      <c r="AK28" s="155">
        <f t="shared" si="6"/>
        <v>0</v>
      </c>
      <c r="AL28" s="155">
        <f ca="1">HLOOKUP($F28,Jornada!$I$5:$V$37,VLOOKUP(INDIRECT($C$5),Jornada!$C$8:$W$37,21,0)+2,0)</f>
        <v>0</v>
      </c>
      <c r="AM28" s="155">
        <f ca="1">HLOOKUP($F28,Jornada!$I$4:$V$37,VLOOKUP(INDIRECT($C$5),Jornada!$C$8:$W$37,21,0)+3,0)</f>
        <v>0</v>
      </c>
      <c r="AN28" s="155">
        <f t="shared" ca="1" si="7"/>
        <v>0</v>
      </c>
      <c r="AO28" s="155">
        <f t="shared" si="8"/>
        <v>0</v>
      </c>
      <c r="AP28" s="155">
        <f t="shared" si="9"/>
        <v>0</v>
      </c>
    </row>
    <row r="29" spans="1:59" s="2" customFormat="1" ht="30" customHeight="1" thickTop="1" thickBot="1" x14ac:dyDescent="0.25">
      <c r="A29" s="1"/>
      <c r="B29"/>
      <c r="C29" s="172" t="str">
        <f>IF(Funcionários!C28=0,"",Funcionários!C28)</f>
        <v/>
      </c>
      <c r="D29"/>
      <c r="E29" s="115">
        <f>Lanç!E29</f>
        <v>22</v>
      </c>
      <c r="F29" s="189" t="str">
        <f>Lanç!F29</f>
        <v>Dom</v>
      </c>
      <c r="G29" s="81"/>
      <c r="H29" s="94"/>
      <c r="I29" s="94"/>
      <c r="J29" s="94"/>
      <c r="K29" s="94"/>
      <c r="L29" s="197"/>
      <c r="M29" s="95">
        <f t="shared" si="1"/>
        <v>0</v>
      </c>
      <c r="N29" s="196"/>
      <c r="O29" s="95">
        <f ca="1">IF(OR(G29=0,G29="Férias",G29="Falta Justificada",G29="Feriado",G29="Folga (DSR)"),0,IF(G29="Falta Injustificada",HLOOKUP($F29,Jornada!$X$7:$AD$37,VLOOKUP(INDIRECT($C$5),Jornada!$C$8:$W$37,21,0),0),IF(HLOOKUP($F29,Jornada!$X$7:$AD$37,VLOOKUP(INDIRECT($C$5),Jornada!$C$8:$W$37,21,0),0)-M29&gt;0,HLOOKUP($F29,Jornada!$X$7:$AD$37,VLOOKUP(INDIRECT($C$5),Jornada!$C$8:$W$37,21,0),0)-M29,0)))</f>
        <v>0</v>
      </c>
      <c r="P29" s="193">
        <f ca="1">IF(HLOOKUP($F29,Jornada!$X$7:$AD$37,VLOOKUP(INDIRECT($C$5),Jornada!$C$8:$W$37,21,0),0)-M29&lt;0,ABS(HLOOKUP($F29,Jornada!$X$7:$AD$37,VLOOKUP(INDIRECT($C$5),Jornada!$C$8:$W$37,21,0),0)-M29),0)</f>
        <v>0</v>
      </c>
      <c r="Q29" s="95">
        <f t="shared" si="0"/>
        <v>0</v>
      </c>
      <c r="R29" s="2">
        <f t="shared" si="2"/>
        <v>0</v>
      </c>
      <c r="S29" s="13"/>
      <c r="T29" s="74"/>
      <c r="U29" s="74"/>
      <c r="X29" s="177"/>
      <c r="AB29" s="177">
        <f t="shared" si="10"/>
        <v>22</v>
      </c>
      <c r="AC29" s="2">
        <f t="shared" si="3"/>
        <v>1</v>
      </c>
      <c r="AG29" s="220">
        <f t="shared" si="4"/>
        <v>0</v>
      </c>
      <c r="AH29" s="220">
        <f ca="1">IF(HLOOKUP($F29,Jornada!$X$7:$AD$37,VLOOKUP(INDIRECT($C$5),Jornada!$C$8:$W$37,21,0),0)=0,0,VLOOKUP(INDIRECT($C$5),Jornada!$C$8:$H$37,4,0))</f>
        <v>0</v>
      </c>
      <c r="AI29" s="155">
        <f ca="1">IF(AND(I29=0,J29=0,OR(H29&lt;&gt;0,K29&lt;&gt;0),HLOOKUP($F29,Jornada!$X$7:$AD$37,VLOOKUP(INDIRECT($C$5),Jornada!$C$8:$W$37,21,0),0)&gt;$AK$5,M29&gt;$AK$5),VLOOKUP(INDIRECT($C$5),Jornada!$C$8:$H$37,6,0),IF(AG29&gt;VLOOKUP(INDIRECT($C$5),Jornada!$C$8:$H$37,6,0),IF(VLOOKUP(INDIRECT($C$5),Jornada!$C$8:$H$37,6,0)&lt;AG29,0,ABS(VLOOKUP(INDIRECT($C$5),Jornada!$C$8:$H$37,6,0))-AG29),0))</f>
        <v>0</v>
      </c>
      <c r="AJ29" s="155">
        <f t="shared" si="5"/>
        <v>1</v>
      </c>
      <c r="AK29" s="155">
        <f t="shared" si="6"/>
        <v>0</v>
      </c>
      <c r="AL29" s="155">
        <f ca="1">HLOOKUP($F29,Jornada!$I$5:$V$37,VLOOKUP(INDIRECT($C$5),Jornada!$C$8:$W$37,21,0)+2,0)</f>
        <v>0</v>
      </c>
      <c r="AM29" s="155">
        <f ca="1">HLOOKUP($F29,Jornada!$I$4:$V$37,VLOOKUP(INDIRECT($C$5),Jornada!$C$8:$W$37,21,0)+3,0)</f>
        <v>0</v>
      </c>
      <c r="AN29" s="155">
        <f t="shared" ca="1" si="7"/>
        <v>0</v>
      </c>
      <c r="AO29" s="155">
        <f t="shared" si="8"/>
        <v>0</v>
      </c>
      <c r="AP29" s="155">
        <f t="shared" si="9"/>
        <v>0</v>
      </c>
    </row>
    <row r="30" spans="1:59" s="2" customFormat="1" ht="30" customHeight="1" thickTop="1" thickBot="1" x14ac:dyDescent="0.25">
      <c r="A30" s="1"/>
      <c r="B30"/>
      <c r="C30" s="172" t="str">
        <f>IF(Funcionários!C29=0,"",Funcionários!C29)</f>
        <v/>
      </c>
      <c r="D30"/>
      <c r="E30" s="173">
        <f>Lanç!E30</f>
        <v>23</v>
      </c>
      <c r="F30" s="189" t="str">
        <f>Lanç!F30</f>
        <v>Seg</v>
      </c>
      <c r="G30" s="81"/>
      <c r="H30" s="94"/>
      <c r="I30" s="94"/>
      <c r="J30" s="94"/>
      <c r="K30" s="94"/>
      <c r="L30" s="197"/>
      <c r="M30" s="95">
        <f t="shared" si="1"/>
        <v>0</v>
      </c>
      <c r="N30" s="196"/>
      <c r="O30" s="95">
        <f ca="1">IF(OR(G30=0,G30="Férias",G30="Falta Justificada",G30="Feriado",G30="Folga (DSR)"),0,IF(G30="Falta Injustificada",HLOOKUP($F30,Jornada!$X$7:$AD$37,VLOOKUP(INDIRECT($C$5),Jornada!$C$8:$W$37,21,0),0),IF(HLOOKUP($F30,Jornada!$X$7:$AD$37,VLOOKUP(INDIRECT($C$5),Jornada!$C$8:$W$37,21,0),0)-M30&gt;0,HLOOKUP($F30,Jornada!$X$7:$AD$37,VLOOKUP(INDIRECT($C$5),Jornada!$C$8:$W$37,21,0),0)-M30,0)))</f>
        <v>0</v>
      </c>
      <c r="P30" s="193">
        <f ca="1">IF(HLOOKUP($F30,Jornada!$X$7:$AD$37,VLOOKUP(INDIRECT($C$5),Jornada!$C$8:$W$37,21,0),0)-M30&lt;0,ABS(HLOOKUP($F30,Jornada!$X$7:$AD$37,VLOOKUP(INDIRECT($C$5),Jornada!$C$8:$W$37,21,0),0)-M30),0)</f>
        <v>0</v>
      </c>
      <c r="Q30" s="95">
        <f t="shared" si="0"/>
        <v>0</v>
      </c>
      <c r="R30" s="2">
        <f>IF(Q30&gt;$R$7,1,0)</f>
        <v>0</v>
      </c>
      <c r="S30" s="13"/>
      <c r="T30" s="74"/>
      <c r="U30" s="74"/>
      <c r="X30" s="177"/>
      <c r="AB30" s="177">
        <f t="shared" si="10"/>
        <v>23</v>
      </c>
      <c r="AC30" s="2">
        <f>WEEKDAY(AB30)</f>
        <v>2</v>
      </c>
      <c r="AG30" s="220">
        <f t="shared" si="4"/>
        <v>0</v>
      </c>
      <c r="AH30" s="220">
        <f ca="1">IF(HLOOKUP($F30,Jornada!$X$7:$AD$37,VLOOKUP(INDIRECT($C$5),Jornada!$C$8:$W$37,21,0),0)=0,0,VLOOKUP(INDIRECT($C$5),Jornada!$C$8:$H$37,4,0))</f>
        <v>0</v>
      </c>
      <c r="AI30" s="155">
        <f ca="1">IF(AND(I30=0,J30=0,OR(H30&lt;&gt;0,K30&lt;&gt;0),HLOOKUP($F30,Jornada!$X$7:$AD$37,VLOOKUP(INDIRECT($C$5),Jornada!$C$8:$W$37,21,0),0)&gt;$AK$5,M30&gt;$AK$5),VLOOKUP(INDIRECT($C$5),Jornada!$C$8:$H$37,6,0),IF(AG30&gt;VLOOKUP(INDIRECT($C$5),Jornada!$C$8:$H$37,6,0),IF(VLOOKUP(INDIRECT($C$5),Jornada!$C$8:$H$37,6,0)&lt;AG30,0,ABS(VLOOKUP(INDIRECT($C$5),Jornada!$C$8:$H$37,6,0))-AG30),0))</f>
        <v>0</v>
      </c>
      <c r="AJ30" s="155">
        <f t="shared" si="5"/>
        <v>1</v>
      </c>
      <c r="AK30" s="155">
        <f t="shared" si="6"/>
        <v>0</v>
      </c>
      <c r="AL30" s="155">
        <f ca="1">HLOOKUP($F30,Jornada!$I$5:$V$37,VLOOKUP(INDIRECT($C$5),Jornada!$C$8:$W$37,21,0)+2,0)</f>
        <v>0</v>
      </c>
      <c r="AM30" s="155">
        <f ca="1">HLOOKUP($F30,Jornada!$I$4:$V$37,VLOOKUP(INDIRECT($C$5),Jornada!$C$8:$W$37,21,0)+3,0)</f>
        <v>0</v>
      </c>
      <c r="AN30" s="155">
        <f t="shared" ca="1" si="7"/>
        <v>0</v>
      </c>
      <c r="AO30" s="155">
        <f t="shared" si="8"/>
        <v>0</v>
      </c>
      <c r="AP30" s="155">
        <f t="shared" si="9"/>
        <v>0</v>
      </c>
    </row>
    <row r="31" spans="1:59" s="2" customFormat="1" ht="30" customHeight="1" thickTop="1" thickBot="1" x14ac:dyDescent="0.25">
      <c r="A31" s="1"/>
      <c r="B31"/>
      <c r="C31" s="172" t="str">
        <f>IF(Funcionários!C30=0,"",Funcionários!C30)</f>
        <v/>
      </c>
      <c r="D31"/>
      <c r="E31" s="173">
        <f>Lanç!E31</f>
        <v>24</v>
      </c>
      <c r="F31" s="189" t="str">
        <f>Lanç!F31</f>
        <v>Ter</v>
      </c>
      <c r="G31" s="81"/>
      <c r="H31" s="94"/>
      <c r="I31" s="94"/>
      <c r="J31" s="94"/>
      <c r="K31" s="94"/>
      <c r="L31" s="197"/>
      <c r="M31" s="95">
        <f t="shared" si="1"/>
        <v>0</v>
      </c>
      <c r="N31" s="196"/>
      <c r="O31" s="95">
        <f ca="1">IF(OR(G31=0,G31="Férias",G31="Falta Justificada",G31="Feriado",G31="Folga (DSR)"),0,IF(G31="Falta Injustificada",HLOOKUP($F31,Jornada!$X$7:$AD$37,VLOOKUP(INDIRECT($C$5),Jornada!$C$8:$W$37,21,0),0),IF(HLOOKUP($F31,Jornada!$X$7:$AD$37,VLOOKUP(INDIRECT($C$5),Jornada!$C$8:$W$37,21,0),0)-M31&gt;0,HLOOKUP($F31,Jornada!$X$7:$AD$37,VLOOKUP(INDIRECT($C$5),Jornada!$C$8:$W$37,21,0),0)-M31,0)))</f>
        <v>0</v>
      </c>
      <c r="P31" s="193">
        <f ca="1">IF(HLOOKUP($F31,Jornada!$X$7:$AD$37,VLOOKUP(INDIRECT($C$5),Jornada!$C$8:$W$37,21,0),0)-M31&lt;0,ABS(HLOOKUP($F31,Jornada!$X$7:$AD$37,VLOOKUP(INDIRECT($C$5),Jornada!$C$8:$W$37,21,0),0)-M31),0)</f>
        <v>0</v>
      </c>
      <c r="Q31" s="95">
        <f t="shared" si="0"/>
        <v>0</v>
      </c>
      <c r="R31" s="2">
        <f>IF(Q31&gt;$R$7,1,0)</f>
        <v>0</v>
      </c>
      <c r="S31" s="13"/>
      <c r="T31" s="74"/>
      <c r="U31" s="74"/>
      <c r="X31" s="177"/>
      <c r="AB31" s="177">
        <f t="shared" si="10"/>
        <v>24</v>
      </c>
      <c r="AC31" s="2">
        <f>WEEKDAY(AB31)</f>
        <v>3</v>
      </c>
      <c r="AG31" s="220">
        <f t="shared" si="4"/>
        <v>0</v>
      </c>
      <c r="AH31" s="220">
        <f ca="1">IF(HLOOKUP($F31,Jornada!$X$7:$AD$37,VLOOKUP(INDIRECT($C$5),Jornada!$C$8:$W$37,21,0),0)=0,0,VLOOKUP(INDIRECT($C$5),Jornada!$C$8:$H$37,4,0))</f>
        <v>0</v>
      </c>
      <c r="AI31" s="155">
        <f ca="1">IF(AND(I31=0,J31=0,OR(H31&lt;&gt;0,K31&lt;&gt;0),HLOOKUP($F31,Jornada!$X$7:$AD$37,VLOOKUP(INDIRECT($C$5),Jornada!$C$8:$W$37,21,0),0)&gt;$AK$5,M31&gt;$AK$5),VLOOKUP(INDIRECT($C$5),Jornada!$C$8:$H$37,6,0),IF(AG31&gt;VLOOKUP(INDIRECT($C$5),Jornada!$C$8:$H$37,6,0),IF(VLOOKUP(INDIRECT($C$5),Jornada!$C$8:$H$37,6,0)&lt;AG31,0,ABS(VLOOKUP(INDIRECT($C$5),Jornada!$C$8:$H$37,6,0))-AG31),0))</f>
        <v>0</v>
      </c>
      <c r="AJ31" s="155">
        <f t="shared" si="5"/>
        <v>1</v>
      </c>
      <c r="AK31" s="155">
        <f t="shared" si="6"/>
        <v>0</v>
      </c>
      <c r="AL31" s="155">
        <f ca="1">HLOOKUP($F31,Jornada!$I$5:$V$37,VLOOKUP(INDIRECT($C$5),Jornada!$C$8:$W$37,21,0)+2,0)</f>
        <v>0</v>
      </c>
      <c r="AM31" s="155">
        <f ca="1">HLOOKUP($F31,Jornada!$I$4:$V$37,VLOOKUP(INDIRECT($C$5),Jornada!$C$8:$W$37,21,0)+3,0)</f>
        <v>0</v>
      </c>
      <c r="AN31" s="155">
        <f t="shared" ca="1" si="7"/>
        <v>0</v>
      </c>
      <c r="AO31" s="155">
        <f t="shared" si="8"/>
        <v>0</v>
      </c>
      <c r="AP31" s="155">
        <f t="shared" si="9"/>
        <v>0</v>
      </c>
    </row>
    <row r="32" spans="1:59" s="2" customFormat="1" ht="30" customHeight="1" thickTop="1" thickBot="1" x14ac:dyDescent="0.25">
      <c r="A32" s="1"/>
      <c r="B32"/>
      <c r="C32" s="172" t="str">
        <f>IF(Funcionários!C31=0,"",Funcionários!C31)</f>
        <v/>
      </c>
      <c r="D32"/>
      <c r="E32" s="115">
        <f>Lanç!E32</f>
        <v>25</v>
      </c>
      <c r="F32" s="189" t="str">
        <f>Lanç!F32</f>
        <v>Qua</v>
      </c>
      <c r="G32" s="81"/>
      <c r="H32" s="94"/>
      <c r="I32" s="94"/>
      <c r="J32" s="94"/>
      <c r="K32" s="94"/>
      <c r="L32" s="197"/>
      <c r="M32" s="95">
        <f t="shared" si="1"/>
        <v>0</v>
      </c>
      <c r="N32" s="196"/>
      <c r="O32" s="95">
        <f ca="1">IF(OR(G32=0,G32="Férias",G32="Falta Justificada",G32="Feriado",G32="Folga (DSR)"),0,IF(G32="Falta Injustificada",HLOOKUP($F32,Jornada!$X$7:$AD$37,VLOOKUP(INDIRECT($C$5),Jornada!$C$8:$W$37,21,0),0),IF(HLOOKUP($F32,Jornada!$X$7:$AD$37,VLOOKUP(INDIRECT($C$5),Jornada!$C$8:$W$37,21,0),0)-M32&gt;0,HLOOKUP($F32,Jornada!$X$7:$AD$37,VLOOKUP(INDIRECT($C$5),Jornada!$C$8:$W$37,21,0),0)-M32,0)))</f>
        <v>0</v>
      </c>
      <c r="P32" s="193">
        <f ca="1">IF(HLOOKUP($F32,Jornada!$X$7:$AD$37,VLOOKUP(INDIRECT($C$5),Jornada!$C$8:$W$37,21,0),0)-M32&lt;0,ABS(HLOOKUP($F32,Jornada!$X$7:$AD$37,VLOOKUP(INDIRECT($C$5),Jornada!$C$8:$W$37,21,0),0)-M32),0)</f>
        <v>0</v>
      </c>
      <c r="Q32" s="95">
        <f t="shared" si="0"/>
        <v>0</v>
      </c>
      <c r="R32" s="2">
        <f t="shared" si="2"/>
        <v>0</v>
      </c>
      <c r="S32" s="74"/>
      <c r="T32" s="74"/>
      <c r="U32" s="74"/>
      <c r="X32" s="177"/>
      <c r="AB32" s="177">
        <f t="shared" si="10"/>
        <v>25</v>
      </c>
      <c r="AC32" s="2">
        <f t="shared" si="3"/>
        <v>4</v>
      </c>
      <c r="AG32" s="220">
        <f t="shared" si="4"/>
        <v>0</v>
      </c>
      <c r="AH32" s="220">
        <f ca="1">IF(HLOOKUP($F32,Jornada!$X$7:$AD$37,VLOOKUP(INDIRECT($C$5),Jornada!$C$8:$W$37,21,0),0)=0,0,VLOOKUP(INDIRECT($C$5),Jornada!$C$8:$H$37,4,0))</f>
        <v>0</v>
      </c>
      <c r="AI32" s="155">
        <f ca="1">IF(AND(I32=0,J32=0,OR(H32&lt;&gt;0,K32&lt;&gt;0),HLOOKUP($F32,Jornada!$X$7:$AD$37,VLOOKUP(INDIRECT($C$5),Jornada!$C$8:$W$37,21,0),0)&gt;$AK$5,M32&gt;$AK$5),VLOOKUP(INDIRECT($C$5),Jornada!$C$8:$H$37,6,0),IF(AG32&gt;VLOOKUP(INDIRECT($C$5),Jornada!$C$8:$H$37,6,0),IF(VLOOKUP(INDIRECT($C$5),Jornada!$C$8:$H$37,6,0)&lt;AG32,0,ABS(VLOOKUP(INDIRECT($C$5),Jornada!$C$8:$H$37,6,0))-AG32),0))</f>
        <v>0</v>
      </c>
      <c r="AJ32" s="155">
        <f t="shared" si="5"/>
        <v>1</v>
      </c>
      <c r="AK32" s="155">
        <f t="shared" si="6"/>
        <v>0</v>
      </c>
      <c r="AL32" s="155">
        <f ca="1">HLOOKUP($F32,Jornada!$I$5:$V$37,VLOOKUP(INDIRECT($C$5),Jornada!$C$8:$W$37,21,0)+2,0)</f>
        <v>0</v>
      </c>
      <c r="AM32" s="155">
        <f ca="1">HLOOKUP($F32,Jornada!$I$4:$V$37,VLOOKUP(INDIRECT($C$5),Jornada!$C$8:$W$37,21,0)+3,0)</f>
        <v>0</v>
      </c>
      <c r="AN32" s="155">
        <f t="shared" ca="1" si="7"/>
        <v>0</v>
      </c>
      <c r="AO32" s="155">
        <f t="shared" si="8"/>
        <v>0</v>
      </c>
      <c r="AP32" s="155">
        <f t="shared" si="9"/>
        <v>0</v>
      </c>
    </row>
    <row r="33" spans="1:42" s="2" customFormat="1" ht="30" customHeight="1" thickTop="1" thickBot="1" x14ac:dyDescent="0.25">
      <c r="A33" s="1"/>
      <c r="B33"/>
      <c r="C33" s="172" t="str">
        <f>IF(Funcionários!C32=0,"",Funcionários!C32)</f>
        <v/>
      </c>
      <c r="D33"/>
      <c r="E33" s="115">
        <f>Lanç!E33</f>
        <v>26</v>
      </c>
      <c r="F33" s="189" t="str">
        <f>Lanç!F33</f>
        <v>Qui</v>
      </c>
      <c r="G33" s="81"/>
      <c r="H33" s="94"/>
      <c r="I33" s="94"/>
      <c r="J33" s="94"/>
      <c r="K33" s="94"/>
      <c r="L33" s="197"/>
      <c r="M33" s="95">
        <f t="shared" si="1"/>
        <v>0</v>
      </c>
      <c r="N33" s="196"/>
      <c r="O33" s="95">
        <f ca="1">IF(OR(G33=0,G33="Férias",G33="Falta Justificada",G33="Feriado",G33="Folga (DSR)"),0,IF(G33="Falta Injustificada",HLOOKUP($F33,Jornada!$X$7:$AD$37,VLOOKUP(INDIRECT($C$5),Jornada!$C$8:$W$37,21,0),0),IF(HLOOKUP($F33,Jornada!$X$7:$AD$37,VLOOKUP(INDIRECT($C$5),Jornada!$C$8:$W$37,21,0),0)-M33&gt;0,HLOOKUP($F33,Jornada!$X$7:$AD$37,VLOOKUP(INDIRECT($C$5),Jornada!$C$8:$W$37,21,0),0)-M33,0)))</f>
        <v>0</v>
      </c>
      <c r="P33" s="193">
        <f ca="1">IF(HLOOKUP($F33,Jornada!$X$7:$AD$37,VLOOKUP(INDIRECT($C$5),Jornada!$C$8:$W$37,21,0),0)-M33&lt;0,ABS(HLOOKUP($F33,Jornada!$X$7:$AD$37,VLOOKUP(INDIRECT($C$5),Jornada!$C$8:$W$37,21,0),0)-M33),0)</f>
        <v>0</v>
      </c>
      <c r="Q33" s="95">
        <f t="shared" si="0"/>
        <v>0</v>
      </c>
      <c r="R33" s="2">
        <f t="shared" si="2"/>
        <v>0</v>
      </c>
      <c r="S33" s="74"/>
      <c r="T33" s="74"/>
      <c r="U33" s="74"/>
      <c r="X33" s="177"/>
      <c r="AB33" s="177">
        <f t="shared" si="10"/>
        <v>26</v>
      </c>
      <c r="AC33" s="2">
        <f t="shared" si="3"/>
        <v>5</v>
      </c>
      <c r="AG33" s="220">
        <f t="shared" si="4"/>
        <v>0</v>
      </c>
      <c r="AH33" s="220">
        <f ca="1">IF(HLOOKUP($F33,Jornada!$X$7:$AD$37,VLOOKUP(INDIRECT($C$5),Jornada!$C$8:$W$37,21,0),0)=0,0,VLOOKUP(INDIRECT($C$5),Jornada!$C$8:$H$37,4,0))</f>
        <v>0</v>
      </c>
      <c r="AI33" s="155">
        <f ca="1">IF(AND(I33=0,J33=0,OR(H33&lt;&gt;0,K33&lt;&gt;0),HLOOKUP($F33,Jornada!$X$7:$AD$37,VLOOKUP(INDIRECT($C$5),Jornada!$C$8:$W$37,21,0),0)&gt;$AK$5,M33&gt;$AK$5),VLOOKUP(INDIRECT($C$5),Jornada!$C$8:$H$37,6,0),IF(AG33&gt;VLOOKUP(INDIRECT($C$5),Jornada!$C$8:$H$37,6,0),IF(VLOOKUP(INDIRECT($C$5),Jornada!$C$8:$H$37,6,0)&lt;AG33,0,ABS(VLOOKUP(INDIRECT($C$5),Jornada!$C$8:$H$37,6,0))-AG33),0))</f>
        <v>0</v>
      </c>
      <c r="AJ33" s="155">
        <f t="shared" si="5"/>
        <v>1</v>
      </c>
      <c r="AK33" s="155">
        <f t="shared" si="6"/>
        <v>0</v>
      </c>
      <c r="AL33" s="155">
        <f ca="1">HLOOKUP($F33,Jornada!$I$5:$V$37,VLOOKUP(INDIRECT($C$5),Jornada!$C$8:$W$37,21,0)+2,0)</f>
        <v>0</v>
      </c>
      <c r="AM33" s="155">
        <f ca="1">HLOOKUP($F33,Jornada!$I$4:$V$37,VLOOKUP(INDIRECT($C$5),Jornada!$C$8:$W$37,21,0)+3,0)</f>
        <v>0</v>
      </c>
      <c r="AN33" s="155">
        <f t="shared" ca="1" si="7"/>
        <v>0</v>
      </c>
      <c r="AO33" s="155">
        <f t="shared" si="8"/>
        <v>0</v>
      </c>
      <c r="AP33" s="155">
        <f t="shared" si="9"/>
        <v>0</v>
      </c>
    </row>
    <row r="34" spans="1:42" s="2" customFormat="1" ht="30" customHeight="1" thickTop="1" thickBot="1" x14ac:dyDescent="0.25">
      <c r="A34" s="1"/>
      <c r="B34"/>
      <c r="C34" s="172" t="str">
        <f>IF(Funcionários!C33=0,"",Funcionários!C33)</f>
        <v/>
      </c>
      <c r="D34"/>
      <c r="E34" s="115">
        <f>Lanç!E34</f>
        <v>27</v>
      </c>
      <c r="F34" s="189" t="str">
        <f>Lanç!F34</f>
        <v>Sex</v>
      </c>
      <c r="G34" s="81"/>
      <c r="H34" s="94"/>
      <c r="I34" s="94"/>
      <c r="J34" s="94"/>
      <c r="K34" s="94"/>
      <c r="L34" s="197"/>
      <c r="M34" s="95">
        <f t="shared" si="1"/>
        <v>0</v>
      </c>
      <c r="N34" s="196"/>
      <c r="O34" s="95">
        <f ca="1">IF(OR(G34=0,G34="Férias",G34="Falta Justificada",G34="Feriado",G34="Folga (DSR)"),0,IF(G34="Falta Injustificada",HLOOKUP($F34,Jornada!$X$7:$AD$37,VLOOKUP(INDIRECT($C$5),Jornada!$C$8:$W$37,21,0),0),IF(HLOOKUP($F34,Jornada!$X$7:$AD$37,VLOOKUP(INDIRECT($C$5),Jornada!$C$8:$W$37,21,0),0)-M34&gt;0,HLOOKUP($F34,Jornada!$X$7:$AD$37,VLOOKUP(INDIRECT($C$5),Jornada!$C$8:$W$37,21,0),0)-M34,0)))</f>
        <v>0</v>
      </c>
      <c r="P34" s="193">
        <f ca="1">IF(HLOOKUP($F34,Jornada!$X$7:$AD$37,VLOOKUP(INDIRECT($C$5),Jornada!$C$8:$W$37,21,0),0)-M34&lt;0,ABS(HLOOKUP($F34,Jornada!$X$7:$AD$37,VLOOKUP(INDIRECT($C$5),Jornada!$C$8:$W$37,21,0),0)-M34),0)</f>
        <v>0</v>
      </c>
      <c r="Q34" s="95">
        <f t="shared" si="0"/>
        <v>0</v>
      </c>
      <c r="R34" s="2">
        <f t="shared" si="2"/>
        <v>0</v>
      </c>
      <c r="S34" s="74"/>
      <c r="T34" s="74"/>
      <c r="U34" s="74"/>
      <c r="X34" s="177"/>
      <c r="AB34" s="177">
        <f t="shared" si="10"/>
        <v>27</v>
      </c>
      <c r="AC34" s="2">
        <f t="shared" si="3"/>
        <v>6</v>
      </c>
      <c r="AG34" s="220">
        <f t="shared" si="4"/>
        <v>0</v>
      </c>
      <c r="AH34" s="220">
        <f ca="1">IF(HLOOKUP($F34,Jornada!$X$7:$AD$37,VLOOKUP(INDIRECT($C$5),Jornada!$C$8:$W$37,21,0),0)=0,0,VLOOKUP(INDIRECT($C$5),Jornada!$C$8:$H$37,4,0))</f>
        <v>0</v>
      </c>
      <c r="AI34" s="155">
        <f ca="1">IF(AND(I34=0,J34=0,OR(H34&lt;&gt;0,K34&lt;&gt;0),HLOOKUP($F34,Jornada!$X$7:$AD$37,VLOOKUP(INDIRECT($C$5),Jornada!$C$8:$W$37,21,0),0)&gt;$AK$5,M34&gt;$AK$5),VLOOKUP(INDIRECT($C$5),Jornada!$C$8:$H$37,6,0),IF(AG34&gt;VLOOKUP(INDIRECT($C$5),Jornada!$C$8:$H$37,6,0),IF(VLOOKUP(INDIRECT($C$5),Jornada!$C$8:$H$37,6,0)&lt;AG34,0,ABS(VLOOKUP(INDIRECT($C$5),Jornada!$C$8:$H$37,6,0))-AG34),0))</f>
        <v>0</v>
      </c>
      <c r="AJ34" s="155">
        <f t="shared" si="5"/>
        <v>1</v>
      </c>
      <c r="AK34" s="155">
        <f t="shared" si="6"/>
        <v>0</v>
      </c>
      <c r="AL34" s="155">
        <f ca="1">HLOOKUP($F34,Jornada!$I$5:$V$37,VLOOKUP(INDIRECT($C$5),Jornada!$C$8:$W$37,21,0)+2,0)</f>
        <v>0</v>
      </c>
      <c r="AM34" s="155">
        <f ca="1">HLOOKUP($F34,Jornada!$I$4:$V$37,VLOOKUP(INDIRECT($C$5),Jornada!$C$8:$W$37,21,0)+3,0)</f>
        <v>0</v>
      </c>
      <c r="AN34" s="155">
        <f t="shared" ca="1" si="7"/>
        <v>0</v>
      </c>
      <c r="AO34" s="155">
        <f t="shared" si="8"/>
        <v>0</v>
      </c>
      <c r="AP34" s="155">
        <f t="shared" si="9"/>
        <v>0</v>
      </c>
    </row>
    <row r="35" spans="1:42" s="2" customFormat="1" ht="30" customHeight="1" thickTop="1" thickBot="1" x14ac:dyDescent="0.25">
      <c r="A35" s="1"/>
      <c r="B35"/>
      <c r="C35" s="172" t="str">
        <f>IF(Funcionários!C34=0,"",Funcionários!C34)</f>
        <v/>
      </c>
      <c r="D35"/>
      <c r="E35" s="115">
        <f>Lanç!E35</f>
        <v>28</v>
      </c>
      <c r="F35" s="189" t="str">
        <f>Lanç!F35</f>
        <v>Sáb</v>
      </c>
      <c r="G35" s="81"/>
      <c r="H35" s="94"/>
      <c r="I35" s="94"/>
      <c r="J35" s="94"/>
      <c r="K35" s="94"/>
      <c r="L35" s="197"/>
      <c r="M35" s="95">
        <f t="shared" si="1"/>
        <v>0</v>
      </c>
      <c r="N35" s="196"/>
      <c r="O35" s="95">
        <f ca="1">IF(OR(G35=0,G35="Férias",G35="Falta Justificada",G35="Feriado",G35="Folga (DSR)"),0,IF(G35="Falta Injustificada",HLOOKUP($F35,Jornada!$X$7:$AD$37,VLOOKUP(INDIRECT($C$5),Jornada!$C$8:$W$37,21,0),0),IF(HLOOKUP($F35,Jornada!$X$7:$AD$37,VLOOKUP(INDIRECT($C$5),Jornada!$C$8:$W$37,21,0),0)-M35&gt;0,HLOOKUP($F35,Jornada!$X$7:$AD$37,VLOOKUP(INDIRECT($C$5),Jornada!$C$8:$W$37,21,0),0)-M35,0)))</f>
        <v>0</v>
      </c>
      <c r="P35" s="193">
        <f ca="1">IF(HLOOKUP($F35,Jornada!$X$7:$AD$37,VLOOKUP(INDIRECT($C$5),Jornada!$C$8:$W$37,21,0),0)-M35&lt;0,ABS(HLOOKUP($F35,Jornada!$X$7:$AD$37,VLOOKUP(INDIRECT($C$5),Jornada!$C$8:$W$37,21,0),0)-M35),0)</f>
        <v>0</v>
      </c>
      <c r="Q35" s="95">
        <f t="shared" si="0"/>
        <v>0</v>
      </c>
      <c r="R35" s="2">
        <f t="shared" si="2"/>
        <v>0</v>
      </c>
      <c r="S35"/>
      <c r="T35"/>
      <c r="U35"/>
      <c r="X35" s="177"/>
      <c r="AB35" s="177">
        <f>IF(MONTH(AB34+1)&lt;&gt;MONTH(AB34),"",AB34+1)</f>
        <v>28</v>
      </c>
      <c r="AC35" s="2">
        <f t="shared" si="3"/>
        <v>7</v>
      </c>
      <c r="AG35" s="220">
        <f t="shared" si="4"/>
        <v>0</v>
      </c>
      <c r="AH35" s="220">
        <f ca="1">IF(HLOOKUP($F35,Jornada!$X$7:$AD$37,VLOOKUP(INDIRECT($C$5),Jornada!$C$8:$W$37,21,0),0)=0,0,VLOOKUP(INDIRECT($C$5),Jornada!$C$8:$H$37,4,0))</f>
        <v>0</v>
      </c>
      <c r="AI35" s="155">
        <f ca="1">IF(AND(I35=0,J35=0,OR(H35&lt;&gt;0,K35&lt;&gt;0),HLOOKUP($F35,Jornada!$X$7:$AD$37,VLOOKUP(INDIRECT($C$5),Jornada!$C$8:$W$37,21,0),0)&gt;$AK$5,M35&gt;$AK$5),VLOOKUP(INDIRECT($C$5),Jornada!$C$8:$H$37,6,0),IF(AG35&gt;VLOOKUP(INDIRECT($C$5),Jornada!$C$8:$H$37,6,0),IF(VLOOKUP(INDIRECT($C$5),Jornada!$C$8:$H$37,6,0)&lt;AG35,0,ABS(VLOOKUP(INDIRECT($C$5),Jornada!$C$8:$H$37,6,0))-AG35),0))</f>
        <v>0</v>
      </c>
      <c r="AJ35" s="155">
        <f t="shared" si="5"/>
        <v>1</v>
      </c>
      <c r="AK35" s="155">
        <f t="shared" si="6"/>
        <v>0</v>
      </c>
      <c r="AL35" s="155">
        <f ca="1">HLOOKUP($F35,Jornada!$I$5:$V$37,VLOOKUP(INDIRECT($C$5),Jornada!$C$8:$W$37,21,0)+2,0)</f>
        <v>0</v>
      </c>
      <c r="AM35" s="155">
        <f ca="1">HLOOKUP($F35,Jornada!$I$4:$V$37,VLOOKUP(INDIRECT($C$5),Jornada!$C$8:$W$37,21,0)+3,0)</f>
        <v>0</v>
      </c>
      <c r="AN35" s="155">
        <f t="shared" ca="1" si="7"/>
        <v>0</v>
      </c>
      <c r="AO35" s="155">
        <f t="shared" si="8"/>
        <v>0</v>
      </c>
      <c r="AP35" s="155">
        <f t="shared" si="9"/>
        <v>0</v>
      </c>
    </row>
    <row r="36" spans="1:42" s="2" customFormat="1" ht="30" customHeight="1" thickTop="1" thickBot="1" x14ac:dyDescent="0.25">
      <c r="A36" s="1"/>
      <c r="B36"/>
      <c r="C36" s="172" t="str">
        <f>IF(Funcionários!C35=0,"",Funcionários!C35)</f>
        <v/>
      </c>
      <c r="D36"/>
      <c r="E36" s="115">
        <f>Lanç!E36</f>
        <v>29</v>
      </c>
      <c r="F36" s="189" t="str">
        <f>Lanç!F36</f>
        <v>Dom</v>
      </c>
      <c r="G36" s="81"/>
      <c r="H36" s="94"/>
      <c r="I36" s="94"/>
      <c r="J36" s="94"/>
      <c r="K36" s="94"/>
      <c r="L36" s="197"/>
      <c r="M36" s="95">
        <f t="shared" si="1"/>
        <v>0</v>
      </c>
      <c r="N36" s="196"/>
      <c r="O36" s="95">
        <f ca="1">IF(OR(G36=0,G36="Férias",G36="Falta Justificada",G36="Feriado",G36="Folga (DSR)"),0,IF(G36="Falta Injustificada",HLOOKUP($F36,Jornada!$X$7:$AD$37,VLOOKUP(INDIRECT($C$5),Jornada!$C$8:$W$37,21,0),0),IF(HLOOKUP($F36,Jornada!$X$7:$AD$37,VLOOKUP(INDIRECT($C$5),Jornada!$C$8:$W$37,21,0),0)-M36&gt;0,HLOOKUP($F36,Jornada!$X$7:$AD$37,VLOOKUP(INDIRECT($C$5),Jornada!$C$8:$W$37,21,0),0)-M36,0)))</f>
        <v>0</v>
      </c>
      <c r="P36" s="193">
        <f ca="1">IF(HLOOKUP($F36,Jornada!$X$7:$AD$37,VLOOKUP(INDIRECT($C$5),Jornada!$C$8:$W$37,21,0),0)-M36&lt;0,ABS(HLOOKUP($F36,Jornada!$X$7:$AD$37,VLOOKUP(INDIRECT($C$5),Jornada!$C$8:$W$37,21,0),0)-M36),0)</f>
        <v>0</v>
      </c>
      <c r="Q36" s="95">
        <f t="shared" si="0"/>
        <v>0</v>
      </c>
      <c r="R36" s="2">
        <f t="shared" si="2"/>
        <v>0</v>
      </c>
      <c r="S36"/>
      <c r="T36"/>
      <c r="U36"/>
      <c r="X36" s="177"/>
      <c r="AB36" s="177">
        <f>IF(MONTH(AB35+1)&lt;&gt;MONTH(AB35),"",IF(AB35="","",AB35+1))</f>
        <v>29</v>
      </c>
      <c r="AC36" s="2">
        <f>IF(ISERROR(WEEKDAY(AB36)),"",WEEKDAY(AB36))</f>
        <v>1</v>
      </c>
      <c r="AG36" s="220">
        <f t="shared" si="4"/>
        <v>0</v>
      </c>
      <c r="AH36" s="220">
        <f ca="1">IF(HLOOKUP($F36,Jornada!$X$7:$AD$37,VLOOKUP(INDIRECT($C$5),Jornada!$C$8:$W$37,21,0),0)=0,0,VLOOKUP(INDIRECT($C$5),Jornada!$C$8:$H$37,4,0))</f>
        <v>0</v>
      </c>
      <c r="AI36" s="155">
        <f ca="1">IF(AND(I36=0,J36=0,OR(H36&lt;&gt;0,K36&lt;&gt;0),HLOOKUP($F36,Jornada!$X$7:$AD$37,VLOOKUP(INDIRECT($C$5),Jornada!$C$8:$W$37,21,0),0)&gt;$AK$5,M36&gt;$AK$5),VLOOKUP(INDIRECT($C$5),Jornada!$C$8:$H$37,6,0),IF(AG36&gt;VLOOKUP(INDIRECT($C$5),Jornada!$C$8:$H$37,6,0),IF(VLOOKUP(INDIRECT($C$5),Jornada!$C$8:$H$37,6,0)&lt;AG36,0,ABS(VLOOKUP(INDIRECT($C$5),Jornada!$C$8:$H$37,6,0))-AG36),0))</f>
        <v>0</v>
      </c>
      <c r="AJ36" s="155">
        <f t="shared" si="5"/>
        <v>1</v>
      </c>
      <c r="AK36" s="155">
        <f t="shared" si="6"/>
        <v>0</v>
      </c>
      <c r="AL36" s="155">
        <f ca="1">HLOOKUP($F36,Jornada!$I$5:$V$37,VLOOKUP(INDIRECT($C$5),Jornada!$C$8:$W$37,21,0)+2,0)</f>
        <v>0</v>
      </c>
      <c r="AM36" s="155">
        <f ca="1">HLOOKUP($F36,Jornada!$I$4:$V$37,VLOOKUP(INDIRECT($C$5),Jornada!$C$8:$W$37,21,0)+3,0)</f>
        <v>0</v>
      </c>
      <c r="AN36" s="155">
        <f t="shared" ca="1" si="7"/>
        <v>0</v>
      </c>
      <c r="AO36" s="155">
        <f t="shared" si="8"/>
        <v>0</v>
      </c>
      <c r="AP36" s="155">
        <f t="shared" si="9"/>
        <v>0</v>
      </c>
    </row>
    <row r="37" spans="1:42" s="2" customFormat="1" ht="30" customHeight="1" thickTop="1" thickBot="1" x14ac:dyDescent="0.25">
      <c r="A37" s="1"/>
      <c r="B37"/>
      <c r="C37" s="172" t="str">
        <f>IF(Funcionários!C36=0,"",Funcionários!C36)</f>
        <v/>
      </c>
      <c r="D37"/>
      <c r="E37" s="115">
        <f>Lanç!E37</f>
        <v>30</v>
      </c>
      <c r="F37" s="189" t="str">
        <f>Lanç!F37</f>
        <v>Seg</v>
      </c>
      <c r="G37" s="81"/>
      <c r="H37" s="94"/>
      <c r="I37" s="94"/>
      <c r="J37" s="94"/>
      <c r="K37" s="94"/>
      <c r="L37" s="197"/>
      <c r="M37" s="95">
        <f t="shared" si="1"/>
        <v>0</v>
      </c>
      <c r="N37" s="196"/>
      <c r="O37" s="95">
        <f ca="1">IF(OR(G37=0,G37="Férias",G37="Falta Justificada",G37="Feriado",G37="Folga (DSR)"),0,IF(G37="Falta Injustificada",HLOOKUP($F37,Jornada!$X$7:$AD$37,VLOOKUP(INDIRECT($C$5),Jornada!$C$8:$W$37,21,0),0),IF(HLOOKUP($F37,Jornada!$X$7:$AD$37,VLOOKUP(INDIRECT($C$5),Jornada!$C$8:$W$37,21,0),0)-M37&gt;0,HLOOKUP($F37,Jornada!$X$7:$AD$37,VLOOKUP(INDIRECT($C$5),Jornada!$C$8:$W$37,21,0),0)-M37,0)))</f>
        <v>0</v>
      </c>
      <c r="P37" s="193">
        <f ca="1">IF(HLOOKUP($F37,Jornada!$X$7:$AD$37,VLOOKUP(INDIRECT($C$5),Jornada!$C$8:$W$37,21,0),0)-M37&lt;0,ABS(HLOOKUP($F37,Jornada!$X$7:$AD$37,VLOOKUP(INDIRECT($C$5),Jornada!$C$8:$W$37,21,0),0)-M37),0)</f>
        <v>0</v>
      </c>
      <c r="Q37" s="95">
        <f t="shared" si="0"/>
        <v>0</v>
      </c>
      <c r="R37" s="2">
        <f t="shared" si="2"/>
        <v>0</v>
      </c>
      <c r="S37"/>
      <c r="T37"/>
      <c r="U37"/>
      <c r="X37" s="177"/>
      <c r="AB37" s="177">
        <f>IF(AB36="","",IF(MONTH(AB36+1)&lt;&gt;MONTH(AB36),"",AB36+1))</f>
        <v>30</v>
      </c>
      <c r="AC37" s="2">
        <f>IF(ISERROR(WEEKDAY(AB37)),"",WEEKDAY(AB37))</f>
        <v>2</v>
      </c>
      <c r="AG37" s="220">
        <f t="shared" si="4"/>
        <v>0</v>
      </c>
      <c r="AH37" s="220">
        <f ca="1">IF(HLOOKUP($F37,Jornada!$X$7:$AD$37,VLOOKUP(INDIRECT($C$5),Jornada!$C$8:$W$37,21,0),0)=0,0,VLOOKUP(INDIRECT($C$5),Jornada!$C$8:$H$37,4,0))</f>
        <v>0</v>
      </c>
      <c r="AI37" s="155">
        <f ca="1">IF(AND(I37=0,J37=0,OR(H37&lt;&gt;0,K37&lt;&gt;0),HLOOKUP($F37,Jornada!$X$7:$AD$37,VLOOKUP(INDIRECT($C$5),Jornada!$C$8:$W$37,21,0),0)&gt;$AK$5,M37&gt;$AK$5),VLOOKUP(INDIRECT($C$5),Jornada!$C$8:$H$37,6,0),IF(AG37&gt;VLOOKUP(INDIRECT($C$5),Jornada!$C$8:$H$37,6,0),IF(VLOOKUP(INDIRECT($C$5),Jornada!$C$8:$H$37,6,0)&lt;AG37,0,ABS(VLOOKUP(INDIRECT($C$5),Jornada!$C$8:$H$37,6,0))-AG37),0))</f>
        <v>0</v>
      </c>
      <c r="AJ37" s="155">
        <f t="shared" si="5"/>
        <v>1</v>
      </c>
      <c r="AK37" s="155">
        <f t="shared" si="6"/>
        <v>0</v>
      </c>
      <c r="AL37" s="155">
        <f ca="1">HLOOKUP($F37,Jornada!$I$5:$V$37,VLOOKUP(INDIRECT($C$5),Jornada!$C$8:$W$37,21,0)+2,0)</f>
        <v>0</v>
      </c>
      <c r="AM37" s="155">
        <f ca="1">HLOOKUP($F37,Jornada!$I$4:$V$37,VLOOKUP(INDIRECT($C$5),Jornada!$C$8:$W$37,21,0)+3,0)</f>
        <v>0</v>
      </c>
      <c r="AN37" s="155">
        <f t="shared" ca="1" si="7"/>
        <v>0</v>
      </c>
      <c r="AO37" s="155">
        <f t="shared" si="8"/>
        <v>0</v>
      </c>
      <c r="AP37" s="155">
        <f t="shared" si="9"/>
        <v>0</v>
      </c>
    </row>
    <row r="38" spans="1:42" s="2" customFormat="1" ht="30" customHeight="1" thickTop="1" thickBot="1" x14ac:dyDescent="0.25">
      <c r="A38" s="1"/>
      <c r="B38"/>
      <c r="C38"/>
      <c r="D38" s="2">
        <f t="shared" ref="D38" si="11">IF(D37=7,1,D37+1)</f>
        <v>1</v>
      </c>
      <c r="E38" s="210">
        <f>Lanç!E38</f>
        <v>31</v>
      </c>
      <c r="F38" s="210" t="str">
        <f>Lanç!F38</f>
        <v>Ter</v>
      </c>
      <c r="G38" s="81"/>
      <c r="H38" s="94"/>
      <c r="I38" s="94"/>
      <c r="J38" s="94"/>
      <c r="K38" s="94"/>
      <c r="L38" s="197"/>
      <c r="M38" s="95">
        <f t="shared" si="1"/>
        <v>0</v>
      </c>
      <c r="N38" s="196"/>
      <c r="O38" s="95">
        <f ca="1">IF(OR(G38=0,G38="Férias",G38="Falta Justificada",G38="Feriado",G38="Folga (DSR)"),0,IF(G38="Falta Injustificada",HLOOKUP($F38,Jornada!$X$7:$AD$37,VLOOKUP(INDIRECT($C$5),Jornada!$C$8:$W$37,21,0),0),IF(HLOOKUP($F38,Jornada!$X$7:$AD$37,VLOOKUP(INDIRECT($C$5),Jornada!$C$8:$W$37,21,0),0)-M38&gt;0,HLOOKUP($F38,Jornada!$X$7:$AD$37,VLOOKUP(INDIRECT($C$5),Jornada!$C$8:$W$37,21,0),0)-M38,0)))</f>
        <v>0</v>
      </c>
      <c r="P38" s="201">
        <f ca="1">IF(HLOOKUP($F38,Jornada!$X$7:$AD$37,VLOOKUP(INDIRECT($C$5),Jornada!$C$8:$W$37,21,0),0)-M38&lt;0,ABS(HLOOKUP($F38,Jornada!$X$7:$AD$37,VLOOKUP(INDIRECT($C$5),Jornada!$C$8:$W$37,21,0),0)-M38),0)</f>
        <v>0</v>
      </c>
      <c r="Q38" s="95">
        <f t="shared" si="0"/>
        <v>0</v>
      </c>
      <c r="R38" s="2">
        <f t="shared" si="2"/>
        <v>0</v>
      </c>
      <c r="X38" s="177"/>
      <c r="AB38" s="177">
        <f>IF(AB37="","",IF(MONTH(AB37+1)&lt;&gt;MONTH(AB37),"",AB37+1))</f>
        <v>31</v>
      </c>
      <c r="AC38" s="2">
        <f>IF(ISERROR(WEEKDAY(AB38)),"",WEEKDAY(AB38))</f>
        <v>3</v>
      </c>
      <c r="AG38" s="220">
        <f t="shared" si="4"/>
        <v>0</v>
      </c>
      <c r="AH38" s="220">
        <f ca="1">IF(HLOOKUP($F38,Jornada!$X$7:$AD$37,VLOOKUP(INDIRECT($C$5),Jornada!$C$8:$W$37,21,0),0)=0,0,VLOOKUP(INDIRECT($C$5),Jornada!$C$8:$H$37,4,0))</f>
        <v>0</v>
      </c>
      <c r="AI38" s="155">
        <f ca="1">IF(AND(I38=0,J38=0,OR(H38&lt;&gt;0,K38&lt;&gt;0),HLOOKUP($F38,Jornada!$X$7:$AD$37,VLOOKUP(INDIRECT($C$5),Jornada!$C$8:$W$37,21,0),0)&gt;$AK$5,M38&gt;$AK$5),VLOOKUP(INDIRECT($C$5),Jornada!$C$8:$H$37,6,0),IF(AG38&gt;VLOOKUP(INDIRECT($C$5),Jornada!$C$8:$H$37,6,0),IF(VLOOKUP(INDIRECT($C$5),Jornada!$C$8:$H$37,6,0)&lt;AG38,0,ABS(VLOOKUP(INDIRECT($C$5),Jornada!$C$8:$H$37,6,0))-AG38),0))</f>
        <v>0</v>
      </c>
      <c r="AJ38" s="155">
        <f t="shared" si="5"/>
        <v>1</v>
      </c>
      <c r="AK38" s="155">
        <f t="shared" si="6"/>
        <v>0</v>
      </c>
      <c r="AL38" s="155">
        <f ca="1">HLOOKUP($F38,Jornada!$I$5:$V$37,VLOOKUP(INDIRECT($C$5),Jornada!$C$8:$W$37,21,0)+2,0)</f>
        <v>0</v>
      </c>
      <c r="AM38" s="155">
        <f ca="1">HLOOKUP($F38,Jornada!$I$4:$V$37,VLOOKUP(INDIRECT($C$5),Jornada!$C$8:$W$37,21,0)+3,0)</f>
        <v>0</v>
      </c>
      <c r="AN38" s="155">
        <f t="shared" ca="1" si="7"/>
        <v>0</v>
      </c>
      <c r="AO38" s="155">
        <f t="shared" si="8"/>
        <v>0</v>
      </c>
      <c r="AP38" s="155">
        <f t="shared" si="9"/>
        <v>0</v>
      </c>
    </row>
    <row r="39" spans="1:42" s="2" customFormat="1" ht="30" customHeight="1" thickTop="1" x14ac:dyDescent="0.2">
      <c r="A39" s="9"/>
      <c r="B39" s="234"/>
      <c r="C39" s="234"/>
      <c r="D39" s="234"/>
      <c r="E39" s="236">
        <f>EOMONTH(AB8,0)</f>
        <v>31</v>
      </c>
      <c r="F39" s="234">
        <f>DAY(E39)</f>
        <v>31</v>
      </c>
      <c r="G39" s="237">
        <f>COUNTIF(F8:F38,"Dom")+COUNTIF(G8:G38,"Feriado")</f>
        <v>5</v>
      </c>
      <c r="H39" s="238">
        <f>(SUM(Q8:Q38)/(F39-G39))*G39</f>
        <v>0</v>
      </c>
      <c r="I39" s="234"/>
      <c r="J39" s="234"/>
      <c r="K39" s="234"/>
      <c r="L39" s="234"/>
      <c r="M39" s="234"/>
      <c r="Z39" s="219"/>
    </row>
    <row r="40" spans="1:42" s="2" customFormat="1" ht="30" customHeight="1" x14ac:dyDescent="0.2">
      <c r="A40" s="9"/>
      <c r="B40" s="234"/>
      <c r="C40" s="239"/>
      <c r="D40" s="239"/>
      <c r="E40" s="239"/>
      <c r="F40" s="240"/>
      <c r="G40" s="241"/>
      <c r="H40" s="234">
        <f ca="1">IF(INDIRECT($C$5)="",0,VLOOKUP(INDIRECT($C$5),Funcionários!$C$7:$E$36,3,0)+IF(VLOOKUP(INDIRECT($C$5),Jornada!$C$8:$E$37,2,0)="Sim",IF('P Gerais'!$I$8&lt;&gt;0,VLOOKUP(INDIRECT($C$5),Funcionários!$C$7:$E$36,3,0)*'P Gerais'!$L$14,'P Gerais'!$I$8*'P Gerais'!$L$14),0)+IF(VLOOKUP(INDIRECT($C$5),Jornada!$C$8:$E$37,3,0)="Sim",VLOOKUP(INDIRECT($C$5),Funcionários!$C$7:$E$36,3,0)*'P Gerais'!$K$14,0))</f>
        <v>0</v>
      </c>
      <c r="I40" s="234">
        <f ca="1">VLOOKUP(INDIRECT($C$5),Jornada!$C$8:$AF$37,30,0)</f>
        <v>0</v>
      </c>
      <c r="J40" s="234" t="s">
        <v>298</v>
      </c>
      <c r="K40" s="242">
        <f ca="1">IF(I40=0,0,H40/I40)</f>
        <v>0</v>
      </c>
      <c r="L40" s="234"/>
      <c r="M40" s="234"/>
      <c r="Z40" s="219"/>
    </row>
    <row r="41" spans="1:42" s="2" customFormat="1" ht="30" customHeight="1" x14ac:dyDescent="0.2">
      <c r="A41" s="9"/>
      <c r="B41" s="234" t="s">
        <v>52</v>
      </c>
      <c r="C41" s="292" t="s">
        <v>75</v>
      </c>
      <c r="D41" s="292"/>
      <c r="E41" s="292"/>
      <c r="F41" s="243">
        <f t="shared" ref="F41:F47" si="12">SUMIFS($Q$8:$Q$38,$F$8:$F$38,$B41,$G$8:$G$38,"Normal")</f>
        <v>0</v>
      </c>
      <c r="G41" s="244">
        <f>IF($M$41="Sistema de banco de horas",0,'P Gerais'!$C$14)</f>
        <v>0.5</v>
      </c>
      <c r="H41" s="245">
        <f t="shared" ref="H41:H48" ca="1" si="13">IF($M$41="Sistema de banco de horas",0,$K$40*(1+G41)*(F41*24))</f>
        <v>0</v>
      </c>
      <c r="I41" s="243">
        <f t="shared" ref="I41:I47" ca="1" si="14">IF(SUMIF($F$8:$F$38,$B41,$Q$8:$Q$38)-SUMIFS($M$8:$M$38,$F$8:$F$38,$B41,$G$8:$G$38,"Feriado")-SUMIFS($M$8:$M$38,$F$8:$F$38,$B41,$G$8:$G$38,"Folga (DSR)")-SUMIFS($M$8:$M$38,$F$8:$F$38,$B41,$G$8:$G$38,"Férias")-SUMIF($F$8:$F$38,$B41,$AN$8:$AN$38)-SUMIF($F$8:$F$38,$B41,$AO$8:$AO$38)&lt;0,0,SUMIF($F$8:$F$38,$B41,$Q$8:$Q$38)-SUMIFS($M$8:$M$38,$F$8:$F$38,$B41,$G$8:$G$38,"Feriado")-SUMIFS($M$8:$M$38,$F$8:$F$38,$B41,$G$8:$G$38,"Folga (DSR)")-SUMIFS($M$8:$M$38,$F$8:$F$38,$B41,$G$8:$G$38,"Férias")-SUMIF($F$8:$F$38,$B41,$AN$8:$AN$38)-SUMIF($F$8:$F$38,$B41,$AO$8:$AO$38))</f>
        <v>0</v>
      </c>
      <c r="J41" s="245">
        <f ca="1">H41</f>
        <v>0</v>
      </c>
      <c r="K41" s="234"/>
      <c r="L41" s="234"/>
      <c r="M41" s="234">
        <f>'P Gerais'!I10</f>
        <v>0</v>
      </c>
      <c r="Z41" s="219"/>
    </row>
    <row r="42" spans="1:42" s="2" customFormat="1" ht="30" customHeight="1" x14ac:dyDescent="0.2">
      <c r="A42" s="9"/>
      <c r="B42" s="234" t="s">
        <v>53</v>
      </c>
      <c r="C42" s="292" t="s">
        <v>76</v>
      </c>
      <c r="D42" s="292"/>
      <c r="E42" s="292"/>
      <c r="F42" s="243">
        <f t="shared" si="12"/>
        <v>0</v>
      </c>
      <c r="G42" s="244">
        <f>IF($M$41="Sistema de banco de horas",0,'P Gerais'!$C$14)</f>
        <v>0.5</v>
      </c>
      <c r="H42" s="245">
        <f t="shared" ca="1" si="13"/>
        <v>0</v>
      </c>
      <c r="I42" s="243">
        <f t="shared" ca="1" si="14"/>
        <v>0</v>
      </c>
      <c r="J42" s="245">
        <f t="shared" ref="J42:J51" ca="1" si="15">H42</f>
        <v>0</v>
      </c>
      <c r="K42" s="234"/>
      <c r="L42" s="234"/>
      <c r="M42" s="234"/>
      <c r="Z42" s="219"/>
    </row>
    <row r="43" spans="1:42" s="2" customFormat="1" ht="30" customHeight="1" x14ac:dyDescent="0.2">
      <c r="A43" s="9"/>
      <c r="B43" s="234" t="s">
        <v>54</v>
      </c>
      <c r="C43" s="292" t="s">
        <v>77</v>
      </c>
      <c r="D43" s="292"/>
      <c r="E43" s="292"/>
      <c r="F43" s="243">
        <f t="shared" si="12"/>
        <v>0</v>
      </c>
      <c r="G43" s="244">
        <f>IF($M$41="Sistema de banco de horas",0,'P Gerais'!$C$14)</f>
        <v>0.5</v>
      </c>
      <c r="H43" s="245">
        <f t="shared" ca="1" si="13"/>
        <v>0</v>
      </c>
      <c r="I43" s="243">
        <f t="shared" ca="1" si="14"/>
        <v>0</v>
      </c>
      <c r="J43" s="245">
        <f t="shared" ca="1" si="15"/>
        <v>0</v>
      </c>
      <c r="K43" s="234"/>
      <c r="L43" s="234"/>
      <c r="M43" s="234"/>
      <c r="Z43" s="219"/>
    </row>
    <row r="44" spans="1:42" s="2" customFormat="1" ht="30" customHeight="1" x14ac:dyDescent="0.2">
      <c r="A44" s="9"/>
      <c r="B44" s="234" t="s">
        <v>55</v>
      </c>
      <c r="C44" s="292" t="s">
        <v>78</v>
      </c>
      <c r="D44" s="292"/>
      <c r="E44" s="292"/>
      <c r="F44" s="243">
        <f t="shared" si="12"/>
        <v>0</v>
      </c>
      <c r="G44" s="244">
        <f>IF($M$41="Sistema de banco de horas",0,'P Gerais'!$C$14)</f>
        <v>0.5</v>
      </c>
      <c r="H44" s="245">
        <f t="shared" ca="1" si="13"/>
        <v>0</v>
      </c>
      <c r="I44" s="243">
        <f t="shared" ca="1" si="14"/>
        <v>0</v>
      </c>
      <c r="J44" s="245">
        <f t="shared" ca="1" si="15"/>
        <v>0</v>
      </c>
      <c r="K44" s="234"/>
      <c r="L44" s="234"/>
      <c r="M44" s="234"/>
      <c r="Z44" s="219"/>
    </row>
    <row r="45" spans="1:42" s="2" customFormat="1" ht="30" customHeight="1" x14ac:dyDescent="0.2">
      <c r="A45" s="9"/>
      <c r="B45" s="234" t="s">
        <v>56</v>
      </c>
      <c r="C45" s="292" t="s">
        <v>79</v>
      </c>
      <c r="D45" s="292"/>
      <c r="E45" s="292"/>
      <c r="F45" s="243">
        <f t="shared" si="12"/>
        <v>0</v>
      </c>
      <c r="G45" s="244">
        <f>IF($M$41="Sistema de banco de horas",0,'P Gerais'!$C$14)</f>
        <v>0.5</v>
      </c>
      <c r="H45" s="245">
        <f t="shared" ca="1" si="13"/>
        <v>0</v>
      </c>
      <c r="I45" s="243">
        <f t="shared" ca="1" si="14"/>
        <v>0</v>
      </c>
      <c r="J45" s="245">
        <f t="shared" ca="1" si="15"/>
        <v>0</v>
      </c>
      <c r="K45" s="234"/>
      <c r="L45" s="234"/>
      <c r="M45" s="234"/>
      <c r="Z45" s="219"/>
    </row>
    <row r="46" spans="1:42" s="2" customFormat="1" ht="30" customHeight="1" x14ac:dyDescent="0.2">
      <c r="A46" s="9"/>
      <c r="B46" s="234" t="s">
        <v>57</v>
      </c>
      <c r="C46" s="292" t="s">
        <v>82</v>
      </c>
      <c r="D46" s="292"/>
      <c r="E46" s="292"/>
      <c r="F46" s="243">
        <f t="shared" si="12"/>
        <v>0</v>
      </c>
      <c r="G46" s="244">
        <f>IF($M$41="Sistema de banco de horas",0,'P Gerais'!$E$14)</f>
        <v>0.5</v>
      </c>
      <c r="H46" s="245">
        <f t="shared" ca="1" si="13"/>
        <v>0</v>
      </c>
      <c r="I46" s="243">
        <f t="shared" ca="1" si="14"/>
        <v>0</v>
      </c>
      <c r="J46" s="245">
        <f t="shared" ca="1" si="15"/>
        <v>0</v>
      </c>
      <c r="K46" s="234"/>
      <c r="L46" s="234"/>
      <c r="M46" s="234"/>
      <c r="Z46" s="219"/>
    </row>
    <row r="47" spans="1:42" s="2" customFormat="1" ht="30" customHeight="1" x14ac:dyDescent="0.2">
      <c r="A47" s="9"/>
      <c r="B47" s="234" t="s">
        <v>51</v>
      </c>
      <c r="C47" s="292" t="s">
        <v>81</v>
      </c>
      <c r="D47" s="292"/>
      <c r="E47" s="292"/>
      <c r="F47" s="243">
        <f t="shared" si="12"/>
        <v>0</v>
      </c>
      <c r="G47" s="244">
        <f>IF($M$41="Sistema de banco de horas",0,'P Gerais'!$F$14)</f>
        <v>1</v>
      </c>
      <c r="H47" s="245">
        <f t="shared" ca="1" si="13"/>
        <v>0</v>
      </c>
      <c r="I47" s="243">
        <f t="shared" ca="1" si="14"/>
        <v>0</v>
      </c>
      <c r="J47" s="245">
        <f t="shared" ca="1" si="15"/>
        <v>0</v>
      </c>
      <c r="K47" s="234"/>
      <c r="L47" s="234"/>
      <c r="M47" s="234"/>
      <c r="Z47" s="219"/>
    </row>
    <row r="48" spans="1:42" s="2" customFormat="1" ht="30" customHeight="1" x14ac:dyDescent="0.2">
      <c r="A48" s="9"/>
      <c r="B48" s="234"/>
      <c r="C48" s="292" t="s">
        <v>80</v>
      </c>
      <c r="D48" s="292"/>
      <c r="E48" s="292"/>
      <c r="F48" s="243">
        <f>SUMIFS($Q$8:$Q$38,$G$8:$G$38,"Feriado")</f>
        <v>0</v>
      </c>
      <c r="G48" s="244">
        <f>IF($M$41="Sistema de banco de horas",0,'P Gerais'!$I$14)</f>
        <v>1</v>
      </c>
      <c r="H48" s="245">
        <f t="shared" ca="1" si="13"/>
        <v>0</v>
      </c>
      <c r="I48" s="243"/>
      <c r="J48" s="245">
        <f t="shared" ca="1" si="15"/>
        <v>0</v>
      </c>
      <c r="K48" s="234"/>
      <c r="L48" s="234"/>
      <c r="M48" s="234"/>
      <c r="Z48" s="219"/>
    </row>
    <row r="49" spans="1:26" s="2" customFormat="1" ht="15" x14ac:dyDescent="0.2">
      <c r="A49" s="9"/>
      <c r="B49" s="234"/>
      <c r="C49" s="292" t="s">
        <v>146</v>
      </c>
      <c r="D49" s="292"/>
      <c r="E49" s="292"/>
      <c r="F49" s="243">
        <f>SUMIFS($Q$8:$Q$38,$G$8:$G$38,"Folga (DSR)")</f>
        <v>0</v>
      </c>
      <c r="G49" s="244">
        <f>IF($M$41="Sistema de banco de horas",0,'P Gerais'!H14)</f>
        <v>1</v>
      </c>
      <c r="H49" s="245">
        <f ca="1">((F53/(F39-G39))*G39)</f>
        <v>0</v>
      </c>
      <c r="I49" s="243"/>
      <c r="J49" s="245">
        <f t="shared" ca="1" si="15"/>
        <v>0</v>
      </c>
      <c r="K49" s="234"/>
      <c r="L49" s="234"/>
      <c r="M49" s="234"/>
      <c r="Z49" s="219"/>
    </row>
    <row r="50" spans="1:26" s="2" customFormat="1" ht="15" x14ac:dyDescent="0.2">
      <c r="A50" s="9"/>
      <c r="B50" s="234"/>
      <c r="C50" s="292" t="s">
        <v>84</v>
      </c>
      <c r="D50" s="292"/>
      <c r="E50" s="292"/>
      <c r="F50" s="243">
        <f ca="1">IF($M$41="Sistema de banco de horas",(SUM(AI$8:AI$38)*(1+G50)),SUM(AI$8:AI$38))</f>
        <v>0</v>
      </c>
      <c r="G50" s="244">
        <f>IF($M$41="Sistema de banco de horas",0,'P Gerais'!$I$17)</f>
        <v>0.5</v>
      </c>
      <c r="H50" s="245">
        <f ca="1">IF($M$41="Sistema de banco de horas",0,$K$40*(1+G50)*(F50*24))</f>
        <v>0</v>
      </c>
      <c r="I50" s="243">
        <f ca="1">IF(SUM($AN$8:$AO$38)&gt;SUM(AI$8:AI$38),0,SUM(AI$8:AI$38)-SUM($AN$8:$AO$38))</f>
        <v>0</v>
      </c>
      <c r="J50" s="245">
        <f t="shared" ca="1" si="15"/>
        <v>0</v>
      </c>
      <c r="K50" s="234"/>
      <c r="L50" s="234"/>
      <c r="M50" s="234"/>
      <c r="Z50" s="219"/>
    </row>
    <row r="51" spans="1:26" s="2" customFormat="1" ht="15" x14ac:dyDescent="0.2">
      <c r="A51" s="9"/>
      <c r="B51" s="234"/>
      <c r="C51" s="292" t="s">
        <v>85</v>
      </c>
      <c r="D51" s="292"/>
      <c r="E51" s="292"/>
      <c r="F51" s="243">
        <f>IF($M$41="Sistema de banco de horas",(SUM(AK$8:AK$38)*(1+G51)),SUM(AK$8:AK$38))</f>
        <v>0</v>
      </c>
      <c r="G51" s="244">
        <f>IF($M$41="Sistema de banco de horas",0,'P Gerais'!$C$17)</f>
        <v>1</v>
      </c>
      <c r="H51" s="245">
        <f ca="1">IF($M$41="Sistema de banco de horas",0,$K$40*(1+G51)*(F51*24))</f>
        <v>0</v>
      </c>
      <c r="I51" s="243"/>
      <c r="J51" s="245">
        <f t="shared" ca="1" si="15"/>
        <v>0</v>
      </c>
      <c r="K51" s="234"/>
      <c r="L51" s="234"/>
      <c r="M51" s="234"/>
      <c r="Z51" s="219"/>
    </row>
    <row r="52" spans="1:26" s="2" customFormat="1" ht="15" customHeight="1" x14ac:dyDescent="0.2">
      <c r="A52" s="9"/>
      <c r="B52" s="234"/>
      <c r="C52" s="292" t="s">
        <v>87</v>
      </c>
      <c r="D52" s="292"/>
      <c r="E52" s="292"/>
      <c r="F52" s="243">
        <f ca="1">U12</f>
        <v>0</v>
      </c>
      <c r="G52" s="246"/>
      <c r="H52" s="234"/>
      <c r="I52" s="234"/>
      <c r="J52" s="234"/>
      <c r="K52" s="234"/>
      <c r="L52" s="234"/>
      <c r="M52" s="234"/>
      <c r="Z52" s="219"/>
    </row>
    <row r="53" spans="1:26" s="2" customFormat="1" ht="15" x14ac:dyDescent="0.2">
      <c r="A53" s="9"/>
      <c r="B53" s="234"/>
      <c r="C53" s="292" t="s">
        <v>299</v>
      </c>
      <c r="D53" s="292"/>
      <c r="E53" s="292"/>
      <c r="F53" s="247">
        <f ca="1">SUM(H48)+J50+H51+SUM(J41:J47)</f>
        <v>0</v>
      </c>
      <c r="G53" s="248"/>
      <c r="H53" s="234"/>
      <c r="I53" s="234"/>
      <c r="J53" s="234"/>
      <c r="K53" s="234"/>
      <c r="L53" s="234"/>
      <c r="M53" s="234"/>
      <c r="Z53" s="219"/>
    </row>
    <row r="54" spans="1:26" s="2" customFormat="1" ht="15" x14ac:dyDescent="0.2">
      <c r="A54" s="9"/>
      <c r="B54" s="234"/>
      <c r="C54" s="292" t="s">
        <v>88</v>
      </c>
      <c r="D54" s="292"/>
      <c r="E54" s="292"/>
      <c r="F54" s="247">
        <f ca="1">F53+(H49*(1+G49))</f>
        <v>0</v>
      </c>
      <c r="G54" s="248"/>
      <c r="H54" s="249"/>
      <c r="I54" s="234"/>
      <c r="J54" s="234"/>
      <c r="K54" s="234"/>
      <c r="L54" s="234"/>
      <c r="M54" s="234"/>
      <c r="Z54" s="219"/>
    </row>
    <row r="55" spans="1:26" s="2" customFormat="1" ht="15" x14ac:dyDescent="0.2">
      <c r="A55" s="9"/>
      <c r="B55" s="234"/>
      <c r="C55" s="292" t="s">
        <v>89</v>
      </c>
      <c r="D55" s="292"/>
      <c r="E55" s="292"/>
      <c r="F55" s="247">
        <f ca="1">H40+F54</f>
        <v>0</v>
      </c>
      <c r="G55" s="246"/>
      <c r="H55" s="234"/>
      <c r="I55" s="234"/>
      <c r="J55" s="234"/>
      <c r="K55" s="234"/>
      <c r="L55" s="234"/>
      <c r="M55" s="234"/>
      <c r="Z55" s="219"/>
    </row>
    <row r="56" spans="1:26" s="2" customFormat="1" ht="15" x14ac:dyDescent="0.2">
      <c r="A56" s="9"/>
      <c r="B56" s="234"/>
      <c r="C56" s="292" t="s">
        <v>178</v>
      </c>
      <c r="D56" s="292"/>
      <c r="E56" s="292"/>
      <c r="F56" s="243">
        <f>IF($M$41="Sistema de banco de horas",(SUMIF($G$8:$G$38,"Férias",Q8:Q38))*(1+G48),SUMIF($G$8:$G$38,"Férias",Q8:Q38))</f>
        <v>0</v>
      </c>
      <c r="G56" s="246"/>
      <c r="H56" s="234"/>
      <c r="I56" s="234"/>
      <c r="J56" s="234"/>
      <c r="K56" s="234"/>
      <c r="L56" s="234"/>
      <c r="M56" s="234"/>
      <c r="Z56" s="219"/>
    </row>
    <row r="57" spans="1:26" s="2" customFormat="1" ht="15" x14ac:dyDescent="0.2">
      <c r="A57" s="9"/>
      <c r="B57" s="234"/>
      <c r="C57" s="239"/>
      <c r="D57" s="239"/>
      <c r="E57" s="239"/>
      <c r="F57" s="250">
        <f ca="1">U14</f>
        <v>0</v>
      </c>
      <c r="G57" s="246"/>
      <c r="H57" s="234"/>
      <c r="I57" s="234"/>
      <c r="J57" s="234"/>
      <c r="K57" s="234"/>
      <c r="L57" s="234"/>
      <c r="M57" s="234"/>
      <c r="Z57" s="219"/>
    </row>
    <row r="58" spans="1:26" s="2" customFormat="1" ht="15" x14ac:dyDescent="0.2">
      <c r="A58" s="9"/>
      <c r="B58" s="234"/>
      <c r="C58" s="239"/>
      <c r="D58" s="239"/>
      <c r="E58" s="239"/>
      <c r="F58" s="243">
        <f ca="1">SUM(F41:F51)</f>
        <v>0</v>
      </c>
      <c r="G58" s="246"/>
      <c r="H58" s="234"/>
      <c r="I58" s="234"/>
      <c r="J58" s="234"/>
      <c r="K58" s="234"/>
      <c r="L58" s="234"/>
      <c r="M58" s="234"/>
      <c r="Z58" s="219"/>
    </row>
    <row r="59" spans="1:26" s="2" customFormat="1" ht="15" x14ac:dyDescent="0.2">
      <c r="A59" s="9"/>
      <c r="Z59" s="219"/>
    </row>
    <row r="60" spans="1:26" s="2" customFormat="1" ht="15" x14ac:dyDescent="0.2">
      <c r="A60" s="9"/>
      <c r="G60" s="178"/>
      <c r="Z60" s="219"/>
    </row>
    <row r="61" spans="1:26" ht="15" x14ac:dyDescent="0.2"/>
    <row r="62" spans="1:26" ht="15" x14ac:dyDescent="0.2"/>
    <row r="63" spans="1:26" ht="15" x14ac:dyDescent="0.2"/>
    <row r="64" spans="1:26" ht="15" x14ac:dyDescent="0.2"/>
    <row r="65" ht="15" x14ac:dyDescent="0.2"/>
    <row r="66" ht="15" x14ac:dyDescent="0.2"/>
    <row r="67" ht="15" x14ac:dyDescent="0.2"/>
    <row r="68" ht="15" x14ac:dyDescent="0.2"/>
    <row r="69" ht="15" x14ac:dyDescent="0.2"/>
    <row r="70" ht="15" x14ac:dyDescent="0.2"/>
    <row r="71" ht="15" x14ac:dyDescent="0.2"/>
    <row r="72" ht="15" x14ac:dyDescent="0.2"/>
    <row r="73" ht="15" x14ac:dyDescent="0.2"/>
    <row r="74" ht="15" x14ac:dyDescent="0.2"/>
    <row r="75" ht="15" x14ac:dyDescent="0.2"/>
    <row r="76" ht="15" x14ac:dyDescent="0.2"/>
    <row r="77" ht="15" x14ac:dyDescent="0.2"/>
    <row r="78" ht="15" x14ac:dyDescent="0.2"/>
    <row r="79" ht="15" x14ac:dyDescent="0.2"/>
    <row r="80" ht="15" x14ac:dyDescent="0.2"/>
    <row r="81" ht="15" x14ac:dyDescent="0.2"/>
    <row r="82" ht="15" x14ac:dyDescent="0.2"/>
    <row r="83" ht="15" x14ac:dyDescent="0.2"/>
    <row r="84" ht="15" x14ac:dyDescent="0.2"/>
    <row r="85" ht="15" x14ac:dyDescent="0.2"/>
    <row r="86" ht="15" x14ac:dyDescent="0.2"/>
    <row r="87" ht="15" x14ac:dyDescent="0.2"/>
    <row r="88" ht="15" x14ac:dyDescent="0.2"/>
    <row r="89" ht="15" x14ac:dyDescent="0.2"/>
    <row r="90" ht="15" x14ac:dyDescent="0.2"/>
    <row r="91" ht="15" x14ac:dyDescent="0.2"/>
    <row r="92" ht="15" x14ac:dyDescent="0.2"/>
    <row r="93" ht="15" x14ac:dyDescent="0.2"/>
    <row r="94" ht="15" x14ac:dyDescent="0.2"/>
    <row r="95" ht="15" x14ac:dyDescent="0.2"/>
    <row r="96" ht="15" x14ac:dyDescent="0.2"/>
    <row r="97" ht="15" x14ac:dyDescent="0.2"/>
    <row r="98" ht="15" x14ac:dyDescent="0.2"/>
    <row r="99" ht="15" x14ac:dyDescent="0.2"/>
    <row r="100" ht="15" x14ac:dyDescent="0.2"/>
    <row r="101" ht="15" x14ac:dyDescent="0.2"/>
    <row r="102" ht="15" x14ac:dyDescent="0.2"/>
    <row r="103" ht="15" x14ac:dyDescent="0.2"/>
  </sheetData>
  <sheetProtection sheet="1" objects="1" scenarios="1" selectLockedCells="1"/>
  <mergeCells count="34">
    <mergeCell ref="C56:E56"/>
    <mergeCell ref="C48:E48"/>
    <mergeCell ref="C49:E49"/>
    <mergeCell ref="C50:E50"/>
    <mergeCell ref="C52:E52"/>
    <mergeCell ref="C53:E53"/>
    <mergeCell ref="C54:E54"/>
    <mergeCell ref="C51:E51"/>
    <mergeCell ref="C44:E44"/>
    <mergeCell ref="C55:E55"/>
    <mergeCell ref="C45:E45"/>
    <mergeCell ref="C46:E46"/>
    <mergeCell ref="C47:E47"/>
    <mergeCell ref="S22:U22"/>
    <mergeCell ref="C41:E41"/>
    <mergeCell ref="C42:E42"/>
    <mergeCell ref="C43:E43"/>
    <mergeCell ref="S26:U28"/>
    <mergeCell ref="S23:U25"/>
    <mergeCell ref="E7:F7"/>
    <mergeCell ref="I7:J7"/>
    <mergeCell ref="S7:U7"/>
    <mergeCell ref="S8:T9"/>
    <mergeCell ref="U8:U9"/>
    <mergeCell ref="S16:T17"/>
    <mergeCell ref="U16:U17"/>
    <mergeCell ref="S18:T19"/>
    <mergeCell ref="S10:T11"/>
    <mergeCell ref="U10:U11"/>
    <mergeCell ref="S12:T13"/>
    <mergeCell ref="U12:U13"/>
    <mergeCell ref="S14:T15"/>
    <mergeCell ref="U14:U15"/>
    <mergeCell ref="U18:U19"/>
  </mergeCells>
  <phoneticPr fontId="50" type="noConversion"/>
  <conditionalFormatting sqref="M8:M10 M28:M37 M12:M26">
    <cfRule type="cellIs" dxfId="1340" priority="359" operator="greaterThan">
      <formula>0</formula>
    </cfRule>
  </conditionalFormatting>
  <conditionalFormatting sqref="N36:N37 L36:L37">
    <cfRule type="expression" dxfId="1339" priority="326">
      <formula>AND($E36&lt;$E$35,$E$8=1)</formula>
    </cfRule>
    <cfRule type="expression" dxfId="1338" priority="327">
      <formula>AND($E36&gt;=$E$8,$E$8&lt;&gt;1)</formula>
    </cfRule>
  </conditionalFormatting>
  <conditionalFormatting sqref="E36:E38">
    <cfRule type="expression" dxfId="1337" priority="324">
      <formula>AND($E36&lt;$E$35,$E$8=1)</formula>
    </cfRule>
    <cfRule type="expression" dxfId="1336" priority="325">
      <formula>AND($E36&gt;=$E$8,$E$8&lt;&gt;1)</formula>
    </cfRule>
  </conditionalFormatting>
  <conditionalFormatting sqref="O8:O10 O28:O37 O12:O26">
    <cfRule type="cellIs" dxfId="1335" priority="319" operator="greaterThan">
      <formula>0.000001</formula>
    </cfRule>
  </conditionalFormatting>
  <conditionalFormatting sqref="O36:O37">
    <cfRule type="expression" dxfId="1334" priority="317">
      <formula>AND($E36&lt;$E$35,$E$8=1)</formula>
    </cfRule>
    <cfRule type="expression" dxfId="1333" priority="318">
      <formula>AND($E36&gt;=$E$8,$E$8&lt;&gt;1)</formula>
    </cfRule>
  </conditionalFormatting>
  <conditionalFormatting sqref="M27">
    <cfRule type="cellIs" dxfId="1332" priority="270" operator="greaterThan">
      <formula>0</formula>
    </cfRule>
  </conditionalFormatting>
  <conditionalFormatting sqref="O27">
    <cfRule type="cellIs" dxfId="1331" priority="268" operator="greaterThan">
      <formula>0.000001</formula>
    </cfRule>
  </conditionalFormatting>
  <conditionalFormatting sqref="M11">
    <cfRule type="cellIs" dxfId="1330" priority="248" operator="greaterThan">
      <formula>0</formula>
    </cfRule>
  </conditionalFormatting>
  <conditionalFormatting sqref="O11">
    <cfRule type="cellIs" dxfId="1329" priority="246" operator="greaterThan">
      <formula>0.000001</formula>
    </cfRule>
  </conditionalFormatting>
  <conditionalFormatting sqref="F8:F38">
    <cfRule type="containsText" dxfId="1328" priority="232" operator="containsText" text="Dom">
      <formula>NOT(ISERROR(SEARCH("Dom",F8)))</formula>
    </cfRule>
    <cfRule type="containsText" dxfId="1327" priority="233" operator="containsText" text="Sáb">
      <formula>NOT(ISERROR(SEARCH("Sáb",F8)))</formula>
    </cfRule>
  </conditionalFormatting>
  <conditionalFormatting sqref="Q8:Q37">
    <cfRule type="cellIs" dxfId="1326" priority="142" operator="greaterThan">
      <formula>0.000001</formula>
    </cfRule>
  </conditionalFormatting>
  <conditionalFormatting sqref="O38">
    <cfRule type="cellIs" dxfId="1325" priority="69" operator="greaterThan">
      <formula>0.000001</formula>
    </cfRule>
  </conditionalFormatting>
  <conditionalFormatting sqref="M38">
    <cfRule type="cellIs" dxfId="1324" priority="70" operator="greaterThan">
      <formula>0</formula>
    </cfRule>
  </conditionalFormatting>
  <conditionalFormatting sqref="L38:O38">
    <cfRule type="expression" dxfId="1323" priority="68">
      <formula>AND($E38&gt;=$E$8,$E$8&lt;&gt;1)</formula>
    </cfRule>
  </conditionalFormatting>
  <conditionalFormatting sqref="Q38">
    <cfRule type="cellIs" dxfId="1322" priority="51" operator="greaterThan">
      <formula>0.000001</formula>
    </cfRule>
  </conditionalFormatting>
  <conditionalFormatting sqref="L38:Q38">
    <cfRule type="expression" dxfId="1321" priority="67">
      <formula>AND($E38&lt;$E$35,$E$8=1)</formula>
    </cfRule>
  </conditionalFormatting>
  <conditionalFormatting sqref="L38:Q38">
    <cfRule type="expression" dxfId="1320" priority="52">
      <formula>AND($E38&lt;$E$35,$E$8=1)</formula>
    </cfRule>
    <cfRule type="expression" dxfId="1319" priority="53">
      <formula>AND($E38&gt;=$E$8,$E$8&lt;&gt;1)</formula>
    </cfRule>
  </conditionalFormatting>
  <conditionalFormatting sqref="U10:U11">
    <cfRule type="expression" dxfId="1318" priority="20">
      <formula>$V$11="Negativo"</formula>
    </cfRule>
  </conditionalFormatting>
  <conditionalFormatting sqref="G8:K35">
    <cfRule type="expression" dxfId="1317" priority="15">
      <formula>OR($G8="Férias",$G8="Falta Injustificada")</formula>
    </cfRule>
    <cfRule type="expression" dxfId="1316" priority="16">
      <formula>$G8="Folga (DSR)"</formula>
    </cfRule>
    <cfRule type="expression" dxfId="1315" priority="17">
      <formula>$G8="Feriado"</formula>
    </cfRule>
    <cfRule type="expression" dxfId="1314" priority="18">
      <formula>$F8="Dom"</formula>
    </cfRule>
  </conditionalFormatting>
  <conditionalFormatting sqref="H8:K35">
    <cfRule type="expression" dxfId="1313" priority="14">
      <formula>OR($G8="Falta Justificada",$G8="Falta Injustificada")</formula>
    </cfRule>
  </conditionalFormatting>
  <conditionalFormatting sqref="G36:K38">
    <cfRule type="expression" dxfId="1312" priority="10">
      <formula>OR($G36="Férias",$G36="Falta Injustificada")</formula>
    </cfRule>
    <cfRule type="expression" dxfId="1311" priority="11">
      <formula>$G36="Folga (DSR)"</formula>
    </cfRule>
    <cfRule type="expression" dxfId="1310" priority="12">
      <formula>$G36="Feriado"</formula>
    </cfRule>
    <cfRule type="expression" dxfId="1309" priority="13">
      <formula>$F36="Dom"</formula>
    </cfRule>
  </conditionalFormatting>
  <conditionalFormatting sqref="G36:K38">
    <cfRule type="expression" dxfId="1308" priority="7">
      <formula>AND($E36&lt;$E$35,$E$8=1)</formula>
    </cfRule>
    <cfRule type="expression" dxfId="1307" priority="8">
      <formula>AND($E36&gt;=$E$8,$E$8&lt;&gt;1)</formula>
    </cfRule>
  </conditionalFormatting>
  <conditionalFormatting sqref="H36:K38">
    <cfRule type="expression" dxfId="1306" priority="9">
      <formula>OR($G36="Falta Justificada",$G36="Falta Injustificada")</formula>
    </cfRule>
  </conditionalFormatting>
  <conditionalFormatting sqref="U12:U13">
    <cfRule type="expression" dxfId="1305" priority="588">
      <formula>$U$14&gt;$F$58</formula>
    </cfRule>
  </conditionalFormatting>
  <conditionalFormatting sqref="F40">
    <cfRule type="expression" dxfId="1304" priority="589">
      <formula>$E40="Folga(DSR)"</formula>
    </cfRule>
    <cfRule type="expression" dxfId="1303" priority="590">
      <formula>$E40="Feriado"</formula>
    </cfRule>
    <cfRule type="expression" dxfId="1302" priority="591">
      <formula>$D40="Dom"</formula>
    </cfRule>
  </conditionalFormatting>
  <dataValidations count="3">
    <dataValidation type="time" allowBlank="1" showInputMessage="1" showErrorMessage="1" sqref="H8:K38">
      <formula1>0</formula1>
      <formula2>0.999988425925926</formula2>
    </dataValidation>
    <dataValidation type="list" allowBlank="1" showInputMessage="1" showErrorMessage="1" sqref="G8:G38">
      <formula1>"Normal,Feriado,Folga (DSR),Falta Justificada,Férias,Falta Injustificada"</formula1>
    </dataValidation>
    <dataValidation type="list" allowBlank="1" showInputMessage="1" showErrorMessage="1" sqref="E9:E35">
      <formula1>"1,5,10,16"</formula1>
    </dataValidation>
  </dataValidations>
  <hyperlinks>
    <hyperlink ref="C8" location="Lanç!A1" display="Lanç!A1"/>
    <hyperlink ref="C9" location="'Lanç (2)'!A1" display="'Lanç (2)'!A1"/>
    <hyperlink ref="C10" location="'Lanç (3)'!A1" display="'Lanç (3)'!A1"/>
    <hyperlink ref="C11" location="'Lanç (4)'!A1" display="'Lanç (4)'!A1"/>
    <hyperlink ref="C12" location="'Lanç (5)'!A1" display="'Lanç (5)'!A1"/>
    <hyperlink ref="C13" location="'Lanç (6)'!A1" display="'Lanç (6)'!A1"/>
    <hyperlink ref="C14" location="'Lanç (7)'!A1" display="'Lanç (7)'!A1"/>
    <hyperlink ref="C15" location="'Lanç (8)'!A1" display="'Lanç (8)'!A1"/>
    <hyperlink ref="C16" location="'Lanç (9)'!A1" display="'Lanç (9)'!A1"/>
    <hyperlink ref="C17" location="'Lanç (10)'!A1" display="'Lanç (10)'!A1"/>
    <hyperlink ref="C18" location="'Lanç (11)'!A1" display="'Lanç (11)'!A1"/>
    <hyperlink ref="C19" location="'Lanç (12)'!A1" display="'Lanç (12)'!A1"/>
    <hyperlink ref="C20" location="'Lanç (13)'!A1" display="'Lanç (13)'!A1"/>
    <hyperlink ref="C21" location="'Lanç (14)'!A1" display="'Lanç (14)'!A1"/>
    <hyperlink ref="C22" location="'Lanç (15)'!A1" display="'Lanç (15)'!A1"/>
    <hyperlink ref="C23" location="'Lanç (16)'!A1" display="'Lanç (16)'!A1"/>
    <hyperlink ref="C24" location="'Lanç (17)'!A1" display="'Lanç (17)'!A1"/>
    <hyperlink ref="C25" location="'Lanç (18)'!A1" display="'Lanç (18)'!A1"/>
    <hyperlink ref="C26" location="'Lanç (19)'!A1" display="'Lanç (19)'!A1"/>
    <hyperlink ref="C27" location="'Lanç (20)'!A1" display="'Lanç (20)'!A1"/>
    <hyperlink ref="C28" location="'Lanç (21)'!A1" display="'Lanç (21)'!A1"/>
    <hyperlink ref="C29" location="'Lanç (22)'!A1" display="'Lanç (22)'!A1"/>
    <hyperlink ref="C30" location="'Lanç (23)'!A1" display="'Lanç (23)'!A1"/>
    <hyperlink ref="C31" location="'Lanç (24)'!A1" display="'Lanç (24)'!A1"/>
    <hyperlink ref="C32" location="'Lanç (25)'!A1" display="'Lanç (25)'!A1"/>
    <hyperlink ref="C33" location="'Lanç (26)'!A1" display="'Lanç (26)'!A1"/>
    <hyperlink ref="C34" location="'Lanç (27)'!A1" display="'Lanç (27)'!A1"/>
    <hyperlink ref="C35" location="'Lanç (28)'!A1" display="'Lanç (28)'!A1"/>
    <hyperlink ref="C36" location="'Lanç (29)'!A1" display="'Lanç (29)'!A1"/>
    <hyperlink ref="C37" location="'Lanç (30)'!A1" display="'Lanç (30)'!A1"/>
  </hyperlinks>
  <printOptions horizontalCentered="1"/>
  <pageMargins left="0.23622047244094502" right="0.23622047244094502" top="0.74803149606299202" bottom="0.74803149606299202" header="0.31496062992126" footer="0.31496062992126"/>
  <pageSetup paperSize="9" scale="53" orientation="portrait" cellComments="atEnd"/>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134" id="{2652CD7F-7CF7-0747-9429-D77A6C346CC3}">
            <xm:f>'P Gerais'!$I$10:$M$10="Pagas em Dinheiro"</xm:f>
            <x14:dxf>
              <font>
                <color theme="0"/>
              </font>
              <fill>
                <patternFill>
                  <bgColor theme="0"/>
                </patternFill>
              </fill>
              <border>
                <left/>
                <right/>
                <top/>
                <bottom/>
              </border>
            </x14:dxf>
          </x14:cfRule>
          <xm:sqref>S10:T13</xm:sqref>
        </x14:conditionalFormatting>
        <x14:conditionalFormatting xmlns:xm="http://schemas.microsoft.com/office/excel/2006/main">
          <x14:cfRule type="expression" priority="133" id="{F01083BB-F800-C043-9335-838C36E193EC}">
            <xm:f>'P Gerais'!$I$10:$M$10="Sistema de banco de horas"</xm:f>
            <x14:dxf>
              <font>
                <color theme="0"/>
              </font>
              <fill>
                <patternFill>
                  <bgColor theme="0"/>
                </patternFill>
              </fill>
              <border>
                <left/>
                <right/>
                <top/>
                <bottom/>
              </border>
            </x14:dxf>
          </x14:cfRule>
          <xm:sqref>S18:T19</xm:sqref>
        </x14:conditionalFormatting>
        <x14:conditionalFormatting xmlns:xm="http://schemas.microsoft.com/office/excel/2006/main">
          <x14:cfRule type="expression" priority="22" id="{27F35FEC-480F-4843-972F-B1404575AD03}">
            <xm:f>'P Gerais'!$I$10:$M$10="Sistema de banco de horas"</xm:f>
            <x14:dxf>
              <font>
                <color theme="0"/>
              </font>
              <fill>
                <patternFill>
                  <bgColor theme="0"/>
                </patternFill>
              </fill>
              <border>
                <left/>
                <right/>
                <top/>
                <bottom/>
              </border>
            </x14:dxf>
          </x14:cfRule>
          <xm:sqref>U18:U19</xm:sqref>
        </x14:conditionalFormatting>
        <x14:conditionalFormatting xmlns:xm="http://schemas.microsoft.com/office/excel/2006/main">
          <x14:cfRule type="expression" priority="19" id="{D96E0799-D8F9-0A41-BF09-8B6031D0739E}">
            <xm:f>'P Gerais'!$I$10:$M$10="Pagas em Dinheiro"</xm:f>
            <x14:dxf>
              <font>
                <color theme="0"/>
              </font>
              <fill>
                <patternFill>
                  <bgColor theme="0"/>
                </patternFill>
              </fill>
              <border>
                <left/>
                <right/>
                <top/>
                <bottom/>
              </border>
            </x14:dxf>
          </x14:cfRule>
          <xm:sqref>U10:U13</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7" enableFormatConditionsCalculation="0"/>
  <dimension ref="A1:BG103"/>
  <sheetViews>
    <sheetView showGridLines="0" zoomScale="90" zoomScaleNormal="90" zoomScalePageLayoutView="90" workbookViewId="0">
      <selection activeCell="G8" sqref="G8"/>
    </sheetView>
  </sheetViews>
  <sheetFormatPr baseColWidth="10" defaultColWidth="9.1640625" defaultRowHeight="0" customHeight="1" zeroHeight="1" x14ac:dyDescent="0.2"/>
  <cols>
    <col min="1" max="1" width="27.83203125" style="194" customWidth="1"/>
    <col min="2" max="2" width="3.83203125" style="14" customWidth="1"/>
    <col min="3" max="3" width="33.33203125" style="14" customWidth="1"/>
    <col min="4" max="4" width="2.83203125" style="14" customWidth="1"/>
    <col min="5" max="5" width="5.83203125" style="14" customWidth="1"/>
    <col min="6" max="6" width="11.83203125" style="14" customWidth="1"/>
    <col min="7" max="7" width="14.33203125" style="195" customWidth="1"/>
    <col min="8" max="11" width="9.83203125" style="14" customWidth="1"/>
    <col min="12" max="12" width="1.83203125" style="14" customWidth="1"/>
    <col min="13" max="13" width="13.33203125" style="14" customWidth="1"/>
    <col min="14" max="14" width="1.83203125" style="14" customWidth="1"/>
    <col min="15" max="15" width="13.33203125" style="14" customWidth="1"/>
    <col min="16" max="16" width="1.83203125" style="14" customWidth="1"/>
    <col min="17" max="17" width="13.33203125" style="14" customWidth="1"/>
    <col min="18" max="18" width="4.83203125" style="2" bestFit="1" customWidth="1"/>
    <col min="19" max="21" width="11.83203125" style="14" customWidth="1"/>
    <col min="22" max="23" width="8.83203125" style="2" customWidth="1"/>
    <col min="24" max="24" width="11.33203125" style="2" bestFit="1" customWidth="1"/>
    <col min="25" max="25" width="8.83203125" style="2" customWidth="1"/>
    <col min="26" max="26" width="8.1640625" style="219" bestFit="1" customWidth="1"/>
    <col min="27" max="27" width="8.83203125" style="2" customWidth="1"/>
    <col min="28" max="28" width="11.33203125" style="2" bestFit="1" customWidth="1"/>
    <col min="29" max="43" width="8.83203125" style="2" customWidth="1"/>
    <col min="44" max="50" width="11.33203125" style="2" customWidth="1"/>
    <col min="51" max="57" width="11.33203125" style="14" customWidth="1"/>
    <col min="58" max="16384" width="9.1640625" style="14"/>
  </cols>
  <sheetData>
    <row r="1" spans="1:59" s="15" customFormat="1" ht="33.75" customHeight="1" x14ac:dyDescent="0.3">
      <c r="A1" s="56"/>
      <c r="B1" s="3"/>
      <c r="C1" s="4" t="s">
        <v>30</v>
      </c>
      <c r="D1" s="3"/>
      <c r="E1" s="3"/>
      <c r="F1" s="3"/>
      <c r="G1" s="77"/>
      <c r="H1" s="3"/>
      <c r="I1" s="3"/>
      <c r="J1" s="3"/>
      <c r="K1" s="3"/>
      <c r="M1" s="3"/>
      <c r="O1" s="3"/>
      <c r="Q1" s="3"/>
      <c r="S1" s="3"/>
      <c r="T1" s="3"/>
      <c r="U1" s="3"/>
      <c r="Z1" s="174"/>
    </row>
    <row r="2" spans="1:59" s="15" customFormat="1" ht="21.5" customHeight="1" x14ac:dyDescent="0.2">
      <c r="A2" s="1"/>
      <c r="B2" s="3"/>
      <c r="C2" s="3"/>
      <c r="D2" s="3"/>
      <c r="E2" s="3"/>
      <c r="F2" s="3"/>
      <c r="G2" s="77"/>
      <c r="H2" s="3"/>
      <c r="I2" s="3"/>
      <c r="J2" s="3"/>
      <c r="K2" s="3"/>
      <c r="M2" s="3"/>
      <c r="O2" s="3"/>
      <c r="Q2" s="3"/>
      <c r="S2" s="3"/>
      <c r="T2" s="3"/>
      <c r="U2" s="3"/>
      <c r="Z2" s="174"/>
    </row>
    <row r="3" spans="1:59" s="15" customFormat="1" ht="21.5" customHeight="1" x14ac:dyDescent="0.2">
      <c r="A3" s="1"/>
      <c r="B3" s="3"/>
      <c r="C3" s="3"/>
      <c r="D3" s="3"/>
      <c r="E3" s="3"/>
      <c r="F3" s="3"/>
      <c r="G3" s="77"/>
      <c r="H3" s="3"/>
      <c r="I3" s="3"/>
      <c r="J3" s="3"/>
      <c r="K3" s="3"/>
      <c r="M3" s="3"/>
      <c r="O3" s="3"/>
      <c r="Q3" s="3"/>
      <c r="S3" s="3"/>
      <c r="T3" s="3"/>
      <c r="U3" s="3"/>
      <c r="Z3" s="174"/>
    </row>
    <row r="4" spans="1:59" s="2" customFormat="1" ht="30" customHeight="1" x14ac:dyDescent="0.2">
      <c r="A4" s="1"/>
      <c r="B4"/>
      <c r="C4"/>
      <c r="D4"/>
      <c r="E4"/>
      <c r="F4"/>
      <c r="G4" s="78"/>
      <c r="H4"/>
      <c r="I4"/>
      <c r="J4"/>
      <c r="K4"/>
      <c r="M4"/>
      <c r="O4" s="13"/>
      <c r="Q4"/>
      <c r="S4"/>
      <c r="T4"/>
      <c r="U4"/>
      <c r="Z4" s="219"/>
      <c r="AN4" s="175"/>
    </row>
    <row r="5" spans="1:59" s="2" customFormat="1" ht="30" customHeight="1" x14ac:dyDescent="0.2">
      <c r="A5" s="9"/>
      <c r="C5" s="160" t="s">
        <v>188</v>
      </c>
      <c r="K5" s="157">
        <f ca="1">IF(ISERROR(VLOOKUP(INDIRECT($C$5),Jornada!$C$8:$F$37,4,0)),0,VLOOKUP(INDIRECT($C$5),Jornada!$C$8:$F$37,4,0))</f>
        <v>0</v>
      </c>
      <c r="L5" s="158"/>
      <c r="M5" s="157">
        <f ca="1">IF(ISERROR(VLOOKUP(INDIRECT($C$5),Jornada!$C$8:$G$37,5,0)),0,VLOOKUP(INDIRECT($C$5),Jornada!$C$8:$G$37,5,0))</f>
        <v>0</v>
      </c>
      <c r="O5" s="12"/>
      <c r="U5" s="12"/>
      <c r="Z5" s="219"/>
      <c r="AC5" s="12"/>
      <c r="AK5" s="179">
        <v>0.25</v>
      </c>
      <c r="AL5" s="155">
        <v>0.91666666666666663</v>
      </c>
      <c r="AM5" s="155">
        <v>0.20833333333333334</v>
      </c>
      <c r="AN5" s="155">
        <v>1</v>
      </c>
      <c r="AO5" s="155">
        <v>0.70833333333333337</v>
      </c>
    </row>
    <row r="6" spans="1:59" s="2" customFormat="1" ht="8" customHeight="1" thickBot="1" x14ac:dyDescent="0.25">
      <c r="A6" s="9"/>
      <c r="C6" s="198"/>
      <c r="G6" s="178"/>
      <c r="M6" s="220">
        <v>1</v>
      </c>
      <c r="O6" s="156"/>
      <c r="Q6" s="156"/>
      <c r="Z6" s="176"/>
    </row>
    <row r="7" spans="1:59" s="2" customFormat="1" ht="30" customHeight="1" thickTop="1" thickBot="1" x14ac:dyDescent="0.25">
      <c r="A7" s="1"/>
      <c r="B7"/>
      <c r="C7" s="76" t="s">
        <v>176</v>
      </c>
      <c r="D7"/>
      <c r="E7" s="281" t="str">
        <f>Lanç!E7</f>
        <v>Janeiro</v>
      </c>
      <c r="F7" s="283"/>
      <c r="G7" s="79" t="s">
        <v>58</v>
      </c>
      <c r="H7" s="82" t="s">
        <v>0</v>
      </c>
      <c r="I7" s="293" t="s">
        <v>59</v>
      </c>
      <c r="J7" s="293"/>
      <c r="K7" s="82" t="s">
        <v>60</v>
      </c>
      <c r="M7" s="73" t="s">
        <v>61</v>
      </c>
      <c r="O7" s="73" t="s">
        <v>62</v>
      </c>
      <c r="Q7" s="73" t="s">
        <v>63</v>
      </c>
      <c r="R7" s="155">
        <v>8.3333333333333329E-2</v>
      </c>
      <c r="S7" s="293" t="s">
        <v>64</v>
      </c>
      <c r="T7" s="293"/>
      <c r="U7" s="293"/>
      <c r="W7" s="2" t="s">
        <v>90</v>
      </c>
      <c r="X7" s="156">
        <v>1</v>
      </c>
      <c r="AB7" s="2">
        <f>VLOOKUP($E$7,$W$7:$X$18,2,0)</f>
        <v>1</v>
      </c>
      <c r="AG7" s="176" t="s">
        <v>167</v>
      </c>
      <c r="AH7" s="176" t="s">
        <v>168</v>
      </c>
      <c r="AI7" s="155">
        <v>0</v>
      </c>
      <c r="AJ7" s="155">
        <v>1</v>
      </c>
      <c r="AK7" s="155">
        <v>0.45833333333333331</v>
      </c>
      <c r="AL7" s="2" t="s">
        <v>0</v>
      </c>
      <c r="AM7" s="2" t="s">
        <v>162</v>
      </c>
      <c r="AN7" s="2" t="s">
        <v>184</v>
      </c>
      <c r="BE7" s="14"/>
      <c r="BF7" s="14"/>
      <c r="BG7" s="14"/>
    </row>
    <row r="8" spans="1:59" s="2" customFormat="1" ht="30" customHeight="1" thickTop="1" thickBot="1" x14ac:dyDescent="0.25">
      <c r="A8" s="1"/>
      <c r="B8"/>
      <c r="C8" s="172" t="str">
        <f>IF(Funcionários!C7=0,"",Funcionários!C7)</f>
        <v/>
      </c>
      <c r="D8"/>
      <c r="E8" s="115">
        <f>Lanç!E8</f>
        <v>1</v>
      </c>
      <c r="F8" s="189" t="str">
        <f>Lanç!F8</f>
        <v>Dom</v>
      </c>
      <c r="G8" s="80" t="s">
        <v>291</v>
      </c>
      <c r="H8" s="93">
        <v>0.63888888888888895</v>
      </c>
      <c r="I8" s="93"/>
      <c r="J8" s="93"/>
      <c r="K8" s="93">
        <v>0.91666666666666663</v>
      </c>
      <c r="L8" s="197"/>
      <c r="M8" s="95">
        <f>IF(AND(H8=K8,H8&lt;&gt;0),$M$6-IF(J8&lt;I8,$AJ$7+J8-I8,J8-I8),IF(H8&gt;K8,(K8+1-H8)-IF(J8&lt;I8,$AJ$7+J8-I8,J8-I8),(K8-H8)-IF(J8&lt;I8,$AJ$7+J8-I8,J8-I8)))</f>
        <v>0.27777777777777768</v>
      </c>
      <c r="N8" s="196"/>
      <c r="O8" s="95">
        <f ca="1">IF(OR(G8=0,G8="Férias",G8="Falta Justificada",G8="Feriado",G8="Folga (DSR)"),0,IF(G8="Falta Injustificada",HLOOKUP($F8,Jornada!$X$7:$AD$37,VLOOKUP(INDIRECT($C$5),Jornada!$C$8:$W$37,21,0),0),IF(HLOOKUP($F8,Jornada!$X$7:$AD$37,VLOOKUP(INDIRECT($C$5),Jornada!$C$8:$W$37,21,0),0)-M8&gt;0,HLOOKUP($F8,Jornada!$X$7:$AD$37,VLOOKUP(INDIRECT($C$5),Jornada!$C$8:$W$37,21,0),0)-M8,0)))</f>
        <v>0</v>
      </c>
      <c r="P8" s="193">
        <f ca="1">IF(HLOOKUP($F8,Jornada!$X$7:$AD$37,VLOOKUP(INDIRECT($C$5),Jornada!$C$8:$W$37,21,0),0)-M8&lt;0,ABS(HLOOKUP($F8,Jornada!$X$7:$AD$37,VLOOKUP(INDIRECT($C$5),Jornada!$C$8:$W$37,21,0),0)-M8),0)</f>
        <v>0.27777777777777768</v>
      </c>
      <c r="Q8" s="95">
        <f t="shared" ref="Q8:Q38" ca="1" si="0">IF(G8="Normal",P8,IF(G8=0,0,IF(OR(G8="Feriado",G8="Férias"),IF(H8&gt;K8,(K8+1-H8)-IF(J8&lt;I8,$AJ$7+J8-I8,J8-I8),(K8-H8)-IF(J8&lt;I8,$AJ$7+J8-I8,J8-I8)),IF(G8="Folga (DSR)",IF(H8&gt;K8,(K8+1-H8)-IF(J8&lt;I8,$AJ$7+J8-I8,J8-I8),(K8-H8)-IF(J8&lt;I8,$AJ$7+J8-I8,J8-I8)),IF(G8="Falta Justificada",IF(H8&gt;K8,(K8+1-H8)-IF(J8&lt;I8,$AJ$7+J8-I8,J8-I8),(K8-H8)-IF(J8&lt;I8,$AJ$7+J8-I8,J8-I8)),0)))))</f>
        <v>0.27777777777777768</v>
      </c>
      <c r="R8" s="2">
        <f ca="1">IF(Q8&gt;$R$7,1,0)</f>
        <v>1</v>
      </c>
      <c r="S8" s="294" t="s">
        <v>65</v>
      </c>
      <c r="T8" s="294"/>
      <c r="U8" s="295">
        <f>SUM(M8:M38)</f>
        <v>5.9374999999999982</v>
      </c>
      <c r="W8" s="2" t="s">
        <v>91</v>
      </c>
      <c r="X8" s="156">
        <v>2</v>
      </c>
      <c r="AB8" s="177">
        <f>DATE('P Gerais'!$D$6,AB7,1)</f>
        <v>1</v>
      </c>
      <c r="AC8" s="2">
        <f>WEEKDAY(AB8)</f>
        <v>1</v>
      </c>
      <c r="AE8" s="2">
        <v>1</v>
      </c>
      <c r="AF8" s="2" t="s">
        <v>51</v>
      </c>
      <c r="AG8" s="220">
        <f>IF(J8&lt;I8,$AJ$7+J8-I8,J8-I8)</f>
        <v>0</v>
      </c>
      <c r="AH8" s="220">
        <f ca="1">IF(HLOOKUP($F8,Jornada!$X$7:$AD$37,VLOOKUP(INDIRECT($C$5),Jornada!$C$8:$W$37,21,0),0)=0,0,VLOOKUP(INDIRECT($C$5),Jornada!$C$8:$H$37,4,0))</f>
        <v>0</v>
      </c>
      <c r="AI8" s="155">
        <f ca="1">IF(AND(I8=0,J8=0,OR(H8&lt;&gt;0,K8&lt;&gt;0),HLOOKUP($F8,Jornada!$X$7:$AD$37,VLOOKUP(INDIRECT($C$5),Jornada!$C$8:$W$37,21,0),0)&gt;$AK$5,M8&gt;$AK$5),VLOOKUP(INDIRECT($C$5),Jornada!$C$8:$H$37,6,0),IF(AG8&gt;VLOOKUP(INDIRECT($C$5),Jornada!$C$8:$H$37,6,0),IF(VLOOKUP(INDIRECT($C$5),Jornada!$C$8:$H$37,6,0)&lt;AG8,0,ABS(VLOOKUP(INDIRECT($C$5),Jornada!$C$8:$H$37,6,0))-AG8),0))</f>
        <v>0</v>
      </c>
      <c r="AJ8" s="155">
        <f>($AJ$7-K8)+H8</f>
        <v>0.72222222222222232</v>
      </c>
      <c r="AK8" s="155">
        <f>IF(AJ8&lt;$AK$7,$AK$7-AJ8,$AI$7)</f>
        <v>0</v>
      </c>
      <c r="AL8" s="155">
        <f ca="1">HLOOKUP($F8,Jornada!$I$5:$V$37,VLOOKUP(INDIRECT($C$5),Jornada!$C$8:$W$37,21,0)+2,0)</f>
        <v>0</v>
      </c>
      <c r="AM8" s="155">
        <f ca="1">HLOOKUP($F8,Jornada!$I$4:$V$37,VLOOKUP(INDIRECT($C$5),Jornada!$C$8:$W$37,21,0)+3,0)</f>
        <v>0</v>
      </c>
      <c r="AN8" s="155">
        <f ca="1">IF(AND(AL8&gt;=$AL$5,AL8&lt;$AN$5,H8&gt;=$AL$5,H8&lt;AL8),AL8-H8,IF(AND(AL8&gt;$AI$7,AL8&lt;=$AM$5,H8&gt;=$AL$5,H8&lt;=$AN$5),$AN$5-H8+AL8,IF(AND(AL8&gt;=$AI$7,AL8&lt;=$AM$5,H8&gt;=$AI$7,H8&lt;=$AM$5,H8&lt;AL8),H8-AL8,0)))</f>
        <v>0</v>
      </c>
      <c r="AO8" s="155">
        <f ca="1">IF(AP8&gt;Q8,0,AP8)</f>
        <v>0</v>
      </c>
      <c r="AP8" s="155">
        <f ca="1">IF(Q8=0,0,IF(AND(AM8&gt;=$AL$5,AM8&lt;$AN$5,K8&gt;=$AL$5,K8&lt;$AM$5,K8&gt;AM8),K8-AM8,IF(AND(AM8&gt;=$AL$5,AM8&lt;$AN$5,K8&lt;$AN$5,K8&gt;AM8),K8-$AL$5,IF(AND(AM8&gt;=$AI$7,AM8&lt;$AM$5,K8&lt;$AM$5),K8-AM8,IF(AND(AM8&lt;&gt;AI7,AM8&gt;=$AI$7,AM8&lt;=$AM$5,K8&gt;$AM$5,K8&gt;AM8),$AM$5-AM8,IF(AND(K8&gt;$AL$5,K8&lt;$AN$5),K8-$AL$5,IF(AND(K8&gt;$AI$7,K8&lt;$AM$5),$AN$5-$AL$5+K8,IF(AND(OR(K8&gt;$AL$5,H8&gt;$AO$5),AM8&gt;=$AI$7,AM8&lt;$AM$5,K8&gt;$AM$5),(1+$AM$5-$AL$5)-AG8,0))))))))</f>
        <v>0</v>
      </c>
      <c r="BE8" s="14"/>
      <c r="BF8" s="14"/>
      <c r="BG8" s="14"/>
    </row>
    <row r="9" spans="1:59" s="2" customFormat="1" ht="30" customHeight="1" thickTop="1" thickBot="1" x14ac:dyDescent="0.25">
      <c r="A9" s="1"/>
      <c r="B9"/>
      <c r="C9" s="172" t="str">
        <f>IF(Funcionários!C8=0,"",Funcionários!C8)</f>
        <v/>
      </c>
      <c r="D9"/>
      <c r="E9" s="115">
        <f>Lanç!E9</f>
        <v>2</v>
      </c>
      <c r="F9" s="189" t="str">
        <f>Lanç!F9</f>
        <v>Seg</v>
      </c>
      <c r="G9" s="81" t="s">
        <v>291</v>
      </c>
      <c r="H9" s="94">
        <v>0.63888888888888895</v>
      </c>
      <c r="I9" s="94"/>
      <c r="J9" s="94"/>
      <c r="K9" s="94">
        <v>0.91666666666666663</v>
      </c>
      <c r="L9" s="197"/>
      <c r="M9" s="95">
        <f t="shared" ref="M9:M38" si="1">IF(AND(H9=K9,H9&lt;&gt;0),$M$6-IF(J9&lt;I9,$AJ$7+J9-I9,J9-I9),IF(H9&gt;K9,(K9+1-H9)-IF(J9&lt;I9,$AJ$7+J9-I9,J9-I9),(K9-H9)-IF(J9&lt;I9,$AJ$7+J9-I9,J9-I9)))</f>
        <v>0.27777777777777768</v>
      </c>
      <c r="N9" s="196"/>
      <c r="O9" s="95">
        <f ca="1">IF(OR(G9=0,G9="Férias",G9="Falta Justificada",G9="Feriado",G9="Folga (DSR)"),0,IF(G9="Falta Injustificada",HLOOKUP($F9,Jornada!$X$7:$AD$37,VLOOKUP(INDIRECT($C$5),Jornada!$C$8:$W$37,21,0),0),IF(HLOOKUP($F9,Jornada!$X$7:$AD$37,VLOOKUP(INDIRECT($C$5),Jornada!$C$8:$W$37,21,0),0)-M9&gt;0,HLOOKUP($F9,Jornada!$X$7:$AD$37,VLOOKUP(INDIRECT($C$5),Jornada!$C$8:$W$37,21,0),0)-M9,0)))</f>
        <v>0</v>
      </c>
      <c r="P9" s="193">
        <f ca="1">IF(HLOOKUP($F9,Jornada!$X$7:$AD$37,VLOOKUP(INDIRECT($C$5),Jornada!$C$8:$W$37,21,0),0)-M9&lt;0,ABS(HLOOKUP($F9,Jornada!$X$7:$AD$37,VLOOKUP(INDIRECT($C$5),Jornada!$C$8:$W$37,21,0),0)-M9),0)</f>
        <v>0.27777777777777768</v>
      </c>
      <c r="Q9" s="95">
        <f t="shared" ca="1" si="0"/>
        <v>0.27777777777777768</v>
      </c>
      <c r="R9" s="2">
        <f t="shared" ref="R9:R38" ca="1" si="2">IF(Q9&gt;$R$7,1,0)</f>
        <v>1</v>
      </c>
      <c r="S9" s="294"/>
      <c r="T9" s="294"/>
      <c r="U9" s="295"/>
      <c r="W9" s="2" t="s">
        <v>92</v>
      </c>
      <c r="X9" s="156">
        <v>3</v>
      </c>
      <c r="AB9" s="177">
        <f>AB8+1</f>
        <v>2</v>
      </c>
      <c r="AC9" s="2">
        <f t="shared" ref="AC9:AC35" si="3">WEEKDAY(AB9)</f>
        <v>2</v>
      </c>
      <c r="AE9" s="2">
        <v>2</v>
      </c>
      <c r="AF9" s="2" t="s">
        <v>52</v>
      </c>
      <c r="AG9" s="220">
        <f t="shared" ref="AG9:AG38" si="4">IF(J9&lt;I9,$AJ$7+J9-I9,J9-I9)</f>
        <v>0</v>
      </c>
      <c r="AH9" s="220">
        <f ca="1">IF(HLOOKUP($F9,Jornada!$X$7:$AD$37,VLOOKUP(INDIRECT($C$5),Jornada!$C$8:$W$37,21,0),0)=0,0,VLOOKUP(INDIRECT($C$5),Jornada!$C$8:$H$37,4,0))</f>
        <v>0</v>
      </c>
      <c r="AI9" s="155">
        <f ca="1">IF(AND(I9=0,J9=0,OR(H9&lt;&gt;0,K9&lt;&gt;0),HLOOKUP($F9,Jornada!$X$7:$AD$37,VLOOKUP(INDIRECT($C$5),Jornada!$C$8:$W$37,21,0),0)&gt;$AK$5,M9&gt;$AK$5),VLOOKUP(INDIRECT($C$5),Jornada!$C$8:$H$37,6,0),IF(AG9&gt;VLOOKUP(INDIRECT($C$5),Jornada!$C$8:$H$37,6,0),IF(VLOOKUP(INDIRECT($C$5),Jornada!$C$8:$H$37,6,0)&lt;AG9,0,ABS(VLOOKUP(INDIRECT($C$5),Jornada!$C$8:$H$37,6,0))-AG9),0))</f>
        <v>0</v>
      </c>
      <c r="AJ9" s="155">
        <f t="shared" ref="AJ9:AJ38" si="5">($AJ$7-K9)+H9</f>
        <v>0.72222222222222232</v>
      </c>
      <c r="AK9" s="155">
        <f t="shared" ref="AK9:AK38" si="6">IF(AJ9&lt;$AK$7,$AK$7-AJ9,$AI$7)</f>
        <v>0</v>
      </c>
      <c r="AL9" s="155">
        <f ca="1">HLOOKUP($F9,Jornada!$I$5:$V$37,VLOOKUP(INDIRECT($C$5),Jornada!$C$8:$W$37,21,0)+2,0)</f>
        <v>0</v>
      </c>
      <c r="AM9" s="155">
        <f ca="1">HLOOKUP($F9,Jornada!$I$4:$V$37,VLOOKUP(INDIRECT($C$5),Jornada!$C$8:$W$37,21,0)+3,0)</f>
        <v>0</v>
      </c>
      <c r="AN9" s="155">
        <f t="shared" ref="AN9:AN38" ca="1" si="7">IF(AND(AL9&gt;=$AL$5,AL9&lt;$AN$5,H9&gt;=$AL$5,H9&lt;AL9),AL9-H9,IF(AND(AL9&gt;$AI$7,AL9&lt;=$AM$5,H9&gt;=$AL$5,H9&lt;=$AN$5),$AN$5-H9+AL9,IF(AND(AL9&gt;=$AI$7,AL9&lt;=$AM$5,H9&gt;=$AI$7,H9&lt;=$AM$5,H9&lt;AL9),H9-AL9,0)))</f>
        <v>0</v>
      </c>
      <c r="AO9" s="155">
        <f t="shared" ref="AO9:AO38" ca="1" si="8">IF(AP9&gt;Q9,0,AP9)</f>
        <v>0</v>
      </c>
      <c r="AP9" s="155">
        <f t="shared" ref="AP9:AP38" ca="1" si="9">IF(Q9=0,0,IF(AND(AM9&gt;=$AL$5,AM9&lt;$AN$5,K9&gt;=$AL$5,K9&lt;$AM$5,K9&gt;AM9),K9-AM9,IF(AND(AM9&gt;=$AL$5,AM9&lt;$AN$5,K9&lt;$AN$5,K9&gt;AM9),K9-$AL$5,IF(AND(AM9&gt;=$AI$7,AM9&lt;$AM$5,K9&lt;$AM$5),K9-AM9,IF(AND(AM9&lt;&gt;AI8,AM9&gt;=$AI$7,AM9&lt;=$AM$5,K9&gt;$AM$5,K9&gt;AM9),$AM$5-AM9,IF(AND(K9&gt;$AL$5,K9&lt;$AN$5),K9-$AL$5,IF(AND(K9&gt;$AI$7,K9&lt;$AM$5),$AN$5-$AL$5+K9,IF(AND(OR(K9&gt;$AL$5,H9&gt;$AO$5),AM9&gt;=$AI$7,AM9&lt;$AM$5,K9&gt;$AM$5),(1+$AM$5-$AL$5)-AG9,0))))))))</f>
        <v>0</v>
      </c>
      <c r="BE9" s="14"/>
      <c r="BF9" s="14"/>
      <c r="BG9" s="14"/>
    </row>
    <row r="10" spans="1:59" s="2" customFormat="1" ht="30" customHeight="1" thickTop="1" thickBot="1" x14ac:dyDescent="0.25">
      <c r="A10" s="1"/>
      <c r="B10"/>
      <c r="C10" s="172" t="str">
        <f>IF(Funcionários!C9=0,"",Funcionários!C9)</f>
        <v/>
      </c>
      <c r="D10"/>
      <c r="E10" s="115">
        <f>Lanç!E10</f>
        <v>3</v>
      </c>
      <c r="F10" s="189" t="str">
        <f>Lanç!F10</f>
        <v>Ter</v>
      </c>
      <c r="G10" s="81" t="s">
        <v>291</v>
      </c>
      <c r="H10" s="94">
        <v>0.63888888888888895</v>
      </c>
      <c r="I10" s="94"/>
      <c r="J10" s="94"/>
      <c r="K10" s="94">
        <v>0.91666666666666663</v>
      </c>
      <c r="L10" s="197"/>
      <c r="M10" s="95">
        <f t="shared" si="1"/>
        <v>0.27777777777777768</v>
      </c>
      <c r="N10" s="196"/>
      <c r="O10" s="95">
        <f ca="1">IF(OR(G10=0,G10="Férias",G10="Falta Justificada",G10="Feriado",G10="Folga (DSR)"),0,IF(G10="Falta Injustificada",HLOOKUP($F10,Jornada!$X$7:$AD$37,VLOOKUP(INDIRECT($C$5),Jornada!$C$8:$W$37,21,0),0),IF(HLOOKUP($F10,Jornada!$X$7:$AD$37,VLOOKUP(INDIRECT($C$5),Jornada!$C$8:$W$37,21,0),0)-M10&gt;0,HLOOKUP($F10,Jornada!$X$7:$AD$37,VLOOKUP(INDIRECT($C$5),Jornada!$C$8:$W$37,21,0),0)-M10,0)))</f>
        <v>0</v>
      </c>
      <c r="P10" s="193">
        <f ca="1">IF(HLOOKUP($F10,Jornada!$X$7:$AD$37,VLOOKUP(INDIRECT($C$5),Jornada!$C$8:$W$37,21,0),0)-M10&lt;0,ABS(HLOOKUP($F10,Jornada!$X$7:$AD$37,VLOOKUP(INDIRECT($C$5),Jornada!$C$8:$W$37,21,0),0)-M10),0)</f>
        <v>0.27777777777777768</v>
      </c>
      <c r="Q10" s="95">
        <f t="shared" ca="1" si="0"/>
        <v>0.27777777777777768</v>
      </c>
      <c r="R10" s="2">
        <f t="shared" ca="1" si="2"/>
        <v>1</v>
      </c>
      <c r="S10" s="294" t="s">
        <v>66</v>
      </c>
      <c r="T10" s="294"/>
      <c r="U10" s="295">
        <f ca="1">IF(M5="Horas devidas",ABS(-K5+F58-U14),ABS(K5+F58-U14))</f>
        <v>5.9374999999999982</v>
      </c>
      <c r="W10" s="2" t="s">
        <v>93</v>
      </c>
      <c r="X10" s="156">
        <v>4</v>
      </c>
      <c r="AB10" s="177">
        <f t="shared" ref="AB10:AB34" si="10">AB9+1</f>
        <v>3</v>
      </c>
      <c r="AC10" s="2">
        <f t="shared" si="3"/>
        <v>3</v>
      </c>
      <c r="AE10" s="2">
        <v>3</v>
      </c>
      <c r="AF10" s="2" t="s">
        <v>53</v>
      </c>
      <c r="AG10" s="220">
        <f t="shared" si="4"/>
        <v>0</v>
      </c>
      <c r="AH10" s="220">
        <f ca="1">IF(HLOOKUP($F10,Jornada!$X$7:$AD$37,VLOOKUP(INDIRECT($C$5),Jornada!$C$8:$W$37,21,0),0)=0,0,VLOOKUP(INDIRECT($C$5),Jornada!$C$8:$H$37,4,0))</f>
        <v>0</v>
      </c>
      <c r="AI10" s="155">
        <f ca="1">IF(AND(I10=0,J10=0,OR(H10&lt;&gt;0,K10&lt;&gt;0),HLOOKUP($F10,Jornada!$X$7:$AD$37,VLOOKUP(INDIRECT($C$5),Jornada!$C$8:$W$37,21,0),0)&gt;$AK$5,M10&gt;$AK$5),VLOOKUP(INDIRECT($C$5),Jornada!$C$8:$H$37,6,0),IF(AG10&gt;VLOOKUP(INDIRECT($C$5),Jornada!$C$8:$H$37,6,0),IF(VLOOKUP(INDIRECT($C$5),Jornada!$C$8:$H$37,6,0)&lt;AG10,0,ABS(VLOOKUP(INDIRECT($C$5),Jornada!$C$8:$H$37,6,0))-AG10),0))</f>
        <v>0</v>
      </c>
      <c r="AJ10" s="155">
        <f t="shared" si="5"/>
        <v>0.72222222222222232</v>
      </c>
      <c r="AK10" s="155">
        <f t="shared" si="6"/>
        <v>0</v>
      </c>
      <c r="AL10" s="155">
        <f ca="1">HLOOKUP($F10,Jornada!$I$5:$V$37,VLOOKUP(INDIRECT($C$5),Jornada!$C$8:$W$37,21,0)+2,0)</f>
        <v>0</v>
      </c>
      <c r="AM10" s="155">
        <f ca="1">HLOOKUP($F10,Jornada!$I$4:$V$37,VLOOKUP(INDIRECT($C$5),Jornada!$C$8:$W$37,21,0)+3,0)</f>
        <v>0</v>
      </c>
      <c r="AN10" s="155">
        <f t="shared" ca="1" si="7"/>
        <v>0</v>
      </c>
      <c r="AO10" s="155">
        <f t="shared" ca="1" si="8"/>
        <v>0</v>
      </c>
      <c r="AP10" s="155">
        <f t="shared" ca="1" si="9"/>
        <v>0</v>
      </c>
      <c r="BE10" s="14"/>
      <c r="BF10" s="14"/>
      <c r="BG10" s="14"/>
    </row>
    <row r="11" spans="1:59" s="2" customFormat="1" ht="30" customHeight="1" thickTop="1" thickBot="1" x14ac:dyDescent="0.25">
      <c r="A11" s="1"/>
      <c r="B11"/>
      <c r="C11" s="172" t="str">
        <f>IF(Funcionários!C10=0,"",Funcionários!C10)</f>
        <v/>
      </c>
      <c r="D11"/>
      <c r="E11" s="115">
        <f>Lanç!E11</f>
        <v>4</v>
      </c>
      <c r="F11" s="189" t="str">
        <f>Lanç!F11</f>
        <v>Qua</v>
      </c>
      <c r="G11" s="81" t="s">
        <v>291</v>
      </c>
      <c r="H11" s="94">
        <v>0.63888888888888895</v>
      </c>
      <c r="I11" s="94"/>
      <c r="J11" s="94"/>
      <c r="K11" s="94">
        <v>0.95833333333333337</v>
      </c>
      <c r="L11" s="197"/>
      <c r="M11" s="95">
        <f t="shared" si="1"/>
        <v>0.31944444444444442</v>
      </c>
      <c r="N11" s="196"/>
      <c r="O11" s="95">
        <f ca="1">IF(OR(G11=0,G11="Férias",G11="Falta Justificada",G11="Feriado",G11="Folga (DSR)"),0,IF(G11="Falta Injustificada",HLOOKUP($F11,Jornada!$X$7:$AD$37,VLOOKUP(INDIRECT($C$5),Jornada!$C$8:$W$37,21,0),0),IF(HLOOKUP($F11,Jornada!$X$7:$AD$37,VLOOKUP(INDIRECT($C$5),Jornada!$C$8:$W$37,21,0),0)-M11&gt;0,HLOOKUP($F11,Jornada!$X$7:$AD$37,VLOOKUP(INDIRECT($C$5),Jornada!$C$8:$W$37,21,0),0)-M11,0)))</f>
        <v>0</v>
      </c>
      <c r="P11" s="193">
        <f ca="1">IF(HLOOKUP($F11,Jornada!$X$7:$AD$37,VLOOKUP(INDIRECT($C$5),Jornada!$C$8:$W$37,21,0),0)-M11&lt;0,ABS(HLOOKUP($F11,Jornada!$X$7:$AD$37,VLOOKUP(INDIRECT($C$5),Jornada!$C$8:$W$37,21,0),0)-M11),0)</f>
        <v>0.31944444444444442</v>
      </c>
      <c r="Q11" s="95">
        <f t="shared" ca="1" si="0"/>
        <v>0.31944444444444442</v>
      </c>
      <c r="R11" s="2">
        <f t="shared" ca="1" si="2"/>
        <v>1</v>
      </c>
      <c r="S11" s="294"/>
      <c r="T11" s="294"/>
      <c r="U11" s="295"/>
      <c r="V11" s="2">
        <f ca="1">IF(AND(K5&gt;U12,M5="Horas devidas"),"Negativo",IF(AND(U12&gt;K5,U14&gt;F58),"Negativo",0))</f>
        <v>0</v>
      </c>
      <c r="W11" s="2" t="s">
        <v>94</v>
      </c>
      <c r="X11" s="156">
        <v>5</v>
      </c>
      <c r="Z11" s="2" t="str">
        <f ca="1">IF(AND(M5="horas extras",Z13="positivo"),"positivo",IF(AND(M5="horas devidas",Z13="Negativo"),"Negativo",IF(AND(Z13="positivo",M5="horas devidas",U12&gt;K5),"Positivo","Negativo")))</f>
        <v>Negativo</v>
      </c>
      <c r="AB11" s="177">
        <f t="shared" si="10"/>
        <v>4</v>
      </c>
      <c r="AC11" s="2">
        <f t="shared" si="3"/>
        <v>4</v>
      </c>
      <c r="AE11" s="2">
        <v>4</v>
      </c>
      <c r="AF11" s="2" t="s">
        <v>54</v>
      </c>
      <c r="AG11" s="220">
        <f t="shared" si="4"/>
        <v>0</v>
      </c>
      <c r="AH11" s="220">
        <f ca="1">IF(HLOOKUP($F11,Jornada!$X$7:$AD$37,VLOOKUP(INDIRECT($C$5),Jornada!$C$8:$W$37,21,0),0)=0,0,VLOOKUP(INDIRECT($C$5),Jornada!$C$8:$H$37,4,0))</f>
        <v>0</v>
      </c>
      <c r="AI11" s="155">
        <f ca="1">IF(AND(I11=0,J11=0,OR(H11&lt;&gt;0,K11&lt;&gt;0),HLOOKUP($F11,Jornada!$X$7:$AD$37,VLOOKUP(INDIRECT($C$5),Jornada!$C$8:$W$37,21,0),0)&gt;$AK$5,M11&gt;$AK$5),VLOOKUP(INDIRECT($C$5),Jornada!$C$8:$H$37,6,0),IF(AG11&gt;VLOOKUP(INDIRECT($C$5),Jornada!$C$8:$H$37,6,0),IF(VLOOKUP(INDIRECT($C$5),Jornada!$C$8:$H$37,6,0)&lt;AG11,0,ABS(VLOOKUP(INDIRECT($C$5),Jornada!$C$8:$H$37,6,0))-AG11),0))</f>
        <v>0</v>
      </c>
      <c r="AJ11" s="155">
        <f t="shared" si="5"/>
        <v>0.68055555555555558</v>
      </c>
      <c r="AK11" s="155">
        <f t="shared" si="6"/>
        <v>0</v>
      </c>
      <c r="AL11" s="155">
        <f ca="1">HLOOKUP($F11,Jornada!$I$5:$V$37,VLOOKUP(INDIRECT($C$5),Jornada!$C$8:$W$37,21,0)+2,0)</f>
        <v>0</v>
      </c>
      <c r="AM11" s="155">
        <f ca="1">HLOOKUP($F11,Jornada!$I$4:$V$37,VLOOKUP(INDIRECT($C$5),Jornada!$C$8:$W$37,21,0)+3,0)</f>
        <v>0</v>
      </c>
      <c r="AN11" s="155">
        <f t="shared" ca="1" si="7"/>
        <v>0</v>
      </c>
      <c r="AO11" s="155">
        <f t="shared" ca="1" si="8"/>
        <v>4.1666666666666741E-2</v>
      </c>
      <c r="AP11" s="155">
        <f t="shared" ca="1" si="9"/>
        <v>4.1666666666666741E-2</v>
      </c>
      <c r="BE11" s="14"/>
      <c r="BF11" s="14"/>
      <c r="BG11" s="14"/>
    </row>
    <row r="12" spans="1:59" s="2" customFormat="1" ht="30" customHeight="1" thickTop="1" thickBot="1" x14ac:dyDescent="0.25">
      <c r="A12" s="1"/>
      <c r="B12"/>
      <c r="C12" s="171" t="str">
        <f>IF(Funcionários!C11=0,"",Funcionários!C11)</f>
        <v/>
      </c>
      <c r="D12"/>
      <c r="E12" s="115">
        <f>Lanç!E12</f>
        <v>5</v>
      </c>
      <c r="F12" s="189" t="str">
        <f>Lanç!F12</f>
        <v>Qui</v>
      </c>
      <c r="G12" s="81" t="s">
        <v>292</v>
      </c>
      <c r="H12" s="94"/>
      <c r="I12" s="94"/>
      <c r="J12" s="94"/>
      <c r="K12" s="94"/>
      <c r="L12" s="197"/>
      <c r="M12" s="95">
        <f t="shared" si="1"/>
        <v>0</v>
      </c>
      <c r="N12" s="196"/>
      <c r="O12" s="95">
        <f ca="1">IF(OR(G12=0,G12="Férias",G12="Falta Justificada",G12="Feriado",G12="Folga (DSR)"),0,IF(G12="Falta Injustificada",HLOOKUP($F12,Jornada!$X$7:$AD$37,VLOOKUP(INDIRECT($C$5),Jornada!$C$8:$W$37,21,0),0),IF(HLOOKUP($F12,Jornada!$X$7:$AD$37,VLOOKUP(INDIRECT($C$5),Jornada!$C$8:$W$37,21,0),0)-M12&gt;0,HLOOKUP($F12,Jornada!$X$7:$AD$37,VLOOKUP(INDIRECT($C$5),Jornada!$C$8:$W$37,21,0),0)-M12,0)))</f>
        <v>0</v>
      </c>
      <c r="P12" s="193">
        <f ca="1">IF(HLOOKUP($F12,Jornada!$X$7:$AD$37,VLOOKUP(INDIRECT($C$5),Jornada!$C$8:$W$37,21,0),0)-M12&lt;0,ABS(HLOOKUP($F12,Jornada!$X$7:$AD$37,VLOOKUP(INDIRECT($C$5),Jornada!$C$8:$W$37,21,0),0)-M12),0)</f>
        <v>0</v>
      </c>
      <c r="Q12" s="95">
        <f t="shared" si="0"/>
        <v>0</v>
      </c>
      <c r="R12" s="2">
        <f t="shared" si="2"/>
        <v>0</v>
      </c>
      <c r="S12" s="294" t="s">
        <v>175</v>
      </c>
      <c r="T12" s="294"/>
      <c r="U12" s="295">
        <f ca="1">IF(U14&gt;=F58,(U14)-F58,(F58-U14))</f>
        <v>5.9374999999999982</v>
      </c>
      <c r="W12" s="2" t="s">
        <v>95</v>
      </c>
      <c r="X12" s="156">
        <v>6</v>
      </c>
      <c r="AB12" s="177">
        <f t="shared" si="10"/>
        <v>5</v>
      </c>
      <c r="AC12" s="2">
        <f t="shared" si="3"/>
        <v>5</v>
      </c>
      <c r="AE12" s="2">
        <v>5</v>
      </c>
      <c r="AF12" s="2" t="s">
        <v>55</v>
      </c>
      <c r="AG12" s="220">
        <f t="shared" si="4"/>
        <v>0</v>
      </c>
      <c r="AH12" s="220">
        <f ca="1">IF(HLOOKUP($F12,Jornada!$X$7:$AD$37,VLOOKUP(INDIRECT($C$5),Jornada!$C$8:$W$37,21,0),0)=0,0,VLOOKUP(INDIRECT($C$5),Jornada!$C$8:$H$37,4,0))</f>
        <v>0</v>
      </c>
      <c r="AI12" s="155">
        <f ca="1">IF(AND(I12=0,J12=0,OR(H12&lt;&gt;0,K12&lt;&gt;0),HLOOKUP($F12,Jornada!$X$7:$AD$37,VLOOKUP(INDIRECT($C$5),Jornada!$C$8:$W$37,21,0),0)&gt;$AK$5,M12&gt;$AK$5),VLOOKUP(INDIRECT($C$5),Jornada!$C$8:$H$37,6,0),IF(AG12&gt;VLOOKUP(INDIRECT($C$5),Jornada!$C$8:$H$37,6,0),IF(VLOOKUP(INDIRECT($C$5),Jornada!$C$8:$H$37,6,0)&lt;AG12,0,ABS(VLOOKUP(INDIRECT($C$5),Jornada!$C$8:$H$37,6,0))-AG12),0))</f>
        <v>0</v>
      </c>
      <c r="AJ12" s="155">
        <f t="shared" si="5"/>
        <v>1</v>
      </c>
      <c r="AK12" s="155">
        <f t="shared" si="6"/>
        <v>0</v>
      </c>
      <c r="AL12" s="155">
        <f ca="1">HLOOKUP($F12,Jornada!$I$5:$V$37,VLOOKUP(INDIRECT($C$5),Jornada!$C$8:$W$37,21,0)+2,0)</f>
        <v>0</v>
      </c>
      <c r="AM12" s="155">
        <f ca="1">HLOOKUP($F12,Jornada!$I$4:$V$37,VLOOKUP(INDIRECT($C$5),Jornada!$C$8:$W$37,21,0)+3,0)</f>
        <v>0</v>
      </c>
      <c r="AN12" s="155">
        <f t="shared" ca="1" si="7"/>
        <v>0</v>
      </c>
      <c r="AO12" s="155">
        <f t="shared" si="8"/>
        <v>0</v>
      </c>
      <c r="AP12" s="155">
        <f t="shared" si="9"/>
        <v>0</v>
      </c>
      <c r="BE12" s="14"/>
      <c r="BF12" s="14"/>
      <c r="BG12" s="14"/>
    </row>
    <row r="13" spans="1:59" s="2" customFormat="1" ht="30" customHeight="1" thickTop="1" thickBot="1" x14ac:dyDescent="0.25">
      <c r="A13" s="1"/>
      <c r="B13"/>
      <c r="C13" s="172" t="str">
        <f>IF(Funcionários!C12=0,"",Funcionários!C12)</f>
        <v/>
      </c>
      <c r="D13"/>
      <c r="E13" s="115">
        <f>Lanç!E13</f>
        <v>6</v>
      </c>
      <c r="F13" s="189" t="str">
        <f>Lanç!F13</f>
        <v>Sex</v>
      </c>
      <c r="G13" s="81" t="s">
        <v>292</v>
      </c>
      <c r="H13" s="94"/>
      <c r="I13" s="94"/>
      <c r="J13" s="94"/>
      <c r="K13" s="94"/>
      <c r="L13" s="197"/>
      <c r="M13" s="95">
        <f t="shared" si="1"/>
        <v>0</v>
      </c>
      <c r="N13" s="196"/>
      <c r="O13" s="95">
        <f ca="1">IF(OR(G13=0,G13="Férias",G13="Falta Justificada",G13="Feriado",G13="Folga (DSR)"),0,IF(G13="Falta Injustificada",HLOOKUP($F13,Jornada!$X$7:$AD$37,VLOOKUP(INDIRECT($C$5),Jornada!$C$8:$W$37,21,0),0),IF(HLOOKUP($F13,Jornada!$X$7:$AD$37,VLOOKUP(INDIRECT($C$5),Jornada!$C$8:$W$37,21,0),0)-M13&gt;0,HLOOKUP($F13,Jornada!$X$7:$AD$37,VLOOKUP(INDIRECT($C$5),Jornada!$C$8:$W$37,21,0),0)-M13,0)))</f>
        <v>0</v>
      </c>
      <c r="P13" s="193">
        <f ca="1">IF(HLOOKUP($F13,Jornada!$X$7:$AD$37,VLOOKUP(INDIRECT($C$5),Jornada!$C$8:$W$37,21,0),0)-M13&lt;0,ABS(HLOOKUP($F13,Jornada!$X$7:$AD$37,VLOOKUP(INDIRECT($C$5),Jornada!$C$8:$W$37,21,0),0)-M13),0)</f>
        <v>0</v>
      </c>
      <c r="Q13" s="95">
        <f t="shared" si="0"/>
        <v>0</v>
      </c>
      <c r="R13" s="2">
        <f t="shared" si="2"/>
        <v>0</v>
      </c>
      <c r="S13" s="294"/>
      <c r="T13" s="294"/>
      <c r="U13" s="295"/>
      <c r="W13" s="2" t="s">
        <v>96</v>
      </c>
      <c r="X13" s="156">
        <v>7</v>
      </c>
      <c r="Z13" s="2" t="str">
        <f ca="1">IF(U14&gt;F58,"Negativo","Positivo")</f>
        <v>Positivo</v>
      </c>
      <c r="AB13" s="177">
        <f t="shared" si="10"/>
        <v>6</v>
      </c>
      <c r="AC13" s="2">
        <f t="shared" si="3"/>
        <v>6</v>
      </c>
      <c r="AE13" s="2">
        <v>6</v>
      </c>
      <c r="AF13" s="2" t="s">
        <v>56</v>
      </c>
      <c r="AG13" s="220">
        <f t="shared" si="4"/>
        <v>0</v>
      </c>
      <c r="AH13" s="220">
        <f ca="1">IF(HLOOKUP($F13,Jornada!$X$7:$AD$37,VLOOKUP(INDIRECT($C$5),Jornada!$C$8:$W$37,21,0),0)=0,0,VLOOKUP(INDIRECT($C$5),Jornada!$C$8:$H$37,4,0))</f>
        <v>0</v>
      </c>
      <c r="AI13" s="155">
        <f ca="1">IF(AND(I13=0,J13=0,OR(H13&lt;&gt;0,K13&lt;&gt;0),HLOOKUP($F13,Jornada!$X$7:$AD$37,VLOOKUP(INDIRECT($C$5),Jornada!$C$8:$W$37,21,0),0)&gt;$AK$5,M13&gt;$AK$5),VLOOKUP(INDIRECT($C$5),Jornada!$C$8:$H$37,6,0),IF(AG13&gt;VLOOKUP(INDIRECT($C$5),Jornada!$C$8:$H$37,6,0),IF(VLOOKUP(INDIRECT($C$5),Jornada!$C$8:$H$37,6,0)&lt;AG13,0,ABS(VLOOKUP(INDIRECT($C$5),Jornada!$C$8:$H$37,6,0))-AG13),0))</f>
        <v>0</v>
      </c>
      <c r="AJ13" s="155">
        <f t="shared" si="5"/>
        <v>1</v>
      </c>
      <c r="AK13" s="155">
        <f t="shared" si="6"/>
        <v>0</v>
      </c>
      <c r="AL13" s="155">
        <f ca="1">HLOOKUP($F13,Jornada!$I$5:$V$37,VLOOKUP(INDIRECT($C$5),Jornada!$C$8:$W$37,21,0)+2,0)</f>
        <v>0</v>
      </c>
      <c r="AM13" s="155">
        <f ca="1">HLOOKUP($F13,Jornada!$I$4:$V$37,VLOOKUP(INDIRECT($C$5),Jornada!$C$8:$W$37,21,0)+3,0)</f>
        <v>0</v>
      </c>
      <c r="AN13" s="155">
        <f t="shared" ca="1" si="7"/>
        <v>0</v>
      </c>
      <c r="AO13" s="155">
        <f t="shared" si="8"/>
        <v>0</v>
      </c>
      <c r="AP13" s="155">
        <f t="shared" si="9"/>
        <v>0</v>
      </c>
      <c r="BE13" s="14"/>
      <c r="BF13" s="14"/>
      <c r="BG13" s="14"/>
    </row>
    <row r="14" spans="1:59" s="2" customFormat="1" ht="30" customHeight="1" thickTop="1" thickBot="1" x14ac:dyDescent="0.25">
      <c r="A14" s="1"/>
      <c r="B14"/>
      <c r="C14" s="172" t="str">
        <f>IF(Funcionários!C13=0,"",Funcionários!C13)</f>
        <v/>
      </c>
      <c r="D14"/>
      <c r="E14" s="115">
        <f>Lanç!E14</f>
        <v>7</v>
      </c>
      <c r="F14" s="189" t="str">
        <f>Lanç!F14</f>
        <v>Sáb</v>
      </c>
      <c r="G14" s="81" t="s">
        <v>291</v>
      </c>
      <c r="H14" s="94">
        <v>0.63888888888888895</v>
      </c>
      <c r="I14" s="94"/>
      <c r="J14" s="94"/>
      <c r="K14" s="94">
        <v>0.91666666666666663</v>
      </c>
      <c r="L14" s="197"/>
      <c r="M14" s="95">
        <f t="shared" si="1"/>
        <v>0.27777777777777768</v>
      </c>
      <c r="N14" s="196"/>
      <c r="O14" s="95">
        <f ca="1">IF(OR(G14=0,G14="Férias",G14="Falta Justificada",G14="Feriado",G14="Folga (DSR)"),0,IF(G14="Falta Injustificada",HLOOKUP($F14,Jornada!$X$7:$AD$37,VLOOKUP(INDIRECT($C$5),Jornada!$C$8:$W$37,21,0),0),IF(HLOOKUP($F14,Jornada!$X$7:$AD$37,VLOOKUP(INDIRECT($C$5),Jornada!$C$8:$W$37,21,0),0)-M14&gt;0,HLOOKUP($F14,Jornada!$X$7:$AD$37,VLOOKUP(INDIRECT($C$5),Jornada!$C$8:$W$37,21,0),0)-M14,0)))</f>
        <v>0</v>
      </c>
      <c r="P14" s="193">
        <f ca="1">IF(HLOOKUP($F14,Jornada!$X$7:$AD$37,VLOOKUP(INDIRECT($C$5),Jornada!$C$8:$W$37,21,0),0)-M14&lt;0,ABS(HLOOKUP($F14,Jornada!$X$7:$AD$37,VLOOKUP(INDIRECT($C$5),Jornada!$C$8:$W$37,21,0),0)-M14),0)</f>
        <v>0.27777777777777768</v>
      </c>
      <c r="Q14" s="95">
        <f t="shared" ca="1" si="0"/>
        <v>0.27777777777777768</v>
      </c>
      <c r="R14" s="2">
        <f t="shared" ca="1" si="2"/>
        <v>1</v>
      </c>
      <c r="S14" s="294" t="s">
        <v>68</v>
      </c>
      <c r="T14" s="294"/>
      <c r="U14" s="295">
        <f ca="1">SUM(O8:O38)</f>
        <v>0</v>
      </c>
      <c r="W14" s="2" t="s">
        <v>97</v>
      </c>
      <c r="X14" s="156">
        <v>8</v>
      </c>
      <c r="AB14" s="177">
        <f t="shared" si="10"/>
        <v>7</v>
      </c>
      <c r="AC14" s="2">
        <f t="shared" si="3"/>
        <v>7</v>
      </c>
      <c r="AE14" s="2">
        <v>7</v>
      </c>
      <c r="AF14" s="2" t="s">
        <v>57</v>
      </c>
      <c r="AG14" s="220">
        <f t="shared" si="4"/>
        <v>0</v>
      </c>
      <c r="AH14" s="220">
        <f ca="1">IF(HLOOKUP($F14,Jornada!$X$7:$AD$37,VLOOKUP(INDIRECT($C$5),Jornada!$C$8:$W$37,21,0),0)=0,0,VLOOKUP(INDIRECT($C$5),Jornada!$C$8:$H$37,4,0))</f>
        <v>0</v>
      </c>
      <c r="AI14" s="155">
        <f ca="1">IF(AND(I14=0,J14=0,OR(H14&lt;&gt;0,K14&lt;&gt;0),HLOOKUP($F14,Jornada!$X$7:$AD$37,VLOOKUP(INDIRECT($C$5),Jornada!$C$8:$W$37,21,0),0)&gt;$AK$5,M14&gt;$AK$5),VLOOKUP(INDIRECT($C$5),Jornada!$C$8:$H$37,6,0),IF(AG14&gt;VLOOKUP(INDIRECT($C$5),Jornada!$C$8:$H$37,6,0),IF(VLOOKUP(INDIRECT($C$5),Jornada!$C$8:$H$37,6,0)&lt;AG14,0,ABS(VLOOKUP(INDIRECT($C$5),Jornada!$C$8:$H$37,6,0))-AG14),0))</f>
        <v>0</v>
      </c>
      <c r="AJ14" s="155">
        <f t="shared" si="5"/>
        <v>0.72222222222222232</v>
      </c>
      <c r="AK14" s="155">
        <f t="shared" si="6"/>
        <v>0</v>
      </c>
      <c r="AL14" s="155">
        <f ca="1">HLOOKUP($F14,Jornada!$I$5:$V$37,VLOOKUP(INDIRECT($C$5),Jornada!$C$8:$W$37,21,0)+2,0)</f>
        <v>0</v>
      </c>
      <c r="AM14" s="155">
        <f ca="1">HLOOKUP($F14,Jornada!$I$4:$V$37,VLOOKUP(INDIRECT($C$5),Jornada!$C$8:$W$37,21,0)+3,0)</f>
        <v>0</v>
      </c>
      <c r="AN14" s="155">
        <f t="shared" ca="1" si="7"/>
        <v>0</v>
      </c>
      <c r="AO14" s="155">
        <f t="shared" ca="1" si="8"/>
        <v>0</v>
      </c>
      <c r="AP14" s="155">
        <f t="shared" ca="1" si="9"/>
        <v>0</v>
      </c>
      <c r="BE14" s="14"/>
      <c r="BF14" s="14"/>
      <c r="BG14" s="14"/>
    </row>
    <row r="15" spans="1:59" s="2" customFormat="1" ht="30" customHeight="1" thickTop="1" thickBot="1" x14ac:dyDescent="0.25">
      <c r="A15" s="1"/>
      <c r="B15"/>
      <c r="C15" s="172" t="str">
        <f>IF(Funcionários!C14=0,"",Funcionários!C14)</f>
        <v/>
      </c>
      <c r="D15"/>
      <c r="E15" s="115">
        <f>Lanç!E15</f>
        <v>8</v>
      </c>
      <c r="F15" s="189" t="str">
        <f>Lanç!F15</f>
        <v>Dom</v>
      </c>
      <c r="G15" s="81" t="s">
        <v>291</v>
      </c>
      <c r="H15" s="94">
        <v>0.63888888888888895</v>
      </c>
      <c r="I15" s="94"/>
      <c r="J15" s="94"/>
      <c r="K15" s="94">
        <v>0.91666666666666663</v>
      </c>
      <c r="L15" s="197"/>
      <c r="M15" s="95">
        <f t="shared" si="1"/>
        <v>0.27777777777777768</v>
      </c>
      <c r="N15" s="196"/>
      <c r="O15" s="95">
        <f ca="1">IF(OR(G15=0,G15="Férias",G15="Falta Justificada",G15="Feriado",G15="Folga (DSR)"),0,IF(G15="Falta Injustificada",HLOOKUP($F15,Jornada!$X$7:$AD$37,VLOOKUP(INDIRECT($C$5),Jornada!$C$8:$W$37,21,0),0),IF(HLOOKUP($F15,Jornada!$X$7:$AD$37,VLOOKUP(INDIRECT($C$5),Jornada!$C$8:$W$37,21,0),0)-M15&gt;0,HLOOKUP($F15,Jornada!$X$7:$AD$37,VLOOKUP(INDIRECT($C$5),Jornada!$C$8:$W$37,21,0),0)-M15,0)))</f>
        <v>0</v>
      </c>
      <c r="P15" s="193">
        <f ca="1">IF(HLOOKUP($F15,Jornada!$X$7:$AD$37,VLOOKUP(INDIRECT($C$5),Jornada!$C$8:$W$37,21,0),0)-M15&lt;0,ABS(HLOOKUP($F15,Jornada!$X$7:$AD$37,VLOOKUP(INDIRECT($C$5),Jornada!$C$8:$W$37,21,0),0)-M15),0)</f>
        <v>0.27777777777777768</v>
      </c>
      <c r="Q15" s="95">
        <f t="shared" ca="1" si="0"/>
        <v>0.27777777777777768</v>
      </c>
      <c r="R15" s="2">
        <f t="shared" ca="1" si="2"/>
        <v>1</v>
      </c>
      <c r="S15" s="294"/>
      <c r="T15" s="294"/>
      <c r="U15" s="295"/>
      <c r="W15" s="2" t="s">
        <v>98</v>
      </c>
      <c r="X15" s="156">
        <v>9</v>
      </c>
      <c r="AB15" s="177">
        <f t="shared" si="10"/>
        <v>8</v>
      </c>
      <c r="AC15" s="2">
        <f t="shared" si="3"/>
        <v>1</v>
      </c>
      <c r="AG15" s="220">
        <f t="shared" si="4"/>
        <v>0</v>
      </c>
      <c r="AH15" s="220">
        <f ca="1">IF(HLOOKUP($F15,Jornada!$X$7:$AD$37,VLOOKUP(INDIRECT($C$5),Jornada!$C$8:$W$37,21,0),0)=0,0,VLOOKUP(INDIRECT($C$5),Jornada!$C$8:$H$37,4,0))</f>
        <v>0</v>
      </c>
      <c r="AI15" s="155">
        <f ca="1">IF(AND(I15=0,J15=0,OR(H15&lt;&gt;0,K15&lt;&gt;0),HLOOKUP($F15,Jornada!$X$7:$AD$37,VLOOKUP(INDIRECT($C$5),Jornada!$C$8:$W$37,21,0),0)&gt;$AK$5,M15&gt;$AK$5),VLOOKUP(INDIRECT($C$5),Jornada!$C$8:$H$37,6,0),IF(AG15&gt;VLOOKUP(INDIRECT($C$5),Jornada!$C$8:$H$37,6,0),IF(VLOOKUP(INDIRECT($C$5),Jornada!$C$8:$H$37,6,0)&lt;AG15,0,ABS(VLOOKUP(INDIRECT($C$5),Jornada!$C$8:$H$37,6,0))-AG15),0))</f>
        <v>0</v>
      </c>
      <c r="AJ15" s="155">
        <f t="shared" si="5"/>
        <v>0.72222222222222232</v>
      </c>
      <c r="AK15" s="155">
        <f t="shared" si="6"/>
        <v>0</v>
      </c>
      <c r="AL15" s="155">
        <f ca="1">HLOOKUP($F15,Jornada!$I$5:$V$37,VLOOKUP(INDIRECT($C$5),Jornada!$C$8:$W$37,21,0)+2,0)</f>
        <v>0</v>
      </c>
      <c r="AM15" s="155">
        <f ca="1">HLOOKUP($F15,Jornada!$I$4:$V$37,VLOOKUP(INDIRECT($C$5),Jornada!$C$8:$W$37,21,0)+3,0)</f>
        <v>0</v>
      </c>
      <c r="AN15" s="155">
        <f t="shared" ca="1" si="7"/>
        <v>0</v>
      </c>
      <c r="AO15" s="155">
        <f t="shared" ca="1" si="8"/>
        <v>0</v>
      </c>
      <c r="AP15" s="155">
        <f t="shared" ca="1" si="9"/>
        <v>0</v>
      </c>
      <c r="BE15" s="14"/>
      <c r="BF15" s="14"/>
      <c r="BG15" s="14"/>
    </row>
    <row r="16" spans="1:59" s="2" customFormat="1" ht="30" customHeight="1" thickTop="1" thickBot="1" x14ac:dyDescent="0.25">
      <c r="A16" s="1"/>
      <c r="B16"/>
      <c r="C16" s="172" t="str">
        <f>IF(Funcionários!C15=0,"",Funcionários!C15)</f>
        <v/>
      </c>
      <c r="D16"/>
      <c r="E16" s="115">
        <f>Lanç!E16</f>
        <v>9</v>
      </c>
      <c r="F16" s="189" t="str">
        <f>Lanç!F16</f>
        <v>Seg</v>
      </c>
      <c r="G16" s="81" t="s">
        <v>291</v>
      </c>
      <c r="H16" s="94">
        <v>0.63888888888888895</v>
      </c>
      <c r="I16" s="94"/>
      <c r="J16" s="94"/>
      <c r="K16" s="94">
        <v>0.91666666666666663</v>
      </c>
      <c r="L16" s="197"/>
      <c r="M16" s="95">
        <f t="shared" si="1"/>
        <v>0.27777777777777768</v>
      </c>
      <c r="N16" s="196"/>
      <c r="O16" s="95">
        <f ca="1">IF(OR(G16=0,G16="Férias",G16="Falta Justificada",G16="Feriado",G16="Folga (DSR)"),0,IF(G16="Falta Injustificada",HLOOKUP($F16,Jornada!$X$7:$AD$37,VLOOKUP(INDIRECT($C$5),Jornada!$C$8:$W$37,21,0),0),IF(HLOOKUP($F16,Jornada!$X$7:$AD$37,VLOOKUP(INDIRECT($C$5),Jornada!$C$8:$W$37,21,0),0)-M16&gt;0,HLOOKUP($F16,Jornada!$X$7:$AD$37,VLOOKUP(INDIRECT($C$5),Jornada!$C$8:$W$37,21,0),0)-M16,0)))</f>
        <v>0</v>
      </c>
      <c r="P16" s="193">
        <f ca="1">IF(HLOOKUP($F16,Jornada!$X$7:$AD$37,VLOOKUP(INDIRECT($C$5),Jornada!$C$8:$W$37,21,0),0)-M16&lt;0,ABS(HLOOKUP($F16,Jornada!$X$7:$AD$37,VLOOKUP(INDIRECT($C$5),Jornada!$C$8:$W$37,21,0),0)-M16),0)</f>
        <v>0.27777777777777768</v>
      </c>
      <c r="Q16" s="95">
        <f t="shared" ca="1" si="0"/>
        <v>0.27777777777777768</v>
      </c>
      <c r="R16" s="2">
        <f t="shared" ca="1" si="2"/>
        <v>1</v>
      </c>
      <c r="S16" s="294" t="s">
        <v>67</v>
      </c>
      <c r="T16" s="294"/>
      <c r="U16" s="295">
        <f ca="1">SUM(Q8:Q38)</f>
        <v>5.9374999999999982</v>
      </c>
      <c r="W16" s="2" t="s">
        <v>99</v>
      </c>
      <c r="X16" s="156">
        <v>10</v>
      </c>
      <c r="AB16" s="177">
        <f t="shared" si="10"/>
        <v>9</v>
      </c>
      <c r="AC16" s="2">
        <f t="shared" si="3"/>
        <v>2</v>
      </c>
      <c r="AG16" s="220">
        <f t="shared" si="4"/>
        <v>0</v>
      </c>
      <c r="AH16" s="220">
        <f ca="1">IF(HLOOKUP($F16,Jornada!$X$7:$AD$37,VLOOKUP(INDIRECT($C$5),Jornada!$C$8:$W$37,21,0),0)=0,0,VLOOKUP(INDIRECT($C$5),Jornada!$C$8:$H$37,4,0))</f>
        <v>0</v>
      </c>
      <c r="AI16" s="155">
        <f ca="1">IF(AND(I16=0,J16=0,OR(H16&lt;&gt;0,K16&lt;&gt;0),HLOOKUP($F16,Jornada!$X$7:$AD$37,VLOOKUP(INDIRECT($C$5),Jornada!$C$8:$W$37,21,0),0)&gt;$AK$5,M16&gt;$AK$5),VLOOKUP(INDIRECT($C$5),Jornada!$C$8:$H$37,6,0),IF(AG16&gt;VLOOKUP(INDIRECT($C$5),Jornada!$C$8:$H$37,6,0),IF(VLOOKUP(INDIRECT($C$5),Jornada!$C$8:$H$37,6,0)&lt;AG16,0,ABS(VLOOKUP(INDIRECT($C$5),Jornada!$C$8:$H$37,6,0))-AG16),0))</f>
        <v>0</v>
      </c>
      <c r="AJ16" s="155">
        <f t="shared" si="5"/>
        <v>0.72222222222222232</v>
      </c>
      <c r="AK16" s="155">
        <f t="shared" si="6"/>
        <v>0</v>
      </c>
      <c r="AL16" s="155">
        <f ca="1">HLOOKUP($F16,Jornada!$I$5:$V$37,VLOOKUP(INDIRECT($C$5),Jornada!$C$8:$W$37,21,0)+2,0)</f>
        <v>0</v>
      </c>
      <c r="AM16" s="155">
        <f ca="1">HLOOKUP($F16,Jornada!$I$4:$V$37,VLOOKUP(INDIRECT($C$5),Jornada!$C$8:$W$37,21,0)+3,0)</f>
        <v>0</v>
      </c>
      <c r="AN16" s="155">
        <f t="shared" ca="1" si="7"/>
        <v>0</v>
      </c>
      <c r="AO16" s="155">
        <f t="shared" ca="1" si="8"/>
        <v>0</v>
      </c>
      <c r="AP16" s="155">
        <f t="shared" ca="1" si="9"/>
        <v>0</v>
      </c>
      <c r="BE16" s="14"/>
      <c r="BF16" s="14"/>
      <c r="BG16" s="14"/>
    </row>
    <row r="17" spans="1:59" s="2" customFormat="1" ht="30" customHeight="1" thickTop="1" thickBot="1" x14ac:dyDescent="0.25">
      <c r="A17" s="1"/>
      <c r="B17"/>
      <c r="C17" s="172" t="str">
        <f>IF(Funcionários!C16=0,"",Funcionários!C16)</f>
        <v/>
      </c>
      <c r="D17"/>
      <c r="E17" s="115">
        <f>Lanç!E17</f>
        <v>10</v>
      </c>
      <c r="F17" s="189" t="str">
        <f>Lanç!F17</f>
        <v>Ter</v>
      </c>
      <c r="G17" s="81" t="s">
        <v>291</v>
      </c>
      <c r="H17" s="94">
        <v>0.63888888888888895</v>
      </c>
      <c r="I17" s="94"/>
      <c r="J17" s="94"/>
      <c r="K17" s="94">
        <v>0.97916666666666663</v>
      </c>
      <c r="L17" s="197"/>
      <c r="M17" s="95">
        <f t="shared" si="1"/>
        <v>0.34027777777777768</v>
      </c>
      <c r="N17" s="196"/>
      <c r="O17" s="95">
        <f ca="1">IF(OR(G17=0,G17="Férias",G17="Falta Justificada",G17="Feriado",G17="Folga (DSR)"),0,IF(G17="Falta Injustificada",HLOOKUP($F17,Jornada!$X$7:$AD$37,VLOOKUP(INDIRECT($C$5),Jornada!$C$8:$W$37,21,0),0),IF(HLOOKUP($F17,Jornada!$X$7:$AD$37,VLOOKUP(INDIRECT($C$5),Jornada!$C$8:$W$37,21,0),0)-M17&gt;0,HLOOKUP($F17,Jornada!$X$7:$AD$37,VLOOKUP(INDIRECT($C$5),Jornada!$C$8:$W$37,21,0),0)-M17,0)))</f>
        <v>0</v>
      </c>
      <c r="P17" s="193">
        <f ca="1">IF(HLOOKUP($F17,Jornada!$X$7:$AD$37,VLOOKUP(INDIRECT($C$5),Jornada!$C$8:$W$37,21,0),0)-M17&lt;0,ABS(HLOOKUP($F17,Jornada!$X$7:$AD$37,VLOOKUP(INDIRECT($C$5),Jornada!$C$8:$W$37,21,0),0)-M17),0)</f>
        <v>0.34027777777777768</v>
      </c>
      <c r="Q17" s="95">
        <f t="shared" ca="1" si="0"/>
        <v>0.34027777777777768</v>
      </c>
      <c r="R17" s="2">
        <f t="shared" ca="1" si="2"/>
        <v>1</v>
      </c>
      <c r="S17" s="294"/>
      <c r="T17" s="294"/>
      <c r="U17" s="295"/>
      <c r="W17" s="2" t="s">
        <v>100</v>
      </c>
      <c r="X17" s="156">
        <v>11</v>
      </c>
      <c r="AB17" s="177">
        <f t="shared" si="10"/>
        <v>10</v>
      </c>
      <c r="AC17" s="2">
        <f t="shared" si="3"/>
        <v>3</v>
      </c>
      <c r="AG17" s="220">
        <f t="shared" si="4"/>
        <v>0</v>
      </c>
      <c r="AH17" s="220">
        <f ca="1">IF(HLOOKUP($F17,Jornada!$X$7:$AD$37,VLOOKUP(INDIRECT($C$5),Jornada!$C$8:$W$37,21,0),0)=0,0,VLOOKUP(INDIRECT($C$5),Jornada!$C$8:$H$37,4,0))</f>
        <v>0</v>
      </c>
      <c r="AI17" s="155">
        <f ca="1">IF(AND(I17=0,J17=0,OR(H17&lt;&gt;0,K17&lt;&gt;0),HLOOKUP($F17,Jornada!$X$7:$AD$37,VLOOKUP(INDIRECT($C$5),Jornada!$C$8:$W$37,21,0),0)&gt;$AK$5,M17&gt;$AK$5),VLOOKUP(INDIRECT($C$5),Jornada!$C$8:$H$37,6,0),IF(AG17&gt;VLOOKUP(INDIRECT($C$5),Jornada!$C$8:$H$37,6,0),IF(VLOOKUP(INDIRECT($C$5),Jornada!$C$8:$H$37,6,0)&lt;AG17,0,ABS(VLOOKUP(INDIRECT($C$5),Jornada!$C$8:$H$37,6,0))-AG17),0))</f>
        <v>0</v>
      </c>
      <c r="AJ17" s="155">
        <f t="shared" si="5"/>
        <v>0.65972222222222232</v>
      </c>
      <c r="AK17" s="155">
        <f t="shared" si="6"/>
        <v>0</v>
      </c>
      <c r="AL17" s="155">
        <f ca="1">HLOOKUP($F17,Jornada!$I$5:$V$37,VLOOKUP(INDIRECT($C$5),Jornada!$C$8:$W$37,21,0)+2,0)</f>
        <v>0</v>
      </c>
      <c r="AM17" s="155">
        <f ca="1">HLOOKUP($F17,Jornada!$I$4:$V$37,VLOOKUP(INDIRECT($C$5),Jornada!$C$8:$W$37,21,0)+3,0)</f>
        <v>0</v>
      </c>
      <c r="AN17" s="155">
        <f t="shared" ca="1" si="7"/>
        <v>0</v>
      </c>
      <c r="AO17" s="155">
        <f t="shared" ca="1" si="8"/>
        <v>6.25E-2</v>
      </c>
      <c r="AP17" s="155">
        <f t="shared" ca="1" si="9"/>
        <v>6.25E-2</v>
      </c>
      <c r="BE17" s="14"/>
      <c r="BF17" s="14"/>
      <c r="BG17" s="14"/>
    </row>
    <row r="18" spans="1:59" s="2" customFormat="1" ht="30" customHeight="1" thickTop="1" thickBot="1" x14ac:dyDescent="0.25">
      <c r="A18" s="1"/>
      <c r="B18"/>
      <c r="C18" s="172" t="str">
        <f>IF(Funcionários!C17=0,"",Funcionários!C17)</f>
        <v/>
      </c>
      <c r="D18"/>
      <c r="E18" s="115">
        <f>Lanç!E18</f>
        <v>11</v>
      </c>
      <c r="F18" s="189" t="str">
        <f>Lanç!F18</f>
        <v>Qua</v>
      </c>
      <c r="G18" s="81" t="s">
        <v>291</v>
      </c>
      <c r="H18" s="94">
        <v>0.63888888888888895</v>
      </c>
      <c r="I18" s="94"/>
      <c r="J18" s="94"/>
      <c r="K18" s="94">
        <v>0.91666666666666663</v>
      </c>
      <c r="L18" s="197"/>
      <c r="M18" s="95">
        <f t="shared" si="1"/>
        <v>0.27777777777777768</v>
      </c>
      <c r="N18" s="196"/>
      <c r="O18" s="95">
        <f ca="1">IF(OR(G18=0,G18="Férias",G18="Falta Justificada",G18="Feriado",G18="Folga (DSR)"),0,IF(G18="Falta Injustificada",HLOOKUP($F18,Jornada!$X$7:$AD$37,VLOOKUP(INDIRECT($C$5),Jornada!$C$8:$W$37,21,0),0),IF(HLOOKUP($F18,Jornada!$X$7:$AD$37,VLOOKUP(INDIRECT($C$5),Jornada!$C$8:$W$37,21,0),0)-M18&gt;0,HLOOKUP($F18,Jornada!$X$7:$AD$37,VLOOKUP(INDIRECT($C$5),Jornada!$C$8:$W$37,21,0),0)-M18,0)))</f>
        <v>0</v>
      </c>
      <c r="P18" s="193">
        <f ca="1">IF(HLOOKUP($F18,Jornada!$X$7:$AD$37,VLOOKUP(INDIRECT($C$5),Jornada!$C$8:$W$37,21,0),0)-M18&lt;0,ABS(HLOOKUP($F18,Jornada!$X$7:$AD$37,VLOOKUP(INDIRECT($C$5),Jornada!$C$8:$W$37,21,0),0)-M18),0)</f>
        <v>0.27777777777777768</v>
      </c>
      <c r="Q18" s="95">
        <f t="shared" ca="1" si="0"/>
        <v>0.27777777777777768</v>
      </c>
      <c r="R18" s="2">
        <f t="shared" ca="1" si="2"/>
        <v>1</v>
      </c>
      <c r="S18" s="294" t="s">
        <v>69</v>
      </c>
      <c r="T18" s="294"/>
      <c r="U18" s="299">
        <f ca="1">F54</f>
        <v>0</v>
      </c>
      <c r="W18" s="2" t="s">
        <v>101</v>
      </c>
      <c r="X18" s="156">
        <v>12</v>
      </c>
      <c r="AB18" s="177">
        <f t="shared" si="10"/>
        <v>11</v>
      </c>
      <c r="AC18" s="2">
        <f t="shared" si="3"/>
        <v>4</v>
      </c>
      <c r="AG18" s="220">
        <f t="shared" si="4"/>
        <v>0</v>
      </c>
      <c r="AH18" s="220">
        <f ca="1">IF(HLOOKUP($F18,Jornada!$X$7:$AD$37,VLOOKUP(INDIRECT($C$5),Jornada!$C$8:$W$37,21,0),0)=0,0,VLOOKUP(INDIRECT($C$5),Jornada!$C$8:$H$37,4,0))</f>
        <v>0</v>
      </c>
      <c r="AI18" s="155">
        <f ca="1">IF(AND(I18=0,J18=0,OR(H18&lt;&gt;0,K18&lt;&gt;0),HLOOKUP($F18,Jornada!$X$7:$AD$37,VLOOKUP(INDIRECT($C$5),Jornada!$C$8:$W$37,21,0),0)&gt;$AK$5,M18&gt;$AK$5),VLOOKUP(INDIRECT($C$5),Jornada!$C$8:$H$37,6,0),IF(AG18&gt;VLOOKUP(INDIRECT($C$5),Jornada!$C$8:$H$37,6,0),IF(VLOOKUP(INDIRECT($C$5),Jornada!$C$8:$H$37,6,0)&lt;AG18,0,ABS(VLOOKUP(INDIRECT($C$5),Jornada!$C$8:$H$37,6,0))-AG18),0))</f>
        <v>0</v>
      </c>
      <c r="AJ18" s="155">
        <f t="shared" si="5"/>
        <v>0.72222222222222232</v>
      </c>
      <c r="AK18" s="155">
        <f t="shared" si="6"/>
        <v>0</v>
      </c>
      <c r="AL18" s="155">
        <f ca="1">HLOOKUP($F18,Jornada!$I$5:$V$37,VLOOKUP(INDIRECT($C$5),Jornada!$C$8:$W$37,21,0)+2,0)</f>
        <v>0</v>
      </c>
      <c r="AM18" s="155">
        <f ca="1">HLOOKUP($F18,Jornada!$I$4:$V$37,VLOOKUP(INDIRECT($C$5),Jornada!$C$8:$W$37,21,0)+3,0)</f>
        <v>0</v>
      </c>
      <c r="AN18" s="155">
        <f t="shared" ca="1" si="7"/>
        <v>0</v>
      </c>
      <c r="AO18" s="155">
        <f t="shared" ca="1" si="8"/>
        <v>0</v>
      </c>
      <c r="AP18" s="155">
        <f t="shared" ca="1" si="9"/>
        <v>0</v>
      </c>
      <c r="BE18" s="14"/>
      <c r="BF18" s="14"/>
      <c r="BG18" s="14"/>
    </row>
    <row r="19" spans="1:59" s="2" customFormat="1" ht="30" customHeight="1" thickTop="1" thickBot="1" x14ac:dyDescent="0.25">
      <c r="A19" s="1"/>
      <c r="B19"/>
      <c r="C19" s="172" t="str">
        <f>IF(Funcionários!C18=0,"",Funcionários!C18)</f>
        <v/>
      </c>
      <c r="D19"/>
      <c r="E19" s="115">
        <f>Lanç!E19</f>
        <v>12</v>
      </c>
      <c r="F19" s="189" t="str">
        <f>Lanç!F19</f>
        <v>Qui</v>
      </c>
      <c r="G19" s="81" t="s">
        <v>292</v>
      </c>
      <c r="H19" s="94"/>
      <c r="I19" s="94"/>
      <c r="J19" s="94"/>
      <c r="K19" s="94"/>
      <c r="L19" s="197"/>
      <c r="M19" s="95">
        <f t="shared" si="1"/>
        <v>0</v>
      </c>
      <c r="N19" s="196"/>
      <c r="O19" s="95">
        <f ca="1">IF(OR(G19=0,G19="Férias",G19="Falta Justificada",G19="Feriado",G19="Folga (DSR)"),0,IF(G19="Falta Injustificada",HLOOKUP($F19,Jornada!$X$7:$AD$37,VLOOKUP(INDIRECT($C$5),Jornada!$C$8:$W$37,21,0),0),IF(HLOOKUP($F19,Jornada!$X$7:$AD$37,VLOOKUP(INDIRECT($C$5),Jornada!$C$8:$W$37,21,0),0)-M19&gt;0,HLOOKUP($F19,Jornada!$X$7:$AD$37,VLOOKUP(INDIRECT($C$5),Jornada!$C$8:$W$37,21,0),0)-M19,0)))</f>
        <v>0</v>
      </c>
      <c r="P19" s="193">
        <f ca="1">IF(HLOOKUP($F19,Jornada!$X$7:$AD$37,VLOOKUP(INDIRECT($C$5),Jornada!$C$8:$W$37,21,0),0)-M19&lt;0,ABS(HLOOKUP($F19,Jornada!$X$7:$AD$37,VLOOKUP(INDIRECT($C$5),Jornada!$C$8:$W$37,21,0),0)-M19),0)</f>
        <v>0</v>
      </c>
      <c r="Q19" s="95">
        <f t="shared" si="0"/>
        <v>0</v>
      </c>
      <c r="R19" s="2">
        <f t="shared" si="2"/>
        <v>0</v>
      </c>
      <c r="S19" s="294"/>
      <c r="T19" s="294"/>
      <c r="U19" s="299"/>
      <c r="X19" s="177"/>
      <c r="AB19" s="177">
        <f t="shared" si="10"/>
        <v>12</v>
      </c>
      <c r="AC19" s="2">
        <f t="shared" si="3"/>
        <v>5</v>
      </c>
      <c r="AG19" s="220">
        <f t="shared" si="4"/>
        <v>0</v>
      </c>
      <c r="AH19" s="220">
        <f ca="1">IF(HLOOKUP($F19,Jornada!$X$7:$AD$37,VLOOKUP(INDIRECT($C$5),Jornada!$C$8:$W$37,21,0),0)=0,0,VLOOKUP(INDIRECT($C$5),Jornada!$C$8:$H$37,4,0))</f>
        <v>0</v>
      </c>
      <c r="AI19" s="155">
        <f ca="1">IF(AND(I19=0,J19=0,OR(H19&lt;&gt;0,K19&lt;&gt;0),HLOOKUP($F19,Jornada!$X$7:$AD$37,VLOOKUP(INDIRECT($C$5),Jornada!$C$8:$W$37,21,0),0)&gt;$AK$5,M19&gt;$AK$5),VLOOKUP(INDIRECT($C$5),Jornada!$C$8:$H$37,6,0),IF(AG19&gt;VLOOKUP(INDIRECT($C$5),Jornada!$C$8:$H$37,6,0),IF(VLOOKUP(INDIRECT($C$5),Jornada!$C$8:$H$37,6,0)&lt;AG19,0,ABS(VLOOKUP(INDIRECT($C$5),Jornada!$C$8:$H$37,6,0))-AG19),0))</f>
        <v>0</v>
      </c>
      <c r="AJ19" s="155">
        <f t="shared" si="5"/>
        <v>1</v>
      </c>
      <c r="AK19" s="155">
        <f t="shared" si="6"/>
        <v>0</v>
      </c>
      <c r="AL19" s="155">
        <f ca="1">HLOOKUP($F19,Jornada!$I$5:$V$37,VLOOKUP(INDIRECT($C$5),Jornada!$C$8:$W$37,21,0)+2,0)</f>
        <v>0</v>
      </c>
      <c r="AM19" s="155">
        <f ca="1">HLOOKUP($F19,Jornada!$I$4:$V$37,VLOOKUP(INDIRECT($C$5),Jornada!$C$8:$W$37,21,0)+3,0)</f>
        <v>0</v>
      </c>
      <c r="AN19" s="155">
        <f t="shared" ca="1" si="7"/>
        <v>0</v>
      </c>
      <c r="AO19" s="155">
        <f t="shared" si="8"/>
        <v>0</v>
      </c>
      <c r="AP19" s="155">
        <f t="shared" si="9"/>
        <v>0</v>
      </c>
      <c r="BE19" s="14"/>
      <c r="BF19" s="14"/>
      <c r="BG19" s="14"/>
    </row>
    <row r="20" spans="1:59" s="2" customFormat="1" ht="30" customHeight="1" thickTop="1" thickBot="1" x14ac:dyDescent="0.25">
      <c r="A20" s="1"/>
      <c r="B20"/>
      <c r="C20" s="172" t="str">
        <f>IF(Funcionários!C19=0,"",Funcionários!C19)</f>
        <v/>
      </c>
      <c r="D20"/>
      <c r="E20" s="115">
        <f>Lanç!E20</f>
        <v>13</v>
      </c>
      <c r="F20" s="189" t="str">
        <f>Lanç!F20</f>
        <v>Sex</v>
      </c>
      <c r="G20" s="81" t="s">
        <v>292</v>
      </c>
      <c r="H20" s="94"/>
      <c r="I20" s="94"/>
      <c r="J20" s="94"/>
      <c r="K20" s="94"/>
      <c r="L20" s="197"/>
      <c r="M20" s="95">
        <f t="shared" si="1"/>
        <v>0</v>
      </c>
      <c r="N20" s="196"/>
      <c r="O20" s="95">
        <f ca="1">IF(OR(G20=0,G20="Férias",G20="Falta Justificada",G20="Feriado",G20="Folga (DSR)"),0,IF(G20="Falta Injustificada",HLOOKUP($F20,Jornada!$X$7:$AD$37,VLOOKUP(INDIRECT($C$5),Jornada!$C$8:$W$37,21,0),0),IF(HLOOKUP($F20,Jornada!$X$7:$AD$37,VLOOKUP(INDIRECT($C$5),Jornada!$C$8:$W$37,21,0),0)-M20&gt;0,HLOOKUP($F20,Jornada!$X$7:$AD$37,VLOOKUP(INDIRECT($C$5),Jornada!$C$8:$W$37,21,0),0)-M20,0)))</f>
        <v>0</v>
      </c>
      <c r="P20" s="193">
        <f ca="1">IF(HLOOKUP($F20,Jornada!$X$7:$AD$37,VLOOKUP(INDIRECT($C$5),Jornada!$C$8:$W$37,21,0),0)-M20&lt;0,ABS(HLOOKUP($F20,Jornada!$X$7:$AD$37,VLOOKUP(INDIRECT($C$5),Jornada!$C$8:$W$37,21,0),0)-M20),0)</f>
        <v>0</v>
      </c>
      <c r="Q20" s="95">
        <f t="shared" si="0"/>
        <v>0</v>
      </c>
      <c r="R20" s="2">
        <f t="shared" si="2"/>
        <v>0</v>
      </c>
      <c r="S20"/>
      <c r="T20"/>
      <c r="U20"/>
      <c r="X20" s="177"/>
      <c r="AB20" s="177">
        <f t="shared" si="10"/>
        <v>13</v>
      </c>
      <c r="AC20" s="2">
        <f t="shared" si="3"/>
        <v>6</v>
      </c>
      <c r="AG20" s="220">
        <f t="shared" si="4"/>
        <v>0</v>
      </c>
      <c r="AH20" s="220">
        <f ca="1">IF(HLOOKUP($F20,Jornada!$X$7:$AD$37,VLOOKUP(INDIRECT($C$5),Jornada!$C$8:$W$37,21,0),0)=0,0,VLOOKUP(INDIRECT($C$5),Jornada!$C$8:$H$37,4,0))</f>
        <v>0</v>
      </c>
      <c r="AI20" s="155">
        <f ca="1">IF(AND(I20=0,J20=0,OR(H20&lt;&gt;0,K20&lt;&gt;0),HLOOKUP($F20,Jornada!$X$7:$AD$37,VLOOKUP(INDIRECT($C$5),Jornada!$C$8:$W$37,21,0),0)&gt;$AK$5,M20&gt;$AK$5),VLOOKUP(INDIRECT($C$5),Jornada!$C$8:$H$37,6,0),IF(AG20&gt;VLOOKUP(INDIRECT($C$5),Jornada!$C$8:$H$37,6,0),IF(VLOOKUP(INDIRECT($C$5),Jornada!$C$8:$H$37,6,0)&lt;AG20,0,ABS(VLOOKUP(INDIRECT($C$5),Jornada!$C$8:$H$37,6,0))-AG20),0))</f>
        <v>0</v>
      </c>
      <c r="AJ20" s="155">
        <f t="shared" si="5"/>
        <v>1</v>
      </c>
      <c r="AK20" s="155">
        <f t="shared" si="6"/>
        <v>0</v>
      </c>
      <c r="AL20" s="155">
        <f ca="1">HLOOKUP($F20,Jornada!$I$5:$V$37,VLOOKUP(INDIRECT($C$5),Jornada!$C$8:$W$37,21,0)+2,0)</f>
        <v>0</v>
      </c>
      <c r="AM20" s="155">
        <f ca="1">HLOOKUP($F20,Jornada!$I$4:$V$37,VLOOKUP(INDIRECT($C$5),Jornada!$C$8:$W$37,21,0)+3,0)</f>
        <v>0</v>
      </c>
      <c r="AN20" s="155">
        <f t="shared" ca="1" si="7"/>
        <v>0</v>
      </c>
      <c r="AO20" s="155">
        <f t="shared" si="8"/>
        <v>0</v>
      </c>
      <c r="AP20" s="155">
        <f t="shared" si="9"/>
        <v>0</v>
      </c>
      <c r="BE20" s="14"/>
      <c r="BF20" s="14"/>
      <c r="BG20" s="14"/>
    </row>
    <row r="21" spans="1:59" s="2" customFormat="1" ht="30" customHeight="1" thickTop="1" thickBot="1" x14ac:dyDescent="0.25">
      <c r="A21" s="1"/>
      <c r="B21"/>
      <c r="C21" s="172" t="str">
        <f>IF(Funcionários!C20=0,"",Funcionários!C20)</f>
        <v/>
      </c>
      <c r="D21"/>
      <c r="E21" s="115">
        <f>Lanç!E21</f>
        <v>14</v>
      </c>
      <c r="F21" s="189" t="str">
        <f>Lanç!F21</f>
        <v>Sáb</v>
      </c>
      <c r="G21" s="81" t="s">
        <v>291</v>
      </c>
      <c r="H21" s="94">
        <v>0.63888888888888895</v>
      </c>
      <c r="I21" s="94"/>
      <c r="J21" s="94"/>
      <c r="K21" s="94">
        <v>0.91666666666666663</v>
      </c>
      <c r="L21" s="197"/>
      <c r="M21" s="95">
        <f t="shared" si="1"/>
        <v>0.27777777777777768</v>
      </c>
      <c r="N21" s="196"/>
      <c r="O21" s="95">
        <f ca="1">IF(OR(G21=0,G21="Férias",G21="Falta Justificada",G21="Feriado",G21="Folga (DSR)"),0,IF(G21="Falta Injustificada",HLOOKUP($F21,Jornada!$X$7:$AD$37,VLOOKUP(INDIRECT($C$5),Jornada!$C$8:$W$37,21,0),0),IF(HLOOKUP($F21,Jornada!$X$7:$AD$37,VLOOKUP(INDIRECT($C$5),Jornada!$C$8:$W$37,21,0),0)-M21&gt;0,HLOOKUP($F21,Jornada!$X$7:$AD$37,VLOOKUP(INDIRECT($C$5),Jornada!$C$8:$W$37,21,0),0)-M21,0)))</f>
        <v>0</v>
      </c>
      <c r="P21" s="193">
        <f ca="1">IF(HLOOKUP($F21,Jornada!$X$7:$AD$37,VLOOKUP(INDIRECT($C$5),Jornada!$C$8:$W$37,21,0),0)-M21&lt;0,ABS(HLOOKUP($F21,Jornada!$X$7:$AD$37,VLOOKUP(INDIRECT($C$5),Jornada!$C$8:$W$37,21,0),0)-M21),0)</f>
        <v>0.27777777777777768</v>
      </c>
      <c r="Q21" s="95">
        <f t="shared" ca="1" si="0"/>
        <v>0.27777777777777768</v>
      </c>
      <c r="R21" s="2">
        <f t="shared" ca="1" si="2"/>
        <v>1</v>
      </c>
      <c r="S21"/>
      <c r="T21"/>
      <c r="U21"/>
      <c r="X21" s="177"/>
      <c r="AB21" s="177">
        <f t="shared" si="10"/>
        <v>14</v>
      </c>
      <c r="AC21" s="2">
        <f t="shared" si="3"/>
        <v>7</v>
      </c>
      <c r="AG21" s="220">
        <f t="shared" si="4"/>
        <v>0</v>
      </c>
      <c r="AH21" s="220">
        <f ca="1">IF(HLOOKUP($F21,Jornada!$X$7:$AD$37,VLOOKUP(INDIRECT($C$5),Jornada!$C$8:$W$37,21,0),0)=0,0,VLOOKUP(INDIRECT($C$5),Jornada!$C$8:$H$37,4,0))</f>
        <v>0</v>
      </c>
      <c r="AI21" s="155">
        <f ca="1">IF(AND(I21=0,J21=0,OR(H21&lt;&gt;0,K21&lt;&gt;0),HLOOKUP($F21,Jornada!$X$7:$AD$37,VLOOKUP(INDIRECT($C$5),Jornada!$C$8:$W$37,21,0),0)&gt;$AK$5,M21&gt;$AK$5),VLOOKUP(INDIRECT($C$5),Jornada!$C$8:$H$37,6,0),IF(AG21&gt;VLOOKUP(INDIRECT($C$5),Jornada!$C$8:$H$37,6,0),IF(VLOOKUP(INDIRECT($C$5),Jornada!$C$8:$H$37,6,0)&lt;AG21,0,ABS(VLOOKUP(INDIRECT($C$5),Jornada!$C$8:$H$37,6,0))-AG21),0))</f>
        <v>0</v>
      </c>
      <c r="AJ21" s="155">
        <f t="shared" si="5"/>
        <v>0.72222222222222232</v>
      </c>
      <c r="AK21" s="155">
        <f t="shared" si="6"/>
        <v>0</v>
      </c>
      <c r="AL21" s="155">
        <f ca="1">HLOOKUP($F21,Jornada!$I$5:$V$37,VLOOKUP(INDIRECT($C$5),Jornada!$C$8:$W$37,21,0)+2,0)</f>
        <v>0</v>
      </c>
      <c r="AM21" s="155">
        <f ca="1">HLOOKUP($F21,Jornada!$I$4:$V$37,VLOOKUP(INDIRECT($C$5),Jornada!$C$8:$W$37,21,0)+3,0)</f>
        <v>0</v>
      </c>
      <c r="AN21" s="155">
        <f t="shared" ca="1" si="7"/>
        <v>0</v>
      </c>
      <c r="AO21" s="155">
        <f t="shared" ca="1" si="8"/>
        <v>0</v>
      </c>
      <c r="AP21" s="155">
        <f t="shared" ca="1" si="9"/>
        <v>0</v>
      </c>
      <c r="BE21" s="14"/>
      <c r="BF21" s="14"/>
      <c r="BG21" s="14"/>
    </row>
    <row r="22" spans="1:59" s="2" customFormat="1" ht="30" customHeight="1" thickTop="1" thickBot="1" x14ac:dyDescent="0.25">
      <c r="A22" s="1"/>
      <c r="B22"/>
      <c r="C22" s="172" t="str">
        <f>IF(Funcionários!C21=0,"",Funcionários!C21)</f>
        <v/>
      </c>
      <c r="D22"/>
      <c r="E22" s="115">
        <f>Lanç!E22</f>
        <v>15</v>
      </c>
      <c r="F22" s="189" t="str">
        <f>Lanç!F22</f>
        <v>Dom</v>
      </c>
      <c r="G22" s="81" t="s">
        <v>291</v>
      </c>
      <c r="H22" s="94">
        <v>0.63888888888888895</v>
      </c>
      <c r="I22" s="94"/>
      <c r="J22" s="94"/>
      <c r="K22" s="94">
        <v>0.91666666666666663</v>
      </c>
      <c r="L22" s="197"/>
      <c r="M22" s="95">
        <f t="shared" si="1"/>
        <v>0.27777777777777768</v>
      </c>
      <c r="N22" s="196"/>
      <c r="O22" s="95">
        <f ca="1">IF(OR(G22=0,G22="Férias",G22="Falta Justificada",G22="Feriado",G22="Folga (DSR)"),0,IF(G22="Falta Injustificada",HLOOKUP($F22,Jornada!$X$7:$AD$37,VLOOKUP(INDIRECT($C$5),Jornada!$C$8:$W$37,21,0),0),IF(HLOOKUP($F22,Jornada!$X$7:$AD$37,VLOOKUP(INDIRECT($C$5),Jornada!$C$8:$W$37,21,0),0)-M22&gt;0,HLOOKUP($F22,Jornada!$X$7:$AD$37,VLOOKUP(INDIRECT($C$5),Jornada!$C$8:$W$37,21,0),0)-M22,0)))</f>
        <v>0</v>
      </c>
      <c r="P22" s="193">
        <f ca="1">IF(HLOOKUP($F22,Jornada!$X$7:$AD$37,VLOOKUP(INDIRECT($C$5),Jornada!$C$8:$W$37,21,0),0)-M22&lt;0,ABS(HLOOKUP($F22,Jornada!$X$7:$AD$37,VLOOKUP(INDIRECT($C$5),Jornada!$C$8:$W$37,21,0),0)-M22),0)</f>
        <v>0.27777777777777768</v>
      </c>
      <c r="Q22" s="95">
        <f t="shared" ca="1" si="0"/>
        <v>0.27777777777777768</v>
      </c>
      <c r="R22" s="2">
        <f t="shared" ca="1" si="2"/>
        <v>1</v>
      </c>
      <c r="S22" s="300" t="s">
        <v>63</v>
      </c>
      <c r="T22" s="301"/>
      <c r="U22" s="302"/>
      <c r="X22" s="177"/>
      <c r="AB22" s="177">
        <f t="shared" si="10"/>
        <v>15</v>
      </c>
      <c r="AC22" s="2">
        <f t="shared" si="3"/>
        <v>1</v>
      </c>
      <c r="AG22" s="220">
        <f t="shared" si="4"/>
        <v>0</v>
      </c>
      <c r="AH22" s="220">
        <f ca="1">IF(HLOOKUP($F22,Jornada!$X$7:$AD$37,VLOOKUP(INDIRECT($C$5),Jornada!$C$8:$W$37,21,0),0)=0,0,VLOOKUP(INDIRECT($C$5),Jornada!$C$8:$H$37,4,0))</f>
        <v>0</v>
      </c>
      <c r="AI22" s="155">
        <f ca="1">IF(AND(I22=0,J22=0,OR(H22&lt;&gt;0,K22&lt;&gt;0),HLOOKUP($F22,Jornada!$X$7:$AD$37,VLOOKUP(INDIRECT($C$5),Jornada!$C$8:$W$37,21,0),0)&gt;$AK$5,M22&gt;$AK$5),VLOOKUP(INDIRECT($C$5),Jornada!$C$8:$H$37,6,0),IF(AG22&gt;VLOOKUP(INDIRECT($C$5),Jornada!$C$8:$H$37,6,0),IF(VLOOKUP(INDIRECT($C$5),Jornada!$C$8:$H$37,6,0)&lt;AG22,0,ABS(VLOOKUP(INDIRECT($C$5),Jornada!$C$8:$H$37,6,0))-AG22),0))</f>
        <v>0</v>
      </c>
      <c r="AJ22" s="155">
        <f t="shared" si="5"/>
        <v>0.72222222222222232</v>
      </c>
      <c r="AK22" s="155">
        <f t="shared" si="6"/>
        <v>0</v>
      </c>
      <c r="AL22" s="155">
        <f ca="1">HLOOKUP($F22,Jornada!$I$5:$V$37,VLOOKUP(INDIRECT($C$5),Jornada!$C$8:$W$37,21,0)+2,0)</f>
        <v>0</v>
      </c>
      <c r="AM22" s="155">
        <f ca="1">HLOOKUP($F22,Jornada!$I$4:$V$37,VLOOKUP(INDIRECT($C$5),Jornada!$C$8:$W$37,21,0)+3,0)</f>
        <v>0</v>
      </c>
      <c r="AN22" s="155">
        <f t="shared" ca="1" si="7"/>
        <v>0</v>
      </c>
      <c r="AO22" s="155">
        <f t="shared" ca="1" si="8"/>
        <v>0</v>
      </c>
      <c r="AP22" s="155">
        <f t="shared" ca="1" si="9"/>
        <v>0</v>
      </c>
      <c r="BE22" s="14"/>
      <c r="BF22" s="14"/>
      <c r="BG22" s="14"/>
    </row>
    <row r="23" spans="1:59" s="2" customFormat="1" ht="30" customHeight="1" thickTop="1" thickBot="1" x14ac:dyDescent="0.25">
      <c r="A23" s="1"/>
      <c r="B23"/>
      <c r="C23" s="172" t="str">
        <f>IF(Funcionários!C22=0,"",Funcionários!C22)</f>
        <v/>
      </c>
      <c r="D23"/>
      <c r="E23" s="115">
        <f>Lanç!E23</f>
        <v>16</v>
      </c>
      <c r="F23" s="189" t="str">
        <f>Lanç!F23</f>
        <v>Seg</v>
      </c>
      <c r="G23" s="81" t="s">
        <v>291</v>
      </c>
      <c r="H23" s="94">
        <v>0.63888888888888895</v>
      </c>
      <c r="I23" s="94"/>
      <c r="J23" s="94"/>
      <c r="K23" s="94">
        <v>0.91666666666666663</v>
      </c>
      <c r="L23" s="197"/>
      <c r="M23" s="95">
        <f t="shared" si="1"/>
        <v>0.27777777777777768</v>
      </c>
      <c r="N23" s="196"/>
      <c r="O23" s="95">
        <f ca="1">IF(OR(G23=0,G23="Férias",G23="Falta Justificada",G23="Feriado",G23="Folga (DSR)"),0,IF(G23="Falta Injustificada",HLOOKUP($F23,Jornada!$X$7:$AD$37,VLOOKUP(INDIRECT($C$5),Jornada!$C$8:$W$37,21,0),0),IF(HLOOKUP($F23,Jornada!$X$7:$AD$37,VLOOKUP(INDIRECT($C$5),Jornada!$C$8:$W$37,21,0),0)-M23&gt;0,HLOOKUP($F23,Jornada!$X$7:$AD$37,VLOOKUP(INDIRECT($C$5),Jornada!$C$8:$W$37,21,0),0)-M23,0)))</f>
        <v>0</v>
      </c>
      <c r="P23" s="193">
        <f ca="1">IF(HLOOKUP($F23,Jornada!$X$7:$AD$37,VLOOKUP(INDIRECT($C$5),Jornada!$C$8:$W$37,21,0),0)-M23&lt;0,ABS(HLOOKUP($F23,Jornada!$X$7:$AD$37,VLOOKUP(INDIRECT($C$5),Jornada!$C$8:$W$37,21,0),0)-M23),0)</f>
        <v>0.27777777777777768</v>
      </c>
      <c r="Q23" s="95">
        <f t="shared" ca="1" si="0"/>
        <v>0.27777777777777768</v>
      </c>
      <c r="R23" s="2">
        <f t="shared" ca="1" si="2"/>
        <v>1</v>
      </c>
      <c r="S23" s="296" t="str">
        <f ca="1">IF(SUM(R8:R38)&gt;0,"Segundo o art 59 da CLT, o máximo de horas extras permitidas por dia são 2 horas. Reveja as horas lançadas se deseja estar de acordo com as leis trabalhistas em vigor no Brasil.","Parabéns!! Todas os dias estão dentro do limite de duas horas extras estipuladas pela CLT.")</f>
        <v>Segundo o art 59 da CLT, o máximo de horas extras permitidas por dia são 2 horas. Reveja as horas lançadas se deseja estar de acordo com as leis trabalhistas em vigor no Brasil.</v>
      </c>
      <c r="T23" s="297"/>
      <c r="U23" s="298"/>
      <c r="X23" s="177"/>
      <c r="AB23" s="177">
        <f t="shared" si="10"/>
        <v>16</v>
      </c>
      <c r="AC23" s="2">
        <f t="shared" si="3"/>
        <v>2</v>
      </c>
      <c r="AG23" s="220">
        <f t="shared" si="4"/>
        <v>0</v>
      </c>
      <c r="AH23" s="220">
        <f ca="1">IF(HLOOKUP($F23,Jornada!$X$7:$AD$37,VLOOKUP(INDIRECT($C$5),Jornada!$C$8:$W$37,21,0),0)=0,0,VLOOKUP(INDIRECT($C$5),Jornada!$C$8:$H$37,4,0))</f>
        <v>0</v>
      </c>
      <c r="AI23" s="155">
        <f ca="1">IF(AND(I23=0,J23=0,OR(H23&lt;&gt;0,K23&lt;&gt;0),HLOOKUP($F23,Jornada!$X$7:$AD$37,VLOOKUP(INDIRECT($C$5),Jornada!$C$8:$W$37,21,0),0)&gt;$AK$5,M23&gt;$AK$5),VLOOKUP(INDIRECT($C$5),Jornada!$C$8:$H$37,6,0),IF(AG23&gt;VLOOKUP(INDIRECT($C$5),Jornada!$C$8:$H$37,6,0),IF(VLOOKUP(INDIRECT($C$5),Jornada!$C$8:$H$37,6,0)&lt;AG23,0,ABS(VLOOKUP(INDIRECT($C$5),Jornada!$C$8:$H$37,6,0))-AG23),0))</f>
        <v>0</v>
      </c>
      <c r="AJ23" s="155">
        <f t="shared" si="5"/>
        <v>0.72222222222222232</v>
      </c>
      <c r="AK23" s="155">
        <f t="shared" si="6"/>
        <v>0</v>
      </c>
      <c r="AL23" s="155">
        <f ca="1">HLOOKUP($F23,Jornada!$I$5:$V$37,VLOOKUP(INDIRECT($C$5),Jornada!$C$8:$W$37,21,0)+2,0)</f>
        <v>0</v>
      </c>
      <c r="AM23" s="155">
        <f ca="1">HLOOKUP($F23,Jornada!$I$4:$V$37,VLOOKUP(INDIRECT($C$5),Jornada!$C$8:$W$37,21,0)+3,0)</f>
        <v>0</v>
      </c>
      <c r="AN23" s="155">
        <f t="shared" ca="1" si="7"/>
        <v>0</v>
      </c>
      <c r="AO23" s="155">
        <f t="shared" ca="1" si="8"/>
        <v>0</v>
      </c>
      <c r="AP23" s="155">
        <f t="shared" ca="1" si="9"/>
        <v>0</v>
      </c>
      <c r="BE23" s="14"/>
      <c r="BF23" s="14"/>
      <c r="BG23" s="14"/>
    </row>
    <row r="24" spans="1:59" s="2" customFormat="1" ht="30" customHeight="1" thickTop="1" thickBot="1" x14ac:dyDescent="0.25">
      <c r="A24" s="1"/>
      <c r="B24"/>
      <c r="C24" s="172" t="str">
        <f>IF(Funcionários!C23=0,"",Funcionários!C23)</f>
        <v/>
      </c>
      <c r="D24"/>
      <c r="E24" s="115">
        <f>Lanç!E24</f>
        <v>17</v>
      </c>
      <c r="F24" s="189" t="str">
        <f>Lanç!F24</f>
        <v>Ter</v>
      </c>
      <c r="G24" s="81" t="s">
        <v>291</v>
      </c>
      <c r="H24" s="94">
        <v>0.63888888888888895</v>
      </c>
      <c r="I24" s="94"/>
      <c r="J24" s="94"/>
      <c r="K24" s="94">
        <v>0.91666666666666663</v>
      </c>
      <c r="L24" s="197"/>
      <c r="M24" s="95">
        <f t="shared" si="1"/>
        <v>0.27777777777777768</v>
      </c>
      <c r="N24" s="196"/>
      <c r="O24" s="95">
        <f ca="1">IF(OR(G24=0,G24="Férias",G24="Falta Justificada",G24="Feriado",G24="Folga (DSR)"),0,IF(G24="Falta Injustificada",HLOOKUP($F24,Jornada!$X$7:$AD$37,VLOOKUP(INDIRECT($C$5),Jornada!$C$8:$W$37,21,0),0),IF(HLOOKUP($F24,Jornada!$X$7:$AD$37,VLOOKUP(INDIRECT($C$5),Jornada!$C$8:$W$37,21,0),0)-M24&gt;0,HLOOKUP($F24,Jornada!$X$7:$AD$37,VLOOKUP(INDIRECT($C$5),Jornada!$C$8:$W$37,21,0),0)-M24,0)))</f>
        <v>0</v>
      </c>
      <c r="P24" s="193">
        <f ca="1">IF(HLOOKUP($F24,Jornada!$X$7:$AD$37,VLOOKUP(INDIRECT($C$5),Jornada!$C$8:$W$37,21,0),0)-M24&lt;0,ABS(HLOOKUP($F24,Jornada!$X$7:$AD$37,VLOOKUP(INDIRECT($C$5),Jornada!$C$8:$W$37,21,0),0)-M24),0)</f>
        <v>0.27777777777777768</v>
      </c>
      <c r="Q24" s="95">
        <f t="shared" ca="1" si="0"/>
        <v>0.27777777777777768</v>
      </c>
      <c r="R24" s="2">
        <f t="shared" ca="1" si="2"/>
        <v>1</v>
      </c>
      <c r="S24" s="296"/>
      <c r="T24" s="297"/>
      <c r="U24" s="298"/>
      <c r="X24" s="177"/>
      <c r="AB24" s="177">
        <f t="shared" si="10"/>
        <v>17</v>
      </c>
      <c r="AC24" s="2">
        <f t="shared" si="3"/>
        <v>3</v>
      </c>
      <c r="AG24" s="220">
        <f t="shared" si="4"/>
        <v>0</v>
      </c>
      <c r="AH24" s="220">
        <f ca="1">IF(HLOOKUP($F24,Jornada!$X$7:$AD$37,VLOOKUP(INDIRECT($C$5),Jornada!$C$8:$W$37,21,0),0)=0,0,VLOOKUP(INDIRECT($C$5),Jornada!$C$8:$H$37,4,0))</f>
        <v>0</v>
      </c>
      <c r="AI24" s="155">
        <f ca="1">IF(AND(I24=0,J24=0,OR(H24&lt;&gt;0,K24&lt;&gt;0),HLOOKUP($F24,Jornada!$X$7:$AD$37,VLOOKUP(INDIRECT($C$5),Jornada!$C$8:$W$37,21,0),0)&gt;$AK$5,M24&gt;$AK$5),VLOOKUP(INDIRECT($C$5),Jornada!$C$8:$H$37,6,0),IF(AG24&gt;VLOOKUP(INDIRECT($C$5),Jornada!$C$8:$H$37,6,0),IF(VLOOKUP(INDIRECT($C$5),Jornada!$C$8:$H$37,6,0)&lt;AG24,0,ABS(VLOOKUP(INDIRECT($C$5),Jornada!$C$8:$H$37,6,0))-AG24),0))</f>
        <v>0</v>
      </c>
      <c r="AJ24" s="155">
        <f t="shared" si="5"/>
        <v>0.72222222222222232</v>
      </c>
      <c r="AK24" s="155">
        <f t="shared" si="6"/>
        <v>0</v>
      </c>
      <c r="AL24" s="155">
        <f ca="1">HLOOKUP($F24,Jornada!$I$5:$V$37,VLOOKUP(INDIRECT($C$5),Jornada!$C$8:$W$37,21,0)+2,0)</f>
        <v>0</v>
      </c>
      <c r="AM24" s="155">
        <f ca="1">HLOOKUP($F24,Jornada!$I$4:$V$37,VLOOKUP(INDIRECT($C$5),Jornada!$C$8:$W$37,21,0)+3,0)</f>
        <v>0</v>
      </c>
      <c r="AN24" s="155">
        <f t="shared" ca="1" si="7"/>
        <v>0</v>
      </c>
      <c r="AO24" s="155">
        <f t="shared" ca="1" si="8"/>
        <v>0</v>
      </c>
      <c r="AP24" s="155">
        <f t="shared" ca="1" si="9"/>
        <v>0</v>
      </c>
      <c r="BE24" s="14"/>
      <c r="BF24" s="14"/>
      <c r="BG24" s="14"/>
    </row>
    <row r="25" spans="1:59" s="2" customFormat="1" ht="30" customHeight="1" thickTop="1" thickBot="1" x14ac:dyDescent="0.25">
      <c r="A25" s="1"/>
      <c r="B25"/>
      <c r="C25" s="172" t="str">
        <f>IF(Funcionários!C24=0,"",Funcionários!C24)</f>
        <v/>
      </c>
      <c r="D25"/>
      <c r="E25" s="115">
        <f>Lanç!E25</f>
        <v>18</v>
      </c>
      <c r="F25" s="189" t="str">
        <f>Lanç!F25</f>
        <v>Qua</v>
      </c>
      <c r="G25" s="81" t="s">
        <v>291</v>
      </c>
      <c r="H25" s="94">
        <v>0.63888888888888895</v>
      </c>
      <c r="I25" s="94"/>
      <c r="J25" s="94"/>
      <c r="K25" s="94">
        <v>0.91666666666666663</v>
      </c>
      <c r="L25" s="197"/>
      <c r="M25" s="95">
        <f t="shared" si="1"/>
        <v>0.27777777777777768</v>
      </c>
      <c r="N25" s="196"/>
      <c r="O25" s="95">
        <f ca="1">IF(OR(G25=0,G25="Férias",G25="Falta Justificada",G25="Feriado",G25="Folga (DSR)"),0,IF(G25="Falta Injustificada",HLOOKUP($F25,Jornada!$X$7:$AD$37,VLOOKUP(INDIRECT($C$5),Jornada!$C$8:$W$37,21,0),0),IF(HLOOKUP($F25,Jornada!$X$7:$AD$37,VLOOKUP(INDIRECT($C$5),Jornada!$C$8:$W$37,21,0),0)-M25&gt;0,HLOOKUP($F25,Jornada!$X$7:$AD$37,VLOOKUP(INDIRECT($C$5),Jornada!$C$8:$W$37,21,0),0)-M25,0)))</f>
        <v>0</v>
      </c>
      <c r="P25" s="193">
        <f ca="1">IF(HLOOKUP($F25,Jornada!$X$7:$AD$37,VLOOKUP(INDIRECT($C$5),Jornada!$C$8:$W$37,21,0),0)-M25&lt;0,ABS(HLOOKUP($F25,Jornada!$X$7:$AD$37,VLOOKUP(INDIRECT($C$5),Jornada!$C$8:$W$37,21,0),0)-M25),0)</f>
        <v>0.27777777777777768</v>
      </c>
      <c r="Q25" s="95">
        <f t="shared" ca="1" si="0"/>
        <v>0.27777777777777768</v>
      </c>
      <c r="R25" s="2">
        <f t="shared" ca="1" si="2"/>
        <v>1</v>
      </c>
      <c r="S25" s="296"/>
      <c r="T25" s="297"/>
      <c r="U25" s="298"/>
      <c r="X25" s="177"/>
      <c r="Z25" s="2">
        <f ca="1">IF(SUM(R8:R38)&gt;0,1,0)</f>
        <v>1</v>
      </c>
      <c r="AB25" s="177">
        <f t="shared" si="10"/>
        <v>18</v>
      </c>
      <c r="AC25" s="2">
        <f t="shared" si="3"/>
        <v>4</v>
      </c>
      <c r="AG25" s="220">
        <f t="shared" si="4"/>
        <v>0</v>
      </c>
      <c r="AH25" s="220">
        <f ca="1">IF(HLOOKUP($F25,Jornada!$X$7:$AD$37,VLOOKUP(INDIRECT($C$5),Jornada!$C$8:$W$37,21,0),0)=0,0,VLOOKUP(INDIRECT($C$5),Jornada!$C$8:$H$37,4,0))</f>
        <v>0</v>
      </c>
      <c r="AI25" s="155">
        <f ca="1">IF(AND(I25=0,J25=0,OR(H25&lt;&gt;0,K25&lt;&gt;0),HLOOKUP($F25,Jornada!$X$7:$AD$37,VLOOKUP(INDIRECT($C$5),Jornada!$C$8:$W$37,21,0),0)&gt;$AK$5,M25&gt;$AK$5),VLOOKUP(INDIRECT($C$5),Jornada!$C$8:$H$37,6,0),IF(AG25&gt;VLOOKUP(INDIRECT($C$5),Jornada!$C$8:$H$37,6,0),IF(VLOOKUP(INDIRECT($C$5),Jornada!$C$8:$H$37,6,0)&lt;AG25,0,ABS(VLOOKUP(INDIRECT($C$5),Jornada!$C$8:$H$37,6,0))-AG25),0))</f>
        <v>0</v>
      </c>
      <c r="AJ25" s="155">
        <f t="shared" si="5"/>
        <v>0.72222222222222232</v>
      </c>
      <c r="AK25" s="155">
        <f t="shared" si="6"/>
        <v>0</v>
      </c>
      <c r="AL25" s="155">
        <f ca="1">HLOOKUP($F25,Jornada!$I$5:$V$37,VLOOKUP(INDIRECT($C$5),Jornada!$C$8:$W$37,21,0)+2,0)</f>
        <v>0</v>
      </c>
      <c r="AM25" s="155">
        <f ca="1">HLOOKUP($F25,Jornada!$I$4:$V$37,VLOOKUP(INDIRECT($C$5),Jornada!$C$8:$W$37,21,0)+3,0)</f>
        <v>0</v>
      </c>
      <c r="AN25" s="155">
        <f t="shared" ca="1" si="7"/>
        <v>0</v>
      </c>
      <c r="AO25" s="155">
        <f t="shared" ca="1" si="8"/>
        <v>0</v>
      </c>
      <c r="AP25" s="155">
        <f t="shared" ca="1" si="9"/>
        <v>0</v>
      </c>
      <c r="BE25" s="14"/>
      <c r="BF25" s="14"/>
      <c r="BG25" s="14"/>
    </row>
    <row r="26" spans="1:59" s="2" customFormat="1" ht="30" customHeight="1" thickTop="1" thickBot="1" x14ac:dyDescent="0.25">
      <c r="A26" s="1"/>
      <c r="B26"/>
      <c r="C26" s="172" t="str">
        <f>IF(Funcionários!C25=0,"",Funcionários!C25)</f>
        <v/>
      </c>
      <c r="D26"/>
      <c r="E26" s="115">
        <f>Lanç!E26</f>
        <v>19</v>
      </c>
      <c r="F26" s="189" t="str">
        <f>Lanç!F26</f>
        <v>Qui</v>
      </c>
      <c r="G26" s="81" t="s">
        <v>292</v>
      </c>
      <c r="H26" s="94"/>
      <c r="I26" s="94"/>
      <c r="J26" s="94"/>
      <c r="K26" s="94"/>
      <c r="L26" s="197"/>
      <c r="M26" s="95">
        <f t="shared" si="1"/>
        <v>0</v>
      </c>
      <c r="N26" s="196"/>
      <c r="O26" s="95">
        <f ca="1">IF(OR(G26=0,G26="Férias",G26="Falta Justificada",G26="Feriado",G26="Folga (DSR)"),0,IF(G26="Falta Injustificada",HLOOKUP($F26,Jornada!$X$7:$AD$37,VLOOKUP(INDIRECT($C$5),Jornada!$C$8:$W$37,21,0),0),IF(HLOOKUP($F26,Jornada!$X$7:$AD$37,VLOOKUP(INDIRECT($C$5),Jornada!$C$8:$W$37,21,0),0)-M26&gt;0,HLOOKUP($F26,Jornada!$X$7:$AD$37,VLOOKUP(INDIRECT($C$5),Jornada!$C$8:$W$37,21,0),0)-M26,0)))</f>
        <v>0</v>
      </c>
      <c r="P26" s="193">
        <f ca="1">IF(HLOOKUP($F26,Jornada!$X$7:$AD$37,VLOOKUP(INDIRECT($C$5),Jornada!$C$8:$W$37,21,0),0)-M26&lt;0,ABS(HLOOKUP($F26,Jornada!$X$7:$AD$37,VLOOKUP(INDIRECT($C$5),Jornada!$C$8:$W$37,21,0),0)-M26),0)</f>
        <v>0</v>
      </c>
      <c r="Q26" s="95">
        <f t="shared" si="0"/>
        <v>0</v>
      </c>
      <c r="R26" s="2">
        <f t="shared" si="2"/>
        <v>0</v>
      </c>
      <c r="S26" s="296" t="str">
        <f>IF(COUNTIF(G8:G38,"Folga (DSR)")&lt;DAY(E39)/8,"O mês não está contemplando um DSR (Descanso Semanal Remunerado) por semana. Isso pode configurar uma irregularidade segundo as leis trabalhistas.","Parabéns!! Sua folha de pagamento contempla uma DSR por semana conforme a lei trabalhista.")</f>
        <v>Parabéns!! Sua folha de pagamento contempla uma DSR por semana conforme a lei trabalhista.</v>
      </c>
      <c r="T26" s="297"/>
      <c r="U26" s="298"/>
      <c r="X26" s="177"/>
      <c r="AB26" s="177">
        <f t="shared" si="10"/>
        <v>19</v>
      </c>
      <c r="AC26" s="2">
        <f t="shared" si="3"/>
        <v>5</v>
      </c>
      <c r="AG26" s="220">
        <f t="shared" si="4"/>
        <v>0</v>
      </c>
      <c r="AH26" s="220">
        <f ca="1">IF(HLOOKUP($F26,Jornada!$X$7:$AD$37,VLOOKUP(INDIRECT($C$5),Jornada!$C$8:$W$37,21,0),0)=0,0,VLOOKUP(INDIRECT($C$5),Jornada!$C$8:$H$37,4,0))</f>
        <v>0</v>
      </c>
      <c r="AI26" s="155">
        <f ca="1">IF(AND(I26=0,J26=0,OR(H26&lt;&gt;0,K26&lt;&gt;0),HLOOKUP($F26,Jornada!$X$7:$AD$37,VLOOKUP(INDIRECT($C$5),Jornada!$C$8:$W$37,21,0),0)&gt;$AK$5,M26&gt;$AK$5),VLOOKUP(INDIRECT($C$5),Jornada!$C$8:$H$37,6,0),IF(AG26&gt;VLOOKUP(INDIRECT($C$5),Jornada!$C$8:$H$37,6,0),IF(VLOOKUP(INDIRECT($C$5),Jornada!$C$8:$H$37,6,0)&lt;AG26,0,ABS(VLOOKUP(INDIRECT($C$5),Jornada!$C$8:$H$37,6,0))-AG26),0))</f>
        <v>0</v>
      </c>
      <c r="AJ26" s="155">
        <f t="shared" si="5"/>
        <v>1</v>
      </c>
      <c r="AK26" s="155">
        <f t="shared" si="6"/>
        <v>0</v>
      </c>
      <c r="AL26" s="155">
        <f ca="1">HLOOKUP($F26,Jornada!$I$5:$V$37,VLOOKUP(INDIRECT($C$5),Jornada!$C$8:$W$37,21,0)+2,0)</f>
        <v>0</v>
      </c>
      <c r="AM26" s="155">
        <f ca="1">HLOOKUP($F26,Jornada!$I$4:$V$37,VLOOKUP(INDIRECT($C$5),Jornada!$C$8:$W$37,21,0)+3,0)</f>
        <v>0</v>
      </c>
      <c r="AN26" s="155">
        <f t="shared" ca="1" si="7"/>
        <v>0</v>
      </c>
      <c r="AO26" s="155">
        <f t="shared" si="8"/>
        <v>0</v>
      </c>
      <c r="AP26" s="155">
        <f t="shared" si="9"/>
        <v>0</v>
      </c>
      <c r="BE26" s="14"/>
      <c r="BF26" s="14"/>
      <c r="BG26" s="14"/>
    </row>
    <row r="27" spans="1:59" s="2" customFormat="1" ht="30" customHeight="1" thickTop="1" thickBot="1" x14ac:dyDescent="0.25">
      <c r="A27" s="1"/>
      <c r="B27"/>
      <c r="C27" s="172" t="str">
        <f>IF(Funcionários!C26=0,"",Funcionários!C26)</f>
        <v/>
      </c>
      <c r="D27"/>
      <c r="E27" s="115">
        <f>Lanç!E27</f>
        <v>20</v>
      </c>
      <c r="F27" s="189" t="str">
        <f>Lanç!F27</f>
        <v>Sex</v>
      </c>
      <c r="G27" s="81" t="s">
        <v>292</v>
      </c>
      <c r="H27" s="94"/>
      <c r="I27" s="94"/>
      <c r="J27" s="94"/>
      <c r="K27" s="94"/>
      <c r="L27" s="197"/>
      <c r="M27" s="95">
        <f t="shared" si="1"/>
        <v>0</v>
      </c>
      <c r="N27" s="196"/>
      <c r="O27" s="95">
        <f ca="1">IF(OR(G27=0,G27="Férias",G27="Falta Justificada",G27="Feriado",G27="Folga (DSR)"),0,IF(G27="Falta Injustificada",HLOOKUP($F27,Jornada!$X$7:$AD$37,VLOOKUP(INDIRECT($C$5),Jornada!$C$8:$W$37,21,0),0),IF(HLOOKUP($F27,Jornada!$X$7:$AD$37,VLOOKUP(INDIRECT($C$5),Jornada!$C$8:$W$37,21,0),0)-M27&gt;0,HLOOKUP($F27,Jornada!$X$7:$AD$37,VLOOKUP(INDIRECT($C$5),Jornada!$C$8:$W$37,21,0),0)-M27,0)))</f>
        <v>0</v>
      </c>
      <c r="P27" s="193">
        <f ca="1">IF(HLOOKUP($F27,Jornada!$X$7:$AD$37,VLOOKUP(INDIRECT($C$5),Jornada!$C$8:$W$37,21,0),0)-M27&lt;0,ABS(HLOOKUP($F27,Jornada!$X$7:$AD$37,VLOOKUP(INDIRECT($C$5),Jornada!$C$8:$W$37,21,0),0)-M27),0)</f>
        <v>0</v>
      </c>
      <c r="Q27" s="95">
        <f t="shared" si="0"/>
        <v>0</v>
      </c>
      <c r="R27" s="2">
        <f t="shared" si="2"/>
        <v>0</v>
      </c>
      <c r="S27" s="296"/>
      <c r="T27" s="297"/>
      <c r="U27" s="298"/>
      <c r="X27" s="177"/>
      <c r="AB27" s="177">
        <f t="shared" si="10"/>
        <v>20</v>
      </c>
      <c r="AC27" s="2">
        <f t="shared" si="3"/>
        <v>6</v>
      </c>
      <c r="AG27" s="220">
        <f t="shared" si="4"/>
        <v>0</v>
      </c>
      <c r="AH27" s="220">
        <f ca="1">IF(HLOOKUP($F27,Jornada!$X$7:$AD$37,VLOOKUP(INDIRECT($C$5),Jornada!$C$8:$W$37,21,0),0)=0,0,VLOOKUP(INDIRECT($C$5),Jornada!$C$8:$H$37,4,0))</f>
        <v>0</v>
      </c>
      <c r="AI27" s="155">
        <f ca="1">IF(AND(I27=0,J27=0,OR(H27&lt;&gt;0,K27&lt;&gt;0),HLOOKUP($F27,Jornada!$X$7:$AD$37,VLOOKUP(INDIRECT($C$5),Jornada!$C$8:$W$37,21,0),0)&gt;$AK$5,M27&gt;$AK$5),VLOOKUP(INDIRECT($C$5),Jornada!$C$8:$H$37,6,0),IF(AG27&gt;VLOOKUP(INDIRECT($C$5),Jornada!$C$8:$H$37,6,0),IF(VLOOKUP(INDIRECT($C$5),Jornada!$C$8:$H$37,6,0)&lt;AG27,0,ABS(VLOOKUP(INDIRECT($C$5),Jornada!$C$8:$H$37,6,0))-AG27),0))</f>
        <v>0</v>
      </c>
      <c r="AJ27" s="155">
        <f t="shared" si="5"/>
        <v>1</v>
      </c>
      <c r="AK27" s="155">
        <f t="shared" si="6"/>
        <v>0</v>
      </c>
      <c r="AL27" s="155">
        <f ca="1">HLOOKUP($F27,Jornada!$I$5:$V$37,VLOOKUP(INDIRECT($C$5),Jornada!$C$8:$W$37,21,0)+2,0)</f>
        <v>0</v>
      </c>
      <c r="AM27" s="155">
        <f ca="1">HLOOKUP($F27,Jornada!$I$4:$V$37,VLOOKUP(INDIRECT($C$5),Jornada!$C$8:$W$37,21,0)+3,0)</f>
        <v>0</v>
      </c>
      <c r="AN27" s="155">
        <f t="shared" ca="1" si="7"/>
        <v>0</v>
      </c>
      <c r="AO27" s="155">
        <f t="shared" si="8"/>
        <v>0</v>
      </c>
      <c r="AP27" s="155">
        <f t="shared" si="9"/>
        <v>0</v>
      </c>
    </row>
    <row r="28" spans="1:59" s="2" customFormat="1" ht="30" customHeight="1" thickTop="1" thickBot="1" x14ac:dyDescent="0.25">
      <c r="A28" s="1"/>
      <c r="B28"/>
      <c r="C28" s="172" t="str">
        <f>IF(Funcionários!C27=0,"",Funcionários!C27)</f>
        <v/>
      </c>
      <c r="D28"/>
      <c r="E28" s="115">
        <f>Lanç!E28</f>
        <v>21</v>
      </c>
      <c r="F28" s="189" t="str">
        <f>Lanç!F28</f>
        <v>Sáb</v>
      </c>
      <c r="G28" s="81" t="s">
        <v>294</v>
      </c>
      <c r="H28" s="94"/>
      <c r="I28" s="94"/>
      <c r="J28" s="94"/>
      <c r="K28" s="94"/>
      <c r="L28" s="197"/>
      <c r="M28" s="95">
        <f t="shared" si="1"/>
        <v>0</v>
      </c>
      <c r="N28" s="196"/>
      <c r="O28" s="95">
        <f ca="1">IF(OR(G28=0,G28="Férias",G28="Falta Justificada",G28="Feriado",G28="Folga (DSR)"),0,IF(G28="Falta Injustificada",HLOOKUP($F28,Jornada!$X$7:$AD$37,VLOOKUP(INDIRECT($C$5),Jornada!$C$8:$W$37,21,0),0),IF(HLOOKUP($F28,Jornada!$X$7:$AD$37,VLOOKUP(INDIRECT($C$5),Jornada!$C$8:$W$37,21,0),0)-M28&gt;0,HLOOKUP($F28,Jornada!$X$7:$AD$37,VLOOKUP(INDIRECT($C$5),Jornada!$C$8:$W$37,21,0),0)-M28,0)))</f>
        <v>0</v>
      </c>
      <c r="P28" s="193">
        <f ca="1">IF(HLOOKUP($F28,Jornada!$X$7:$AD$37,VLOOKUP(INDIRECT($C$5),Jornada!$C$8:$W$37,21,0),0)-M28&lt;0,ABS(HLOOKUP($F28,Jornada!$X$7:$AD$37,VLOOKUP(INDIRECT($C$5),Jornada!$C$8:$W$37,21,0),0)-M28),0)</f>
        <v>0</v>
      </c>
      <c r="Q28" s="95">
        <f t="shared" si="0"/>
        <v>0</v>
      </c>
      <c r="R28" s="2">
        <f t="shared" si="2"/>
        <v>0</v>
      </c>
      <c r="S28" s="296"/>
      <c r="T28" s="297"/>
      <c r="U28" s="298"/>
      <c r="X28" s="177"/>
      <c r="AB28" s="177">
        <f t="shared" si="10"/>
        <v>21</v>
      </c>
      <c r="AC28" s="2">
        <f t="shared" si="3"/>
        <v>7</v>
      </c>
      <c r="AG28" s="220">
        <f t="shared" si="4"/>
        <v>0</v>
      </c>
      <c r="AH28" s="220">
        <f ca="1">IF(HLOOKUP($F28,Jornada!$X$7:$AD$37,VLOOKUP(INDIRECT($C$5),Jornada!$C$8:$W$37,21,0),0)=0,0,VLOOKUP(INDIRECT($C$5),Jornada!$C$8:$H$37,4,0))</f>
        <v>0</v>
      </c>
      <c r="AI28" s="155">
        <f ca="1">IF(AND(I28=0,J28=0,OR(H28&lt;&gt;0,K28&lt;&gt;0),HLOOKUP($F28,Jornada!$X$7:$AD$37,VLOOKUP(INDIRECT($C$5),Jornada!$C$8:$W$37,21,0),0)&gt;$AK$5,M28&gt;$AK$5),VLOOKUP(INDIRECT($C$5),Jornada!$C$8:$H$37,6,0),IF(AG28&gt;VLOOKUP(INDIRECT($C$5),Jornada!$C$8:$H$37,6,0),IF(VLOOKUP(INDIRECT($C$5),Jornada!$C$8:$H$37,6,0)&lt;AG28,0,ABS(VLOOKUP(INDIRECT($C$5),Jornada!$C$8:$H$37,6,0))-AG28),0))</f>
        <v>0</v>
      </c>
      <c r="AJ28" s="155">
        <f t="shared" si="5"/>
        <v>1</v>
      </c>
      <c r="AK28" s="155">
        <f t="shared" si="6"/>
        <v>0</v>
      </c>
      <c r="AL28" s="155">
        <f ca="1">HLOOKUP($F28,Jornada!$I$5:$V$37,VLOOKUP(INDIRECT($C$5),Jornada!$C$8:$W$37,21,0)+2,0)</f>
        <v>0</v>
      </c>
      <c r="AM28" s="155">
        <f ca="1">HLOOKUP($F28,Jornada!$I$4:$V$37,VLOOKUP(INDIRECT($C$5),Jornada!$C$8:$W$37,21,0)+3,0)</f>
        <v>0</v>
      </c>
      <c r="AN28" s="155">
        <f t="shared" ca="1" si="7"/>
        <v>0</v>
      </c>
      <c r="AO28" s="155">
        <f t="shared" si="8"/>
        <v>0</v>
      </c>
      <c r="AP28" s="155">
        <f t="shared" si="9"/>
        <v>0</v>
      </c>
    </row>
    <row r="29" spans="1:59" s="2" customFormat="1" ht="30" customHeight="1" thickTop="1" thickBot="1" x14ac:dyDescent="0.25">
      <c r="A29" s="1"/>
      <c r="B29"/>
      <c r="C29" s="172" t="str">
        <f>IF(Funcionários!C28=0,"",Funcionários!C28)</f>
        <v/>
      </c>
      <c r="D29"/>
      <c r="E29" s="115">
        <f>Lanç!E29</f>
        <v>22</v>
      </c>
      <c r="F29" s="189" t="str">
        <f>Lanç!F29</f>
        <v>Dom</v>
      </c>
      <c r="G29" s="81" t="s">
        <v>291</v>
      </c>
      <c r="H29" s="94">
        <v>0.63888888888888895</v>
      </c>
      <c r="I29" s="94"/>
      <c r="J29" s="94"/>
      <c r="K29" s="94">
        <v>0.91666666666666663</v>
      </c>
      <c r="L29" s="197"/>
      <c r="M29" s="95">
        <f t="shared" si="1"/>
        <v>0.27777777777777768</v>
      </c>
      <c r="N29" s="196"/>
      <c r="O29" s="95">
        <f ca="1">IF(OR(G29=0,G29="Férias",G29="Falta Justificada",G29="Feriado",G29="Folga (DSR)"),0,IF(G29="Falta Injustificada",HLOOKUP($F29,Jornada!$X$7:$AD$37,VLOOKUP(INDIRECT($C$5),Jornada!$C$8:$W$37,21,0),0),IF(HLOOKUP($F29,Jornada!$X$7:$AD$37,VLOOKUP(INDIRECT($C$5),Jornada!$C$8:$W$37,21,0),0)-M29&gt;0,HLOOKUP($F29,Jornada!$X$7:$AD$37,VLOOKUP(INDIRECT($C$5),Jornada!$C$8:$W$37,21,0),0)-M29,0)))</f>
        <v>0</v>
      </c>
      <c r="P29" s="193">
        <f ca="1">IF(HLOOKUP($F29,Jornada!$X$7:$AD$37,VLOOKUP(INDIRECT($C$5),Jornada!$C$8:$W$37,21,0),0)-M29&lt;0,ABS(HLOOKUP($F29,Jornada!$X$7:$AD$37,VLOOKUP(INDIRECT($C$5),Jornada!$C$8:$W$37,21,0),0)-M29),0)</f>
        <v>0.27777777777777768</v>
      </c>
      <c r="Q29" s="95">
        <f t="shared" ca="1" si="0"/>
        <v>0.27777777777777768</v>
      </c>
      <c r="R29" s="2">
        <f t="shared" ca="1" si="2"/>
        <v>1</v>
      </c>
      <c r="S29" s="13"/>
      <c r="T29" s="74"/>
      <c r="U29" s="74"/>
      <c r="X29" s="177"/>
      <c r="AB29" s="177">
        <f t="shared" si="10"/>
        <v>22</v>
      </c>
      <c r="AC29" s="2">
        <f t="shared" si="3"/>
        <v>1</v>
      </c>
      <c r="AG29" s="220">
        <f t="shared" si="4"/>
        <v>0</v>
      </c>
      <c r="AH29" s="220">
        <f ca="1">IF(HLOOKUP($F29,Jornada!$X$7:$AD$37,VLOOKUP(INDIRECT($C$5),Jornada!$C$8:$W$37,21,0),0)=0,0,VLOOKUP(INDIRECT($C$5),Jornada!$C$8:$H$37,4,0))</f>
        <v>0</v>
      </c>
      <c r="AI29" s="155">
        <f ca="1">IF(AND(I29=0,J29=0,OR(H29&lt;&gt;0,K29&lt;&gt;0),HLOOKUP($F29,Jornada!$X$7:$AD$37,VLOOKUP(INDIRECT($C$5),Jornada!$C$8:$W$37,21,0),0)&gt;$AK$5,M29&gt;$AK$5),VLOOKUP(INDIRECT($C$5),Jornada!$C$8:$H$37,6,0),IF(AG29&gt;VLOOKUP(INDIRECT($C$5),Jornada!$C$8:$H$37,6,0),IF(VLOOKUP(INDIRECT($C$5),Jornada!$C$8:$H$37,6,0)&lt;AG29,0,ABS(VLOOKUP(INDIRECT($C$5),Jornada!$C$8:$H$37,6,0))-AG29),0))</f>
        <v>0</v>
      </c>
      <c r="AJ29" s="155">
        <f t="shared" si="5"/>
        <v>0.72222222222222232</v>
      </c>
      <c r="AK29" s="155">
        <f t="shared" si="6"/>
        <v>0</v>
      </c>
      <c r="AL29" s="155">
        <f ca="1">HLOOKUP($F29,Jornada!$I$5:$V$37,VLOOKUP(INDIRECT($C$5),Jornada!$C$8:$W$37,21,0)+2,0)</f>
        <v>0</v>
      </c>
      <c r="AM29" s="155">
        <f ca="1">HLOOKUP($F29,Jornada!$I$4:$V$37,VLOOKUP(INDIRECT($C$5),Jornada!$C$8:$W$37,21,0)+3,0)</f>
        <v>0</v>
      </c>
      <c r="AN29" s="155">
        <f t="shared" ca="1" si="7"/>
        <v>0</v>
      </c>
      <c r="AO29" s="155">
        <f t="shared" ca="1" si="8"/>
        <v>0</v>
      </c>
      <c r="AP29" s="155">
        <f t="shared" ca="1" si="9"/>
        <v>0</v>
      </c>
    </row>
    <row r="30" spans="1:59" s="2" customFormat="1" ht="30" customHeight="1" thickTop="1" thickBot="1" x14ac:dyDescent="0.25">
      <c r="A30" s="1"/>
      <c r="B30"/>
      <c r="C30" s="172" t="str">
        <f>IF(Funcionários!C29=0,"",Funcionários!C29)</f>
        <v/>
      </c>
      <c r="D30"/>
      <c r="E30" s="173">
        <f>Lanç!E30</f>
        <v>23</v>
      </c>
      <c r="F30" s="189" t="str">
        <f>Lanç!F30</f>
        <v>Seg</v>
      </c>
      <c r="G30" s="81" t="s">
        <v>291</v>
      </c>
      <c r="H30" s="94">
        <v>0.63888888888888895</v>
      </c>
      <c r="I30" s="94"/>
      <c r="J30" s="94"/>
      <c r="K30" s="94">
        <v>0.91666666666666663</v>
      </c>
      <c r="L30" s="179"/>
      <c r="M30" s="95">
        <f t="shared" si="1"/>
        <v>0.27777777777777768</v>
      </c>
      <c r="N30" s="196"/>
      <c r="O30" s="95">
        <f ca="1">IF(OR(G30=0,G30="Férias",G30="Falta Justificada",G30="Feriado",G30="Folga (DSR)"),0,IF(G30="Falta Injustificada",HLOOKUP($F30,Jornada!$X$7:$AD$37,VLOOKUP(INDIRECT($C$5),Jornada!$C$8:$W$37,21,0),0),IF(HLOOKUP($F30,Jornada!$X$7:$AD$37,VLOOKUP(INDIRECT($C$5),Jornada!$C$8:$W$37,21,0),0)-M30&gt;0,HLOOKUP($F30,Jornada!$X$7:$AD$37,VLOOKUP(INDIRECT($C$5),Jornada!$C$8:$W$37,21,0),0)-M30,0)))</f>
        <v>0</v>
      </c>
      <c r="P30" s="193">
        <f ca="1">IF(HLOOKUP($F30,Jornada!$X$7:$AD$37,VLOOKUP(INDIRECT($C$5),Jornada!$C$8:$W$37,21,0),0)-M30&lt;0,ABS(HLOOKUP($F30,Jornada!$X$7:$AD$37,VLOOKUP(INDIRECT($C$5),Jornada!$C$8:$W$37,21,0),0)-M30),0)</f>
        <v>0.27777777777777768</v>
      </c>
      <c r="Q30" s="95">
        <f t="shared" ca="1" si="0"/>
        <v>0.27777777777777768</v>
      </c>
      <c r="R30" s="2">
        <f ca="1">IF(Q30&gt;$R$7,1,0)</f>
        <v>1</v>
      </c>
      <c r="S30" s="13"/>
      <c r="T30" s="74"/>
      <c r="U30" s="74"/>
      <c r="X30" s="177"/>
      <c r="AB30" s="177">
        <f t="shared" si="10"/>
        <v>23</v>
      </c>
      <c r="AC30" s="2">
        <f>WEEKDAY(AB30)</f>
        <v>2</v>
      </c>
      <c r="AG30" s="220">
        <f t="shared" si="4"/>
        <v>0</v>
      </c>
      <c r="AH30" s="220">
        <f ca="1">IF(HLOOKUP($F30,Jornada!$X$7:$AD$37,VLOOKUP(INDIRECT($C$5),Jornada!$C$8:$W$37,21,0),0)=0,0,VLOOKUP(INDIRECT($C$5),Jornada!$C$8:$H$37,4,0))</f>
        <v>0</v>
      </c>
      <c r="AI30" s="155">
        <f ca="1">IF(AND(I30=0,J30=0,OR(H30&lt;&gt;0,K30&lt;&gt;0),HLOOKUP($F30,Jornada!$X$7:$AD$37,VLOOKUP(INDIRECT($C$5),Jornada!$C$8:$W$37,21,0),0)&gt;$AK$5,M30&gt;$AK$5),VLOOKUP(INDIRECT($C$5),Jornada!$C$8:$H$37,6,0),IF(AG30&gt;VLOOKUP(INDIRECT($C$5),Jornada!$C$8:$H$37,6,0),IF(VLOOKUP(INDIRECT($C$5),Jornada!$C$8:$H$37,6,0)&lt;AG30,0,ABS(VLOOKUP(INDIRECT($C$5),Jornada!$C$8:$H$37,6,0))-AG30),0))</f>
        <v>0</v>
      </c>
      <c r="AJ30" s="155">
        <f t="shared" si="5"/>
        <v>0.72222222222222232</v>
      </c>
      <c r="AK30" s="155">
        <f t="shared" si="6"/>
        <v>0</v>
      </c>
      <c r="AL30" s="155">
        <f ca="1">HLOOKUP($F30,Jornada!$I$5:$V$37,VLOOKUP(INDIRECT($C$5),Jornada!$C$8:$W$37,21,0)+2,0)</f>
        <v>0</v>
      </c>
      <c r="AM30" s="155">
        <f ca="1">HLOOKUP($F30,Jornada!$I$4:$V$37,VLOOKUP(INDIRECT($C$5),Jornada!$C$8:$W$37,21,0)+3,0)</f>
        <v>0</v>
      </c>
      <c r="AN30" s="155">
        <f t="shared" ca="1" si="7"/>
        <v>0</v>
      </c>
      <c r="AO30" s="155">
        <f t="shared" ca="1" si="8"/>
        <v>0</v>
      </c>
      <c r="AP30" s="155">
        <f t="shared" ca="1" si="9"/>
        <v>0</v>
      </c>
    </row>
    <row r="31" spans="1:59" s="2" customFormat="1" ht="30" customHeight="1" thickTop="1" thickBot="1" x14ac:dyDescent="0.25">
      <c r="A31" s="1"/>
      <c r="B31"/>
      <c r="C31" s="172" t="str">
        <f>IF(Funcionários!C30=0,"",Funcionários!C30)</f>
        <v/>
      </c>
      <c r="D31"/>
      <c r="E31" s="173">
        <f>Lanç!E31</f>
        <v>24</v>
      </c>
      <c r="F31" s="189" t="str">
        <f>Lanç!F31</f>
        <v>Ter</v>
      </c>
      <c r="G31" s="81" t="s">
        <v>291</v>
      </c>
      <c r="H31" s="94">
        <v>0.63888888888888895</v>
      </c>
      <c r="I31" s="94"/>
      <c r="J31" s="94"/>
      <c r="K31" s="94">
        <v>0.91666666666666663</v>
      </c>
      <c r="L31" s="179"/>
      <c r="M31" s="95">
        <f t="shared" si="1"/>
        <v>0.27777777777777768</v>
      </c>
      <c r="N31" s="196"/>
      <c r="O31" s="95">
        <f ca="1">IF(OR(G31=0,G31="Férias",G31="Falta Justificada",G31="Feriado",G31="Folga (DSR)"),0,IF(G31="Falta Injustificada",HLOOKUP($F31,Jornada!$X$7:$AD$37,VLOOKUP(INDIRECT($C$5),Jornada!$C$8:$W$37,21,0),0),IF(HLOOKUP($F31,Jornada!$X$7:$AD$37,VLOOKUP(INDIRECT($C$5),Jornada!$C$8:$W$37,21,0),0)-M31&gt;0,HLOOKUP($F31,Jornada!$X$7:$AD$37,VLOOKUP(INDIRECT($C$5),Jornada!$C$8:$W$37,21,0),0)-M31,0)))</f>
        <v>0</v>
      </c>
      <c r="P31" s="193">
        <f ca="1">IF(HLOOKUP($F31,Jornada!$X$7:$AD$37,VLOOKUP(INDIRECT($C$5),Jornada!$C$8:$W$37,21,0),0)-M31&lt;0,ABS(HLOOKUP($F31,Jornada!$X$7:$AD$37,VLOOKUP(INDIRECT($C$5),Jornada!$C$8:$W$37,21,0),0)-M31),0)</f>
        <v>0.27777777777777768</v>
      </c>
      <c r="Q31" s="95">
        <f t="shared" ca="1" si="0"/>
        <v>0.27777777777777768</v>
      </c>
      <c r="R31" s="2">
        <f ca="1">IF(Q31&gt;$R$7,1,0)</f>
        <v>1</v>
      </c>
      <c r="S31" s="13"/>
      <c r="T31" s="74"/>
      <c r="U31" s="74"/>
      <c r="X31" s="177"/>
      <c r="AB31" s="177">
        <f t="shared" si="10"/>
        <v>24</v>
      </c>
      <c r="AC31" s="2">
        <f>WEEKDAY(AB31)</f>
        <v>3</v>
      </c>
      <c r="AG31" s="220">
        <f t="shared" si="4"/>
        <v>0</v>
      </c>
      <c r="AH31" s="220">
        <f ca="1">IF(HLOOKUP($F31,Jornada!$X$7:$AD$37,VLOOKUP(INDIRECT($C$5),Jornada!$C$8:$W$37,21,0),0)=0,0,VLOOKUP(INDIRECT($C$5),Jornada!$C$8:$H$37,4,0))</f>
        <v>0</v>
      </c>
      <c r="AI31" s="155">
        <f ca="1">IF(AND(I31=0,J31=0,OR(H31&lt;&gt;0,K31&lt;&gt;0),HLOOKUP($F31,Jornada!$X$7:$AD$37,VLOOKUP(INDIRECT($C$5),Jornada!$C$8:$W$37,21,0),0)&gt;$AK$5,M31&gt;$AK$5),VLOOKUP(INDIRECT($C$5),Jornada!$C$8:$H$37,6,0),IF(AG31&gt;VLOOKUP(INDIRECT($C$5),Jornada!$C$8:$H$37,6,0),IF(VLOOKUP(INDIRECT($C$5),Jornada!$C$8:$H$37,6,0)&lt;AG31,0,ABS(VLOOKUP(INDIRECT($C$5),Jornada!$C$8:$H$37,6,0))-AG31),0))</f>
        <v>0</v>
      </c>
      <c r="AJ31" s="155">
        <f t="shared" si="5"/>
        <v>0.72222222222222232</v>
      </c>
      <c r="AK31" s="155">
        <f t="shared" si="6"/>
        <v>0</v>
      </c>
      <c r="AL31" s="155">
        <f ca="1">HLOOKUP($F31,Jornada!$I$5:$V$37,VLOOKUP(INDIRECT($C$5),Jornada!$C$8:$W$37,21,0)+2,0)</f>
        <v>0</v>
      </c>
      <c r="AM31" s="155">
        <f ca="1">HLOOKUP($F31,Jornada!$I$4:$V$37,VLOOKUP(INDIRECT($C$5),Jornada!$C$8:$W$37,21,0)+3,0)</f>
        <v>0</v>
      </c>
      <c r="AN31" s="155">
        <f t="shared" ca="1" si="7"/>
        <v>0</v>
      </c>
      <c r="AO31" s="155">
        <f t="shared" ca="1" si="8"/>
        <v>0</v>
      </c>
      <c r="AP31" s="155">
        <f t="shared" ca="1" si="9"/>
        <v>0</v>
      </c>
    </row>
    <row r="32" spans="1:59" s="2" customFormat="1" ht="30" customHeight="1" thickTop="1" thickBot="1" x14ac:dyDescent="0.25">
      <c r="A32" s="1"/>
      <c r="B32"/>
      <c r="C32" s="172" t="str">
        <f>IF(Funcionários!C31=0,"",Funcionários!C31)</f>
        <v/>
      </c>
      <c r="D32"/>
      <c r="E32" s="115">
        <f>Lanç!E32</f>
        <v>25</v>
      </c>
      <c r="F32" s="189" t="str">
        <f>Lanç!F32</f>
        <v>Qua</v>
      </c>
      <c r="G32" s="81" t="s">
        <v>293</v>
      </c>
      <c r="H32" s="94"/>
      <c r="I32" s="94"/>
      <c r="J32" s="94"/>
      <c r="K32" s="94"/>
      <c r="L32" s="179"/>
      <c r="M32" s="95">
        <f t="shared" si="1"/>
        <v>0</v>
      </c>
      <c r="N32" s="196"/>
      <c r="O32" s="95">
        <f ca="1">IF(OR(G32=0,G32="Férias",G32="Falta Justificada",G32="Feriado",G32="Folga (DSR)"),0,IF(G32="Falta Injustificada",HLOOKUP($F32,Jornada!$X$7:$AD$37,VLOOKUP(INDIRECT($C$5),Jornada!$C$8:$W$37,21,0),0),IF(HLOOKUP($F32,Jornada!$X$7:$AD$37,VLOOKUP(INDIRECT($C$5),Jornada!$C$8:$W$37,21,0),0)-M32&gt;0,HLOOKUP($F32,Jornada!$X$7:$AD$37,VLOOKUP(INDIRECT($C$5),Jornada!$C$8:$W$37,21,0),0)-M32,0)))</f>
        <v>0</v>
      </c>
      <c r="P32" s="193">
        <f ca="1">IF(HLOOKUP($F32,Jornada!$X$7:$AD$37,VLOOKUP(INDIRECT($C$5),Jornada!$C$8:$W$37,21,0),0)-M32&lt;0,ABS(HLOOKUP($F32,Jornada!$X$7:$AD$37,VLOOKUP(INDIRECT($C$5),Jornada!$C$8:$W$37,21,0),0)-M32),0)</f>
        <v>0</v>
      </c>
      <c r="Q32" s="95">
        <f t="shared" si="0"/>
        <v>0</v>
      </c>
      <c r="R32" s="2">
        <f t="shared" si="2"/>
        <v>0</v>
      </c>
      <c r="S32" s="74"/>
      <c r="T32" s="74"/>
      <c r="U32" s="74"/>
      <c r="X32" s="177"/>
      <c r="AB32" s="177">
        <f t="shared" si="10"/>
        <v>25</v>
      </c>
      <c r="AC32" s="2">
        <f t="shared" si="3"/>
        <v>4</v>
      </c>
      <c r="AG32" s="220">
        <f t="shared" si="4"/>
        <v>0</v>
      </c>
      <c r="AH32" s="220">
        <f ca="1">IF(HLOOKUP($F32,Jornada!$X$7:$AD$37,VLOOKUP(INDIRECT($C$5),Jornada!$C$8:$W$37,21,0),0)=0,0,VLOOKUP(INDIRECT($C$5),Jornada!$C$8:$H$37,4,0))</f>
        <v>0</v>
      </c>
      <c r="AI32" s="155">
        <f ca="1">IF(AND(I32=0,J32=0,OR(H32&lt;&gt;0,K32&lt;&gt;0),HLOOKUP($F32,Jornada!$X$7:$AD$37,VLOOKUP(INDIRECT($C$5),Jornada!$C$8:$W$37,21,0),0)&gt;$AK$5,M32&gt;$AK$5),VLOOKUP(INDIRECT($C$5),Jornada!$C$8:$H$37,6,0),IF(AG32&gt;VLOOKUP(INDIRECT($C$5),Jornada!$C$8:$H$37,6,0),IF(VLOOKUP(INDIRECT($C$5),Jornada!$C$8:$H$37,6,0)&lt;AG32,0,ABS(VLOOKUP(INDIRECT($C$5),Jornada!$C$8:$H$37,6,0))-AG32),0))</f>
        <v>0</v>
      </c>
      <c r="AJ32" s="155">
        <f t="shared" si="5"/>
        <v>1</v>
      </c>
      <c r="AK32" s="155">
        <f t="shared" si="6"/>
        <v>0</v>
      </c>
      <c r="AL32" s="155">
        <f ca="1">HLOOKUP($F32,Jornada!$I$5:$V$37,VLOOKUP(INDIRECT($C$5),Jornada!$C$8:$W$37,21,0)+2,0)</f>
        <v>0</v>
      </c>
      <c r="AM32" s="155">
        <f ca="1">HLOOKUP($F32,Jornada!$I$4:$V$37,VLOOKUP(INDIRECT($C$5),Jornada!$C$8:$W$37,21,0)+3,0)</f>
        <v>0</v>
      </c>
      <c r="AN32" s="155">
        <f t="shared" ca="1" si="7"/>
        <v>0</v>
      </c>
      <c r="AO32" s="155">
        <f t="shared" si="8"/>
        <v>0</v>
      </c>
      <c r="AP32" s="155">
        <f t="shared" si="9"/>
        <v>0</v>
      </c>
    </row>
    <row r="33" spans="1:42" s="2" customFormat="1" ht="30" customHeight="1" thickTop="1" thickBot="1" x14ac:dyDescent="0.25">
      <c r="A33" s="1"/>
      <c r="B33"/>
      <c r="C33" s="172" t="str">
        <f>IF(Funcionários!C32=0,"",Funcionários!C32)</f>
        <v/>
      </c>
      <c r="D33"/>
      <c r="E33" s="115">
        <f>Lanç!E33</f>
        <v>26</v>
      </c>
      <c r="F33" s="189" t="str">
        <f>Lanç!F33</f>
        <v>Qui</v>
      </c>
      <c r="G33" s="81" t="s">
        <v>292</v>
      </c>
      <c r="H33" s="94"/>
      <c r="I33" s="94"/>
      <c r="J33" s="94"/>
      <c r="K33" s="94"/>
      <c r="L33" s="179"/>
      <c r="M33" s="95">
        <f t="shared" si="1"/>
        <v>0</v>
      </c>
      <c r="N33" s="196"/>
      <c r="O33" s="95">
        <f ca="1">IF(OR(G33=0,G33="Férias",G33="Falta Justificada",G33="Feriado",G33="Folga (DSR)"),0,IF(G33="Falta Injustificada",HLOOKUP($F33,Jornada!$X$7:$AD$37,VLOOKUP(INDIRECT($C$5),Jornada!$C$8:$W$37,21,0),0),IF(HLOOKUP($F33,Jornada!$X$7:$AD$37,VLOOKUP(INDIRECT($C$5),Jornada!$C$8:$W$37,21,0),0)-M33&gt;0,HLOOKUP($F33,Jornada!$X$7:$AD$37,VLOOKUP(INDIRECT($C$5),Jornada!$C$8:$W$37,21,0),0)-M33,0)))</f>
        <v>0</v>
      </c>
      <c r="P33" s="193">
        <f ca="1">IF(HLOOKUP($F33,Jornada!$X$7:$AD$37,VLOOKUP(INDIRECT($C$5),Jornada!$C$8:$W$37,21,0),0)-M33&lt;0,ABS(HLOOKUP($F33,Jornada!$X$7:$AD$37,VLOOKUP(INDIRECT($C$5),Jornada!$C$8:$W$37,21,0),0)-M33),0)</f>
        <v>0</v>
      </c>
      <c r="Q33" s="95">
        <f t="shared" si="0"/>
        <v>0</v>
      </c>
      <c r="R33" s="2">
        <f t="shared" si="2"/>
        <v>0</v>
      </c>
      <c r="S33" s="74"/>
      <c r="T33" s="74"/>
      <c r="U33" s="74"/>
      <c r="X33" s="177"/>
      <c r="AB33" s="177">
        <f t="shared" si="10"/>
        <v>26</v>
      </c>
      <c r="AC33" s="2">
        <f t="shared" si="3"/>
        <v>5</v>
      </c>
      <c r="AG33" s="220">
        <f t="shared" si="4"/>
        <v>0</v>
      </c>
      <c r="AH33" s="220">
        <f ca="1">IF(HLOOKUP($F33,Jornada!$X$7:$AD$37,VLOOKUP(INDIRECT($C$5),Jornada!$C$8:$W$37,21,0),0)=0,0,VLOOKUP(INDIRECT($C$5),Jornada!$C$8:$H$37,4,0))</f>
        <v>0</v>
      </c>
      <c r="AI33" s="155">
        <f ca="1">IF(AND(I33=0,J33=0,OR(H33&lt;&gt;0,K33&lt;&gt;0),HLOOKUP($F33,Jornada!$X$7:$AD$37,VLOOKUP(INDIRECT($C$5),Jornada!$C$8:$W$37,21,0),0)&gt;$AK$5,M33&gt;$AK$5),VLOOKUP(INDIRECT($C$5),Jornada!$C$8:$H$37,6,0),IF(AG33&gt;VLOOKUP(INDIRECT($C$5),Jornada!$C$8:$H$37,6,0),IF(VLOOKUP(INDIRECT($C$5),Jornada!$C$8:$H$37,6,0)&lt;AG33,0,ABS(VLOOKUP(INDIRECT($C$5),Jornada!$C$8:$H$37,6,0))-AG33),0))</f>
        <v>0</v>
      </c>
      <c r="AJ33" s="155">
        <f t="shared" si="5"/>
        <v>1</v>
      </c>
      <c r="AK33" s="155">
        <f t="shared" si="6"/>
        <v>0</v>
      </c>
      <c r="AL33" s="155">
        <f ca="1">HLOOKUP($F33,Jornada!$I$5:$V$37,VLOOKUP(INDIRECT($C$5),Jornada!$C$8:$W$37,21,0)+2,0)</f>
        <v>0</v>
      </c>
      <c r="AM33" s="155">
        <f ca="1">HLOOKUP($F33,Jornada!$I$4:$V$37,VLOOKUP(INDIRECT($C$5),Jornada!$C$8:$W$37,21,0)+3,0)</f>
        <v>0</v>
      </c>
      <c r="AN33" s="155">
        <f t="shared" ca="1" si="7"/>
        <v>0</v>
      </c>
      <c r="AO33" s="155">
        <f t="shared" si="8"/>
        <v>0</v>
      </c>
      <c r="AP33" s="155">
        <f t="shared" si="9"/>
        <v>0</v>
      </c>
    </row>
    <row r="34" spans="1:42" s="2" customFormat="1" ht="30" customHeight="1" thickTop="1" thickBot="1" x14ac:dyDescent="0.25">
      <c r="A34" s="1"/>
      <c r="B34"/>
      <c r="C34" s="172" t="str">
        <f>IF(Funcionários!C33=0,"",Funcionários!C33)</f>
        <v/>
      </c>
      <c r="D34"/>
      <c r="E34" s="115">
        <f>Lanç!E34</f>
        <v>27</v>
      </c>
      <c r="F34" s="189" t="str">
        <f>Lanç!F34</f>
        <v>Sex</v>
      </c>
      <c r="G34" s="81" t="s">
        <v>292</v>
      </c>
      <c r="H34" s="94"/>
      <c r="I34" s="94"/>
      <c r="J34" s="94"/>
      <c r="K34" s="94"/>
      <c r="L34" s="179"/>
      <c r="M34" s="95">
        <f t="shared" si="1"/>
        <v>0</v>
      </c>
      <c r="N34" s="196"/>
      <c r="O34" s="95">
        <f ca="1">IF(OR(G34=0,G34="Férias",G34="Falta Justificada",G34="Feriado",G34="Folga (DSR)"),0,IF(G34="Falta Injustificada",HLOOKUP($F34,Jornada!$X$7:$AD$37,VLOOKUP(INDIRECT($C$5),Jornada!$C$8:$W$37,21,0),0),IF(HLOOKUP($F34,Jornada!$X$7:$AD$37,VLOOKUP(INDIRECT($C$5),Jornada!$C$8:$W$37,21,0),0)-M34&gt;0,HLOOKUP($F34,Jornada!$X$7:$AD$37,VLOOKUP(INDIRECT($C$5),Jornada!$C$8:$W$37,21,0),0)-M34,0)))</f>
        <v>0</v>
      </c>
      <c r="P34" s="193">
        <f ca="1">IF(HLOOKUP($F34,Jornada!$X$7:$AD$37,VLOOKUP(INDIRECT($C$5),Jornada!$C$8:$W$37,21,0),0)-M34&lt;0,ABS(HLOOKUP($F34,Jornada!$X$7:$AD$37,VLOOKUP(INDIRECT($C$5),Jornada!$C$8:$W$37,21,0),0)-M34),0)</f>
        <v>0</v>
      </c>
      <c r="Q34" s="95">
        <f t="shared" si="0"/>
        <v>0</v>
      </c>
      <c r="R34" s="2">
        <f t="shared" si="2"/>
        <v>0</v>
      </c>
      <c r="S34" s="74"/>
      <c r="T34" s="74"/>
      <c r="U34" s="74"/>
      <c r="X34" s="177"/>
      <c r="AB34" s="177">
        <f t="shared" si="10"/>
        <v>27</v>
      </c>
      <c r="AC34" s="2">
        <f t="shared" si="3"/>
        <v>6</v>
      </c>
      <c r="AG34" s="220">
        <f t="shared" si="4"/>
        <v>0</v>
      </c>
      <c r="AH34" s="220">
        <f ca="1">IF(HLOOKUP($F34,Jornada!$X$7:$AD$37,VLOOKUP(INDIRECT($C$5),Jornada!$C$8:$W$37,21,0),0)=0,0,VLOOKUP(INDIRECT($C$5),Jornada!$C$8:$H$37,4,0))</f>
        <v>0</v>
      </c>
      <c r="AI34" s="155">
        <f ca="1">IF(AND(I34=0,J34=0,OR(H34&lt;&gt;0,K34&lt;&gt;0),HLOOKUP($F34,Jornada!$X$7:$AD$37,VLOOKUP(INDIRECT($C$5),Jornada!$C$8:$W$37,21,0),0)&gt;$AK$5,M34&gt;$AK$5),VLOOKUP(INDIRECT($C$5),Jornada!$C$8:$H$37,6,0),IF(AG34&gt;VLOOKUP(INDIRECT($C$5),Jornada!$C$8:$H$37,6,0),IF(VLOOKUP(INDIRECT($C$5),Jornada!$C$8:$H$37,6,0)&lt;AG34,0,ABS(VLOOKUP(INDIRECT($C$5),Jornada!$C$8:$H$37,6,0))-AG34),0))</f>
        <v>0</v>
      </c>
      <c r="AJ34" s="155">
        <f t="shared" si="5"/>
        <v>1</v>
      </c>
      <c r="AK34" s="155">
        <f t="shared" si="6"/>
        <v>0</v>
      </c>
      <c r="AL34" s="155">
        <f ca="1">HLOOKUP($F34,Jornada!$I$5:$V$37,VLOOKUP(INDIRECT($C$5),Jornada!$C$8:$W$37,21,0)+2,0)</f>
        <v>0</v>
      </c>
      <c r="AM34" s="155">
        <f ca="1">HLOOKUP($F34,Jornada!$I$4:$V$37,VLOOKUP(INDIRECT($C$5),Jornada!$C$8:$W$37,21,0)+3,0)</f>
        <v>0</v>
      </c>
      <c r="AN34" s="155">
        <f t="shared" ca="1" si="7"/>
        <v>0</v>
      </c>
      <c r="AO34" s="155">
        <f t="shared" si="8"/>
        <v>0</v>
      </c>
      <c r="AP34" s="155">
        <f t="shared" si="9"/>
        <v>0</v>
      </c>
    </row>
    <row r="35" spans="1:42" s="2" customFormat="1" ht="30" customHeight="1" thickTop="1" thickBot="1" x14ac:dyDescent="0.25">
      <c r="A35" s="1"/>
      <c r="B35"/>
      <c r="C35" s="172" t="str">
        <f>IF(Funcionários!C34=0,"",Funcionários!C34)</f>
        <v/>
      </c>
      <c r="D35"/>
      <c r="E35" s="115">
        <f>Lanç!E35</f>
        <v>28</v>
      </c>
      <c r="F35" s="189" t="str">
        <f>Lanç!F35</f>
        <v>Sáb</v>
      </c>
      <c r="G35" s="81" t="s">
        <v>291</v>
      </c>
      <c r="H35" s="94">
        <v>0.63888888888888895</v>
      </c>
      <c r="I35" s="94"/>
      <c r="J35" s="94"/>
      <c r="K35" s="94">
        <v>0.91666666666666663</v>
      </c>
      <c r="L35" s="179"/>
      <c r="M35" s="95">
        <f t="shared" si="1"/>
        <v>0.27777777777777768</v>
      </c>
      <c r="N35" s="196"/>
      <c r="O35" s="95">
        <f ca="1">IF(OR(G35=0,G35="Férias",G35="Falta Justificada",G35="Feriado",G35="Folga (DSR)"),0,IF(G35="Falta Injustificada",HLOOKUP($F35,Jornada!$X$7:$AD$37,VLOOKUP(INDIRECT($C$5),Jornada!$C$8:$W$37,21,0),0),IF(HLOOKUP($F35,Jornada!$X$7:$AD$37,VLOOKUP(INDIRECT($C$5),Jornada!$C$8:$W$37,21,0),0)-M35&gt;0,HLOOKUP($F35,Jornada!$X$7:$AD$37,VLOOKUP(INDIRECT($C$5),Jornada!$C$8:$W$37,21,0),0)-M35,0)))</f>
        <v>0</v>
      </c>
      <c r="P35" s="193">
        <f ca="1">IF(HLOOKUP($F35,Jornada!$X$7:$AD$37,VLOOKUP(INDIRECT($C$5),Jornada!$C$8:$W$37,21,0),0)-M35&lt;0,ABS(HLOOKUP($F35,Jornada!$X$7:$AD$37,VLOOKUP(INDIRECT($C$5),Jornada!$C$8:$W$37,21,0),0)-M35),0)</f>
        <v>0.27777777777777768</v>
      </c>
      <c r="Q35" s="95">
        <f t="shared" ca="1" si="0"/>
        <v>0.27777777777777768</v>
      </c>
      <c r="R35" s="2">
        <f t="shared" ca="1" si="2"/>
        <v>1</v>
      </c>
      <c r="S35"/>
      <c r="T35"/>
      <c r="U35"/>
      <c r="X35" s="177"/>
      <c r="AB35" s="177">
        <f>IF(MONTH(AB34+1)&lt;&gt;MONTH(AB34),"",AB34+1)</f>
        <v>28</v>
      </c>
      <c r="AC35" s="2">
        <f t="shared" si="3"/>
        <v>7</v>
      </c>
      <c r="AG35" s="220">
        <f t="shared" si="4"/>
        <v>0</v>
      </c>
      <c r="AH35" s="220">
        <f ca="1">IF(HLOOKUP($F35,Jornada!$X$7:$AD$37,VLOOKUP(INDIRECT($C$5),Jornada!$C$8:$W$37,21,0),0)=0,0,VLOOKUP(INDIRECT($C$5),Jornada!$C$8:$H$37,4,0))</f>
        <v>0</v>
      </c>
      <c r="AI35" s="155">
        <f ca="1">IF(AND(I35=0,J35=0,OR(H35&lt;&gt;0,K35&lt;&gt;0),HLOOKUP($F35,Jornada!$X$7:$AD$37,VLOOKUP(INDIRECT($C$5),Jornada!$C$8:$W$37,21,0),0)&gt;$AK$5,M35&gt;$AK$5),VLOOKUP(INDIRECT($C$5),Jornada!$C$8:$H$37,6,0),IF(AG35&gt;VLOOKUP(INDIRECT($C$5),Jornada!$C$8:$H$37,6,0),IF(VLOOKUP(INDIRECT($C$5),Jornada!$C$8:$H$37,6,0)&lt;AG35,0,ABS(VLOOKUP(INDIRECT($C$5),Jornada!$C$8:$H$37,6,0))-AG35),0))</f>
        <v>0</v>
      </c>
      <c r="AJ35" s="155">
        <f t="shared" si="5"/>
        <v>0.72222222222222232</v>
      </c>
      <c r="AK35" s="155">
        <f t="shared" si="6"/>
        <v>0</v>
      </c>
      <c r="AL35" s="155">
        <f ca="1">HLOOKUP($F35,Jornada!$I$5:$V$37,VLOOKUP(INDIRECT($C$5),Jornada!$C$8:$W$37,21,0)+2,0)</f>
        <v>0</v>
      </c>
      <c r="AM35" s="155">
        <f ca="1">HLOOKUP($F35,Jornada!$I$4:$V$37,VLOOKUP(INDIRECT($C$5),Jornada!$C$8:$W$37,21,0)+3,0)</f>
        <v>0</v>
      </c>
      <c r="AN35" s="155">
        <f t="shared" ca="1" si="7"/>
        <v>0</v>
      </c>
      <c r="AO35" s="155">
        <f t="shared" ca="1" si="8"/>
        <v>0</v>
      </c>
      <c r="AP35" s="155">
        <f t="shared" ca="1" si="9"/>
        <v>0</v>
      </c>
    </row>
    <row r="36" spans="1:42" s="2" customFormat="1" ht="30" customHeight="1" thickTop="1" thickBot="1" x14ac:dyDescent="0.25">
      <c r="A36" s="1"/>
      <c r="B36"/>
      <c r="C36" s="172" t="str">
        <f>IF(Funcionários!C35=0,"",Funcionários!C35)</f>
        <v/>
      </c>
      <c r="D36"/>
      <c r="E36" s="115">
        <f>Lanç!E36</f>
        <v>29</v>
      </c>
      <c r="F36" s="189" t="str">
        <f>Lanç!F36</f>
        <v>Dom</v>
      </c>
      <c r="G36" s="81" t="s">
        <v>291</v>
      </c>
      <c r="H36" s="94">
        <v>0.63888888888888895</v>
      </c>
      <c r="I36" s="94"/>
      <c r="J36" s="94"/>
      <c r="K36" s="94">
        <v>0.91666666666666663</v>
      </c>
      <c r="L36" s="179"/>
      <c r="M36" s="95">
        <f t="shared" si="1"/>
        <v>0.27777777777777768</v>
      </c>
      <c r="N36" s="196"/>
      <c r="O36" s="95">
        <f ca="1">IF(OR(G36=0,G36="Férias",G36="Falta Justificada",G36="Feriado",G36="Folga (DSR)"),0,IF(G36="Falta Injustificada",HLOOKUP($F36,Jornada!$X$7:$AD$37,VLOOKUP(INDIRECT($C$5),Jornada!$C$8:$W$37,21,0),0),IF(HLOOKUP($F36,Jornada!$X$7:$AD$37,VLOOKUP(INDIRECT($C$5),Jornada!$C$8:$W$37,21,0),0)-M36&gt;0,HLOOKUP($F36,Jornada!$X$7:$AD$37,VLOOKUP(INDIRECT($C$5),Jornada!$C$8:$W$37,21,0),0)-M36,0)))</f>
        <v>0</v>
      </c>
      <c r="P36" s="193">
        <f ca="1">IF(HLOOKUP($F36,Jornada!$X$7:$AD$37,VLOOKUP(INDIRECT($C$5),Jornada!$C$8:$W$37,21,0),0)-M36&lt;0,ABS(HLOOKUP($F36,Jornada!$X$7:$AD$37,VLOOKUP(INDIRECT($C$5),Jornada!$C$8:$W$37,21,0),0)-M36),0)</f>
        <v>0.27777777777777768</v>
      </c>
      <c r="Q36" s="95">
        <f t="shared" ca="1" si="0"/>
        <v>0.27777777777777768</v>
      </c>
      <c r="R36" s="2">
        <f t="shared" ca="1" si="2"/>
        <v>1</v>
      </c>
      <c r="S36"/>
      <c r="T36"/>
      <c r="U36"/>
      <c r="X36" s="177"/>
      <c r="AB36" s="177">
        <f>IF(MONTH(AB35+1)&lt;&gt;MONTH(AB35),"",IF(AB35="","",AB35+1))</f>
        <v>29</v>
      </c>
      <c r="AC36" s="2">
        <f>IF(ISERROR(WEEKDAY(AB36)),"",WEEKDAY(AB36))</f>
        <v>1</v>
      </c>
      <c r="AG36" s="220">
        <f t="shared" si="4"/>
        <v>0</v>
      </c>
      <c r="AH36" s="220">
        <f ca="1">IF(HLOOKUP($F36,Jornada!$X$7:$AD$37,VLOOKUP(INDIRECT($C$5),Jornada!$C$8:$W$37,21,0),0)=0,0,VLOOKUP(INDIRECT($C$5),Jornada!$C$8:$H$37,4,0))</f>
        <v>0</v>
      </c>
      <c r="AI36" s="155">
        <f ca="1">IF(AND(I36=0,J36=0,OR(H36&lt;&gt;0,K36&lt;&gt;0),HLOOKUP($F36,Jornada!$X$7:$AD$37,VLOOKUP(INDIRECT($C$5),Jornada!$C$8:$W$37,21,0),0)&gt;$AK$5,M36&gt;$AK$5),VLOOKUP(INDIRECT($C$5),Jornada!$C$8:$H$37,6,0),IF(AG36&gt;VLOOKUP(INDIRECT($C$5),Jornada!$C$8:$H$37,6,0),IF(VLOOKUP(INDIRECT($C$5),Jornada!$C$8:$H$37,6,0)&lt;AG36,0,ABS(VLOOKUP(INDIRECT($C$5),Jornada!$C$8:$H$37,6,0))-AG36),0))</f>
        <v>0</v>
      </c>
      <c r="AJ36" s="155">
        <f t="shared" si="5"/>
        <v>0.72222222222222232</v>
      </c>
      <c r="AK36" s="155">
        <f t="shared" si="6"/>
        <v>0</v>
      </c>
      <c r="AL36" s="155">
        <f ca="1">HLOOKUP($F36,Jornada!$I$5:$V$37,VLOOKUP(INDIRECT($C$5),Jornada!$C$8:$W$37,21,0)+2,0)</f>
        <v>0</v>
      </c>
      <c r="AM36" s="155">
        <f ca="1">HLOOKUP($F36,Jornada!$I$4:$V$37,VLOOKUP(INDIRECT($C$5),Jornada!$C$8:$W$37,21,0)+3,0)</f>
        <v>0</v>
      </c>
      <c r="AN36" s="155">
        <f t="shared" ca="1" si="7"/>
        <v>0</v>
      </c>
      <c r="AO36" s="155">
        <f t="shared" ca="1" si="8"/>
        <v>0</v>
      </c>
      <c r="AP36" s="155">
        <f t="shared" ca="1" si="9"/>
        <v>0</v>
      </c>
    </row>
    <row r="37" spans="1:42" s="2" customFormat="1" ht="30" customHeight="1" thickTop="1" thickBot="1" x14ac:dyDescent="0.25">
      <c r="A37" s="1"/>
      <c r="B37"/>
      <c r="C37" s="172" t="str">
        <f>IF(Funcionários!C36=0,"",Funcionários!C36)</f>
        <v/>
      </c>
      <c r="D37"/>
      <c r="E37" s="115">
        <f>Lanç!E37</f>
        <v>30</v>
      </c>
      <c r="F37" s="189" t="str">
        <f>Lanç!F37</f>
        <v>Seg</v>
      </c>
      <c r="G37" s="81" t="s">
        <v>291</v>
      </c>
      <c r="H37" s="94">
        <v>0.63888888888888895</v>
      </c>
      <c r="I37" s="94"/>
      <c r="J37" s="94"/>
      <c r="K37" s="94">
        <v>0.91666666666666663</v>
      </c>
      <c r="L37" s="179"/>
      <c r="M37" s="95">
        <f t="shared" si="1"/>
        <v>0.27777777777777768</v>
      </c>
      <c r="N37" s="196"/>
      <c r="O37" s="95">
        <f ca="1">IF(OR(G37=0,G37="Férias",G37="Falta Justificada",G37="Feriado",G37="Folga (DSR)"),0,IF(G37="Falta Injustificada",HLOOKUP($F37,Jornada!$X$7:$AD$37,VLOOKUP(INDIRECT($C$5),Jornada!$C$8:$W$37,21,0),0),IF(HLOOKUP($F37,Jornada!$X$7:$AD$37,VLOOKUP(INDIRECT($C$5),Jornada!$C$8:$W$37,21,0),0)-M37&gt;0,HLOOKUP($F37,Jornada!$X$7:$AD$37,VLOOKUP(INDIRECT($C$5),Jornada!$C$8:$W$37,21,0),0)-M37,0)))</f>
        <v>0</v>
      </c>
      <c r="P37" s="193">
        <f ca="1">IF(HLOOKUP($F37,Jornada!$X$7:$AD$37,VLOOKUP(INDIRECT($C$5),Jornada!$C$8:$W$37,21,0),0)-M37&lt;0,ABS(HLOOKUP($F37,Jornada!$X$7:$AD$37,VLOOKUP(INDIRECT($C$5),Jornada!$C$8:$W$37,21,0),0)-M37),0)</f>
        <v>0.27777777777777768</v>
      </c>
      <c r="Q37" s="95">
        <f t="shared" ca="1" si="0"/>
        <v>0.27777777777777768</v>
      </c>
      <c r="R37" s="2">
        <f t="shared" ca="1" si="2"/>
        <v>1</v>
      </c>
      <c r="S37"/>
      <c r="T37"/>
      <c r="U37"/>
      <c r="X37" s="177"/>
      <c r="AB37" s="177">
        <f>IF(AB36="","",IF(MONTH(AB36+1)&lt;&gt;MONTH(AB36),"",AB36+1))</f>
        <v>30</v>
      </c>
      <c r="AC37" s="2">
        <f>IF(ISERROR(WEEKDAY(AB37)),"",WEEKDAY(AB37))</f>
        <v>2</v>
      </c>
      <c r="AG37" s="220">
        <f t="shared" si="4"/>
        <v>0</v>
      </c>
      <c r="AH37" s="220">
        <f ca="1">IF(HLOOKUP($F37,Jornada!$X$7:$AD$37,VLOOKUP(INDIRECT($C$5),Jornada!$C$8:$W$37,21,0),0)=0,0,VLOOKUP(INDIRECT($C$5),Jornada!$C$8:$H$37,4,0))</f>
        <v>0</v>
      </c>
      <c r="AI37" s="155">
        <f ca="1">IF(AND(I37=0,J37=0,OR(H37&lt;&gt;0,K37&lt;&gt;0),HLOOKUP($F37,Jornada!$X$7:$AD$37,VLOOKUP(INDIRECT($C$5),Jornada!$C$8:$W$37,21,0),0)&gt;$AK$5,M37&gt;$AK$5),VLOOKUP(INDIRECT($C$5),Jornada!$C$8:$H$37,6,0),IF(AG37&gt;VLOOKUP(INDIRECT($C$5),Jornada!$C$8:$H$37,6,0),IF(VLOOKUP(INDIRECT($C$5),Jornada!$C$8:$H$37,6,0)&lt;AG37,0,ABS(VLOOKUP(INDIRECT($C$5),Jornada!$C$8:$H$37,6,0))-AG37),0))</f>
        <v>0</v>
      </c>
      <c r="AJ37" s="155">
        <f t="shared" si="5"/>
        <v>0.72222222222222232</v>
      </c>
      <c r="AK37" s="155">
        <f t="shared" si="6"/>
        <v>0</v>
      </c>
      <c r="AL37" s="155">
        <f ca="1">HLOOKUP($F37,Jornada!$I$5:$V$37,VLOOKUP(INDIRECT($C$5),Jornada!$C$8:$W$37,21,0)+2,0)</f>
        <v>0</v>
      </c>
      <c r="AM37" s="155">
        <f ca="1">HLOOKUP($F37,Jornada!$I$4:$V$37,VLOOKUP(INDIRECT($C$5),Jornada!$C$8:$W$37,21,0)+3,0)</f>
        <v>0</v>
      </c>
      <c r="AN37" s="155">
        <f t="shared" ca="1" si="7"/>
        <v>0</v>
      </c>
      <c r="AO37" s="155">
        <f t="shared" ca="1" si="8"/>
        <v>0</v>
      </c>
      <c r="AP37" s="155">
        <f t="shared" ca="1" si="9"/>
        <v>0</v>
      </c>
    </row>
    <row r="38" spans="1:42" s="2" customFormat="1" ht="30" customHeight="1" thickTop="1" thickBot="1" x14ac:dyDescent="0.25">
      <c r="A38" s="1"/>
      <c r="B38"/>
      <c r="C38"/>
      <c r="D38" s="2">
        <f t="shared" ref="D38" si="11">IF(D37=7,1,D37+1)</f>
        <v>1</v>
      </c>
      <c r="E38" s="210">
        <f>Lanç!E38</f>
        <v>31</v>
      </c>
      <c r="F38" s="210" t="str">
        <f>Lanç!F38</f>
        <v>Ter</v>
      </c>
      <c r="G38" s="81" t="s">
        <v>291</v>
      </c>
      <c r="H38" s="94">
        <v>0.63888888888888895</v>
      </c>
      <c r="I38" s="94"/>
      <c r="J38" s="94"/>
      <c r="K38" s="94">
        <v>0.91666666666666663</v>
      </c>
      <c r="L38" s="197"/>
      <c r="M38" s="95">
        <f t="shared" si="1"/>
        <v>0.27777777777777768</v>
      </c>
      <c r="N38" s="196"/>
      <c r="O38" s="95">
        <f ca="1">IF(OR(G38=0,G38="Férias",G38="Falta Justificada",G38="Feriado",G38="Folga (DSR)"),0,IF(G38="Falta Injustificada",HLOOKUP($F38,Jornada!$X$7:$AD$37,VLOOKUP(INDIRECT($C$5),Jornada!$C$8:$W$37,21,0),0),IF(HLOOKUP($F38,Jornada!$X$7:$AD$37,VLOOKUP(INDIRECT($C$5),Jornada!$C$8:$W$37,21,0),0)-M38&gt;0,HLOOKUP($F38,Jornada!$X$7:$AD$37,VLOOKUP(INDIRECT($C$5),Jornada!$C$8:$W$37,21,0),0)-M38,0)))</f>
        <v>0</v>
      </c>
      <c r="P38" s="201">
        <f ca="1">IF(HLOOKUP($F38,Jornada!$X$7:$AD$37,VLOOKUP(INDIRECT($C$5),Jornada!$C$8:$W$37,21,0),0)-M38&lt;0,ABS(HLOOKUP($F38,Jornada!$X$7:$AD$37,VLOOKUP(INDIRECT($C$5),Jornada!$C$8:$W$37,21,0),0)-M38),0)</f>
        <v>0.27777777777777768</v>
      </c>
      <c r="Q38" s="95">
        <f t="shared" ca="1" si="0"/>
        <v>0.27777777777777768</v>
      </c>
      <c r="R38" s="2">
        <f t="shared" ca="1" si="2"/>
        <v>1</v>
      </c>
      <c r="X38" s="177"/>
      <c r="AB38" s="177">
        <f>IF(AB37="","",IF(MONTH(AB37+1)&lt;&gt;MONTH(AB37),"",AB37+1))</f>
        <v>31</v>
      </c>
      <c r="AC38" s="2">
        <f>IF(ISERROR(WEEKDAY(AB38)),"",WEEKDAY(AB38))</f>
        <v>3</v>
      </c>
      <c r="AG38" s="220">
        <f t="shared" si="4"/>
        <v>0</v>
      </c>
      <c r="AH38" s="220">
        <f ca="1">IF(HLOOKUP($F38,Jornada!$X$7:$AD$37,VLOOKUP(INDIRECT($C$5),Jornada!$C$8:$W$37,21,0),0)=0,0,VLOOKUP(INDIRECT($C$5),Jornada!$C$8:$H$37,4,0))</f>
        <v>0</v>
      </c>
      <c r="AI38" s="155">
        <f ca="1">IF(AND(I38=0,J38=0,OR(H38&lt;&gt;0,K38&lt;&gt;0),HLOOKUP($F38,Jornada!$X$7:$AD$37,VLOOKUP(INDIRECT($C$5),Jornada!$C$8:$W$37,21,0),0)&gt;$AK$5,M38&gt;$AK$5),VLOOKUP(INDIRECT($C$5),Jornada!$C$8:$H$37,6,0),IF(AG38&gt;VLOOKUP(INDIRECT($C$5),Jornada!$C$8:$H$37,6,0),IF(VLOOKUP(INDIRECT($C$5),Jornada!$C$8:$H$37,6,0)&lt;AG38,0,ABS(VLOOKUP(INDIRECT($C$5),Jornada!$C$8:$H$37,6,0))-AG38),0))</f>
        <v>0</v>
      </c>
      <c r="AJ38" s="155">
        <f t="shared" si="5"/>
        <v>0.72222222222222232</v>
      </c>
      <c r="AK38" s="155">
        <f t="shared" si="6"/>
        <v>0</v>
      </c>
      <c r="AL38" s="155">
        <f ca="1">HLOOKUP($F38,Jornada!$I$5:$V$37,VLOOKUP(INDIRECT($C$5),Jornada!$C$8:$W$37,21,0)+2,0)</f>
        <v>0</v>
      </c>
      <c r="AM38" s="155">
        <f ca="1">HLOOKUP($F38,Jornada!$I$4:$V$37,VLOOKUP(INDIRECT($C$5),Jornada!$C$8:$W$37,21,0)+3,0)</f>
        <v>0</v>
      </c>
      <c r="AN38" s="155">
        <f t="shared" ca="1" si="7"/>
        <v>0</v>
      </c>
      <c r="AO38" s="155">
        <f t="shared" ca="1" si="8"/>
        <v>0</v>
      </c>
      <c r="AP38" s="155">
        <f t="shared" ca="1" si="9"/>
        <v>0</v>
      </c>
    </row>
    <row r="39" spans="1:42" s="2" customFormat="1" ht="30" customHeight="1" thickTop="1" x14ac:dyDescent="0.2">
      <c r="A39" s="9"/>
      <c r="B39" s="234"/>
      <c r="C39" s="234"/>
      <c r="D39" s="234"/>
      <c r="E39" s="236">
        <f>EOMONTH(AB8,0)</f>
        <v>31</v>
      </c>
      <c r="F39" s="234">
        <f>DAY(E39)</f>
        <v>31</v>
      </c>
      <c r="G39" s="237">
        <f>COUNTIF(F8:F38,"Dom")+COUNTIF(G8:G38,"Feriado")</f>
        <v>6</v>
      </c>
      <c r="H39" s="238">
        <f ca="1">(SUM(Q8:Q38)/(F39-G39))*G39</f>
        <v>1.4249999999999996</v>
      </c>
      <c r="I39" s="234"/>
      <c r="J39" s="234"/>
      <c r="K39" s="234"/>
      <c r="L39" s="234"/>
      <c r="M39" s="234"/>
      <c r="Z39" s="219"/>
    </row>
    <row r="40" spans="1:42" s="2" customFormat="1" ht="30" customHeight="1" x14ac:dyDescent="0.2">
      <c r="A40" s="9"/>
      <c r="B40" s="234"/>
      <c r="C40" s="239"/>
      <c r="D40" s="239"/>
      <c r="E40" s="239"/>
      <c r="F40" s="240"/>
      <c r="G40" s="241"/>
      <c r="H40" s="234">
        <f ca="1">IF(INDIRECT($C$5)="",0,VLOOKUP(INDIRECT($C$5),Funcionários!$C$7:$E$36,3,0)+IF(VLOOKUP(INDIRECT($C$5),Jornada!$C$8:$E$37,2,0)="Sim",IF('P Gerais'!$I$8&lt;&gt;0,VLOOKUP(INDIRECT($C$5),Funcionários!$C$7:$E$36,3,0)*'P Gerais'!$L$14,'P Gerais'!$I$8*'P Gerais'!$L$14),0)+IF(VLOOKUP(INDIRECT($C$5),Jornada!$C$8:$E$37,3,0)="Sim",VLOOKUP(INDIRECT($C$5),Funcionários!$C$7:$E$36,3,0)*'P Gerais'!$K$14,0))</f>
        <v>0</v>
      </c>
      <c r="I40" s="234">
        <f ca="1">VLOOKUP(INDIRECT($C$5),Jornada!$C$8:$AF$37,30,0)</f>
        <v>0</v>
      </c>
      <c r="J40" s="234" t="s">
        <v>298</v>
      </c>
      <c r="K40" s="242">
        <f ca="1">IF(I40=0,0,H40/I40)</f>
        <v>0</v>
      </c>
      <c r="L40" s="234"/>
      <c r="M40" s="234"/>
      <c r="Z40" s="219"/>
    </row>
    <row r="41" spans="1:42" s="2" customFormat="1" ht="30" customHeight="1" x14ac:dyDescent="0.2">
      <c r="A41" s="9"/>
      <c r="B41" s="234" t="s">
        <v>52</v>
      </c>
      <c r="C41" s="292" t="s">
        <v>75</v>
      </c>
      <c r="D41" s="292"/>
      <c r="E41" s="292"/>
      <c r="F41" s="243">
        <f t="shared" ref="F41:F47" ca="1" si="12">SUMIFS($Q$8:$Q$38,$F$8:$F$38,$B41,$G$8:$G$38,"Normal")</f>
        <v>1.3888888888888884</v>
      </c>
      <c r="G41" s="244">
        <f>IF($M$41="Sistema de banco de horas",0,'P Gerais'!$C$14)</f>
        <v>0.5</v>
      </c>
      <c r="H41" s="245">
        <f t="shared" ref="H41:H48" ca="1" si="13">IF($M$41="Sistema de banco de horas",0,$K$40*(1+G41)*(F41*24))</f>
        <v>0</v>
      </c>
      <c r="I41" s="243">
        <f t="shared" ref="I41:I47" ca="1" si="14">IF(SUMIF($F$8:$F$38,$B41,$Q$8:$Q$38)-SUMIFS($M$8:$M$38,$F$8:$F$38,$B41,$G$8:$G$38,"Feriado")-SUMIFS($M$8:$M$38,$F$8:$F$38,$B41,$G$8:$G$38,"Folga (DSR)")-SUMIFS($M$8:$M$38,$F$8:$F$38,$B41,$G$8:$G$38,"Férias")-SUMIF($F$8:$F$38,$B41,$AN$8:$AN$38)-SUMIF($F$8:$F$38,$B41,$AO$8:$AO$38)&lt;0,0,SUMIF($F$8:$F$38,$B41,$Q$8:$Q$38)-SUMIFS($M$8:$M$38,$F$8:$F$38,$B41,$G$8:$G$38,"Feriado")-SUMIFS($M$8:$M$38,$F$8:$F$38,$B41,$G$8:$G$38,"Folga (DSR)")-SUMIFS($M$8:$M$38,$F$8:$F$38,$B41,$G$8:$G$38,"Férias")-SUMIF($F$8:$F$38,$B41,$AN$8:$AN$38)-SUMIF($F$8:$F$38,$B41,$AO$8:$AO$38))</f>
        <v>1.3888888888888884</v>
      </c>
      <c r="J41" s="245">
        <f ca="1">H41</f>
        <v>0</v>
      </c>
      <c r="K41" s="234"/>
      <c r="L41" s="234"/>
      <c r="M41" s="234">
        <f>'P Gerais'!I10</f>
        <v>0</v>
      </c>
      <c r="Z41" s="219"/>
    </row>
    <row r="42" spans="1:42" s="2" customFormat="1" ht="30" customHeight="1" x14ac:dyDescent="0.2">
      <c r="A42" s="9"/>
      <c r="B42" s="234" t="s">
        <v>53</v>
      </c>
      <c r="C42" s="292" t="s">
        <v>76</v>
      </c>
      <c r="D42" s="292"/>
      <c r="E42" s="292"/>
      <c r="F42" s="243">
        <f t="shared" ca="1" si="12"/>
        <v>1.4513888888888884</v>
      </c>
      <c r="G42" s="244">
        <f>IF($M$41="Sistema de banco de horas",0,'P Gerais'!$C$14)</f>
        <v>0.5</v>
      </c>
      <c r="H42" s="245">
        <f t="shared" ca="1" si="13"/>
        <v>0</v>
      </c>
      <c r="I42" s="243">
        <f t="shared" ca="1" si="14"/>
        <v>1.3888888888888884</v>
      </c>
      <c r="J42" s="245">
        <f t="shared" ref="J42:J51" ca="1" si="15">H42</f>
        <v>0</v>
      </c>
      <c r="K42" s="234"/>
      <c r="L42" s="234"/>
      <c r="M42" s="234"/>
      <c r="Z42" s="219"/>
    </row>
    <row r="43" spans="1:42" s="2" customFormat="1" ht="30" customHeight="1" x14ac:dyDescent="0.2">
      <c r="A43" s="9"/>
      <c r="B43" s="234" t="s">
        <v>54</v>
      </c>
      <c r="C43" s="292" t="s">
        <v>77</v>
      </c>
      <c r="D43" s="292"/>
      <c r="E43" s="292"/>
      <c r="F43" s="243">
        <f t="shared" ca="1" si="12"/>
        <v>0.87499999999999978</v>
      </c>
      <c r="G43" s="244">
        <f>IF($M$41="Sistema de banco de horas",0,'P Gerais'!$C$14)</f>
        <v>0.5</v>
      </c>
      <c r="H43" s="245">
        <f t="shared" ca="1" si="13"/>
        <v>0</v>
      </c>
      <c r="I43" s="243">
        <f t="shared" ca="1" si="14"/>
        <v>0.83333333333333304</v>
      </c>
      <c r="J43" s="245">
        <f t="shared" ca="1" si="15"/>
        <v>0</v>
      </c>
      <c r="K43" s="234"/>
      <c r="L43" s="234"/>
      <c r="M43" s="234"/>
      <c r="Z43" s="219"/>
    </row>
    <row r="44" spans="1:42" s="2" customFormat="1" ht="30" customHeight="1" x14ac:dyDescent="0.2">
      <c r="A44" s="9"/>
      <c r="B44" s="234" t="s">
        <v>55</v>
      </c>
      <c r="C44" s="292" t="s">
        <v>78</v>
      </c>
      <c r="D44" s="292"/>
      <c r="E44" s="292"/>
      <c r="F44" s="243">
        <f t="shared" si="12"/>
        <v>0</v>
      </c>
      <c r="G44" s="244">
        <f>IF($M$41="Sistema de banco de horas",0,'P Gerais'!$C$14)</f>
        <v>0.5</v>
      </c>
      <c r="H44" s="245">
        <f t="shared" ca="1" si="13"/>
        <v>0</v>
      </c>
      <c r="I44" s="243">
        <f t="shared" ca="1" si="14"/>
        <v>0</v>
      </c>
      <c r="J44" s="245">
        <f t="shared" ca="1" si="15"/>
        <v>0</v>
      </c>
      <c r="K44" s="234"/>
      <c r="L44" s="234"/>
      <c r="M44" s="234"/>
      <c r="Z44" s="219"/>
    </row>
    <row r="45" spans="1:42" s="2" customFormat="1" ht="30" customHeight="1" x14ac:dyDescent="0.2">
      <c r="A45" s="9"/>
      <c r="B45" s="234" t="s">
        <v>56</v>
      </c>
      <c r="C45" s="292" t="s">
        <v>79</v>
      </c>
      <c r="D45" s="292"/>
      <c r="E45" s="292"/>
      <c r="F45" s="243">
        <f t="shared" si="12"/>
        <v>0</v>
      </c>
      <c r="G45" s="244">
        <f>IF($M$41="Sistema de banco de horas",0,'P Gerais'!$C$14)</f>
        <v>0.5</v>
      </c>
      <c r="H45" s="245">
        <f t="shared" ca="1" si="13"/>
        <v>0</v>
      </c>
      <c r="I45" s="243">
        <f t="shared" ca="1" si="14"/>
        <v>0</v>
      </c>
      <c r="J45" s="245">
        <f t="shared" ca="1" si="15"/>
        <v>0</v>
      </c>
      <c r="K45" s="234"/>
      <c r="L45" s="234"/>
      <c r="M45" s="234"/>
      <c r="Z45" s="219"/>
    </row>
    <row r="46" spans="1:42" s="2" customFormat="1" ht="30" customHeight="1" x14ac:dyDescent="0.2">
      <c r="A46" s="9"/>
      <c r="B46" s="234" t="s">
        <v>57</v>
      </c>
      <c r="C46" s="292" t="s">
        <v>82</v>
      </c>
      <c r="D46" s="292"/>
      <c r="E46" s="292"/>
      <c r="F46" s="243">
        <f t="shared" ca="1" si="12"/>
        <v>0.83333333333333304</v>
      </c>
      <c r="G46" s="244">
        <f>IF($M$41="Sistema de banco de horas",0,'P Gerais'!$E$14)</f>
        <v>0.5</v>
      </c>
      <c r="H46" s="245">
        <f t="shared" ca="1" si="13"/>
        <v>0</v>
      </c>
      <c r="I46" s="243">
        <f t="shared" ca="1" si="14"/>
        <v>0.83333333333333304</v>
      </c>
      <c r="J46" s="245">
        <f t="shared" ca="1" si="15"/>
        <v>0</v>
      </c>
      <c r="K46" s="234"/>
      <c r="L46" s="234"/>
      <c r="M46" s="234"/>
      <c r="Z46" s="219"/>
    </row>
    <row r="47" spans="1:42" s="2" customFormat="1" ht="30" customHeight="1" x14ac:dyDescent="0.2">
      <c r="A47" s="9"/>
      <c r="B47" s="234" t="s">
        <v>51</v>
      </c>
      <c r="C47" s="292" t="s">
        <v>81</v>
      </c>
      <c r="D47" s="292"/>
      <c r="E47" s="292"/>
      <c r="F47" s="243">
        <f t="shared" ca="1" si="12"/>
        <v>1.3888888888888884</v>
      </c>
      <c r="G47" s="244">
        <f>IF($M$41="Sistema de banco de horas",0,'P Gerais'!$F$14)</f>
        <v>1</v>
      </c>
      <c r="H47" s="245">
        <f t="shared" ca="1" si="13"/>
        <v>0</v>
      </c>
      <c r="I47" s="243">
        <f t="shared" ca="1" si="14"/>
        <v>1.3888888888888884</v>
      </c>
      <c r="J47" s="245">
        <f t="shared" ca="1" si="15"/>
        <v>0</v>
      </c>
      <c r="K47" s="234"/>
      <c r="L47" s="234"/>
      <c r="M47" s="234"/>
      <c r="Z47" s="219"/>
    </row>
    <row r="48" spans="1:42" s="2" customFormat="1" ht="30" customHeight="1" x14ac:dyDescent="0.2">
      <c r="A48" s="9"/>
      <c r="B48" s="234"/>
      <c r="C48" s="292" t="s">
        <v>80</v>
      </c>
      <c r="D48" s="292"/>
      <c r="E48" s="292"/>
      <c r="F48" s="243">
        <f>SUMIFS($Q$8:$Q$38,$G$8:$G$38,"Feriado")</f>
        <v>0</v>
      </c>
      <c r="G48" s="244">
        <f>IF($M$41="Sistema de banco de horas",0,'P Gerais'!$I$14)</f>
        <v>1</v>
      </c>
      <c r="H48" s="245">
        <f t="shared" ca="1" si="13"/>
        <v>0</v>
      </c>
      <c r="I48" s="243"/>
      <c r="J48" s="245">
        <f t="shared" ca="1" si="15"/>
        <v>0</v>
      </c>
      <c r="K48" s="234"/>
      <c r="L48" s="234"/>
      <c r="M48" s="234"/>
      <c r="Z48" s="219"/>
    </row>
    <row r="49" spans="1:26" s="2" customFormat="1" ht="15" x14ac:dyDescent="0.2">
      <c r="A49" s="9"/>
      <c r="B49" s="234"/>
      <c r="C49" s="292" t="s">
        <v>146</v>
      </c>
      <c r="D49" s="292"/>
      <c r="E49" s="292"/>
      <c r="F49" s="243">
        <f>SUMIFS($Q$8:$Q$38,$G$8:$G$38,"Folga (DSR)")</f>
        <v>0</v>
      </c>
      <c r="G49" s="244">
        <f>IF($M$41="Sistema de banco de horas",0,'P Gerais'!H14)</f>
        <v>1</v>
      </c>
      <c r="H49" s="245">
        <f ca="1">((F53/(F39-G39))*G39)</f>
        <v>0</v>
      </c>
      <c r="I49" s="243"/>
      <c r="J49" s="245">
        <f t="shared" ca="1" si="15"/>
        <v>0</v>
      </c>
      <c r="K49" s="234"/>
      <c r="L49" s="234"/>
      <c r="M49" s="234"/>
      <c r="Z49" s="219"/>
    </row>
    <row r="50" spans="1:26" s="2" customFormat="1" ht="15" x14ac:dyDescent="0.2">
      <c r="A50" s="9"/>
      <c r="B50" s="234"/>
      <c r="C50" s="292" t="s">
        <v>84</v>
      </c>
      <c r="D50" s="292"/>
      <c r="E50" s="292"/>
      <c r="F50" s="243">
        <f ca="1">IF($M$41="Sistema de banco de horas",(SUM(AI$8:AI$38)*(1+G50)),SUM(AI$8:AI$38))</f>
        <v>0</v>
      </c>
      <c r="G50" s="244">
        <f>IF($M$41="Sistema de banco de horas",0,'P Gerais'!$I$17)</f>
        <v>0.5</v>
      </c>
      <c r="H50" s="245">
        <f ca="1">IF($M$41="Sistema de banco de horas",0,$K$40*(1+G50)*(F50*24))</f>
        <v>0</v>
      </c>
      <c r="I50" s="243">
        <f ca="1">IF(SUM($AN$8:$AO$38)&gt;SUM(AI$8:AI$38),0,SUM(AI$8:AI$38)-SUM($AN$8:$AO$38))</f>
        <v>0</v>
      </c>
      <c r="J50" s="245">
        <f t="shared" ca="1" si="15"/>
        <v>0</v>
      </c>
      <c r="K50" s="234"/>
      <c r="L50" s="234"/>
      <c r="M50" s="234"/>
      <c r="Z50" s="219"/>
    </row>
    <row r="51" spans="1:26" s="2" customFormat="1" ht="15" x14ac:dyDescent="0.2">
      <c r="A51" s="9"/>
      <c r="B51" s="234"/>
      <c r="C51" s="292" t="s">
        <v>85</v>
      </c>
      <c r="D51" s="292"/>
      <c r="E51" s="292"/>
      <c r="F51" s="243">
        <f>IF($M$41="Sistema de banco de horas",(SUM(AK$8:AK$38)*(1+G51)),SUM(AK$8:AK$38))</f>
        <v>0</v>
      </c>
      <c r="G51" s="244">
        <f>IF($M$41="Sistema de banco de horas",0,'P Gerais'!$C$17)</f>
        <v>1</v>
      </c>
      <c r="H51" s="245">
        <f ca="1">IF($M$41="Sistema de banco de horas",0,$K$40*(1+G51)*(F51*24))</f>
        <v>0</v>
      </c>
      <c r="I51" s="243"/>
      <c r="J51" s="245">
        <f t="shared" ca="1" si="15"/>
        <v>0</v>
      </c>
      <c r="K51" s="234"/>
      <c r="L51" s="234"/>
      <c r="M51" s="234"/>
      <c r="Z51" s="219"/>
    </row>
    <row r="52" spans="1:26" s="2" customFormat="1" ht="15" customHeight="1" x14ac:dyDescent="0.2">
      <c r="A52" s="9"/>
      <c r="B52" s="234"/>
      <c r="C52" s="292" t="s">
        <v>87</v>
      </c>
      <c r="D52" s="292"/>
      <c r="E52" s="292"/>
      <c r="F52" s="243">
        <f ca="1">U12</f>
        <v>5.9374999999999982</v>
      </c>
      <c r="G52" s="246"/>
      <c r="H52" s="234"/>
      <c r="I52" s="234"/>
      <c r="J52" s="234"/>
      <c r="K52" s="234"/>
      <c r="L52" s="234"/>
      <c r="M52" s="234"/>
      <c r="Z52" s="219"/>
    </row>
    <row r="53" spans="1:26" s="2" customFormat="1" ht="15" x14ac:dyDescent="0.2">
      <c r="A53" s="9"/>
      <c r="B53" s="234"/>
      <c r="C53" s="292" t="s">
        <v>299</v>
      </c>
      <c r="D53" s="292"/>
      <c r="E53" s="292"/>
      <c r="F53" s="247">
        <f ca="1">SUM(H48)+J50+H51+SUM(J41:J47)</f>
        <v>0</v>
      </c>
      <c r="G53" s="248"/>
      <c r="H53" s="234"/>
      <c r="I53" s="234"/>
      <c r="J53" s="234"/>
      <c r="K53" s="234"/>
      <c r="L53" s="234"/>
      <c r="M53" s="234"/>
      <c r="Z53" s="219"/>
    </row>
    <row r="54" spans="1:26" s="2" customFormat="1" ht="15" x14ac:dyDescent="0.2">
      <c r="A54" s="9"/>
      <c r="B54" s="234"/>
      <c r="C54" s="292" t="s">
        <v>88</v>
      </c>
      <c r="D54" s="292"/>
      <c r="E54" s="292"/>
      <c r="F54" s="247">
        <f ca="1">F53+(H49*(1+G49))</f>
        <v>0</v>
      </c>
      <c r="G54" s="248"/>
      <c r="H54" s="249"/>
      <c r="I54" s="234"/>
      <c r="J54" s="234"/>
      <c r="K54" s="234"/>
      <c r="L54" s="234"/>
      <c r="M54" s="234"/>
      <c r="Z54" s="219"/>
    </row>
    <row r="55" spans="1:26" s="2" customFormat="1" ht="15" x14ac:dyDescent="0.2">
      <c r="A55" s="9"/>
      <c r="B55" s="234"/>
      <c r="C55" s="292" t="s">
        <v>89</v>
      </c>
      <c r="D55" s="292"/>
      <c r="E55" s="292"/>
      <c r="F55" s="247">
        <f ca="1">H40+F54</f>
        <v>0</v>
      </c>
      <c r="G55" s="246"/>
      <c r="H55" s="234"/>
      <c r="I55" s="234"/>
      <c r="J55" s="234"/>
      <c r="K55" s="234"/>
      <c r="L55" s="234"/>
      <c r="M55" s="234"/>
      <c r="Z55" s="219"/>
    </row>
    <row r="56" spans="1:26" s="2" customFormat="1" ht="15" x14ac:dyDescent="0.2">
      <c r="A56" s="9"/>
      <c r="B56" s="234"/>
      <c r="C56" s="292" t="s">
        <v>178</v>
      </c>
      <c r="D56" s="292"/>
      <c r="E56" s="292"/>
      <c r="F56" s="243">
        <f>IF($M$41="Sistema de banco de horas",(SUMIF($G$8:$G$38,"Férias",Q8:Q38))*(1+G48),SUMIF($G$8:$G$38,"Férias",Q8:Q38))</f>
        <v>0</v>
      </c>
      <c r="G56" s="246"/>
      <c r="H56" s="234"/>
      <c r="I56" s="234"/>
      <c r="J56" s="234"/>
      <c r="K56" s="234"/>
      <c r="L56" s="234"/>
      <c r="M56" s="234"/>
      <c r="Z56" s="219"/>
    </row>
    <row r="57" spans="1:26" s="2" customFormat="1" ht="15" x14ac:dyDescent="0.2">
      <c r="A57" s="9"/>
      <c r="B57" s="234"/>
      <c r="C57" s="239"/>
      <c r="D57" s="239"/>
      <c r="E57" s="239"/>
      <c r="F57" s="250">
        <f ca="1">U14</f>
        <v>0</v>
      </c>
      <c r="G57" s="246"/>
      <c r="H57" s="234"/>
      <c r="I57" s="234"/>
      <c r="J57" s="234"/>
      <c r="K57" s="234"/>
      <c r="L57" s="234"/>
      <c r="M57" s="234"/>
      <c r="Z57" s="219"/>
    </row>
    <row r="58" spans="1:26" s="2" customFormat="1" ht="15" x14ac:dyDescent="0.2">
      <c r="A58" s="9"/>
      <c r="B58" s="234"/>
      <c r="C58" s="239"/>
      <c r="D58" s="239"/>
      <c r="E58" s="239"/>
      <c r="F58" s="243">
        <f ca="1">SUM(F41:F51)</f>
        <v>5.9374999999999982</v>
      </c>
      <c r="G58" s="246"/>
      <c r="H58" s="234"/>
      <c r="I58" s="234"/>
      <c r="J58" s="234"/>
      <c r="K58" s="234"/>
      <c r="L58" s="234"/>
      <c r="M58" s="234"/>
      <c r="Z58" s="219"/>
    </row>
    <row r="59" spans="1:26" s="2" customFormat="1" ht="15" x14ac:dyDescent="0.2">
      <c r="A59" s="9"/>
      <c r="Z59" s="219"/>
    </row>
    <row r="60" spans="1:26" s="2" customFormat="1" ht="15" x14ac:dyDescent="0.2">
      <c r="A60" s="9"/>
      <c r="G60" s="178"/>
      <c r="Z60" s="219"/>
    </row>
    <row r="61" spans="1:26" ht="15" x14ac:dyDescent="0.2"/>
    <row r="62" spans="1:26" ht="15" x14ac:dyDescent="0.2"/>
    <row r="63" spans="1:26" ht="15" x14ac:dyDescent="0.2"/>
    <row r="64" spans="1:26" ht="15" x14ac:dyDescent="0.2"/>
    <row r="65" ht="15" x14ac:dyDescent="0.2"/>
    <row r="66" ht="15" x14ac:dyDescent="0.2"/>
    <row r="67" ht="15" x14ac:dyDescent="0.2"/>
    <row r="68" ht="15" x14ac:dyDescent="0.2"/>
    <row r="69" ht="15" x14ac:dyDescent="0.2"/>
    <row r="70" ht="15" x14ac:dyDescent="0.2"/>
    <row r="71" ht="15" x14ac:dyDescent="0.2"/>
    <row r="72" ht="15" x14ac:dyDescent="0.2"/>
    <row r="73" ht="15" x14ac:dyDescent="0.2"/>
    <row r="74" ht="15" x14ac:dyDescent="0.2"/>
    <row r="75" ht="15" x14ac:dyDescent="0.2"/>
    <row r="76" ht="15" x14ac:dyDescent="0.2"/>
    <row r="77" ht="15" x14ac:dyDescent="0.2"/>
    <row r="78" ht="15" x14ac:dyDescent="0.2"/>
    <row r="79" ht="15" x14ac:dyDescent="0.2"/>
    <row r="80" ht="15" x14ac:dyDescent="0.2"/>
    <row r="81" ht="15" x14ac:dyDescent="0.2"/>
    <row r="82" ht="15" x14ac:dyDescent="0.2"/>
    <row r="83" ht="15" x14ac:dyDescent="0.2"/>
    <row r="84" ht="15" x14ac:dyDescent="0.2"/>
    <row r="85" ht="15" x14ac:dyDescent="0.2"/>
    <row r="86" ht="15" x14ac:dyDescent="0.2"/>
    <row r="87" ht="15" x14ac:dyDescent="0.2"/>
    <row r="88" ht="15" x14ac:dyDescent="0.2"/>
    <row r="89" ht="15" x14ac:dyDescent="0.2"/>
    <row r="90" ht="15" x14ac:dyDescent="0.2"/>
    <row r="91" ht="15" x14ac:dyDescent="0.2"/>
    <row r="92" ht="15" x14ac:dyDescent="0.2"/>
    <row r="93" ht="15" x14ac:dyDescent="0.2"/>
    <row r="94" ht="15" x14ac:dyDescent="0.2"/>
    <row r="95" ht="15" x14ac:dyDescent="0.2"/>
    <row r="96" ht="15" x14ac:dyDescent="0.2"/>
    <row r="97" ht="15" x14ac:dyDescent="0.2"/>
    <row r="98" ht="15" x14ac:dyDescent="0.2"/>
    <row r="99" ht="15" x14ac:dyDescent="0.2"/>
    <row r="100" ht="15" x14ac:dyDescent="0.2"/>
    <row r="101" ht="15" x14ac:dyDescent="0.2"/>
    <row r="102" ht="15" x14ac:dyDescent="0.2"/>
    <row r="103" ht="15" x14ac:dyDescent="0.2"/>
  </sheetData>
  <sheetProtection sheet="1" objects="1" scenarios="1" selectLockedCells="1"/>
  <mergeCells count="34">
    <mergeCell ref="C56:E56"/>
    <mergeCell ref="C48:E48"/>
    <mergeCell ref="C49:E49"/>
    <mergeCell ref="C50:E50"/>
    <mergeCell ref="C52:E52"/>
    <mergeCell ref="C53:E53"/>
    <mergeCell ref="C54:E54"/>
    <mergeCell ref="C51:E51"/>
    <mergeCell ref="C44:E44"/>
    <mergeCell ref="C55:E55"/>
    <mergeCell ref="C45:E45"/>
    <mergeCell ref="C46:E46"/>
    <mergeCell ref="C47:E47"/>
    <mergeCell ref="S22:U22"/>
    <mergeCell ref="C41:E41"/>
    <mergeCell ref="C42:E42"/>
    <mergeCell ref="C43:E43"/>
    <mergeCell ref="S26:U28"/>
    <mergeCell ref="S23:U25"/>
    <mergeCell ref="E7:F7"/>
    <mergeCell ref="I7:J7"/>
    <mergeCell ref="S7:U7"/>
    <mergeCell ref="S8:T9"/>
    <mergeCell ref="U8:U9"/>
    <mergeCell ref="S16:T17"/>
    <mergeCell ref="U16:U17"/>
    <mergeCell ref="S18:T19"/>
    <mergeCell ref="S10:T11"/>
    <mergeCell ref="U10:U11"/>
    <mergeCell ref="S12:T13"/>
    <mergeCell ref="U12:U13"/>
    <mergeCell ref="S14:T15"/>
    <mergeCell ref="U14:U15"/>
    <mergeCell ref="U18:U19"/>
  </mergeCells>
  <phoneticPr fontId="50" type="noConversion"/>
  <conditionalFormatting sqref="M8:M37">
    <cfRule type="cellIs" dxfId="1297" priority="333" operator="greaterThan">
      <formula>0</formula>
    </cfRule>
  </conditionalFormatting>
  <conditionalFormatting sqref="N36:N37">
    <cfRule type="expression" dxfId="1296" priority="300">
      <formula>AND($E36&lt;$E$35,$E$8=1)</formula>
    </cfRule>
    <cfRule type="expression" dxfId="1295" priority="301">
      <formula>AND($E36&gt;=$E$8,$E$8&lt;&gt;1)</formula>
    </cfRule>
  </conditionalFormatting>
  <conditionalFormatting sqref="E36:E38">
    <cfRule type="expression" dxfId="1294" priority="298">
      <formula>AND($E36&lt;$E$35,$E$8=1)</formula>
    </cfRule>
    <cfRule type="expression" dxfId="1293" priority="299">
      <formula>AND($E36&gt;=$E$8,$E$8&lt;&gt;1)</formula>
    </cfRule>
  </conditionalFormatting>
  <conditionalFormatting sqref="O8:O37">
    <cfRule type="cellIs" dxfId="1292" priority="293" operator="greaterThan">
      <formula>0.000001</formula>
    </cfRule>
  </conditionalFormatting>
  <conditionalFormatting sqref="O36:O37">
    <cfRule type="expression" dxfId="1291" priority="291">
      <formula>AND($E36&lt;$E$35,$E$8=1)</formula>
    </cfRule>
    <cfRule type="expression" dxfId="1290" priority="292">
      <formula>AND($E36&gt;=$E$8,$E$8&lt;&gt;1)</formula>
    </cfRule>
  </conditionalFormatting>
  <conditionalFormatting sqref="L34:L35">
    <cfRule type="expression" dxfId="1289" priority="226">
      <formula>OR($G34="Férias",$G34="Falta Injustificada")</formula>
    </cfRule>
    <cfRule type="expression" dxfId="1288" priority="227">
      <formula>$G34="Folga (DSR)"</formula>
    </cfRule>
    <cfRule type="expression" dxfId="1287" priority="228">
      <formula>$G34="Feriado"</formula>
    </cfRule>
    <cfRule type="expression" dxfId="1286" priority="229">
      <formula>$F34="Dom"</formula>
    </cfRule>
  </conditionalFormatting>
  <conditionalFormatting sqref="L34:L35">
    <cfRule type="expression" dxfId="1285" priority="225">
      <formula>OR($G34="Falta Justificada",$G34="Falta Injustificada")</formula>
    </cfRule>
  </conditionalFormatting>
  <conditionalFormatting sqref="L30:L31">
    <cfRule type="expression" dxfId="1284" priority="236">
      <formula>OR($G30="Férias",$G30="Falta Injustificada")</formula>
    </cfRule>
    <cfRule type="expression" dxfId="1283" priority="237">
      <formula>$G30="Folga (DSR)"</formula>
    </cfRule>
    <cfRule type="expression" dxfId="1282" priority="238">
      <formula>$G30="Feriado"</formula>
    </cfRule>
    <cfRule type="expression" dxfId="1281" priority="239">
      <formula>$F30="Dom"</formula>
    </cfRule>
  </conditionalFormatting>
  <conditionalFormatting sqref="L30:L31">
    <cfRule type="expression" dxfId="1280" priority="235">
      <formula>OR($G30="Falta Justificada",$G30="Falta Injustificada")</formula>
    </cfRule>
  </conditionalFormatting>
  <conditionalFormatting sqref="L32:L33">
    <cfRule type="expression" dxfId="1279" priority="231">
      <formula>OR($G32="Férias",$G32="Falta Injustificada")</formula>
    </cfRule>
    <cfRule type="expression" dxfId="1278" priority="232">
      <formula>$G32="Folga (DSR)"</formula>
    </cfRule>
    <cfRule type="expression" dxfId="1277" priority="233">
      <formula>$G32="Feriado"</formula>
    </cfRule>
    <cfRule type="expression" dxfId="1276" priority="234">
      <formula>$F32="Dom"</formula>
    </cfRule>
  </conditionalFormatting>
  <conditionalFormatting sqref="L32:L33">
    <cfRule type="expression" dxfId="1275" priority="230">
      <formula>OR($G32="Falta Justificada",$G32="Falta Injustificada")</formula>
    </cfRule>
  </conditionalFormatting>
  <conditionalFormatting sqref="L36:L37">
    <cfRule type="expression" dxfId="1274" priority="221">
      <formula>OR($G36="Férias",$G36="Falta Injustificada")</formula>
    </cfRule>
    <cfRule type="expression" dxfId="1273" priority="222">
      <formula>$G36="Folga (DSR)"</formula>
    </cfRule>
    <cfRule type="expression" dxfId="1272" priority="223">
      <formula>$G36="Feriado"</formula>
    </cfRule>
    <cfRule type="expression" dxfId="1271" priority="224">
      <formula>$F36="Dom"</formula>
    </cfRule>
  </conditionalFormatting>
  <conditionalFormatting sqref="L36:L37">
    <cfRule type="expression" dxfId="1270" priority="220">
      <formula>OR($G36="Falta Justificada",$G36="Falta Injustificada")</formula>
    </cfRule>
  </conditionalFormatting>
  <conditionalFormatting sqref="F8:F38">
    <cfRule type="containsText" dxfId="1269" priority="186" operator="containsText" text="Dom">
      <formula>NOT(ISERROR(SEARCH("Dom",F8)))</formula>
    </cfRule>
    <cfRule type="containsText" dxfId="1268" priority="187" operator="containsText" text="Sáb">
      <formula>NOT(ISERROR(SEARCH("Sáb",F8)))</formula>
    </cfRule>
  </conditionalFormatting>
  <conditionalFormatting sqref="Q8:Q37">
    <cfRule type="cellIs" dxfId="1267" priority="172" operator="greaterThan">
      <formula>0.000001</formula>
    </cfRule>
  </conditionalFormatting>
  <conditionalFormatting sqref="O38">
    <cfRule type="cellIs" dxfId="1266" priority="69" operator="greaterThan">
      <formula>0.000001</formula>
    </cfRule>
  </conditionalFormatting>
  <conditionalFormatting sqref="M38">
    <cfRule type="cellIs" dxfId="1265" priority="70" operator="greaterThan">
      <formula>0</formula>
    </cfRule>
  </conditionalFormatting>
  <conditionalFormatting sqref="L38:O38">
    <cfRule type="expression" dxfId="1264" priority="68">
      <formula>AND($E38&gt;=$E$8,$E$8&lt;&gt;1)</formula>
    </cfRule>
  </conditionalFormatting>
  <conditionalFormatting sqref="Q38">
    <cfRule type="cellIs" dxfId="1263" priority="51" operator="greaterThan">
      <formula>0.000001</formula>
    </cfRule>
  </conditionalFormatting>
  <conditionalFormatting sqref="L38:Q38">
    <cfRule type="expression" dxfId="1262" priority="67">
      <formula>AND($E38&lt;$E$35,$E$8=1)</formula>
    </cfRule>
  </conditionalFormatting>
  <conditionalFormatting sqref="L38:Q38">
    <cfRule type="expression" dxfId="1261" priority="52">
      <formula>AND($E38&lt;$E$35,$E$8=1)</formula>
    </cfRule>
    <cfRule type="expression" dxfId="1260" priority="53">
      <formula>AND($E38&gt;=$E$8,$E$8&lt;&gt;1)</formula>
    </cfRule>
  </conditionalFormatting>
  <conditionalFormatting sqref="U10:U11">
    <cfRule type="expression" dxfId="1259" priority="20">
      <formula>$V$11="Negativo"</formula>
    </cfRule>
  </conditionalFormatting>
  <conditionalFormatting sqref="G8:K35">
    <cfRule type="expression" dxfId="1258" priority="15">
      <formula>OR($G8="Férias",$G8="Falta Injustificada")</formula>
    </cfRule>
    <cfRule type="expression" dxfId="1257" priority="16">
      <formula>$G8="Folga (DSR)"</formula>
    </cfRule>
    <cfRule type="expression" dxfId="1256" priority="17">
      <formula>$G8="Feriado"</formula>
    </cfRule>
    <cfRule type="expression" dxfId="1255" priority="18">
      <formula>$F8="Dom"</formula>
    </cfRule>
  </conditionalFormatting>
  <conditionalFormatting sqref="H8:K35">
    <cfRule type="expression" dxfId="1254" priority="14">
      <formula>OR($G8="Falta Justificada",$G8="Falta Injustificada")</formula>
    </cfRule>
  </conditionalFormatting>
  <conditionalFormatting sqref="G36:K38">
    <cfRule type="expression" dxfId="1253" priority="10">
      <formula>OR($G36="Férias",$G36="Falta Injustificada")</formula>
    </cfRule>
    <cfRule type="expression" dxfId="1252" priority="11">
      <formula>$G36="Folga (DSR)"</formula>
    </cfRule>
    <cfRule type="expression" dxfId="1251" priority="12">
      <formula>$G36="Feriado"</formula>
    </cfRule>
    <cfRule type="expression" dxfId="1250" priority="13">
      <formula>$F36="Dom"</formula>
    </cfRule>
  </conditionalFormatting>
  <conditionalFormatting sqref="G36:K38">
    <cfRule type="expression" dxfId="1249" priority="7">
      <formula>AND($E36&lt;$E$35,$E$8=1)</formula>
    </cfRule>
    <cfRule type="expression" dxfId="1248" priority="8">
      <formula>AND($E36&gt;=$E$8,$E$8&lt;&gt;1)</formula>
    </cfRule>
  </conditionalFormatting>
  <conditionalFormatting sqref="H36:K38">
    <cfRule type="expression" dxfId="1247" priority="9">
      <formula>OR($G36="Falta Justificada",$G36="Falta Injustificada")</formula>
    </cfRule>
  </conditionalFormatting>
  <conditionalFormatting sqref="U12:U13">
    <cfRule type="expression" dxfId="1246" priority="584">
      <formula>$U$14&gt;$F$58</formula>
    </cfRule>
  </conditionalFormatting>
  <conditionalFormatting sqref="F40">
    <cfRule type="expression" dxfId="1245" priority="585">
      <formula>$E40="Folga(DSR)"</formula>
    </cfRule>
    <cfRule type="expression" dxfId="1244" priority="586">
      <formula>$E40="Feriado"</formula>
    </cfRule>
    <cfRule type="expression" dxfId="1243" priority="587">
      <formula>$D40="Dom"</formula>
    </cfRule>
  </conditionalFormatting>
  <dataValidations count="3">
    <dataValidation type="list" allowBlank="1" showInputMessage="1" showErrorMessage="1" sqref="G8:G38">
      <formula1>"Normal,Feriado,Folga (DSR),Falta Justificada,Férias,Falta Injustificada"</formula1>
    </dataValidation>
    <dataValidation type="time" allowBlank="1" showInputMessage="1" showErrorMessage="1" sqref="L30:L37 H8:K38">
      <formula1>0</formula1>
      <formula2>0.999988425925926</formula2>
    </dataValidation>
    <dataValidation type="list" allowBlank="1" showInputMessage="1" showErrorMessage="1" sqref="E9:E35">
      <formula1>"1,5,10,16"</formula1>
    </dataValidation>
  </dataValidations>
  <hyperlinks>
    <hyperlink ref="C8" location="Lanç!A1" display="Lanç!A1"/>
    <hyperlink ref="C9" location="'Lanç (2)'!A1" display="'Lanç (2)'!A1"/>
    <hyperlink ref="C10" location="'Lanç (3)'!A1" display="'Lanç (3)'!A1"/>
    <hyperlink ref="C11" location="'Lanç (4)'!A1" display="'Lanç (4)'!A1"/>
    <hyperlink ref="C12" location="'Lanç (5)'!A1" display="'Lanç (5)'!A1"/>
    <hyperlink ref="C13" location="'Lanç (6)'!A1" display="'Lanç (6)'!A1"/>
    <hyperlink ref="C14" location="'Lanç (7)'!A1" display="'Lanç (7)'!A1"/>
    <hyperlink ref="C15" location="'Lanç (8)'!A1" display="'Lanç (8)'!A1"/>
    <hyperlink ref="C16" location="'Lanç (9)'!A1" display="'Lanç (9)'!A1"/>
    <hyperlink ref="C17" location="'Lanç (10)'!A1" display="'Lanç (10)'!A1"/>
    <hyperlink ref="C18" location="'Lanç (11)'!A1" display="'Lanç (11)'!A1"/>
    <hyperlink ref="C19" location="'Lanç (12)'!A1" display="'Lanç (12)'!A1"/>
    <hyperlink ref="C20" location="'Lanç (13)'!A1" display="'Lanç (13)'!A1"/>
    <hyperlink ref="C21" location="'Lanç (14)'!A1" display="'Lanç (14)'!A1"/>
    <hyperlink ref="C22" location="'Lanç (15)'!A1" display="'Lanç (15)'!A1"/>
    <hyperlink ref="C23" location="'Lanç (16)'!A1" display="'Lanç (16)'!A1"/>
    <hyperlink ref="C24" location="'Lanç (17)'!A1" display="'Lanç (17)'!A1"/>
    <hyperlink ref="C25" location="'Lanç (18)'!A1" display="'Lanç (18)'!A1"/>
    <hyperlink ref="C26" location="'Lanç (19)'!A1" display="'Lanç (19)'!A1"/>
    <hyperlink ref="C27" location="'Lanç (20)'!A1" display="'Lanç (20)'!A1"/>
    <hyperlink ref="C28" location="'Lanç (21)'!A1" display="'Lanç (21)'!A1"/>
    <hyperlink ref="C29" location="'Lanç (22)'!A1" display="'Lanç (22)'!A1"/>
    <hyperlink ref="C30" location="'Lanç (23)'!A1" display="'Lanç (23)'!A1"/>
    <hyperlink ref="C31" location="'Lanç (24)'!A1" display="'Lanç (24)'!A1"/>
    <hyperlink ref="C32" location="'Lanç (25)'!A1" display="'Lanç (25)'!A1"/>
    <hyperlink ref="C33" location="'Lanç (26)'!A1" display="'Lanç (26)'!A1"/>
    <hyperlink ref="C34" location="'Lanç (27)'!A1" display="'Lanç (27)'!A1"/>
    <hyperlink ref="C35" location="'Lanç (28)'!A1" display="'Lanç (28)'!A1"/>
    <hyperlink ref="C36" location="'Lanç (29)'!A1" display="'Lanç (29)'!A1"/>
    <hyperlink ref="C37" location="'Lanç (30)'!A1" display="'Lanç (30)'!A1"/>
  </hyperlinks>
  <printOptions horizontalCentered="1"/>
  <pageMargins left="0.23622047244094502" right="0.23622047244094502" top="0.74803149606299202" bottom="0.74803149606299202" header="0.31496062992126" footer="0.31496062992126"/>
  <pageSetup paperSize="9" scale="53" orientation="portrait" cellComments="atEnd"/>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164" id="{AD86988E-6933-1B4E-A8CE-02392337E8DA}">
            <xm:f>'P Gerais'!$I$10:$M$10="Pagas em Dinheiro"</xm:f>
            <x14:dxf>
              <font>
                <color theme="0"/>
              </font>
              <fill>
                <patternFill>
                  <bgColor theme="0"/>
                </patternFill>
              </fill>
              <border>
                <left/>
                <right/>
                <top/>
                <bottom/>
              </border>
            </x14:dxf>
          </x14:cfRule>
          <xm:sqref>S10:T13</xm:sqref>
        </x14:conditionalFormatting>
        <x14:conditionalFormatting xmlns:xm="http://schemas.microsoft.com/office/excel/2006/main">
          <x14:cfRule type="expression" priority="163" id="{76378912-8AA1-E54C-85D4-453791750370}">
            <xm:f>'P Gerais'!$I$10:$M$10="Sistema de banco de horas"</xm:f>
            <x14:dxf>
              <font>
                <color theme="0"/>
              </font>
              <fill>
                <patternFill>
                  <bgColor theme="0"/>
                </patternFill>
              </fill>
              <border>
                <left/>
                <right/>
                <top/>
                <bottom/>
              </border>
            </x14:dxf>
          </x14:cfRule>
          <xm:sqref>S18:T19</xm:sqref>
        </x14:conditionalFormatting>
        <x14:conditionalFormatting xmlns:xm="http://schemas.microsoft.com/office/excel/2006/main">
          <x14:cfRule type="expression" priority="22" id="{742D40F5-C99D-5540-80ED-66B6FFB6FF3B}">
            <xm:f>'P Gerais'!$I$10:$M$10="Sistema de banco de horas"</xm:f>
            <x14:dxf>
              <font>
                <color theme="0"/>
              </font>
              <fill>
                <patternFill>
                  <bgColor theme="0"/>
                </patternFill>
              </fill>
              <border>
                <left/>
                <right/>
                <top/>
                <bottom/>
              </border>
            </x14:dxf>
          </x14:cfRule>
          <xm:sqref>U18:U19</xm:sqref>
        </x14:conditionalFormatting>
        <x14:conditionalFormatting xmlns:xm="http://schemas.microsoft.com/office/excel/2006/main">
          <x14:cfRule type="expression" priority="19" id="{46332FE9-90CD-C540-8723-ABFA7B3871E1}">
            <xm:f>'P Gerais'!$I$10:$M$10="Pagas em Dinheiro"</xm:f>
            <x14:dxf>
              <font>
                <color theme="0"/>
              </font>
              <fill>
                <patternFill>
                  <bgColor theme="0"/>
                </patternFill>
              </fill>
              <border>
                <left/>
                <right/>
                <top/>
                <bottom/>
              </border>
            </x14:dxf>
          </x14:cfRule>
          <xm:sqref>U10:U13</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8" enableFormatConditionsCalculation="0"/>
  <dimension ref="A1:BG103"/>
  <sheetViews>
    <sheetView showGridLines="0" zoomScale="90" zoomScaleNormal="90" zoomScalePageLayoutView="90" workbookViewId="0">
      <selection activeCell="G8" sqref="G8"/>
    </sheetView>
  </sheetViews>
  <sheetFormatPr baseColWidth="10" defaultColWidth="9.1640625" defaultRowHeight="0" customHeight="1" zeroHeight="1" x14ac:dyDescent="0.2"/>
  <cols>
    <col min="1" max="1" width="27.83203125" style="194" customWidth="1"/>
    <col min="2" max="2" width="3.83203125" style="14" customWidth="1"/>
    <col min="3" max="3" width="33.33203125" style="14" customWidth="1"/>
    <col min="4" max="4" width="2.83203125" style="14" customWidth="1"/>
    <col min="5" max="5" width="5.83203125" style="14" customWidth="1"/>
    <col min="6" max="6" width="11.83203125" style="14" customWidth="1"/>
    <col min="7" max="7" width="14.33203125" style="195" customWidth="1"/>
    <col min="8" max="11" width="9.83203125" style="14" customWidth="1"/>
    <col min="12" max="12" width="1.83203125" style="14" customWidth="1"/>
    <col min="13" max="13" width="13.33203125" style="14" customWidth="1"/>
    <col min="14" max="14" width="1.83203125" style="14" customWidth="1"/>
    <col min="15" max="15" width="13.33203125" style="14" customWidth="1"/>
    <col min="16" max="16" width="1.83203125" style="14" customWidth="1"/>
    <col min="17" max="17" width="13.33203125" style="14" customWidth="1"/>
    <col min="18" max="18" width="4.83203125" style="2" bestFit="1" customWidth="1"/>
    <col min="19" max="21" width="11.83203125" style="14" customWidth="1"/>
    <col min="22" max="23" width="8.83203125" style="2" customWidth="1"/>
    <col min="24" max="24" width="11.33203125" style="2" bestFit="1" customWidth="1"/>
    <col min="25" max="25" width="8.83203125" style="2" customWidth="1"/>
    <col min="26" max="26" width="8.1640625" style="219" bestFit="1" customWidth="1"/>
    <col min="27" max="27" width="8.83203125" style="2" customWidth="1"/>
    <col min="28" max="28" width="11.33203125" style="2" bestFit="1" customWidth="1"/>
    <col min="29" max="43" width="8.83203125" style="2" customWidth="1"/>
    <col min="44" max="50" width="11.33203125" style="2" customWidth="1"/>
    <col min="51" max="57" width="11.33203125" style="14" customWidth="1"/>
    <col min="58" max="16384" width="9.1640625" style="14"/>
  </cols>
  <sheetData>
    <row r="1" spans="1:59" s="15" customFormat="1" ht="33.75" customHeight="1" x14ac:dyDescent="0.3">
      <c r="A1" s="56"/>
      <c r="B1" s="3"/>
      <c r="C1" s="4" t="s">
        <v>30</v>
      </c>
      <c r="D1" s="3"/>
      <c r="E1" s="3"/>
      <c r="F1" s="3"/>
      <c r="G1" s="77"/>
      <c r="H1" s="3"/>
      <c r="I1" s="3"/>
      <c r="J1" s="3"/>
      <c r="K1" s="3"/>
      <c r="M1" s="3"/>
      <c r="O1" s="3"/>
      <c r="Q1" s="3"/>
      <c r="S1" s="3"/>
      <c r="T1" s="3"/>
      <c r="U1" s="3"/>
      <c r="Z1" s="174"/>
    </row>
    <row r="2" spans="1:59" s="15" customFormat="1" ht="21.5" customHeight="1" x14ac:dyDescent="0.2">
      <c r="A2" s="1"/>
      <c r="B2" s="3"/>
      <c r="C2" s="3"/>
      <c r="D2" s="3"/>
      <c r="E2" s="3"/>
      <c r="F2" s="3"/>
      <c r="G2" s="77"/>
      <c r="H2" s="3"/>
      <c r="I2" s="3"/>
      <c r="J2" s="3"/>
      <c r="K2" s="3"/>
      <c r="M2" s="3"/>
      <c r="O2" s="3"/>
      <c r="Q2" s="3"/>
      <c r="S2" s="3"/>
      <c r="T2" s="3"/>
      <c r="U2" s="3"/>
      <c r="Z2" s="174"/>
    </row>
    <row r="3" spans="1:59" s="15" customFormat="1" ht="21.5" customHeight="1" x14ac:dyDescent="0.2">
      <c r="A3" s="1"/>
      <c r="B3" s="3"/>
      <c r="C3" s="3"/>
      <c r="D3" s="3"/>
      <c r="E3" s="3"/>
      <c r="F3" s="3"/>
      <c r="G3" s="77"/>
      <c r="H3" s="3"/>
      <c r="I3" s="3"/>
      <c r="J3" s="3"/>
      <c r="K3" s="3"/>
      <c r="M3" s="3"/>
      <c r="O3" s="3"/>
      <c r="Q3" s="3"/>
      <c r="S3" s="3"/>
      <c r="T3" s="3"/>
      <c r="U3" s="3"/>
      <c r="Z3" s="174"/>
    </row>
    <row r="4" spans="1:59" s="2" customFormat="1" ht="30" customHeight="1" x14ac:dyDescent="0.2">
      <c r="A4" s="1"/>
      <c r="B4"/>
      <c r="C4"/>
      <c r="D4"/>
      <c r="E4"/>
      <c r="F4"/>
      <c r="G4" s="78"/>
      <c r="H4"/>
      <c r="I4"/>
      <c r="J4"/>
      <c r="K4"/>
      <c r="M4"/>
      <c r="O4" s="13"/>
      <c r="Q4"/>
      <c r="S4"/>
      <c r="T4"/>
      <c r="U4"/>
      <c r="Z4" s="219"/>
      <c r="AN4" s="175"/>
    </row>
    <row r="5" spans="1:59" s="2" customFormat="1" ht="30" customHeight="1" x14ac:dyDescent="0.2">
      <c r="A5" s="9"/>
      <c r="C5" s="160" t="s">
        <v>189</v>
      </c>
      <c r="K5" s="157">
        <f ca="1">IF(ISERROR(VLOOKUP(INDIRECT($C$5),Jornada!$C$8:$F$37,4,0)),0,VLOOKUP(INDIRECT($C$5),Jornada!$C$8:$F$37,4,0))</f>
        <v>0</v>
      </c>
      <c r="L5" s="158"/>
      <c r="M5" s="157">
        <f ca="1">IF(ISERROR(VLOOKUP(INDIRECT($C$5),Jornada!$C$8:$G$37,5,0)),0,VLOOKUP(INDIRECT($C$5),Jornada!$C$8:$G$37,5,0))</f>
        <v>0</v>
      </c>
      <c r="O5" s="12"/>
      <c r="U5" s="12"/>
      <c r="Z5" s="219"/>
      <c r="AC5" s="12"/>
      <c r="AK5" s="179">
        <v>0.25</v>
      </c>
      <c r="AL5" s="155">
        <v>0.91666666666666663</v>
      </c>
      <c r="AM5" s="155">
        <v>0.20833333333333334</v>
      </c>
      <c r="AN5" s="155">
        <v>1</v>
      </c>
      <c r="AO5" s="155">
        <v>0.70833333333333337</v>
      </c>
    </row>
    <row r="6" spans="1:59" s="2" customFormat="1" ht="8" customHeight="1" thickBot="1" x14ac:dyDescent="0.25">
      <c r="A6" s="9"/>
      <c r="C6" s="198"/>
      <c r="G6" s="178"/>
      <c r="M6" s="220">
        <v>1</v>
      </c>
      <c r="O6" s="156"/>
      <c r="Q6" s="156"/>
      <c r="Z6" s="176"/>
    </row>
    <row r="7" spans="1:59" s="2" customFormat="1" ht="30" customHeight="1" thickTop="1" thickBot="1" x14ac:dyDescent="0.25">
      <c r="A7" s="1"/>
      <c r="B7"/>
      <c r="C7" s="76" t="s">
        <v>176</v>
      </c>
      <c r="D7"/>
      <c r="E7" s="281" t="str">
        <f>Lanç!E7</f>
        <v>Janeiro</v>
      </c>
      <c r="F7" s="283"/>
      <c r="G7" s="79" t="s">
        <v>58</v>
      </c>
      <c r="H7" s="82" t="s">
        <v>0</v>
      </c>
      <c r="I7" s="293" t="s">
        <v>59</v>
      </c>
      <c r="J7" s="293"/>
      <c r="K7" s="82" t="s">
        <v>60</v>
      </c>
      <c r="M7" s="73" t="s">
        <v>61</v>
      </c>
      <c r="O7" s="73" t="s">
        <v>62</v>
      </c>
      <c r="Q7" s="73" t="s">
        <v>63</v>
      </c>
      <c r="R7" s="155">
        <v>8.3333333333333329E-2</v>
      </c>
      <c r="S7" s="293" t="s">
        <v>64</v>
      </c>
      <c r="T7" s="293"/>
      <c r="U7" s="293"/>
      <c r="W7" s="2" t="s">
        <v>90</v>
      </c>
      <c r="X7" s="156">
        <v>1</v>
      </c>
      <c r="AB7" s="2">
        <f>VLOOKUP($E$7,$W$7:$X$18,2,0)</f>
        <v>1</v>
      </c>
      <c r="AG7" s="176" t="s">
        <v>167</v>
      </c>
      <c r="AH7" s="176" t="s">
        <v>168</v>
      </c>
      <c r="AI7" s="155">
        <v>0</v>
      </c>
      <c r="AJ7" s="155">
        <v>1</v>
      </c>
      <c r="AK7" s="155">
        <v>0.45833333333333331</v>
      </c>
      <c r="AL7" s="2" t="s">
        <v>0</v>
      </c>
      <c r="AM7" s="2" t="s">
        <v>162</v>
      </c>
      <c r="AN7" s="2" t="s">
        <v>184</v>
      </c>
      <c r="BE7" s="14"/>
      <c r="BF7" s="14"/>
      <c r="BG7" s="14"/>
    </row>
    <row r="8" spans="1:59" s="2" customFormat="1" ht="30" customHeight="1" thickTop="1" thickBot="1" x14ac:dyDescent="0.25">
      <c r="A8" s="1"/>
      <c r="B8"/>
      <c r="C8" s="172" t="str">
        <f>IF(Funcionários!C7=0,"",Funcionários!C7)</f>
        <v/>
      </c>
      <c r="D8"/>
      <c r="E8" s="115">
        <f>Lanç!E8</f>
        <v>1</v>
      </c>
      <c r="F8" s="189" t="str">
        <f>Lanç!F8</f>
        <v>Dom</v>
      </c>
      <c r="G8" s="80"/>
      <c r="H8" s="93"/>
      <c r="I8" s="93"/>
      <c r="J8" s="93"/>
      <c r="K8" s="93"/>
      <c r="L8" s="197"/>
      <c r="M8" s="95">
        <f>IF(AND(H8=K8,H8&lt;&gt;0),$M$6-IF(J8&lt;I8,$AJ$7+J8-I8,J8-I8),IF(H8&gt;K8,(K8+1-H8)-IF(J8&lt;I8,$AJ$7+J8-I8,J8-I8),(K8-H8)-IF(J8&lt;I8,$AJ$7+J8-I8,J8-I8)))</f>
        <v>0</v>
      </c>
      <c r="N8" s="196"/>
      <c r="O8" s="95">
        <f ca="1">IF(OR(G8=0,G8="Férias",G8="Falta Justificada",G8="Feriado",G8="Folga (DSR)"),0,IF(G8="Falta Injustificada",HLOOKUP($F8,Jornada!$X$7:$AD$37,VLOOKUP(INDIRECT($C$5),Jornada!$C$8:$W$37,21,0),0),IF(HLOOKUP($F8,Jornada!$X$7:$AD$37,VLOOKUP(INDIRECT($C$5),Jornada!$C$8:$W$37,21,0),0)-M8&gt;0,HLOOKUP($F8,Jornada!$X$7:$AD$37,VLOOKUP(INDIRECT($C$5),Jornada!$C$8:$W$37,21,0),0)-M8,0)))</f>
        <v>0</v>
      </c>
      <c r="P8" s="193">
        <f ca="1">IF(HLOOKUP($F8,Jornada!$X$7:$AD$37,VLOOKUP(INDIRECT($C$5),Jornada!$C$8:$W$37,21,0),0)-M8&lt;0,ABS(HLOOKUP($F8,Jornada!$X$7:$AD$37,VLOOKUP(INDIRECT($C$5),Jornada!$C$8:$W$37,21,0),0)-M8),0)</f>
        <v>0</v>
      </c>
      <c r="Q8" s="95">
        <f t="shared" ref="Q8:Q38" si="0">IF(G8="Normal",P8,IF(G8=0,0,IF(OR(G8="Feriado",G8="Férias"),IF(H8&gt;K8,(K8+1-H8)-IF(J8&lt;I8,$AJ$7+J8-I8,J8-I8),(K8-H8)-IF(J8&lt;I8,$AJ$7+J8-I8,J8-I8)),IF(G8="Folga (DSR)",IF(H8&gt;K8,(K8+1-H8)-IF(J8&lt;I8,$AJ$7+J8-I8,J8-I8),(K8-H8)-IF(J8&lt;I8,$AJ$7+J8-I8,J8-I8)),IF(G8="Falta Justificada",IF(H8&gt;K8,(K8+1-H8)-IF(J8&lt;I8,$AJ$7+J8-I8,J8-I8),(K8-H8)-IF(J8&lt;I8,$AJ$7+J8-I8,J8-I8)),0)))))</f>
        <v>0</v>
      </c>
      <c r="R8" s="2">
        <f>IF(Q8&gt;$R$7,1,0)</f>
        <v>0</v>
      </c>
      <c r="S8" s="294" t="s">
        <v>65</v>
      </c>
      <c r="T8" s="294"/>
      <c r="U8" s="295">
        <f>SUM(M8:M38)</f>
        <v>0</v>
      </c>
      <c r="W8" s="2" t="s">
        <v>91</v>
      </c>
      <c r="X8" s="156">
        <v>2</v>
      </c>
      <c r="AB8" s="177">
        <f>DATE('P Gerais'!$D$6,AB7,1)</f>
        <v>1</v>
      </c>
      <c r="AC8" s="2">
        <f>WEEKDAY(AB8)</f>
        <v>1</v>
      </c>
      <c r="AE8" s="2">
        <v>1</v>
      </c>
      <c r="AF8" s="2" t="s">
        <v>51</v>
      </c>
      <c r="AG8" s="220">
        <f>IF(J8&lt;I8,$AJ$7+J8-I8,J8-I8)</f>
        <v>0</v>
      </c>
      <c r="AH8" s="220">
        <f ca="1">IF(HLOOKUP($F8,Jornada!$X$7:$AD$37,VLOOKUP(INDIRECT($C$5),Jornada!$C$8:$W$37,21,0),0)=0,0,VLOOKUP(INDIRECT($C$5),Jornada!$C$8:$H$37,4,0))</f>
        <v>0</v>
      </c>
      <c r="AI8" s="155">
        <f ca="1">IF(AND(I8=0,J8=0,OR(H8&lt;&gt;0,K8&lt;&gt;0),HLOOKUP($F8,Jornada!$X$7:$AD$37,VLOOKUP(INDIRECT($C$5),Jornada!$C$8:$W$37,21,0),0)&gt;$AK$5,M8&gt;$AK$5),VLOOKUP(INDIRECT($C$5),Jornada!$C$8:$H$37,6,0),IF(AG8&gt;VLOOKUP(INDIRECT($C$5),Jornada!$C$8:$H$37,6,0),IF(VLOOKUP(INDIRECT($C$5),Jornada!$C$8:$H$37,6,0)&lt;AG8,0,ABS(VLOOKUP(INDIRECT($C$5),Jornada!$C$8:$H$37,6,0))-AG8),0))</f>
        <v>0</v>
      </c>
      <c r="AJ8" s="155">
        <f>($AJ$7-K8)+H8</f>
        <v>1</v>
      </c>
      <c r="AK8" s="155">
        <f>IF(AJ8&lt;$AK$7,$AK$7-AJ8,$AI$7)</f>
        <v>0</v>
      </c>
      <c r="AL8" s="155">
        <f ca="1">HLOOKUP($F8,Jornada!$I$5:$V$37,VLOOKUP(INDIRECT($C$5),Jornada!$C$8:$W$37,21,0)+2,0)</f>
        <v>0</v>
      </c>
      <c r="AM8" s="155">
        <f ca="1">HLOOKUP($F8,Jornada!$I$4:$V$37,VLOOKUP(INDIRECT($C$5),Jornada!$C$8:$W$37,21,0)+3,0)</f>
        <v>0</v>
      </c>
      <c r="AN8" s="155">
        <f ca="1">IF(AND(AL8&gt;=$AL$5,AL8&lt;$AN$5,H8&gt;=$AL$5,H8&lt;AL8),AL8-H8,IF(AND(AL8&gt;$AI$7,AL8&lt;=$AM$5,H8&gt;=$AL$5,H8&lt;=$AN$5),$AN$5-H8+AL8,IF(AND(AL8&gt;=$AI$7,AL8&lt;=$AM$5,H8&gt;=$AI$7,H8&lt;=$AM$5,H8&lt;AL8),H8-AL8,0)))</f>
        <v>0</v>
      </c>
      <c r="AO8" s="155">
        <f>IF(AP8&gt;Q8,0,AP8)</f>
        <v>0</v>
      </c>
      <c r="AP8" s="155">
        <f>IF(Q8=0,0,IF(AND(AM8&gt;=$AL$5,AM8&lt;$AN$5,K8&gt;=$AL$5,K8&lt;$AM$5,K8&gt;AM8),K8-AM8,IF(AND(AM8&gt;=$AL$5,AM8&lt;$AN$5,K8&lt;$AN$5,K8&gt;AM8),K8-$AL$5,IF(AND(AM8&gt;=$AI$7,AM8&lt;$AM$5,K8&lt;$AM$5),K8-AM8,IF(AND(AM8&lt;&gt;AI7,AM8&gt;=$AI$7,AM8&lt;=$AM$5,K8&gt;$AM$5,K8&gt;AM8),$AM$5-AM8,IF(AND(K8&gt;$AL$5,K8&lt;$AN$5),K8-$AL$5,IF(AND(K8&gt;$AI$7,K8&lt;$AM$5),$AN$5-$AL$5+K8,IF(AND(OR(K8&gt;$AL$5,H8&gt;$AO$5),AM8&gt;=$AI$7,AM8&lt;$AM$5,K8&gt;$AM$5),(1+$AM$5-$AL$5)-AG8,0))))))))</f>
        <v>0</v>
      </c>
      <c r="BE8" s="14"/>
      <c r="BF8" s="14"/>
      <c r="BG8" s="14"/>
    </row>
    <row r="9" spans="1:59" s="2" customFormat="1" ht="30" customHeight="1" thickTop="1" thickBot="1" x14ac:dyDescent="0.25">
      <c r="A9" s="1"/>
      <c r="B9"/>
      <c r="C9" s="172" t="str">
        <f>IF(Funcionários!C8=0,"",Funcionários!C8)</f>
        <v/>
      </c>
      <c r="D9"/>
      <c r="E9" s="115">
        <f>Lanç!E9</f>
        <v>2</v>
      </c>
      <c r="F9" s="189" t="str">
        <f>Lanç!F9</f>
        <v>Seg</v>
      </c>
      <c r="G9" s="80"/>
      <c r="H9" s="94"/>
      <c r="I9" s="94"/>
      <c r="J9" s="94"/>
      <c r="K9" s="94"/>
      <c r="L9" s="197"/>
      <c r="M9" s="95">
        <f t="shared" ref="M9:M38" si="1">IF(AND(H9=K9,H9&lt;&gt;0),$M$6-IF(J9&lt;I9,$AJ$7+J9-I9,J9-I9),IF(H9&gt;K9,(K9+1-H9)-IF(J9&lt;I9,$AJ$7+J9-I9,J9-I9),(K9-H9)-IF(J9&lt;I9,$AJ$7+J9-I9,J9-I9)))</f>
        <v>0</v>
      </c>
      <c r="N9" s="196"/>
      <c r="O9" s="95">
        <f ca="1">IF(OR(G9=0,G9="Férias",G9="Falta Justificada",G9="Feriado",G9="Folga (DSR)"),0,IF(G9="Falta Injustificada",HLOOKUP($F9,Jornada!$X$7:$AD$37,VLOOKUP(INDIRECT($C$5),Jornada!$C$8:$W$37,21,0),0),IF(HLOOKUP($F9,Jornada!$X$7:$AD$37,VLOOKUP(INDIRECT($C$5),Jornada!$C$8:$W$37,21,0),0)-M9&gt;0,HLOOKUP($F9,Jornada!$X$7:$AD$37,VLOOKUP(INDIRECT($C$5),Jornada!$C$8:$W$37,21,0),0)-M9,0)))</f>
        <v>0</v>
      </c>
      <c r="P9" s="193">
        <f ca="1">IF(HLOOKUP($F9,Jornada!$X$7:$AD$37,VLOOKUP(INDIRECT($C$5),Jornada!$C$8:$W$37,21,0),0)-M9&lt;0,ABS(HLOOKUP($F9,Jornada!$X$7:$AD$37,VLOOKUP(INDIRECT($C$5),Jornada!$C$8:$W$37,21,0),0)-M9),0)</f>
        <v>0</v>
      </c>
      <c r="Q9" s="95">
        <f t="shared" si="0"/>
        <v>0</v>
      </c>
      <c r="R9" s="2">
        <f t="shared" ref="R9:R38" si="2">IF(Q9&gt;$R$7,1,0)</f>
        <v>0</v>
      </c>
      <c r="S9" s="294"/>
      <c r="T9" s="294"/>
      <c r="U9" s="295"/>
      <c r="W9" s="2" t="s">
        <v>92</v>
      </c>
      <c r="X9" s="156">
        <v>3</v>
      </c>
      <c r="AB9" s="177">
        <f>AB8+1</f>
        <v>2</v>
      </c>
      <c r="AC9" s="2">
        <f t="shared" ref="AC9:AC35" si="3">WEEKDAY(AB9)</f>
        <v>2</v>
      </c>
      <c r="AE9" s="2">
        <v>2</v>
      </c>
      <c r="AF9" s="2" t="s">
        <v>52</v>
      </c>
      <c r="AG9" s="220">
        <f t="shared" ref="AG9:AG38" si="4">IF(J9&lt;I9,$AJ$7+J9-I9,J9-I9)</f>
        <v>0</v>
      </c>
      <c r="AH9" s="220">
        <f ca="1">IF(HLOOKUP($F9,Jornada!$X$7:$AD$37,VLOOKUP(INDIRECT($C$5),Jornada!$C$8:$W$37,21,0),0)=0,0,VLOOKUP(INDIRECT($C$5),Jornada!$C$8:$H$37,4,0))</f>
        <v>0</v>
      </c>
      <c r="AI9" s="155">
        <f ca="1">IF(AND(I9=0,J9=0,OR(H9&lt;&gt;0,K9&lt;&gt;0),HLOOKUP($F9,Jornada!$X$7:$AD$37,VLOOKUP(INDIRECT($C$5),Jornada!$C$8:$W$37,21,0),0)&gt;$AK$5,M9&gt;$AK$5),VLOOKUP(INDIRECT($C$5),Jornada!$C$8:$H$37,6,0),IF(AG9&gt;VLOOKUP(INDIRECT($C$5),Jornada!$C$8:$H$37,6,0),IF(VLOOKUP(INDIRECT($C$5),Jornada!$C$8:$H$37,6,0)&lt;AG9,0,ABS(VLOOKUP(INDIRECT($C$5),Jornada!$C$8:$H$37,6,0))-AG9),0))</f>
        <v>0</v>
      </c>
      <c r="AJ9" s="155">
        <f t="shared" ref="AJ9:AJ38" si="5">($AJ$7-K9)+H9</f>
        <v>1</v>
      </c>
      <c r="AK9" s="155">
        <f t="shared" ref="AK9:AK38" si="6">IF(AJ9&lt;$AK$7,$AK$7-AJ9,$AI$7)</f>
        <v>0</v>
      </c>
      <c r="AL9" s="155">
        <f ca="1">HLOOKUP($F9,Jornada!$I$5:$V$37,VLOOKUP(INDIRECT($C$5),Jornada!$C$8:$W$37,21,0)+2,0)</f>
        <v>0</v>
      </c>
      <c r="AM9" s="155">
        <f ca="1">HLOOKUP($F9,Jornada!$I$4:$V$37,VLOOKUP(INDIRECT($C$5),Jornada!$C$8:$W$37,21,0)+3,0)</f>
        <v>0</v>
      </c>
      <c r="AN9" s="155">
        <f t="shared" ref="AN9:AN38" ca="1" si="7">IF(AND(AL9&gt;=$AL$5,AL9&lt;$AN$5,H9&gt;=$AL$5,H9&lt;AL9),AL9-H9,IF(AND(AL9&gt;$AI$7,AL9&lt;=$AM$5,H9&gt;=$AL$5,H9&lt;=$AN$5),$AN$5-H9+AL9,IF(AND(AL9&gt;=$AI$7,AL9&lt;=$AM$5,H9&gt;=$AI$7,H9&lt;=$AM$5,H9&lt;AL9),H9-AL9,0)))</f>
        <v>0</v>
      </c>
      <c r="AO9" s="155">
        <f t="shared" ref="AO9:AO38" si="8">IF(AP9&gt;Q9,0,AP9)</f>
        <v>0</v>
      </c>
      <c r="AP9" s="155">
        <f t="shared" ref="AP9:AP38" si="9">IF(Q9=0,0,IF(AND(AM9&gt;=$AL$5,AM9&lt;$AN$5,K9&gt;=$AL$5,K9&lt;$AM$5,K9&gt;AM9),K9-AM9,IF(AND(AM9&gt;=$AL$5,AM9&lt;$AN$5,K9&lt;$AN$5,K9&gt;AM9),K9-$AL$5,IF(AND(AM9&gt;=$AI$7,AM9&lt;$AM$5,K9&lt;$AM$5),K9-AM9,IF(AND(AM9&lt;&gt;AI8,AM9&gt;=$AI$7,AM9&lt;=$AM$5,K9&gt;$AM$5,K9&gt;AM9),$AM$5-AM9,IF(AND(K9&gt;$AL$5,K9&lt;$AN$5),K9-$AL$5,IF(AND(K9&gt;$AI$7,K9&lt;$AM$5),$AN$5-$AL$5+K9,IF(AND(OR(K9&gt;$AL$5,H9&gt;$AO$5),AM9&gt;=$AI$7,AM9&lt;$AM$5,K9&gt;$AM$5),(1+$AM$5-$AL$5)-AG9,0))))))))</f>
        <v>0</v>
      </c>
      <c r="BE9" s="14"/>
      <c r="BF9" s="14"/>
      <c r="BG9" s="14"/>
    </row>
    <row r="10" spans="1:59" s="2" customFormat="1" ht="30" customHeight="1" thickTop="1" thickBot="1" x14ac:dyDescent="0.25">
      <c r="A10" s="1"/>
      <c r="B10"/>
      <c r="C10" s="172" t="str">
        <f>IF(Funcionários!C9=0,"",Funcionários!C9)</f>
        <v/>
      </c>
      <c r="D10"/>
      <c r="E10" s="115">
        <f>Lanç!E10</f>
        <v>3</v>
      </c>
      <c r="F10" s="189" t="str">
        <f>Lanç!F10</f>
        <v>Ter</v>
      </c>
      <c r="G10" s="80"/>
      <c r="H10" s="94"/>
      <c r="I10" s="94"/>
      <c r="J10" s="94"/>
      <c r="K10" s="94"/>
      <c r="L10" s="197"/>
      <c r="M10" s="95">
        <f t="shared" si="1"/>
        <v>0</v>
      </c>
      <c r="N10" s="196"/>
      <c r="O10" s="95">
        <f ca="1">IF(OR(G10=0,G10="Férias",G10="Falta Justificada",G10="Feriado",G10="Folga (DSR)"),0,IF(G10="Falta Injustificada",HLOOKUP($F10,Jornada!$X$7:$AD$37,VLOOKUP(INDIRECT($C$5),Jornada!$C$8:$W$37,21,0),0),IF(HLOOKUP($F10,Jornada!$X$7:$AD$37,VLOOKUP(INDIRECT($C$5),Jornada!$C$8:$W$37,21,0),0)-M10&gt;0,HLOOKUP($F10,Jornada!$X$7:$AD$37,VLOOKUP(INDIRECT($C$5),Jornada!$C$8:$W$37,21,0),0)-M10,0)))</f>
        <v>0</v>
      </c>
      <c r="P10" s="193">
        <f ca="1">IF(HLOOKUP($F10,Jornada!$X$7:$AD$37,VLOOKUP(INDIRECT($C$5),Jornada!$C$8:$W$37,21,0),0)-M10&lt;0,ABS(HLOOKUP($F10,Jornada!$X$7:$AD$37,VLOOKUP(INDIRECT($C$5),Jornada!$C$8:$W$37,21,0),0)-M10),0)</f>
        <v>0</v>
      </c>
      <c r="Q10" s="95">
        <f t="shared" si="0"/>
        <v>0</v>
      </c>
      <c r="R10" s="2">
        <f t="shared" si="2"/>
        <v>0</v>
      </c>
      <c r="S10" s="294" t="s">
        <v>66</v>
      </c>
      <c r="T10" s="294"/>
      <c r="U10" s="295">
        <f ca="1">IF(M5="Horas devidas",ABS(-K5+F58-U14),ABS(K5+F58-U14))</f>
        <v>0</v>
      </c>
      <c r="W10" s="2" t="s">
        <v>93</v>
      </c>
      <c r="X10" s="156">
        <v>4</v>
      </c>
      <c r="AB10" s="177">
        <f t="shared" ref="AB10:AB34" si="10">AB9+1</f>
        <v>3</v>
      </c>
      <c r="AC10" s="2">
        <f t="shared" si="3"/>
        <v>3</v>
      </c>
      <c r="AE10" s="2">
        <v>3</v>
      </c>
      <c r="AF10" s="2" t="s">
        <v>53</v>
      </c>
      <c r="AG10" s="220">
        <f t="shared" si="4"/>
        <v>0</v>
      </c>
      <c r="AH10" s="220">
        <f ca="1">IF(HLOOKUP($F10,Jornada!$X$7:$AD$37,VLOOKUP(INDIRECT($C$5),Jornada!$C$8:$W$37,21,0),0)=0,0,VLOOKUP(INDIRECT($C$5),Jornada!$C$8:$H$37,4,0))</f>
        <v>0</v>
      </c>
      <c r="AI10" s="155">
        <f ca="1">IF(AND(I10=0,J10=0,OR(H10&lt;&gt;0,K10&lt;&gt;0),HLOOKUP($F10,Jornada!$X$7:$AD$37,VLOOKUP(INDIRECT($C$5),Jornada!$C$8:$W$37,21,0),0)&gt;$AK$5,M10&gt;$AK$5),VLOOKUP(INDIRECT($C$5),Jornada!$C$8:$H$37,6,0),IF(AG10&gt;VLOOKUP(INDIRECT($C$5),Jornada!$C$8:$H$37,6,0),IF(VLOOKUP(INDIRECT($C$5),Jornada!$C$8:$H$37,6,0)&lt;AG10,0,ABS(VLOOKUP(INDIRECT($C$5),Jornada!$C$8:$H$37,6,0))-AG10),0))</f>
        <v>0</v>
      </c>
      <c r="AJ10" s="155">
        <f t="shared" si="5"/>
        <v>1</v>
      </c>
      <c r="AK10" s="155">
        <f t="shared" si="6"/>
        <v>0</v>
      </c>
      <c r="AL10" s="155">
        <f ca="1">HLOOKUP($F10,Jornada!$I$5:$V$37,VLOOKUP(INDIRECT($C$5),Jornada!$C$8:$W$37,21,0)+2,0)</f>
        <v>0</v>
      </c>
      <c r="AM10" s="155">
        <f ca="1">HLOOKUP($F10,Jornada!$I$4:$V$37,VLOOKUP(INDIRECT($C$5),Jornada!$C$8:$W$37,21,0)+3,0)</f>
        <v>0</v>
      </c>
      <c r="AN10" s="155">
        <f t="shared" ca="1" si="7"/>
        <v>0</v>
      </c>
      <c r="AO10" s="155">
        <f t="shared" si="8"/>
        <v>0</v>
      </c>
      <c r="AP10" s="155">
        <f t="shared" si="9"/>
        <v>0</v>
      </c>
      <c r="BE10" s="14"/>
      <c r="BF10" s="14"/>
      <c r="BG10" s="14"/>
    </row>
    <row r="11" spans="1:59" s="2" customFormat="1" ht="30" customHeight="1" thickTop="1" thickBot="1" x14ac:dyDescent="0.25">
      <c r="A11" s="1"/>
      <c r="B11"/>
      <c r="C11" s="172" t="str">
        <f>IF(Funcionários!C10=0,"",Funcionários!C10)</f>
        <v/>
      </c>
      <c r="D11"/>
      <c r="E11" s="115">
        <f>Lanç!E11</f>
        <v>4</v>
      </c>
      <c r="F11" s="189" t="str">
        <f>Lanç!F11</f>
        <v>Qua</v>
      </c>
      <c r="G11" s="80"/>
      <c r="H11" s="94"/>
      <c r="I11" s="94"/>
      <c r="J11" s="94"/>
      <c r="K11" s="94"/>
      <c r="L11" s="197"/>
      <c r="M11" s="95">
        <f t="shared" si="1"/>
        <v>0</v>
      </c>
      <c r="N11" s="196"/>
      <c r="O11" s="95">
        <f ca="1">IF(OR(G11=0,G11="Férias",G11="Falta Justificada",G11="Feriado",G11="Folga (DSR)"),0,IF(G11="Falta Injustificada",HLOOKUP($F11,Jornada!$X$7:$AD$37,VLOOKUP(INDIRECT($C$5),Jornada!$C$8:$W$37,21,0),0),IF(HLOOKUP($F11,Jornada!$X$7:$AD$37,VLOOKUP(INDIRECT($C$5),Jornada!$C$8:$W$37,21,0),0)-M11&gt;0,HLOOKUP($F11,Jornada!$X$7:$AD$37,VLOOKUP(INDIRECT($C$5),Jornada!$C$8:$W$37,21,0),0)-M11,0)))</f>
        <v>0</v>
      </c>
      <c r="P11" s="193">
        <f ca="1">IF(HLOOKUP($F11,Jornada!$X$7:$AD$37,VLOOKUP(INDIRECT($C$5),Jornada!$C$8:$W$37,21,0),0)-M11&lt;0,ABS(HLOOKUP($F11,Jornada!$X$7:$AD$37,VLOOKUP(INDIRECT($C$5),Jornada!$C$8:$W$37,21,0),0)-M11),0)</f>
        <v>0</v>
      </c>
      <c r="Q11" s="95">
        <f t="shared" si="0"/>
        <v>0</v>
      </c>
      <c r="R11" s="2">
        <f t="shared" si="2"/>
        <v>0</v>
      </c>
      <c r="S11" s="294"/>
      <c r="T11" s="294"/>
      <c r="U11" s="295"/>
      <c r="V11" s="2">
        <f ca="1">IF(AND(K5&gt;U12,M5="Horas devidas"),"Negativo",IF(AND(U12&gt;K5,U14&gt;F58),"Negativo",0))</f>
        <v>0</v>
      </c>
      <c r="W11" s="2" t="s">
        <v>94</v>
      </c>
      <c r="X11" s="156">
        <v>5</v>
      </c>
      <c r="Z11" s="2" t="str">
        <f ca="1">IF(AND(M5="horas extras",Z13="positivo"),"positivo",IF(AND(M5="horas devidas",Z13="Negativo"),"Negativo",IF(AND(Z13="positivo",M5="horas devidas",U12&gt;K5),"Positivo","Negativo")))</f>
        <v>Negativo</v>
      </c>
      <c r="AB11" s="177">
        <f t="shared" si="10"/>
        <v>4</v>
      </c>
      <c r="AC11" s="2">
        <f t="shared" si="3"/>
        <v>4</v>
      </c>
      <c r="AE11" s="2">
        <v>4</v>
      </c>
      <c r="AF11" s="2" t="s">
        <v>54</v>
      </c>
      <c r="AG11" s="220">
        <f t="shared" si="4"/>
        <v>0</v>
      </c>
      <c r="AH11" s="220">
        <f ca="1">IF(HLOOKUP($F11,Jornada!$X$7:$AD$37,VLOOKUP(INDIRECT($C$5),Jornada!$C$8:$W$37,21,0),0)=0,0,VLOOKUP(INDIRECT($C$5),Jornada!$C$8:$H$37,4,0))</f>
        <v>0</v>
      </c>
      <c r="AI11" s="155">
        <f ca="1">IF(AND(I11=0,J11=0,OR(H11&lt;&gt;0,K11&lt;&gt;0),HLOOKUP($F11,Jornada!$X$7:$AD$37,VLOOKUP(INDIRECT($C$5),Jornada!$C$8:$W$37,21,0),0)&gt;$AK$5,M11&gt;$AK$5),VLOOKUP(INDIRECT($C$5),Jornada!$C$8:$H$37,6,0),IF(AG11&gt;VLOOKUP(INDIRECT($C$5),Jornada!$C$8:$H$37,6,0),IF(VLOOKUP(INDIRECT($C$5),Jornada!$C$8:$H$37,6,0)&lt;AG11,0,ABS(VLOOKUP(INDIRECT($C$5),Jornada!$C$8:$H$37,6,0))-AG11),0))</f>
        <v>0</v>
      </c>
      <c r="AJ11" s="155">
        <f t="shared" si="5"/>
        <v>1</v>
      </c>
      <c r="AK11" s="155">
        <f t="shared" si="6"/>
        <v>0</v>
      </c>
      <c r="AL11" s="155">
        <f ca="1">HLOOKUP($F11,Jornada!$I$5:$V$37,VLOOKUP(INDIRECT($C$5),Jornada!$C$8:$W$37,21,0)+2,0)</f>
        <v>0</v>
      </c>
      <c r="AM11" s="155">
        <f ca="1">HLOOKUP($F11,Jornada!$I$4:$V$37,VLOOKUP(INDIRECT($C$5),Jornada!$C$8:$W$37,21,0)+3,0)</f>
        <v>0</v>
      </c>
      <c r="AN11" s="155">
        <f t="shared" ca="1" si="7"/>
        <v>0</v>
      </c>
      <c r="AO11" s="155">
        <f t="shared" si="8"/>
        <v>0</v>
      </c>
      <c r="AP11" s="155">
        <f t="shared" si="9"/>
        <v>0</v>
      </c>
      <c r="BE11" s="14"/>
      <c r="BF11" s="14"/>
      <c r="BG11" s="14"/>
    </row>
    <row r="12" spans="1:59" s="2" customFormat="1" ht="30" customHeight="1" thickTop="1" thickBot="1" x14ac:dyDescent="0.25">
      <c r="A12" s="1"/>
      <c r="B12"/>
      <c r="C12" s="172" t="str">
        <f>IF(Funcionários!C11=0,"",Funcionários!C11)</f>
        <v/>
      </c>
      <c r="D12"/>
      <c r="E12" s="115">
        <f>Lanç!E12</f>
        <v>5</v>
      </c>
      <c r="F12" s="189" t="str">
        <f>Lanç!F12</f>
        <v>Qui</v>
      </c>
      <c r="G12" s="80"/>
      <c r="H12" s="94"/>
      <c r="I12" s="94"/>
      <c r="J12" s="94"/>
      <c r="K12" s="94"/>
      <c r="L12" s="197"/>
      <c r="M12" s="95">
        <f t="shared" si="1"/>
        <v>0</v>
      </c>
      <c r="N12" s="196"/>
      <c r="O12" s="95">
        <f ca="1">IF(OR(G12=0,G12="Férias",G12="Falta Justificada",G12="Feriado",G12="Folga (DSR)"),0,IF(G12="Falta Injustificada",HLOOKUP($F12,Jornada!$X$7:$AD$37,VLOOKUP(INDIRECT($C$5),Jornada!$C$8:$W$37,21,0),0),IF(HLOOKUP($F12,Jornada!$X$7:$AD$37,VLOOKUP(INDIRECT($C$5),Jornada!$C$8:$W$37,21,0),0)-M12&gt;0,HLOOKUP($F12,Jornada!$X$7:$AD$37,VLOOKUP(INDIRECT($C$5),Jornada!$C$8:$W$37,21,0),0)-M12,0)))</f>
        <v>0</v>
      </c>
      <c r="P12" s="193">
        <f ca="1">IF(HLOOKUP($F12,Jornada!$X$7:$AD$37,VLOOKUP(INDIRECT($C$5),Jornada!$C$8:$W$37,21,0),0)-M12&lt;0,ABS(HLOOKUP($F12,Jornada!$X$7:$AD$37,VLOOKUP(INDIRECT($C$5),Jornada!$C$8:$W$37,21,0),0)-M12),0)</f>
        <v>0</v>
      </c>
      <c r="Q12" s="95">
        <f t="shared" si="0"/>
        <v>0</v>
      </c>
      <c r="R12" s="2">
        <f t="shared" si="2"/>
        <v>0</v>
      </c>
      <c r="S12" s="294" t="s">
        <v>175</v>
      </c>
      <c r="T12" s="294"/>
      <c r="U12" s="295">
        <f ca="1">IF(U14&gt;=F58,(U14)-F58,(F58-U14))</f>
        <v>0</v>
      </c>
      <c r="W12" s="2" t="s">
        <v>95</v>
      </c>
      <c r="X12" s="156">
        <v>6</v>
      </c>
      <c r="AB12" s="177">
        <f t="shared" si="10"/>
        <v>5</v>
      </c>
      <c r="AC12" s="2">
        <f t="shared" si="3"/>
        <v>5</v>
      </c>
      <c r="AE12" s="2">
        <v>5</v>
      </c>
      <c r="AF12" s="2" t="s">
        <v>55</v>
      </c>
      <c r="AG12" s="220">
        <f t="shared" si="4"/>
        <v>0</v>
      </c>
      <c r="AH12" s="220">
        <f ca="1">IF(HLOOKUP($F12,Jornada!$X$7:$AD$37,VLOOKUP(INDIRECT($C$5),Jornada!$C$8:$W$37,21,0),0)=0,0,VLOOKUP(INDIRECT($C$5),Jornada!$C$8:$H$37,4,0))</f>
        <v>0</v>
      </c>
      <c r="AI12" s="155">
        <f ca="1">IF(AND(I12=0,J12=0,OR(H12&lt;&gt;0,K12&lt;&gt;0),HLOOKUP($F12,Jornada!$X$7:$AD$37,VLOOKUP(INDIRECT($C$5),Jornada!$C$8:$W$37,21,0),0)&gt;$AK$5,M12&gt;$AK$5),VLOOKUP(INDIRECT($C$5),Jornada!$C$8:$H$37,6,0),IF(AG12&gt;VLOOKUP(INDIRECT($C$5),Jornada!$C$8:$H$37,6,0),IF(VLOOKUP(INDIRECT($C$5),Jornada!$C$8:$H$37,6,0)&lt;AG12,0,ABS(VLOOKUP(INDIRECT($C$5),Jornada!$C$8:$H$37,6,0))-AG12),0))</f>
        <v>0</v>
      </c>
      <c r="AJ12" s="155">
        <f t="shared" si="5"/>
        <v>1</v>
      </c>
      <c r="AK12" s="155">
        <f t="shared" si="6"/>
        <v>0</v>
      </c>
      <c r="AL12" s="155">
        <f ca="1">HLOOKUP($F12,Jornada!$I$5:$V$37,VLOOKUP(INDIRECT($C$5),Jornada!$C$8:$W$37,21,0)+2,0)</f>
        <v>0</v>
      </c>
      <c r="AM12" s="155">
        <f ca="1">HLOOKUP($F12,Jornada!$I$4:$V$37,VLOOKUP(INDIRECT($C$5),Jornada!$C$8:$W$37,21,0)+3,0)</f>
        <v>0</v>
      </c>
      <c r="AN12" s="155">
        <f t="shared" ca="1" si="7"/>
        <v>0</v>
      </c>
      <c r="AO12" s="155">
        <f t="shared" si="8"/>
        <v>0</v>
      </c>
      <c r="AP12" s="155">
        <f t="shared" si="9"/>
        <v>0</v>
      </c>
      <c r="BE12" s="14"/>
      <c r="BF12" s="14"/>
      <c r="BG12" s="14"/>
    </row>
    <row r="13" spans="1:59" s="2" customFormat="1" ht="30" customHeight="1" thickTop="1" thickBot="1" x14ac:dyDescent="0.25">
      <c r="A13" s="1"/>
      <c r="B13"/>
      <c r="C13" s="171" t="str">
        <f>IF(Funcionários!C12=0,"",Funcionários!C12)</f>
        <v/>
      </c>
      <c r="D13"/>
      <c r="E13" s="115">
        <f>Lanç!E13</f>
        <v>6</v>
      </c>
      <c r="F13" s="189" t="str">
        <f>Lanç!F13</f>
        <v>Sex</v>
      </c>
      <c r="G13" s="80"/>
      <c r="H13" s="94"/>
      <c r="I13" s="94"/>
      <c r="J13" s="94"/>
      <c r="K13" s="94"/>
      <c r="L13" s="197"/>
      <c r="M13" s="95">
        <f t="shared" si="1"/>
        <v>0</v>
      </c>
      <c r="N13" s="196"/>
      <c r="O13" s="95">
        <f ca="1">IF(OR(G13=0,G13="Férias",G13="Falta Justificada",G13="Feriado",G13="Folga (DSR)"),0,IF(G13="Falta Injustificada",HLOOKUP($F13,Jornada!$X$7:$AD$37,VLOOKUP(INDIRECT($C$5),Jornada!$C$8:$W$37,21,0),0),IF(HLOOKUP($F13,Jornada!$X$7:$AD$37,VLOOKUP(INDIRECT($C$5),Jornada!$C$8:$W$37,21,0),0)-M13&gt;0,HLOOKUP($F13,Jornada!$X$7:$AD$37,VLOOKUP(INDIRECT($C$5),Jornada!$C$8:$W$37,21,0),0)-M13,0)))</f>
        <v>0</v>
      </c>
      <c r="P13" s="193">
        <f ca="1">IF(HLOOKUP($F13,Jornada!$X$7:$AD$37,VLOOKUP(INDIRECT($C$5),Jornada!$C$8:$W$37,21,0),0)-M13&lt;0,ABS(HLOOKUP($F13,Jornada!$X$7:$AD$37,VLOOKUP(INDIRECT($C$5),Jornada!$C$8:$W$37,21,0),0)-M13),0)</f>
        <v>0</v>
      </c>
      <c r="Q13" s="95">
        <f t="shared" si="0"/>
        <v>0</v>
      </c>
      <c r="R13" s="2">
        <f t="shared" si="2"/>
        <v>0</v>
      </c>
      <c r="S13" s="294"/>
      <c r="T13" s="294"/>
      <c r="U13" s="295"/>
      <c r="W13" s="2" t="s">
        <v>96</v>
      </c>
      <c r="X13" s="156">
        <v>7</v>
      </c>
      <c r="Z13" s="2" t="str">
        <f ca="1">IF(U14&gt;F58,"Negativo","Positivo")</f>
        <v>Positivo</v>
      </c>
      <c r="AB13" s="177">
        <f t="shared" si="10"/>
        <v>6</v>
      </c>
      <c r="AC13" s="2">
        <f t="shared" si="3"/>
        <v>6</v>
      </c>
      <c r="AE13" s="2">
        <v>6</v>
      </c>
      <c r="AF13" s="2" t="s">
        <v>56</v>
      </c>
      <c r="AG13" s="220">
        <f t="shared" si="4"/>
        <v>0</v>
      </c>
      <c r="AH13" s="220">
        <f ca="1">IF(HLOOKUP($F13,Jornada!$X$7:$AD$37,VLOOKUP(INDIRECT($C$5),Jornada!$C$8:$W$37,21,0),0)=0,0,VLOOKUP(INDIRECT($C$5),Jornada!$C$8:$H$37,4,0))</f>
        <v>0</v>
      </c>
      <c r="AI13" s="155">
        <f ca="1">IF(AND(I13=0,J13=0,OR(H13&lt;&gt;0,K13&lt;&gt;0),HLOOKUP($F13,Jornada!$X$7:$AD$37,VLOOKUP(INDIRECT($C$5),Jornada!$C$8:$W$37,21,0),0)&gt;$AK$5,M13&gt;$AK$5),VLOOKUP(INDIRECT($C$5),Jornada!$C$8:$H$37,6,0),IF(AG13&gt;VLOOKUP(INDIRECT($C$5),Jornada!$C$8:$H$37,6,0),IF(VLOOKUP(INDIRECT($C$5),Jornada!$C$8:$H$37,6,0)&lt;AG13,0,ABS(VLOOKUP(INDIRECT($C$5),Jornada!$C$8:$H$37,6,0))-AG13),0))</f>
        <v>0</v>
      </c>
      <c r="AJ13" s="155">
        <f t="shared" si="5"/>
        <v>1</v>
      </c>
      <c r="AK13" s="155">
        <f t="shared" si="6"/>
        <v>0</v>
      </c>
      <c r="AL13" s="155">
        <f ca="1">HLOOKUP($F13,Jornada!$I$5:$V$37,VLOOKUP(INDIRECT($C$5),Jornada!$C$8:$W$37,21,0)+2,0)</f>
        <v>0</v>
      </c>
      <c r="AM13" s="155">
        <f ca="1">HLOOKUP($F13,Jornada!$I$4:$V$37,VLOOKUP(INDIRECT($C$5),Jornada!$C$8:$W$37,21,0)+3,0)</f>
        <v>0</v>
      </c>
      <c r="AN13" s="155">
        <f t="shared" ca="1" si="7"/>
        <v>0</v>
      </c>
      <c r="AO13" s="155">
        <f t="shared" si="8"/>
        <v>0</v>
      </c>
      <c r="AP13" s="155">
        <f t="shared" si="9"/>
        <v>0</v>
      </c>
      <c r="BE13" s="14"/>
      <c r="BF13" s="14"/>
      <c r="BG13" s="14"/>
    </row>
    <row r="14" spans="1:59" s="2" customFormat="1" ht="30" customHeight="1" thickTop="1" thickBot="1" x14ac:dyDescent="0.25">
      <c r="A14" s="1"/>
      <c r="B14"/>
      <c r="C14" s="172" t="str">
        <f>IF(Funcionários!C13=0,"",Funcionários!C13)</f>
        <v/>
      </c>
      <c r="D14"/>
      <c r="E14" s="115">
        <f>Lanç!E14</f>
        <v>7</v>
      </c>
      <c r="F14" s="189" t="str">
        <f>Lanç!F14</f>
        <v>Sáb</v>
      </c>
      <c r="G14" s="80"/>
      <c r="H14" s="94"/>
      <c r="I14" s="94"/>
      <c r="J14" s="94"/>
      <c r="K14" s="94"/>
      <c r="L14" s="197"/>
      <c r="M14" s="95">
        <f t="shared" si="1"/>
        <v>0</v>
      </c>
      <c r="N14" s="196"/>
      <c r="O14" s="95">
        <f ca="1">IF(OR(G14=0,G14="Férias",G14="Falta Justificada",G14="Feriado",G14="Folga (DSR)"),0,IF(G14="Falta Injustificada",HLOOKUP($F14,Jornada!$X$7:$AD$37,VLOOKUP(INDIRECT($C$5),Jornada!$C$8:$W$37,21,0),0),IF(HLOOKUP($F14,Jornada!$X$7:$AD$37,VLOOKUP(INDIRECT($C$5),Jornada!$C$8:$W$37,21,0),0)-M14&gt;0,HLOOKUP($F14,Jornada!$X$7:$AD$37,VLOOKUP(INDIRECT($C$5),Jornada!$C$8:$W$37,21,0),0)-M14,0)))</f>
        <v>0</v>
      </c>
      <c r="P14" s="193">
        <f ca="1">IF(HLOOKUP($F14,Jornada!$X$7:$AD$37,VLOOKUP(INDIRECT($C$5),Jornada!$C$8:$W$37,21,0),0)-M14&lt;0,ABS(HLOOKUP($F14,Jornada!$X$7:$AD$37,VLOOKUP(INDIRECT($C$5),Jornada!$C$8:$W$37,21,0),0)-M14),0)</f>
        <v>0</v>
      </c>
      <c r="Q14" s="95">
        <f t="shared" si="0"/>
        <v>0</v>
      </c>
      <c r="R14" s="2">
        <f t="shared" si="2"/>
        <v>0</v>
      </c>
      <c r="S14" s="294" t="s">
        <v>68</v>
      </c>
      <c r="T14" s="294"/>
      <c r="U14" s="295">
        <f ca="1">SUM(O8:O38)</f>
        <v>0</v>
      </c>
      <c r="W14" s="2" t="s">
        <v>97</v>
      </c>
      <c r="X14" s="156">
        <v>8</v>
      </c>
      <c r="AB14" s="177">
        <f t="shared" si="10"/>
        <v>7</v>
      </c>
      <c r="AC14" s="2">
        <f t="shared" si="3"/>
        <v>7</v>
      </c>
      <c r="AE14" s="2">
        <v>7</v>
      </c>
      <c r="AF14" s="2" t="s">
        <v>57</v>
      </c>
      <c r="AG14" s="220">
        <f t="shared" si="4"/>
        <v>0</v>
      </c>
      <c r="AH14" s="220">
        <f ca="1">IF(HLOOKUP($F14,Jornada!$X$7:$AD$37,VLOOKUP(INDIRECT($C$5),Jornada!$C$8:$W$37,21,0),0)=0,0,VLOOKUP(INDIRECT($C$5),Jornada!$C$8:$H$37,4,0))</f>
        <v>0</v>
      </c>
      <c r="AI14" s="155">
        <f ca="1">IF(AND(I14=0,J14=0,OR(H14&lt;&gt;0,K14&lt;&gt;0),HLOOKUP($F14,Jornada!$X$7:$AD$37,VLOOKUP(INDIRECT($C$5),Jornada!$C$8:$W$37,21,0),0)&gt;$AK$5,M14&gt;$AK$5),VLOOKUP(INDIRECT($C$5),Jornada!$C$8:$H$37,6,0),IF(AG14&gt;VLOOKUP(INDIRECT($C$5),Jornada!$C$8:$H$37,6,0),IF(VLOOKUP(INDIRECT($C$5),Jornada!$C$8:$H$37,6,0)&lt;AG14,0,ABS(VLOOKUP(INDIRECT($C$5),Jornada!$C$8:$H$37,6,0))-AG14),0))</f>
        <v>0</v>
      </c>
      <c r="AJ14" s="155">
        <f t="shared" si="5"/>
        <v>1</v>
      </c>
      <c r="AK14" s="155">
        <f t="shared" si="6"/>
        <v>0</v>
      </c>
      <c r="AL14" s="155">
        <f ca="1">HLOOKUP($F14,Jornada!$I$5:$V$37,VLOOKUP(INDIRECT($C$5),Jornada!$C$8:$W$37,21,0)+2,0)</f>
        <v>0</v>
      </c>
      <c r="AM14" s="155">
        <f ca="1">HLOOKUP($F14,Jornada!$I$4:$V$37,VLOOKUP(INDIRECT($C$5),Jornada!$C$8:$W$37,21,0)+3,0)</f>
        <v>0</v>
      </c>
      <c r="AN14" s="155">
        <f t="shared" ca="1" si="7"/>
        <v>0</v>
      </c>
      <c r="AO14" s="155">
        <f t="shared" si="8"/>
        <v>0</v>
      </c>
      <c r="AP14" s="155">
        <f t="shared" si="9"/>
        <v>0</v>
      </c>
      <c r="BE14" s="14"/>
      <c r="BF14" s="14"/>
      <c r="BG14" s="14"/>
    </row>
    <row r="15" spans="1:59" s="2" customFormat="1" ht="30" customHeight="1" thickTop="1" thickBot="1" x14ac:dyDescent="0.25">
      <c r="A15" s="1"/>
      <c r="B15"/>
      <c r="C15" s="172" t="str">
        <f>IF(Funcionários!C14=0,"",Funcionários!C14)</f>
        <v/>
      </c>
      <c r="D15"/>
      <c r="E15" s="115">
        <f>Lanç!E15</f>
        <v>8</v>
      </c>
      <c r="F15" s="189" t="str">
        <f>Lanç!F15</f>
        <v>Dom</v>
      </c>
      <c r="G15" s="80"/>
      <c r="H15" s="94"/>
      <c r="I15" s="94"/>
      <c r="J15" s="94"/>
      <c r="K15" s="94"/>
      <c r="L15" s="197"/>
      <c r="M15" s="95">
        <f t="shared" si="1"/>
        <v>0</v>
      </c>
      <c r="N15" s="196"/>
      <c r="O15" s="95">
        <f ca="1">IF(OR(G15=0,G15="Férias",G15="Falta Justificada",G15="Feriado",G15="Folga (DSR)"),0,IF(G15="Falta Injustificada",HLOOKUP($F15,Jornada!$X$7:$AD$37,VLOOKUP(INDIRECT($C$5),Jornada!$C$8:$W$37,21,0),0),IF(HLOOKUP($F15,Jornada!$X$7:$AD$37,VLOOKUP(INDIRECT($C$5),Jornada!$C$8:$W$37,21,0),0)-M15&gt;0,HLOOKUP($F15,Jornada!$X$7:$AD$37,VLOOKUP(INDIRECT($C$5),Jornada!$C$8:$W$37,21,0),0)-M15,0)))</f>
        <v>0</v>
      </c>
      <c r="P15" s="193">
        <f ca="1">IF(HLOOKUP($F15,Jornada!$X$7:$AD$37,VLOOKUP(INDIRECT($C$5),Jornada!$C$8:$W$37,21,0),0)-M15&lt;0,ABS(HLOOKUP($F15,Jornada!$X$7:$AD$37,VLOOKUP(INDIRECT($C$5),Jornada!$C$8:$W$37,21,0),0)-M15),0)</f>
        <v>0</v>
      </c>
      <c r="Q15" s="95">
        <f t="shared" si="0"/>
        <v>0</v>
      </c>
      <c r="R15" s="2">
        <f t="shared" si="2"/>
        <v>0</v>
      </c>
      <c r="S15" s="294"/>
      <c r="T15" s="294"/>
      <c r="U15" s="295"/>
      <c r="W15" s="2" t="s">
        <v>98</v>
      </c>
      <c r="X15" s="156">
        <v>9</v>
      </c>
      <c r="AB15" s="177">
        <f t="shared" si="10"/>
        <v>8</v>
      </c>
      <c r="AC15" s="2">
        <f t="shared" si="3"/>
        <v>1</v>
      </c>
      <c r="AG15" s="220">
        <f t="shared" si="4"/>
        <v>0</v>
      </c>
      <c r="AH15" s="220">
        <f ca="1">IF(HLOOKUP($F15,Jornada!$X$7:$AD$37,VLOOKUP(INDIRECT($C$5),Jornada!$C$8:$W$37,21,0),0)=0,0,VLOOKUP(INDIRECT($C$5),Jornada!$C$8:$H$37,4,0))</f>
        <v>0</v>
      </c>
      <c r="AI15" s="155">
        <f ca="1">IF(AND(I15=0,J15=0,OR(H15&lt;&gt;0,K15&lt;&gt;0),HLOOKUP($F15,Jornada!$X$7:$AD$37,VLOOKUP(INDIRECT($C$5),Jornada!$C$8:$W$37,21,0),0)&gt;$AK$5,M15&gt;$AK$5),VLOOKUP(INDIRECT($C$5),Jornada!$C$8:$H$37,6,0),IF(AG15&gt;VLOOKUP(INDIRECT($C$5),Jornada!$C$8:$H$37,6,0),IF(VLOOKUP(INDIRECT($C$5),Jornada!$C$8:$H$37,6,0)&lt;AG15,0,ABS(VLOOKUP(INDIRECT($C$5),Jornada!$C$8:$H$37,6,0))-AG15),0))</f>
        <v>0</v>
      </c>
      <c r="AJ15" s="155">
        <f t="shared" si="5"/>
        <v>1</v>
      </c>
      <c r="AK15" s="155">
        <f t="shared" si="6"/>
        <v>0</v>
      </c>
      <c r="AL15" s="155">
        <f ca="1">HLOOKUP($F15,Jornada!$I$5:$V$37,VLOOKUP(INDIRECT($C$5),Jornada!$C$8:$W$37,21,0)+2,0)</f>
        <v>0</v>
      </c>
      <c r="AM15" s="155">
        <f ca="1">HLOOKUP($F15,Jornada!$I$4:$V$37,VLOOKUP(INDIRECT($C$5),Jornada!$C$8:$W$37,21,0)+3,0)</f>
        <v>0</v>
      </c>
      <c r="AN15" s="155">
        <f t="shared" ca="1" si="7"/>
        <v>0</v>
      </c>
      <c r="AO15" s="155">
        <f t="shared" si="8"/>
        <v>0</v>
      </c>
      <c r="AP15" s="155">
        <f t="shared" si="9"/>
        <v>0</v>
      </c>
      <c r="BE15" s="14"/>
      <c r="BF15" s="14"/>
      <c r="BG15" s="14"/>
    </row>
    <row r="16" spans="1:59" s="2" customFormat="1" ht="30" customHeight="1" thickTop="1" thickBot="1" x14ac:dyDescent="0.25">
      <c r="A16" s="1"/>
      <c r="B16"/>
      <c r="C16" s="172" t="str">
        <f>IF(Funcionários!C15=0,"",Funcionários!C15)</f>
        <v/>
      </c>
      <c r="D16"/>
      <c r="E16" s="115">
        <f>Lanç!E16</f>
        <v>9</v>
      </c>
      <c r="F16" s="189" t="str">
        <f>Lanç!F16</f>
        <v>Seg</v>
      </c>
      <c r="G16" s="80"/>
      <c r="H16" s="94"/>
      <c r="I16" s="94"/>
      <c r="J16" s="94"/>
      <c r="K16" s="94"/>
      <c r="L16" s="197"/>
      <c r="M16" s="95">
        <f t="shared" si="1"/>
        <v>0</v>
      </c>
      <c r="N16" s="196"/>
      <c r="O16" s="95">
        <f ca="1">IF(OR(G16=0,G16="Férias",G16="Falta Justificada",G16="Feriado",G16="Folga (DSR)"),0,IF(G16="Falta Injustificada",HLOOKUP($F16,Jornada!$X$7:$AD$37,VLOOKUP(INDIRECT($C$5),Jornada!$C$8:$W$37,21,0),0),IF(HLOOKUP($F16,Jornada!$X$7:$AD$37,VLOOKUP(INDIRECT($C$5),Jornada!$C$8:$W$37,21,0),0)-M16&gt;0,HLOOKUP($F16,Jornada!$X$7:$AD$37,VLOOKUP(INDIRECT($C$5),Jornada!$C$8:$W$37,21,0),0)-M16,0)))</f>
        <v>0</v>
      </c>
      <c r="P16" s="193">
        <f ca="1">IF(HLOOKUP($F16,Jornada!$X$7:$AD$37,VLOOKUP(INDIRECT($C$5),Jornada!$C$8:$W$37,21,0),0)-M16&lt;0,ABS(HLOOKUP($F16,Jornada!$X$7:$AD$37,VLOOKUP(INDIRECT($C$5),Jornada!$C$8:$W$37,21,0),0)-M16),0)</f>
        <v>0</v>
      </c>
      <c r="Q16" s="95">
        <f t="shared" si="0"/>
        <v>0</v>
      </c>
      <c r="R16" s="2">
        <f t="shared" si="2"/>
        <v>0</v>
      </c>
      <c r="S16" s="294" t="s">
        <v>67</v>
      </c>
      <c r="T16" s="294"/>
      <c r="U16" s="295">
        <f>SUM(Q8:Q38)</f>
        <v>0</v>
      </c>
      <c r="W16" s="2" t="s">
        <v>99</v>
      </c>
      <c r="X16" s="156">
        <v>10</v>
      </c>
      <c r="AB16" s="177">
        <f t="shared" si="10"/>
        <v>9</v>
      </c>
      <c r="AC16" s="2">
        <f t="shared" si="3"/>
        <v>2</v>
      </c>
      <c r="AG16" s="220">
        <f t="shared" si="4"/>
        <v>0</v>
      </c>
      <c r="AH16" s="220">
        <f ca="1">IF(HLOOKUP($F16,Jornada!$X$7:$AD$37,VLOOKUP(INDIRECT($C$5),Jornada!$C$8:$W$37,21,0),0)=0,0,VLOOKUP(INDIRECT($C$5),Jornada!$C$8:$H$37,4,0))</f>
        <v>0</v>
      </c>
      <c r="AI16" s="155">
        <f ca="1">IF(AND(I16=0,J16=0,OR(H16&lt;&gt;0,K16&lt;&gt;0),HLOOKUP($F16,Jornada!$X$7:$AD$37,VLOOKUP(INDIRECT($C$5),Jornada!$C$8:$W$37,21,0),0)&gt;$AK$5,M16&gt;$AK$5),VLOOKUP(INDIRECT($C$5),Jornada!$C$8:$H$37,6,0),IF(AG16&gt;VLOOKUP(INDIRECT($C$5),Jornada!$C$8:$H$37,6,0),IF(VLOOKUP(INDIRECT($C$5),Jornada!$C$8:$H$37,6,0)&lt;AG16,0,ABS(VLOOKUP(INDIRECT($C$5),Jornada!$C$8:$H$37,6,0))-AG16),0))</f>
        <v>0</v>
      </c>
      <c r="AJ16" s="155">
        <f t="shared" si="5"/>
        <v>1</v>
      </c>
      <c r="AK16" s="155">
        <f t="shared" si="6"/>
        <v>0</v>
      </c>
      <c r="AL16" s="155">
        <f ca="1">HLOOKUP($F16,Jornada!$I$5:$V$37,VLOOKUP(INDIRECT($C$5),Jornada!$C$8:$W$37,21,0)+2,0)</f>
        <v>0</v>
      </c>
      <c r="AM16" s="155">
        <f ca="1">HLOOKUP($F16,Jornada!$I$4:$V$37,VLOOKUP(INDIRECT($C$5),Jornada!$C$8:$W$37,21,0)+3,0)</f>
        <v>0</v>
      </c>
      <c r="AN16" s="155">
        <f t="shared" ca="1" si="7"/>
        <v>0</v>
      </c>
      <c r="AO16" s="155">
        <f t="shared" si="8"/>
        <v>0</v>
      </c>
      <c r="AP16" s="155">
        <f t="shared" si="9"/>
        <v>0</v>
      </c>
      <c r="BE16" s="14"/>
      <c r="BF16" s="14"/>
      <c r="BG16" s="14"/>
    </row>
    <row r="17" spans="1:59" s="2" customFormat="1" ht="30" customHeight="1" thickTop="1" thickBot="1" x14ac:dyDescent="0.25">
      <c r="A17" s="1"/>
      <c r="B17"/>
      <c r="C17" s="172" t="str">
        <f>IF(Funcionários!C16=0,"",Funcionários!C16)</f>
        <v/>
      </c>
      <c r="D17"/>
      <c r="E17" s="115">
        <f>Lanç!E17</f>
        <v>10</v>
      </c>
      <c r="F17" s="189" t="str">
        <f>Lanç!F17</f>
        <v>Ter</v>
      </c>
      <c r="G17" s="80"/>
      <c r="H17" s="94"/>
      <c r="I17" s="94"/>
      <c r="J17" s="94"/>
      <c r="K17" s="94"/>
      <c r="L17" s="197"/>
      <c r="M17" s="95">
        <f t="shared" si="1"/>
        <v>0</v>
      </c>
      <c r="N17" s="196"/>
      <c r="O17" s="95">
        <f ca="1">IF(OR(G17=0,G17="Férias",G17="Falta Justificada",G17="Feriado",G17="Folga (DSR)"),0,IF(G17="Falta Injustificada",HLOOKUP($F17,Jornada!$X$7:$AD$37,VLOOKUP(INDIRECT($C$5),Jornada!$C$8:$W$37,21,0),0),IF(HLOOKUP($F17,Jornada!$X$7:$AD$37,VLOOKUP(INDIRECT($C$5),Jornada!$C$8:$W$37,21,0),0)-M17&gt;0,HLOOKUP($F17,Jornada!$X$7:$AD$37,VLOOKUP(INDIRECT($C$5),Jornada!$C$8:$W$37,21,0),0)-M17,0)))</f>
        <v>0</v>
      </c>
      <c r="P17" s="193">
        <f ca="1">IF(HLOOKUP($F17,Jornada!$X$7:$AD$37,VLOOKUP(INDIRECT($C$5),Jornada!$C$8:$W$37,21,0),0)-M17&lt;0,ABS(HLOOKUP($F17,Jornada!$X$7:$AD$37,VLOOKUP(INDIRECT($C$5),Jornada!$C$8:$W$37,21,0),0)-M17),0)</f>
        <v>0</v>
      </c>
      <c r="Q17" s="95">
        <f t="shared" si="0"/>
        <v>0</v>
      </c>
      <c r="R17" s="2">
        <f t="shared" si="2"/>
        <v>0</v>
      </c>
      <c r="S17" s="294"/>
      <c r="T17" s="294"/>
      <c r="U17" s="295"/>
      <c r="W17" s="2" t="s">
        <v>100</v>
      </c>
      <c r="X17" s="156">
        <v>11</v>
      </c>
      <c r="AB17" s="177">
        <f t="shared" si="10"/>
        <v>10</v>
      </c>
      <c r="AC17" s="2">
        <f t="shared" si="3"/>
        <v>3</v>
      </c>
      <c r="AG17" s="220">
        <f t="shared" si="4"/>
        <v>0</v>
      </c>
      <c r="AH17" s="220">
        <f ca="1">IF(HLOOKUP($F17,Jornada!$X$7:$AD$37,VLOOKUP(INDIRECT($C$5),Jornada!$C$8:$W$37,21,0),0)=0,0,VLOOKUP(INDIRECT($C$5),Jornada!$C$8:$H$37,4,0))</f>
        <v>0</v>
      </c>
      <c r="AI17" s="155">
        <f ca="1">IF(AND(I17=0,J17=0,OR(H17&lt;&gt;0,K17&lt;&gt;0),HLOOKUP($F17,Jornada!$X$7:$AD$37,VLOOKUP(INDIRECT($C$5),Jornada!$C$8:$W$37,21,0),0)&gt;$AK$5,M17&gt;$AK$5),VLOOKUP(INDIRECT($C$5),Jornada!$C$8:$H$37,6,0),IF(AG17&gt;VLOOKUP(INDIRECT($C$5),Jornada!$C$8:$H$37,6,0),IF(VLOOKUP(INDIRECT($C$5),Jornada!$C$8:$H$37,6,0)&lt;AG17,0,ABS(VLOOKUP(INDIRECT($C$5),Jornada!$C$8:$H$37,6,0))-AG17),0))</f>
        <v>0</v>
      </c>
      <c r="AJ17" s="155">
        <f t="shared" si="5"/>
        <v>1</v>
      </c>
      <c r="AK17" s="155">
        <f t="shared" si="6"/>
        <v>0</v>
      </c>
      <c r="AL17" s="155">
        <f ca="1">HLOOKUP($F17,Jornada!$I$5:$V$37,VLOOKUP(INDIRECT($C$5),Jornada!$C$8:$W$37,21,0)+2,0)</f>
        <v>0</v>
      </c>
      <c r="AM17" s="155">
        <f ca="1">HLOOKUP($F17,Jornada!$I$4:$V$37,VLOOKUP(INDIRECT($C$5),Jornada!$C$8:$W$37,21,0)+3,0)</f>
        <v>0</v>
      </c>
      <c r="AN17" s="155">
        <f t="shared" ca="1" si="7"/>
        <v>0</v>
      </c>
      <c r="AO17" s="155">
        <f t="shared" si="8"/>
        <v>0</v>
      </c>
      <c r="AP17" s="155">
        <f t="shared" si="9"/>
        <v>0</v>
      </c>
      <c r="BE17" s="14"/>
      <c r="BF17" s="14"/>
      <c r="BG17" s="14"/>
    </row>
    <row r="18" spans="1:59" s="2" customFormat="1" ht="30" customHeight="1" thickTop="1" thickBot="1" x14ac:dyDescent="0.25">
      <c r="A18" s="1"/>
      <c r="B18"/>
      <c r="C18" s="172" t="str">
        <f>IF(Funcionários!C17=0,"",Funcionários!C17)</f>
        <v/>
      </c>
      <c r="D18"/>
      <c r="E18" s="115">
        <f>Lanç!E18</f>
        <v>11</v>
      </c>
      <c r="F18" s="189" t="str">
        <f>Lanç!F18</f>
        <v>Qua</v>
      </c>
      <c r="G18" s="80"/>
      <c r="H18" s="94"/>
      <c r="I18" s="94"/>
      <c r="J18" s="94"/>
      <c r="K18" s="94"/>
      <c r="L18" s="197"/>
      <c r="M18" s="95">
        <f t="shared" si="1"/>
        <v>0</v>
      </c>
      <c r="N18" s="196"/>
      <c r="O18" s="95">
        <f ca="1">IF(OR(G18=0,G18="Férias",G18="Falta Justificada",G18="Feriado",G18="Folga (DSR)"),0,IF(G18="Falta Injustificada",HLOOKUP($F18,Jornada!$X$7:$AD$37,VLOOKUP(INDIRECT($C$5),Jornada!$C$8:$W$37,21,0),0),IF(HLOOKUP($F18,Jornada!$X$7:$AD$37,VLOOKUP(INDIRECT($C$5),Jornada!$C$8:$W$37,21,0),0)-M18&gt;0,HLOOKUP($F18,Jornada!$X$7:$AD$37,VLOOKUP(INDIRECT($C$5),Jornada!$C$8:$W$37,21,0),0)-M18,0)))</f>
        <v>0</v>
      </c>
      <c r="P18" s="193">
        <f ca="1">IF(HLOOKUP($F18,Jornada!$X$7:$AD$37,VLOOKUP(INDIRECT($C$5),Jornada!$C$8:$W$37,21,0),0)-M18&lt;0,ABS(HLOOKUP($F18,Jornada!$X$7:$AD$37,VLOOKUP(INDIRECT($C$5),Jornada!$C$8:$W$37,21,0),0)-M18),0)</f>
        <v>0</v>
      </c>
      <c r="Q18" s="95">
        <f t="shared" si="0"/>
        <v>0</v>
      </c>
      <c r="R18" s="2">
        <f t="shared" si="2"/>
        <v>0</v>
      </c>
      <c r="S18" s="294" t="s">
        <v>69</v>
      </c>
      <c r="T18" s="294"/>
      <c r="U18" s="299">
        <f ca="1">F54</f>
        <v>0</v>
      </c>
      <c r="W18" s="2" t="s">
        <v>101</v>
      </c>
      <c r="X18" s="156">
        <v>12</v>
      </c>
      <c r="AB18" s="177">
        <f t="shared" si="10"/>
        <v>11</v>
      </c>
      <c r="AC18" s="2">
        <f t="shared" si="3"/>
        <v>4</v>
      </c>
      <c r="AG18" s="220">
        <f t="shared" si="4"/>
        <v>0</v>
      </c>
      <c r="AH18" s="220">
        <f ca="1">IF(HLOOKUP($F18,Jornada!$X$7:$AD$37,VLOOKUP(INDIRECT($C$5),Jornada!$C$8:$W$37,21,0),0)=0,0,VLOOKUP(INDIRECT($C$5),Jornada!$C$8:$H$37,4,0))</f>
        <v>0</v>
      </c>
      <c r="AI18" s="155">
        <f ca="1">IF(AND(I18=0,J18=0,OR(H18&lt;&gt;0,K18&lt;&gt;0),HLOOKUP($F18,Jornada!$X$7:$AD$37,VLOOKUP(INDIRECT($C$5),Jornada!$C$8:$W$37,21,0),0)&gt;$AK$5,M18&gt;$AK$5),VLOOKUP(INDIRECT($C$5),Jornada!$C$8:$H$37,6,0),IF(AG18&gt;VLOOKUP(INDIRECT($C$5),Jornada!$C$8:$H$37,6,0),IF(VLOOKUP(INDIRECT($C$5),Jornada!$C$8:$H$37,6,0)&lt;AG18,0,ABS(VLOOKUP(INDIRECT($C$5),Jornada!$C$8:$H$37,6,0))-AG18),0))</f>
        <v>0</v>
      </c>
      <c r="AJ18" s="155">
        <f t="shared" si="5"/>
        <v>1</v>
      </c>
      <c r="AK18" s="155">
        <f t="shared" si="6"/>
        <v>0</v>
      </c>
      <c r="AL18" s="155">
        <f ca="1">HLOOKUP($F18,Jornada!$I$5:$V$37,VLOOKUP(INDIRECT($C$5),Jornada!$C$8:$W$37,21,0)+2,0)</f>
        <v>0</v>
      </c>
      <c r="AM18" s="155">
        <f ca="1">HLOOKUP($F18,Jornada!$I$4:$V$37,VLOOKUP(INDIRECT($C$5),Jornada!$C$8:$W$37,21,0)+3,0)</f>
        <v>0</v>
      </c>
      <c r="AN18" s="155">
        <f t="shared" ca="1" si="7"/>
        <v>0</v>
      </c>
      <c r="AO18" s="155">
        <f t="shared" si="8"/>
        <v>0</v>
      </c>
      <c r="AP18" s="155">
        <f t="shared" si="9"/>
        <v>0</v>
      </c>
      <c r="BE18" s="14"/>
      <c r="BF18" s="14"/>
      <c r="BG18" s="14"/>
    </row>
    <row r="19" spans="1:59" s="2" customFormat="1" ht="30" customHeight="1" thickTop="1" thickBot="1" x14ac:dyDescent="0.25">
      <c r="A19" s="1"/>
      <c r="B19"/>
      <c r="C19" s="172" t="str">
        <f>IF(Funcionários!C18=0,"",Funcionários!C18)</f>
        <v/>
      </c>
      <c r="D19"/>
      <c r="E19" s="115">
        <f>Lanç!E19</f>
        <v>12</v>
      </c>
      <c r="F19" s="189" t="str">
        <f>Lanç!F19</f>
        <v>Qui</v>
      </c>
      <c r="G19" s="80"/>
      <c r="H19" s="94"/>
      <c r="I19" s="94"/>
      <c r="J19" s="94"/>
      <c r="K19" s="94"/>
      <c r="L19" s="197"/>
      <c r="M19" s="95">
        <f t="shared" si="1"/>
        <v>0</v>
      </c>
      <c r="N19" s="196"/>
      <c r="O19" s="95">
        <f ca="1">IF(OR(G19=0,G19="Férias",G19="Falta Justificada",G19="Feriado",G19="Folga (DSR)"),0,IF(G19="Falta Injustificada",HLOOKUP($F19,Jornada!$X$7:$AD$37,VLOOKUP(INDIRECT($C$5),Jornada!$C$8:$W$37,21,0),0),IF(HLOOKUP($F19,Jornada!$X$7:$AD$37,VLOOKUP(INDIRECT($C$5),Jornada!$C$8:$W$37,21,0),0)-M19&gt;0,HLOOKUP($F19,Jornada!$X$7:$AD$37,VLOOKUP(INDIRECT($C$5),Jornada!$C$8:$W$37,21,0),0)-M19,0)))</f>
        <v>0</v>
      </c>
      <c r="P19" s="193">
        <f ca="1">IF(HLOOKUP($F19,Jornada!$X$7:$AD$37,VLOOKUP(INDIRECT($C$5),Jornada!$C$8:$W$37,21,0),0)-M19&lt;0,ABS(HLOOKUP($F19,Jornada!$X$7:$AD$37,VLOOKUP(INDIRECT($C$5),Jornada!$C$8:$W$37,21,0),0)-M19),0)</f>
        <v>0</v>
      </c>
      <c r="Q19" s="95">
        <f t="shared" si="0"/>
        <v>0</v>
      </c>
      <c r="R19" s="2">
        <f t="shared" si="2"/>
        <v>0</v>
      </c>
      <c r="S19" s="294"/>
      <c r="T19" s="294"/>
      <c r="U19" s="299"/>
      <c r="X19" s="177"/>
      <c r="AB19" s="177">
        <f t="shared" si="10"/>
        <v>12</v>
      </c>
      <c r="AC19" s="2">
        <f t="shared" si="3"/>
        <v>5</v>
      </c>
      <c r="AG19" s="220">
        <f t="shared" si="4"/>
        <v>0</v>
      </c>
      <c r="AH19" s="220">
        <f ca="1">IF(HLOOKUP($F19,Jornada!$X$7:$AD$37,VLOOKUP(INDIRECT($C$5),Jornada!$C$8:$W$37,21,0),0)=0,0,VLOOKUP(INDIRECT($C$5),Jornada!$C$8:$H$37,4,0))</f>
        <v>0</v>
      </c>
      <c r="AI19" s="155">
        <f ca="1">IF(AND(I19=0,J19=0,OR(H19&lt;&gt;0,K19&lt;&gt;0),HLOOKUP($F19,Jornada!$X$7:$AD$37,VLOOKUP(INDIRECT($C$5),Jornada!$C$8:$W$37,21,0),0)&gt;$AK$5,M19&gt;$AK$5),VLOOKUP(INDIRECT($C$5),Jornada!$C$8:$H$37,6,0),IF(AG19&gt;VLOOKUP(INDIRECT($C$5),Jornada!$C$8:$H$37,6,0),IF(VLOOKUP(INDIRECT($C$5),Jornada!$C$8:$H$37,6,0)&lt;AG19,0,ABS(VLOOKUP(INDIRECT($C$5),Jornada!$C$8:$H$37,6,0))-AG19),0))</f>
        <v>0</v>
      </c>
      <c r="AJ19" s="155">
        <f t="shared" si="5"/>
        <v>1</v>
      </c>
      <c r="AK19" s="155">
        <f t="shared" si="6"/>
        <v>0</v>
      </c>
      <c r="AL19" s="155">
        <f ca="1">HLOOKUP($F19,Jornada!$I$5:$V$37,VLOOKUP(INDIRECT($C$5),Jornada!$C$8:$W$37,21,0)+2,0)</f>
        <v>0</v>
      </c>
      <c r="AM19" s="155">
        <f ca="1">HLOOKUP($F19,Jornada!$I$4:$V$37,VLOOKUP(INDIRECT($C$5),Jornada!$C$8:$W$37,21,0)+3,0)</f>
        <v>0</v>
      </c>
      <c r="AN19" s="155">
        <f t="shared" ca="1" si="7"/>
        <v>0</v>
      </c>
      <c r="AO19" s="155">
        <f t="shared" si="8"/>
        <v>0</v>
      </c>
      <c r="AP19" s="155">
        <f t="shared" si="9"/>
        <v>0</v>
      </c>
      <c r="BE19" s="14"/>
      <c r="BF19" s="14"/>
      <c r="BG19" s="14"/>
    </row>
    <row r="20" spans="1:59" s="2" customFormat="1" ht="30" customHeight="1" thickTop="1" thickBot="1" x14ac:dyDescent="0.25">
      <c r="A20" s="1"/>
      <c r="B20"/>
      <c r="C20" s="172" t="str">
        <f>IF(Funcionários!C19=0,"",Funcionários!C19)</f>
        <v/>
      </c>
      <c r="D20"/>
      <c r="E20" s="115">
        <f>Lanç!E20</f>
        <v>13</v>
      </c>
      <c r="F20" s="189" t="str">
        <f>Lanç!F20</f>
        <v>Sex</v>
      </c>
      <c r="G20" s="80"/>
      <c r="H20" s="94"/>
      <c r="I20" s="94"/>
      <c r="J20" s="94"/>
      <c r="K20" s="94"/>
      <c r="L20" s="197"/>
      <c r="M20" s="95">
        <f t="shared" si="1"/>
        <v>0</v>
      </c>
      <c r="N20" s="196"/>
      <c r="O20" s="95">
        <f ca="1">IF(OR(G20=0,G20="Férias",G20="Falta Justificada",G20="Feriado",G20="Folga (DSR)"),0,IF(G20="Falta Injustificada",HLOOKUP($F20,Jornada!$X$7:$AD$37,VLOOKUP(INDIRECT($C$5),Jornada!$C$8:$W$37,21,0),0),IF(HLOOKUP($F20,Jornada!$X$7:$AD$37,VLOOKUP(INDIRECT($C$5),Jornada!$C$8:$W$37,21,0),0)-M20&gt;0,HLOOKUP($F20,Jornada!$X$7:$AD$37,VLOOKUP(INDIRECT($C$5),Jornada!$C$8:$W$37,21,0),0)-M20,0)))</f>
        <v>0</v>
      </c>
      <c r="P20" s="193">
        <f ca="1">IF(HLOOKUP($F20,Jornada!$X$7:$AD$37,VLOOKUP(INDIRECT($C$5),Jornada!$C$8:$W$37,21,0),0)-M20&lt;0,ABS(HLOOKUP($F20,Jornada!$X$7:$AD$37,VLOOKUP(INDIRECT($C$5),Jornada!$C$8:$W$37,21,0),0)-M20),0)</f>
        <v>0</v>
      </c>
      <c r="Q20" s="95">
        <f t="shared" si="0"/>
        <v>0</v>
      </c>
      <c r="R20" s="2">
        <f t="shared" si="2"/>
        <v>0</v>
      </c>
      <c r="S20"/>
      <c r="T20"/>
      <c r="U20"/>
      <c r="X20" s="177"/>
      <c r="AB20" s="177">
        <f t="shared" si="10"/>
        <v>13</v>
      </c>
      <c r="AC20" s="2">
        <f t="shared" si="3"/>
        <v>6</v>
      </c>
      <c r="AG20" s="220">
        <f t="shared" si="4"/>
        <v>0</v>
      </c>
      <c r="AH20" s="220">
        <f ca="1">IF(HLOOKUP($F20,Jornada!$X$7:$AD$37,VLOOKUP(INDIRECT($C$5),Jornada!$C$8:$W$37,21,0),0)=0,0,VLOOKUP(INDIRECT($C$5),Jornada!$C$8:$H$37,4,0))</f>
        <v>0</v>
      </c>
      <c r="AI20" s="155">
        <f ca="1">IF(AND(I20=0,J20=0,OR(H20&lt;&gt;0,K20&lt;&gt;0),HLOOKUP($F20,Jornada!$X$7:$AD$37,VLOOKUP(INDIRECT($C$5),Jornada!$C$8:$W$37,21,0),0)&gt;$AK$5,M20&gt;$AK$5),VLOOKUP(INDIRECT($C$5),Jornada!$C$8:$H$37,6,0),IF(AG20&gt;VLOOKUP(INDIRECT($C$5),Jornada!$C$8:$H$37,6,0),IF(VLOOKUP(INDIRECT($C$5),Jornada!$C$8:$H$37,6,0)&lt;AG20,0,ABS(VLOOKUP(INDIRECT($C$5),Jornada!$C$8:$H$37,6,0))-AG20),0))</f>
        <v>0</v>
      </c>
      <c r="AJ20" s="155">
        <f t="shared" si="5"/>
        <v>1</v>
      </c>
      <c r="AK20" s="155">
        <f t="shared" si="6"/>
        <v>0</v>
      </c>
      <c r="AL20" s="155">
        <f ca="1">HLOOKUP($F20,Jornada!$I$5:$V$37,VLOOKUP(INDIRECT($C$5),Jornada!$C$8:$W$37,21,0)+2,0)</f>
        <v>0</v>
      </c>
      <c r="AM20" s="155">
        <f ca="1">HLOOKUP($F20,Jornada!$I$4:$V$37,VLOOKUP(INDIRECT($C$5),Jornada!$C$8:$W$37,21,0)+3,0)</f>
        <v>0</v>
      </c>
      <c r="AN20" s="155">
        <f t="shared" ca="1" si="7"/>
        <v>0</v>
      </c>
      <c r="AO20" s="155">
        <f t="shared" si="8"/>
        <v>0</v>
      </c>
      <c r="AP20" s="155">
        <f t="shared" si="9"/>
        <v>0</v>
      </c>
      <c r="BE20" s="14"/>
      <c r="BF20" s="14"/>
      <c r="BG20" s="14"/>
    </row>
    <row r="21" spans="1:59" s="2" customFormat="1" ht="30" customHeight="1" thickTop="1" thickBot="1" x14ac:dyDescent="0.25">
      <c r="A21" s="1"/>
      <c r="B21"/>
      <c r="C21" s="172" t="str">
        <f>IF(Funcionários!C20=0,"",Funcionários!C20)</f>
        <v/>
      </c>
      <c r="D21"/>
      <c r="E21" s="115">
        <f>Lanç!E21</f>
        <v>14</v>
      </c>
      <c r="F21" s="189" t="str">
        <f>Lanç!F21</f>
        <v>Sáb</v>
      </c>
      <c r="G21" s="80"/>
      <c r="H21" s="94"/>
      <c r="I21" s="94"/>
      <c r="J21" s="94"/>
      <c r="K21" s="94"/>
      <c r="L21" s="197"/>
      <c r="M21" s="95">
        <f t="shared" si="1"/>
        <v>0</v>
      </c>
      <c r="N21" s="196"/>
      <c r="O21" s="95">
        <f ca="1">IF(OR(G21=0,G21="Férias",G21="Falta Justificada",G21="Feriado",G21="Folga (DSR)"),0,IF(G21="Falta Injustificada",HLOOKUP($F21,Jornada!$X$7:$AD$37,VLOOKUP(INDIRECT($C$5),Jornada!$C$8:$W$37,21,0),0),IF(HLOOKUP($F21,Jornada!$X$7:$AD$37,VLOOKUP(INDIRECT($C$5),Jornada!$C$8:$W$37,21,0),0)-M21&gt;0,HLOOKUP($F21,Jornada!$X$7:$AD$37,VLOOKUP(INDIRECT($C$5),Jornada!$C$8:$W$37,21,0),0)-M21,0)))</f>
        <v>0</v>
      </c>
      <c r="P21" s="193">
        <f ca="1">IF(HLOOKUP($F21,Jornada!$X$7:$AD$37,VLOOKUP(INDIRECT($C$5),Jornada!$C$8:$W$37,21,0),0)-M21&lt;0,ABS(HLOOKUP($F21,Jornada!$X$7:$AD$37,VLOOKUP(INDIRECT($C$5),Jornada!$C$8:$W$37,21,0),0)-M21),0)</f>
        <v>0</v>
      </c>
      <c r="Q21" s="95">
        <f t="shared" si="0"/>
        <v>0</v>
      </c>
      <c r="R21" s="2">
        <f t="shared" si="2"/>
        <v>0</v>
      </c>
      <c r="S21"/>
      <c r="T21"/>
      <c r="U21"/>
      <c r="X21" s="177"/>
      <c r="AB21" s="177">
        <f t="shared" si="10"/>
        <v>14</v>
      </c>
      <c r="AC21" s="2">
        <f t="shared" si="3"/>
        <v>7</v>
      </c>
      <c r="AG21" s="220">
        <f t="shared" si="4"/>
        <v>0</v>
      </c>
      <c r="AH21" s="220">
        <f ca="1">IF(HLOOKUP($F21,Jornada!$X$7:$AD$37,VLOOKUP(INDIRECT($C$5),Jornada!$C$8:$W$37,21,0),0)=0,0,VLOOKUP(INDIRECT($C$5),Jornada!$C$8:$H$37,4,0))</f>
        <v>0</v>
      </c>
      <c r="AI21" s="155">
        <f ca="1">IF(AND(I21=0,J21=0,OR(H21&lt;&gt;0,K21&lt;&gt;0),HLOOKUP($F21,Jornada!$X$7:$AD$37,VLOOKUP(INDIRECT($C$5),Jornada!$C$8:$W$37,21,0),0)&gt;$AK$5,M21&gt;$AK$5),VLOOKUP(INDIRECT($C$5),Jornada!$C$8:$H$37,6,0),IF(AG21&gt;VLOOKUP(INDIRECT($C$5),Jornada!$C$8:$H$37,6,0),IF(VLOOKUP(INDIRECT($C$5),Jornada!$C$8:$H$37,6,0)&lt;AG21,0,ABS(VLOOKUP(INDIRECT($C$5),Jornada!$C$8:$H$37,6,0))-AG21),0))</f>
        <v>0</v>
      </c>
      <c r="AJ21" s="155">
        <f t="shared" si="5"/>
        <v>1</v>
      </c>
      <c r="AK21" s="155">
        <f t="shared" si="6"/>
        <v>0</v>
      </c>
      <c r="AL21" s="155">
        <f ca="1">HLOOKUP($F21,Jornada!$I$5:$V$37,VLOOKUP(INDIRECT($C$5),Jornada!$C$8:$W$37,21,0)+2,0)</f>
        <v>0</v>
      </c>
      <c r="AM21" s="155">
        <f ca="1">HLOOKUP($F21,Jornada!$I$4:$V$37,VLOOKUP(INDIRECT($C$5),Jornada!$C$8:$W$37,21,0)+3,0)</f>
        <v>0</v>
      </c>
      <c r="AN21" s="155">
        <f t="shared" ca="1" si="7"/>
        <v>0</v>
      </c>
      <c r="AO21" s="155">
        <f t="shared" si="8"/>
        <v>0</v>
      </c>
      <c r="AP21" s="155">
        <f t="shared" si="9"/>
        <v>0</v>
      </c>
      <c r="BE21" s="14"/>
      <c r="BF21" s="14"/>
      <c r="BG21" s="14"/>
    </row>
    <row r="22" spans="1:59" s="2" customFormat="1" ht="30" customHeight="1" thickTop="1" thickBot="1" x14ac:dyDescent="0.25">
      <c r="A22" s="1"/>
      <c r="B22"/>
      <c r="C22" s="172" t="str">
        <f>IF(Funcionários!C21=0,"",Funcionários!C21)</f>
        <v/>
      </c>
      <c r="D22"/>
      <c r="E22" s="115">
        <f>Lanç!E22</f>
        <v>15</v>
      </c>
      <c r="F22" s="189" t="str">
        <f>Lanç!F22</f>
        <v>Dom</v>
      </c>
      <c r="G22" s="80"/>
      <c r="H22" s="94"/>
      <c r="I22" s="94"/>
      <c r="J22" s="94"/>
      <c r="K22" s="94"/>
      <c r="L22" s="197"/>
      <c r="M22" s="95">
        <f t="shared" si="1"/>
        <v>0</v>
      </c>
      <c r="N22" s="196"/>
      <c r="O22" s="95">
        <f ca="1">IF(OR(G22=0,G22="Férias",G22="Falta Justificada",G22="Feriado",G22="Folga (DSR)"),0,IF(G22="Falta Injustificada",HLOOKUP($F22,Jornada!$X$7:$AD$37,VLOOKUP(INDIRECT($C$5),Jornada!$C$8:$W$37,21,0),0),IF(HLOOKUP($F22,Jornada!$X$7:$AD$37,VLOOKUP(INDIRECT($C$5),Jornada!$C$8:$W$37,21,0),0)-M22&gt;0,HLOOKUP($F22,Jornada!$X$7:$AD$37,VLOOKUP(INDIRECT($C$5),Jornada!$C$8:$W$37,21,0),0)-M22,0)))</f>
        <v>0</v>
      </c>
      <c r="P22" s="193">
        <f ca="1">IF(HLOOKUP($F22,Jornada!$X$7:$AD$37,VLOOKUP(INDIRECT($C$5),Jornada!$C$8:$W$37,21,0),0)-M22&lt;0,ABS(HLOOKUP($F22,Jornada!$X$7:$AD$37,VLOOKUP(INDIRECT($C$5),Jornada!$C$8:$W$37,21,0),0)-M22),0)</f>
        <v>0</v>
      </c>
      <c r="Q22" s="95">
        <f t="shared" si="0"/>
        <v>0</v>
      </c>
      <c r="R22" s="2">
        <f t="shared" si="2"/>
        <v>0</v>
      </c>
      <c r="S22" s="300" t="s">
        <v>63</v>
      </c>
      <c r="T22" s="301"/>
      <c r="U22" s="302"/>
      <c r="X22" s="177"/>
      <c r="AB22" s="177">
        <f t="shared" si="10"/>
        <v>15</v>
      </c>
      <c r="AC22" s="2">
        <f t="shared" si="3"/>
        <v>1</v>
      </c>
      <c r="AG22" s="220">
        <f t="shared" si="4"/>
        <v>0</v>
      </c>
      <c r="AH22" s="220">
        <f ca="1">IF(HLOOKUP($F22,Jornada!$X$7:$AD$37,VLOOKUP(INDIRECT($C$5),Jornada!$C$8:$W$37,21,0),0)=0,0,VLOOKUP(INDIRECT($C$5),Jornada!$C$8:$H$37,4,0))</f>
        <v>0</v>
      </c>
      <c r="AI22" s="155">
        <f ca="1">IF(AND(I22=0,J22=0,OR(H22&lt;&gt;0,K22&lt;&gt;0),HLOOKUP($F22,Jornada!$X$7:$AD$37,VLOOKUP(INDIRECT($C$5),Jornada!$C$8:$W$37,21,0),0)&gt;$AK$5,M22&gt;$AK$5),VLOOKUP(INDIRECT($C$5),Jornada!$C$8:$H$37,6,0),IF(AG22&gt;VLOOKUP(INDIRECT($C$5),Jornada!$C$8:$H$37,6,0),IF(VLOOKUP(INDIRECT($C$5),Jornada!$C$8:$H$37,6,0)&lt;AG22,0,ABS(VLOOKUP(INDIRECT($C$5),Jornada!$C$8:$H$37,6,0))-AG22),0))</f>
        <v>0</v>
      </c>
      <c r="AJ22" s="155">
        <f t="shared" si="5"/>
        <v>1</v>
      </c>
      <c r="AK22" s="155">
        <f t="shared" si="6"/>
        <v>0</v>
      </c>
      <c r="AL22" s="155">
        <f ca="1">HLOOKUP($F22,Jornada!$I$5:$V$37,VLOOKUP(INDIRECT($C$5),Jornada!$C$8:$W$37,21,0)+2,0)</f>
        <v>0</v>
      </c>
      <c r="AM22" s="155">
        <f ca="1">HLOOKUP($F22,Jornada!$I$4:$V$37,VLOOKUP(INDIRECT($C$5),Jornada!$C$8:$W$37,21,0)+3,0)</f>
        <v>0</v>
      </c>
      <c r="AN22" s="155">
        <f t="shared" ca="1" si="7"/>
        <v>0</v>
      </c>
      <c r="AO22" s="155">
        <f t="shared" si="8"/>
        <v>0</v>
      </c>
      <c r="AP22" s="155">
        <f t="shared" si="9"/>
        <v>0</v>
      </c>
      <c r="BE22" s="14"/>
      <c r="BF22" s="14"/>
      <c r="BG22" s="14"/>
    </row>
    <row r="23" spans="1:59" s="2" customFormat="1" ht="30" customHeight="1" thickTop="1" thickBot="1" x14ac:dyDescent="0.25">
      <c r="A23" s="1"/>
      <c r="B23"/>
      <c r="C23" s="172" t="str">
        <f>IF(Funcionários!C22=0,"",Funcionários!C22)</f>
        <v/>
      </c>
      <c r="D23"/>
      <c r="E23" s="115">
        <f>Lanç!E23</f>
        <v>16</v>
      </c>
      <c r="F23" s="189" t="str">
        <f>Lanç!F23</f>
        <v>Seg</v>
      </c>
      <c r="G23" s="80"/>
      <c r="H23" s="94"/>
      <c r="I23" s="94"/>
      <c r="J23" s="94"/>
      <c r="K23" s="94"/>
      <c r="L23" s="197"/>
      <c r="M23" s="95">
        <f t="shared" si="1"/>
        <v>0</v>
      </c>
      <c r="N23" s="196"/>
      <c r="O23" s="95">
        <f ca="1">IF(OR(G23=0,G23="Férias",G23="Falta Justificada",G23="Feriado",G23="Folga (DSR)"),0,IF(G23="Falta Injustificada",HLOOKUP($F23,Jornada!$X$7:$AD$37,VLOOKUP(INDIRECT($C$5),Jornada!$C$8:$W$37,21,0),0),IF(HLOOKUP($F23,Jornada!$X$7:$AD$37,VLOOKUP(INDIRECT($C$5),Jornada!$C$8:$W$37,21,0),0)-M23&gt;0,HLOOKUP($F23,Jornada!$X$7:$AD$37,VLOOKUP(INDIRECT($C$5),Jornada!$C$8:$W$37,21,0),0)-M23,0)))</f>
        <v>0</v>
      </c>
      <c r="P23" s="193">
        <f ca="1">IF(HLOOKUP($F23,Jornada!$X$7:$AD$37,VLOOKUP(INDIRECT($C$5),Jornada!$C$8:$W$37,21,0),0)-M23&lt;0,ABS(HLOOKUP($F23,Jornada!$X$7:$AD$37,VLOOKUP(INDIRECT($C$5),Jornada!$C$8:$W$37,21,0),0)-M23),0)</f>
        <v>0</v>
      </c>
      <c r="Q23" s="95">
        <f t="shared" si="0"/>
        <v>0</v>
      </c>
      <c r="R23" s="2">
        <f t="shared" si="2"/>
        <v>0</v>
      </c>
      <c r="S23" s="296" t="str">
        <f>IF(SUM(R8:R38)&gt;0,"Segundo o art 59 da CLT, o máximo de horas extras permitidas por dia são 2 horas.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T23" s="297"/>
      <c r="U23" s="298"/>
      <c r="X23" s="177"/>
      <c r="AB23" s="177">
        <f t="shared" si="10"/>
        <v>16</v>
      </c>
      <c r="AC23" s="2">
        <f t="shared" si="3"/>
        <v>2</v>
      </c>
      <c r="AG23" s="220">
        <f t="shared" si="4"/>
        <v>0</v>
      </c>
      <c r="AH23" s="220">
        <f ca="1">IF(HLOOKUP($F23,Jornada!$X$7:$AD$37,VLOOKUP(INDIRECT($C$5),Jornada!$C$8:$W$37,21,0),0)=0,0,VLOOKUP(INDIRECT($C$5),Jornada!$C$8:$H$37,4,0))</f>
        <v>0</v>
      </c>
      <c r="AI23" s="155">
        <f ca="1">IF(AND(I23=0,J23=0,OR(H23&lt;&gt;0,K23&lt;&gt;0),HLOOKUP($F23,Jornada!$X$7:$AD$37,VLOOKUP(INDIRECT($C$5),Jornada!$C$8:$W$37,21,0),0)&gt;$AK$5,M23&gt;$AK$5),VLOOKUP(INDIRECT($C$5),Jornada!$C$8:$H$37,6,0),IF(AG23&gt;VLOOKUP(INDIRECT($C$5),Jornada!$C$8:$H$37,6,0),IF(VLOOKUP(INDIRECT($C$5),Jornada!$C$8:$H$37,6,0)&lt;AG23,0,ABS(VLOOKUP(INDIRECT($C$5),Jornada!$C$8:$H$37,6,0))-AG23),0))</f>
        <v>0</v>
      </c>
      <c r="AJ23" s="155">
        <f t="shared" si="5"/>
        <v>1</v>
      </c>
      <c r="AK23" s="155">
        <f t="shared" si="6"/>
        <v>0</v>
      </c>
      <c r="AL23" s="155">
        <f ca="1">HLOOKUP($F23,Jornada!$I$5:$V$37,VLOOKUP(INDIRECT($C$5),Jornada!$C$8:$W$37,21,0)+2,0)</f>
        <v>0</v>
      </c>
      <c r="AM23" s="155">
        <f ca="1">HLOOKUP($F23,Jornada!$I$4:$V$37,VLOOKUP(INDIRECT($C$5),Jornada!$C$8:$W$37,21,0)+3,0)</f>
        <v>0</v>
      </c>
      <c r="AN23" s="155">
        <f t="shared" ca="1" si="7"/>
        <v>0</v>
      </c>
      <c r="AO23" s="155">
        <f t="shared" si="8"/>
        <v>0</v>
      </c>
      <c r="AP23" s="155">
        <f t="shared" si="9"/>
        <v>0</v>
      </c>
      <c r="BE23" s="14"/>
      <c r="BF23" s="14"/>
      <c r="BG23" s="14"/>
    </row>
    <row r="24" spans="1:59" s="2" customFormat="1" ht="30" customHeight="1" thickTop="1" thickBot="1" x14ac:dyDescent="0.25">
      <c r="A24" s="1"/>
      <c r="B24"/>
      <c r="C24" s="172" t="str">
        <f>IF(Funcionários!C23=0,"",Funcionários!C23)</f>
        <v/>
      </c>
      <c r="D24"/>
      <c r="E24" s="115">
        <f>Lanç!E24</f>
        <v>17</v>
      </c>
      <c r="F24" s="189" t="str">
        <f>Lanç!F24</f>
        <v>Ter</v>
      </c>
      <c r="G24" s="80"/>
      <c r="H24" s="94"/>
      <c r="I24" s="94"/>
      <c r="J24" s="94"/>
      <c r="K24" s="94"/>
      <c r="L24" s="197"/>
      <c r="M24" s="95">
        <f t="shared" si="1"/>
        <v>0</v>
      </c>
      <c r="N24" s="196"/>
      <c r="O24" s="95">
        <f ca="1">IF(OR(G24=0,G24="Férias",G24="Falta Justificada",G24="Feriado",G24="Folga (DSR)"),0,IF(G24="Falta Injustificada",HLOOKUP($F24,Jornada!$X$7:$AD$37,VLOOKUP(INDIRECT($C$5),Jornada!$C$8:$W$37,21,0),0),IF(HLOOKUP($F24,Jornada!$X$7:$AD$37,VLOOKUP(INDIRECT($C$5),Jornada!$C$8:$W$37,21,0),0)-M24&gt;0,HLOOKUP($F24,Jornada!$X$7:$AD$37,VLOOKUP(INDIRECT($C$5),Jornada!$C$8:$W$37,21,0),0)-M24,0)))</f>
        <v>0</v>
      </c>
      <c r="P24" s="193">
        <f ca="1">IF(HLOOKUP($F24,Jornada!$X$7:$AD$37,VLOOKUP(INDIRECT($C$5),Jornada!$C$8:$W$37,21,0),0)-M24&lt;0,ABS(HLOOKUP($F24,Jornada!$X$7:$AD$37,VLOOKUP(INDIRECT($C$5),Jornada!$C$8:$W$37,21,0),0)-M24),0)</f>
        <v>0</v>
      </c>
      <c r="Q24" s="95">
        <f t="shared" si="0"/>
        <v>0</v>
      </c>
      <c r="R24" s="2">
        <f t="shared" si="2"/>
        <v>0</v>
      </c>
      <c r="S24" s="296"/>
      <c r="T24" s="297"/>
      <c r="U24" s="298"/>
      <c r="X24" s="177"/>
      <c r="AB24" s="177">
        <f t="shared" si="10"/>
        <v>17</v>
      </c>
      <c r="AC24" s="2">
        <f t="shared" si="3"/>
        <v>3</v>
      </c>
      <c r="AG24" s="220">
        <f t="shared" si="4"/>
        <v>0</v>
      </c>
      <c r="AH24" s="220">
        <f ca="1">IF(HLOOKUP($F24,Jornada!$X$7:$AD$37,VLOOKUP(INDIRECT($C$5),Jornada!$C$8:$W$37,21,0),0)=0,0,VLOOKUP(INDIRECT($C$5),Jornada!$C$8:$H$37,4,0))</f>
        <v>0</v>
      </c>
      <c r="AI24" s="155">
        <f ca="1">IF(AND(I24=0,J24=0,OR(H24&lt;&gt;0,K24&lt;&gt;0),HLOOKUP($F24,Jornada!$X$7:$AD$37,VLOOKUP(INDIRECT($C$5),Jornada!$C$8:$W$37,21,0),0)&gt;$AK$5,M24&gt;$AK$5),VLOOKUP(INDIRECT($C$5),Jornada!$C$8:$H$37,6,0),IF(AG24&gt;VLOOKUP(INDIRECT($C$5),Jornada!$C$8:$H$37,6,0),IF(VLOOKUP(INDIRECT($C$5),Jornada!$C$8:$H$37,6,0)&lt;AG24,0,ABS(VLOOKUP(INDIRECT($C$5),Jornada!$C$8:$H$37,6,0))-AG24),0))</f>
        <v>0</v>
      </c>
      <c r="AJ24" s="155">
        <f t="shared" si="5"/>
        <v>1</v>
      </c>
      <c r="AK24" s="155">
        <f t="shared" si="6"/>
        <v>0</v>
      </c>
      <c r="AL24" s="155">
        <f ca="1">HLOOKUP($F24,Jornada!$I$5:$V$37,VLOOKUP(INDIRECT($C$5),Jornada!$C$8:$W$37,21,0)+2,0)</f>
        <v>0</v>
      </c>
      <c r="AM24" s="155">
        <f ca="1">HLOOKUP($F24,Jornada!$I$4:$V$37,VLOOKUP(INDIRECT($C$5),Jornada!$C$8:$W$37,21,0)+3,0)</f>
        <v>0</v>
      </c>
      <c r="AN24" s="155">
        <f t="shared" ca="1" si="7"/>
        <v>0</v>
      </c>
      <c r="AO24" s="155">
        <f t="shared" si="8"/>
        <v>0</v>
      </c>
      <c r="AP24" s="155">
        <f t="shared" si="9"/>
        <v>0</v>
      </c>
      <c r="BE24" s="14"/>
      <c r="BF24" s="14"/>
      <c r="BG24" s="14"/>
    </row>
    <row r="25" spans="1:59" s="2" customFormat="1" ht="30" customHeight="1" thickTop="1" thickBot="1" x14ac:dyDescent="0.25">
      <c r="A25" s="1"/>
      <c r="B25"/>
      <c r="C25" s="172" t="str">
        <f>IF(Funcionários!C24=0,"",Funcionários!C24)</f>
        <v/>
      </c>
      <c r="D25"/>
      <c r="E25" s="115">
        <f>Lanç!E25</f>
        <v>18</v>
      </c>
      <c r="F25" s="189" t="str">
        <f>Lanç!F25</f>
        <v>Qua</v>
      </c>
      <c r="G25" s="80"/>
      <c r="H25" s="94"/>
      <c r="I25" s="94"/>
      <c r="J25" s="94"/>
      <c r="K25" s="94"/>
      <c r="L25" s="197"/>
      <c r="M25" s="95">
        <f t="shared" si="1"/>
        <v>0</v>
      </c>
      <c r="N25" s="196"/>
      <c r="O25" s="95">
        <f ca="1">IF(OR(G25=0,G25="Férias",G25="Falta Justificada",G25="Feriado",G25="Folga (DSR)"),0,IF(G25="Falta Injustificada",HLOOKUP($F25,Jornada!$X$7:$AD$37,VLOOKUP(INDIRECT($C$5),Jornada!$C$8:$W$37,21,0),0),IF(HLOOKUP($F25,Jornada!$X$7:$AD$37,VLOOKUP(INDIRECT($C$5),Jornada!$C$8:$W$37,21,0),0)-M25&gt;0,HLOOKUP($F25,Jornada!$X$7:$AD$37,VLOOKUP(INDIRECT($C$5),Jornada!$C$8:$W$37,21,0),0)-M25,0)))</f>
        <v>0</v>
      </c>
      <c r="P25" s="193">
        <f ca="1">IF(HLOOKUP($F25,Jornada!$X$7:$AD$37,VLOOKUP(INDIRECT($C$5),Jornada!$C$8:$W$37,21,0),0)-M25&lt;0,ABS(HLOOKUP($F25,Jornada!$X$7:$AD$37,VLOOKUP(INDIRECT($C$5),Jornada!$C$8:$W$37,21,0),0)-M25),0)</f>
        <v>0</v>
      </c>
      <c r="Q25" s="95">
        <f t="shared" si="0"/>
        <v>0</v>
      </c>
      <c r="R25" s="2">
        <f t="shared" si="2"/>
        <v>0</v>
      </c>
      <c r="S25" s="296"/>
      <c r="T25" s="297"/>
      <c r="U25" s="298"/>
      <c r="X25" s="177"/>
      <c r="Z25" s="2">
        <f>IF(SUM(R8:R38)&gt;0,1,0)</f>
        <v>0</v>
      </c>
      <c r="AB25" s="177">
        <f t="shared" si="10"/>
        <v>18</v>
      </c>
      <c r="AC25" s="2">
        <f t="shared" si="3"/>
        <v>4</v>
      </c>
      <c r="AG25" s="220">
        <f t="shared" si="4"/>
        <v>0</v>
      </c>
      <c r="AH25" s="220">
        <f ca="1">IF(HLOOKUP($F25,Jornada!$X$7:$AD$37,VLOOKUP(INDIRECT($C$5),Jornada!$C$8:$W$37,21,0),0)=0,0,VLOOKUP(INDIRECT($C$5),Jornada!$C$8:$H$37,4,0))</f>
        <v>0</v>
      </c>
      <c r="AI25" s="155">
        <f ca="1">IF(AND(I25=0,J25=0,OR(H25&lt;&gt;0,K25&lt;&gt;0),HLOOKUP($F25,Jornada!$X$7:$AD$37,VLOOKUP(INDIRECT($C$5),Jornada!$C$8:$W$37,21,0),0)&gt;$AK$5,M25&gt;$AK$5),VLOOKUP(INDIRECT($C$5),Jornada!$C$8:$H$37,6,0),IF(AG25&gt;VLOOKUP(INDIRECT($C$5),Jornada!$C$8:$H$37,6,0),IF(VLOOKUP(INDIRECT($C$5),Jornada!$C$8:$H$37,6,0)&lt;AG25,0,ABS(VLOOKUP(INDIRECT($C$5),Jornada!$C$8:$H$37,6,0))-AG25),0))</f>
        <v>0</v>
      </c>
      <c r="AJ25" s="155">
        <f t="shared" si="5"/>
        <v>1</v>
      </c>
      <c r="AK25" s="155">
        <f t="shared" si="6"/>
        <v>0</v>
      </c>
      <c r="AL25" s="155">
        <f ca="1">HLOOKUP($F25,Jornada!$I$5:$V$37,VLOOKUP(INDIRECT($C$5),Jornada!$C$8:$W$37,21,0)+2,0)</f>
        <v>0</v>
      </c>
      <c r="AM25" s="155">
        <f ca="1">HLOOKUP($F25,Jornada!$I$4:$V$37,VLOOKUP(INDIRECT($C$5),Jornada!$C$8:$W$37,21,0)+3,0)</f>
        <v>0</v>
      </c>
      <c r="AN25" s="155">
        <f t="shared" ca="1" si="7"/>
        <v>0</v>
      </c>
      <c r="AO25" s="155">
        <f t="shared" si="8"/>
        <v>0</v>
      </c>
      <c r="AP25" s="155">
        <f t="shared" si="9"/>
        <v>0</v>
      </c>
      <c r="BE25" s="14"/>
      <c r="BF25" s="14"/>
      <c r="BG25" s="14"/>
    </row>
    <row r="26" spans="1:59" s="2" customFormat="1" ht="30" customHeight="1" thickTop="1" thickBot="1" x14ac:dyDescent="0.25">
      <c r="A26" s="1"/>
      <c r="B26"/>
      <c r="C26" s="172" t="str">
        <f>IF(Funcionários!C25=0,"",Funcionários!C25)</f>
        <v/>
      </c>
      <c r="D26"/>
      <c r="E26" s="115">
        <f>Lanç!E26</f>
        <v>19</v>
      </c>
      <c r="F26" s="189" t="str">
        <f>Lanç!F26</f>
        <v>Qui</v>
      </c>
      <c r="G26" s="80"/>
      <c r="H26" s="94"/>
      <c r="I26" s="94"/>
      <c r="J26" s="94"/>
      <c r="K26" s="94"/>
      <c r="L26" s="197"/>
      <c r="M26" s="95">
        <f t="shared" si="1"/>
        <v>0</v>
      </c>
      <c r="N26" s="196"/>
      <c r="O26" s="95">
        <f ca="1">IF(OR(G26=0,G26="Férias",G26="Falta Justificada",G26="Feriado",G26="Folga (DSR)"),0,IF(G26="Falta Injustificada",HLOOKUP($F26,Jornada!$X$7:$AD$37,VLOOKUP(INDIRECT($C$5),Jornada!$C$8:$W$37,21,0),0),IF(HLOOKUP($F26,Jornada!$X$7:$AD$37,VLOOKUP(INDIRECT($C$5),Jornada!$C$8:$W$37,21,0),0)-M26&gt;0,HLOOKUP($F26,Jornada!$X$7:$AD$37,VLOOKUP(INDIRECT($C$5),Jornada!$C$8:$W$37,21,0),0)-M26,0)))</f>
        <v>0</v>
      </c>
      <c r="P26" s="193">
        <f ca="1">IF(HLOOKUP($F26,Jornada!$X$7:$AD$37,VLOOKUP(INDIRECT($C$5),Jornada!$C$8:$W$37,21,0),0)-M26&lt;0,ABS(HLOOKUP($F26,Jornada!$X$7:$AD$37,VLOOKUP(INDIRECT($C$5),Jornada!$C$8:$W$37,21,0),0)-M26),0)</f>
        <v>0</v>
      </c>
      <c r="Q26" s="95">
        <f t="shared" si="0"/>
        <v>0</v>
      </c>
      <c r="R26" s="2">
        <f t="shared" si="2"/>
        <v>0</v>
      </c>
      <c r="S26" s="296" t="str">
        <f>IF(COUNTIF(G8:G38,"Folga (DSR)")&lt;DAY(E39)/8,"O mês não está contemplando um DSR (Descanso Semanal Remunerado) por semana. Isso pode configurar uma irregularidade segundo as leis trabalhistas.","Parabéns!! Sua folha de pagamento contempla uma DSR por semana conforme a lei trabalhista.")</f>
        <v>O mês não está contemplando um DSR (Descanso Semanal Remunerado) por semana. Isso pode configurar uma irregularidade segundo as leis trabalhistas.</v>
      </c>
      <c r="T26" s="297"/>
      <c r="U26" s="298"/>
      <c r="X26" s="177"/>
      <c r="AB26" s="177">
        <f t="shared" si="10"/>
        <v>19</v>
      </c>
      <c r="AC26" s="2">
        <f t="shared" si="3"/>
        <v>5</v>
      </c>
      <c r="AG26" s="220">
        <f t="shared" si="4"/>
        <v>0</v>
      </c>
      <c r="AH26" s="220">
        <f ca="1">IF(HLOOKUP($F26,Jornada!$X$7:$AD$37,VLOOKUP(INDIRECT($C$5),Jornada!$C$8:$W$37,21,0),0)=0,0,VLOOKUP(INDIRECT($C$5),Jornada!$C$8:$H$37,4,0))</f>
        <v>0</v>
      </c>
      <c r="AI26" s="155">
        <f ca="1">IF(AND(I26=0,J26=0,OR(H26&lt;&gt;0,K26&lt;&gt;0),HLOOKUP($F26,Jornada!$X$7:$AD$37,VLOOKUP(INDIRECT($C$5),Jornada!$C$8:$W$37,21,0),0)&gt;$AK$5,M26&gt;$AK$5),VLOOKUP(INDIRECT($C$5),Jornada!$C$8:$H$37,6,0),IF(AG26&gt;VLOOKUP(INDIRECT($C$5),Jornada!$C$8:$H$37,6,0),IF(VLOOKUP(INDIRECT($C$5),Jornada!$C$8:$H$37,6,0)&lt;AG26,0,ABS(VLOOKUP(INDIRECT($C$5),Jornada!$C$8:$H$37,6,0))-AG26),0))</f>
        <v>0</v>
      </c>
      <c r="AJ26" s="155">
        <f t="shared" si="5"/>
        <v>1</v>
      </c>
      <c r="AK26" s="155">
        <f t="shared" si="6"/>
        <v>0</v>
      </c>
      <c r="AL26" s="155">
        <f ca="1">HLOOKUP($F26,Jornada!$I$5:$V$37,VLOOKUP(INDIRECT($C$5),Jornada!$C$8:$W$37,21,0)+2,0)</f>
        <v>0</v>
      </c>
      <c r="AM26" s="155">
        <f ca="1">HLOOKUP($F26,Jornada!$I$4:$V$37,VLOOKUP(INDIRECT($C$5),Jornada!$C$8:$W$37,21,0)+3,0)</f>
        <v>0</v>
      </c>
      <c r="AN26" s="155">
        <f t="shared" ca="1" si="7"/>
        <v>0</v>
      </c>
      <c r="AO26" s="155">
        <f t="shared" si="8"/>
        <v>0</v>
      </c>
      <c r="AP26" s="155">
        <f t="shared" si="9"/>
        <v>0</v>
      </c>
      <c r="BE26" s="14"/>
      <c r="BF26" s="14"/>
      <c r="BG26" s="14"/>
    </row>
    <row r="27" spans="1:59" s="2" customFormat="1" ht="30" customHeight="1" thickTop="1" thickBot="1" x14ac:dyDescent="0.25">
      <c r="A27" s="1"/>
      <c r="B27"/>
      <c r="C27" s="172" t="str">
        <f>IF(Funcionários!C26=0,"",Funcionários!C26)</f>
        <v/>
      </c>
      <c r="D27"/>
      <c r="E27" s="115">
        <f>Lanç!E27</f>
        <v>20</v>
      </c>
      <c r="F27" s="189" t="str">
        <f>Lanç!F27</f>
        <v>Sex</v>
      </c>
      <c r="G27" s="80"/>
      <c r="H27" s="94"/>
      <c r="I27" s="94"/>
      <c r="J27" s="94"/>
      <c r="K27" s="94"/>
      <c r="L27" s="197"/>
      <c r="M27" s="95">
        <f>IF(AND(H27=K27,H27&lt;&gt;0),$M$6-IF(J27&lt;I27,$AJ$7+J27-I27,J27-I27),IF(H27&gt;K27,(K27+1-H27)-IF(J27&lt;I27,$AJ$7+J27-I27,J27-I27),(K27-H27)-IF(J27&lt;I27,$AJ$7+J27-I27,J27-I27)))</f>
        <v>0</v>
      </c>
      <c r="N27" s="196"/>
      <c r="O27" s="95">
        <f ca="1">IF(OR(G27=0,G27="Férias",G27="Falta Justificada",G27="Feriado",G27="Folga (DSR)"),0,IF(G27="Falta Injustificada",HLOOKUP($F27,Jornada!$X$7:$AD$37,VLOOKUP(INDIRECT($C$5),Jornada!$C$8:$W$37,21,0),0),IF(HLOOKUP($F27,Jornada!$X$7:$AD$37,VLOOKUP(INDIRECT($C$5),Jornada!$C$8:$W$37,21,0),0)-M27&gt;0,HLOOKUP($F27,Jornada!$X$7:$AD$37,VLOOKUP(INDIRECT($C$5),Jornada!$C$8:$W$37,21,0),0)-M27,0)))</f>
        <v>0</v>
      </c>
      <c r="P27" s="193">
        <f ca="1">IF(HLOOKUP($F27,Jornada!$X$7:$AD$37,VLOOKUP(INDIRECT($C$5),Jornada!$C$8:$W$37,21,0),0)-M27&lt;0,ABS(HLOOKUP($F27,Jornada!$X$7:$AD$37,VLOOKUP(INDIRECT($C$5),Jornada!$C$8:$W$37,21,0),0)-M27),0)</f>
        <v>0</v>
      </c>
      <c r="Q27" s="95">
        <f t="shared" si="0"/>
        <v>0</v>
      </c>
      <c r="R27" s="2">
        <f t="shared" si="2"/>
        <v>0</v>
      </c>
      <c r="S27" s="296"/>
      <c r="T27" s="297"/>
      <c r="U27" s="298"/>
      <c r="X27" s="177"/>
      <c r="AB27" s="177">
        <f t="shared" si="10"/>
        <v>20</v>
      </c>
      <c r="AC27" s="2">
        <f t="shared" si="3"/>
        <v>6</v>
      </c>
      <c r="AG27" s="220">
        <f t="shared" si="4"/>
        <v>0</v>
      </c>
      <c r="AH27" s="220">
        <f ca="1">IF(HLOOKUP($F27,Jornada!$X$7:$AD$37,VLOOKUP(INDIRECT($C$5),Jornada!$C$8:$W$37,21,0),0)=0,0,VLOOKUP(INDIRECT($C$5),Jornada!$C$8:$H$37,4,0))</f>
        <v>0</v>
      </c>
      <c r="AI27" s="155">
        <f ca="1">IF(AND(I27=0,J27=0,OR(H27&lt;&gt;0,K27&lt;&gt;0),HLOOKUP($F27,Jornada!$X$7:$AD$37,VLOOKUP(INDIRECT($C$5),Jornada!$C$8:$W$37,21,0),0)&gt;$AK$5,M27&gt;$AK$5),VLOOKUP(INDIRECT($C$5),Jornada!$C$8:$H$37,6,0),IF(AG27&gt;VLOOKUP(INDIRECT($C$5),Jornada!$C$8:$H$37,6,0),IF(VLOOKUP(INDIRECT($C$5),Jornada!$C$8:$H$37,6,0)&lt;AG27,0,ABS(VLOOKUP(INDIRECT($C$5),Jornada!$C$8:$H$37,6,0))-AG27),0))</f>
        <v>0</v>
      </c>
      <c r="AJ27" s="155">
        <f t="shared" si="5"/>
        <v>1</v>
      </c>
      <c r="AK27" s="155">
        <f t="shared" si="6"/>
        <v>0</v>
      </c>
      <c r="AL27" s="155">
        <f ca="1">HLOOKUP($F27,Jornada!$I$5:$V$37,VLOOKUP(INDIRECT($C$5),Jornada!$C$8:$W$37,21,0)+2,0)</f>
        <v>0</v>
      </c>
      <c r="AM27" s="155">
        <f ca="1">HLOOKUP($F27,Jornada!$I$4:$V$37,VLOOKUP(INDIRECT($C$5),Jornada!$C$8:$W$37,21,0)+3,0)</f>
        <v>0</v>
      </c>
      <c r="AN27" s="155">
        <f t="shared" ca="1" si="7"/>
        <v>0</v>
      </c>
      <c r="AO27" s="155">
        <f t="shared" si="8"/>
        <v>0</v>
      </c>
      <c r="AP27" s="155">
        <f t="shared" si="9"/>
        <v>0</v>
      </c>
    </row>
    <row r="28" spans="1:59" s="2" customFormat="1" ht="30" customHeight="1" thickTop="1" thickBot="1" x14ac:dyDescent="0.25">
      <c r="A28" s="1"/>
      <c r="B28"/>
      <c r="C28" s="172" t="str">
        <f>IF(Funcionários!C27=0,"",Funcionários!C27)</f>
        <v/>
      </c>
      <c r="D28"/>
      <c r="E28" s="115">
        <f>Lanç!E28</f>
        <v>21</v>
      </c>
      <c r="F28" s="189" t="str">
        <f>Lanç!F28</f>
        <v>Sáb</v>
      </c>
      <c r="G28" s="80"/>
      <c r="H28" s="94"/>
      <c r="I28" s="94"/>
      <c r="J28" s="94"/>
      <c r="K28" s="94"/>
      <c r="L28" s="197"/>
      <c r="M28" s="95">
        <f t="shared" si="1"/>
        <v>0</v>
      </c>
      <c r="N28" s="196"/>
      <c r="O28" s="95">
        <f ca="1">IF(OR(G28=0,G28="Férias",G28="Falta Justificada",G28="Feriado",G28="Folga (DSR)"),0,IF(G28="Falta Injustificada",HLOOKUP($F28,Jornada!$X$7:$AD$37,VLOOKUP(INDIRECT($C$5),Jornada!$C$8:$W$37,21,0),0),IF(HLOOKUP($F28,Jornada!$X$7:$AD$37,VLOOKUP(INDIRECT($C$5),Jornada!$C$8:$W$37,21,0),0)-M28&gt;0,HLOOKUP($F28,Jornada!$X$7:$AD$37,VLOOKUP(INDIRECT($C$5),Jornada!$C$8:$W$37,21,0),0)-M28,0)))</f>
        <v>0</v>
      </c>
      <c r="P28" s="193">
        <f ca="1">IF(HLOOKUP($F28,Jornada!$X$7:$AD$37,VLOOKUP(INDIRECT($C$5),Jornada!$C$8:$W$37,21,0),0)-M28&lt;0,ABS(HLOOKUP($F28,Jornada!$X$7:$AD$37,VLOOKUP(INDIRECT($C$5),Jornada!$C$8:$W$37,21,0),0)-M28),0)</f>
        <v>0</v>
      </c>
      <c r="Q28" s="95">
        <f t="shared" si="0"/>
        <v>0</v>
      </c>
      <c r="R28" s="2">
        <f t="shared" si="2"/>
        <v>0</v>
      </c>
      <c r="S28" s="296"/>
      <c r="T28" s="297"/>
      <c r="U28" s="298"/>
      <c r="X28" s="177"/>
      <c r="AB28" s="177">
        <f t="shared" si="10"/>
        <v>21</v>
      </c>
      <c r="AC28" s="2">
        <f t="shared" si="3"/>
        <v>7</v>
      </c>
      <c r="AG28" s="220">
        <f t="shared" si="4"/>
        <v>0</v>
      </c>
      <c r="AH28" s="220">
        <f ca="1">IF(HLOOKUP($F28,Jornada!$X$7:$AD$37,VLOOKUP(INDIRECT($C$5),Jornada!$C$8:$W$37,21,0),0)=0,0,VLOOKUP(INDIRECT($C$5),Jornada!$C$8:$H$37,4,0))</f>
        <v>0</v>
      </c>
      <c r="AI28" s="155">
        <f ca="1">IF(AND(I28=0,J28=0,OR(H28&lt;&gt;0,K28&lt;&gt;0),HLOOKUP($F28,Jornada!$X$7:$AD$37,VLOOKUP(INDIRECT($C$5),Jornada!$C$8:$W$37,21,0),0)&gt;$AK$5,M28&gt;$AK$5),VLOOKUP(INDIRECT($C$5),Jornada!$C$8:$H$37,6,0),IF(AG28&gt;VLOOKUP(INDIRECT($C$5),Jornada!$C$8:$H$37,6,0),IF(VLOOKUP(INDIRECT($C$5),Jornada!$C$8:$H$37,6,0)&lt;AG28,0,ABS(VLOOKUP(INDIRECT($C$5),Jornada!$C$8:$H$37,6,0))-AG28),0))</f>
        <v>0</v>
      </c>
      <c r="AJ28" s="155">
        <f t="shared" si="5"/>
        <v>1</v>
      </c>
      <c r="AK28" s="155">
        <f t="shared" si="6"/>
        <v>0</v>
      </c>
      <c r="AL28" s="155">
        <f ca="1">HLOOKUP($F28,Jornada!$I$5:$V$37,VLOOKUP(INDIRECT($C$5),Jornada!$C$8:$W$37,21,0)+2,0)</f>
        <v>0</v>
      </c>
      <c r="AM28" s="155">
        <f ca="1">HLOOKUP($F28,Jornada!$I$4:$V$37,VLOOKUP(INDIRECT($C$5),Jornada!$C$8:$W$37,21,0)+3,0)</f>
        <v>0</v>
      </c>
      <c r="AN28" s="155">
        <f t="shared" ca="1" si="7"/>
        <v>0</v>
      </c>
      <c r="AO28" s="155">
        <f t="shared" si="8"/>
        <v>0</v>
      </c>
      <c r="AP28" s="155">
        <f t="shared" si="9"/>
        <v>0</v>
      </c>
    </row>
    <row r="29" spans="1:59" s="2" customFormat="1" ht="30" customHeight="1" thickTop="1" thickBot="1" x14ac:dyDescent="0.25">
      <c r="A29" s="1"/>
      <c r="B29"/>
      <c r="C29" s="172" t="str">
        <f>IF(Funcionários!C28=0,"",Funcionários!C28)</f>
        <v/>
      </c>
      <c r="D29"/>
      <c r="E29" s="115">
        <f>Lanç!E29</f>
        <v>22</v>
      </c>
      <c r="F29" s="189" t="str">
        <f>Lanç!F29</f>
        <v>Dom</v>
      </c>
      <c r="G29" s="80"/>
      <c r="H29" s="94"/>
      <c r="I29" s="94"/>
      <c r="J29" s="94"/>
      <c r="K29" s="94"/>
      <c r="L29" s="197"/>
      <c r="M29" s="95">
        <f t="shared" si="1"/>
        <v>0</v>
      </c>
      <c r="N29" s="196"/>
      <c r="O29" s="95">
        <f ca="1">IF(OR(G29=0,G29="Férias",G29="Falta Justificada",G29="Feriado",G29="Folga (DSR)"),0,IF(G29="Falta Injustificada",HLOOKUP($F29,Jornada!$X$7:$AD$37,VLOOKUP(INDIRECT($C$5),Jornada!$C$8:$W$37,21,0),0),IF(HLOOKUP($F29,Jornada!$X$7:$AD$37,VLOOKUP(INDIRECT($C$5),Jornada!$C$8:$W$37,21,0),0)-M29&gt;0,HLOOKUP($F29,Jornada!$X$7:$AD$37,VLOOKUP(INDIRECT($C$5),Jornada!$C$8:$W$37,21,0),0)-M29,0)))</f>
        <v>0</v>
      </c>
      <c r="P29" s="193">
        <f ca="1">IF(HLOOKUP($F29,Jornada!$X$7:$AD$37,VLOOKUP(INDIRECT($C$5),Jornada!$C$8:$W$37,21,0),0)-M29&lt;0,ABS(HLOOKUP($F29,Jornada!$X$7:$AD$37,VLOOKUP(INDIRECT($C$5),Jornada!$C$8:$W$37,21,0),0)-M29),0)</f>
        <v>0</v>
      </c>
      <c r="Q29" s="95">
        <f t="shared" si="0"/>
        <v>0</v>
      </c>
      <c r="R29" s="2">
        <f t="shared" si="2"/>
        <v>0</v>
      </c>
      <c r="S29" s="13"/>
      <c r="T29" s="74"/>
      <c r="U29" s="74"/>
      <c r="X29" s="177"/>
      <c r="AB29" s="177">
        <f t="shared" si="10"/>
        <v>22</v>
      </c>
      <c r="AC29" s="2">
        <f t="shared" si="3"/>
        <v>1</v>
      </c>
      <c r="AG29" s="220">
        <f t="shared" si="4"/>
        <v>0</v>
      </c>
      <c r="AH29" s="220">
        <f ca="1">IF(HLOOKUP($F29,Jornada!$X$7:$AD$37,VLOOKUP(INDIRECT($C$5),Jornada!$C$8:$W$37,21,0),0)=0,0,VLOOKUP(INDIRECT($C$5),Jornada!$C$8:$H$37,4,0))</f>
        <v>0</v>
      </c>
      <c r="AI29" s="155">
        <f ca="1">IF(AND(I29=0,J29=0,OR(H29&lt;&gt;0,K29&lt;&gt;0),HLOOKUP($F29,Jornada!$X$7:$AD$37,VLOOKUP(INDIRECT($C$5),Jornada!$C$8:$W$37,21,0),0)&gt;$AK$5,M29&gt;$AK$5),VLOOKUP(INDIRECT($C$5),Jornada!$C$8:$H$37,6,0),IF(AG29&gt;VLOOKUP(INDIRECT($C$5),Jornada!$C$8:$H$37,6,0),IF(VLOOKUP(INDIRECT($C$5),Jornada!$C$8:$H$37,6,0)&lt;AG29,0,ABS(VLOOKUP(INDIRECT($C$5),Jornada!$C$8:$H$37,6,0))-AG29),0))</f>
        <v>0</v>
      </c>
      <c r="AJ29" s="155">
        <f t="shared" si="5"/>
        <v>1</v>
      </c>
      <c r="AK29" s="155">
        <f t="shared" si="6"/>
        <v>0</v>
      </c>
      <c r="AL29" s="155">
        <f ca="1">HLOOKUP($F29,Jornada!$I$5:$V$37,VLOOKUP(INDIRECT($C$5),Jornada!$C$8:$W$37,21,0)+2,0)</f>
        <v>0</v>
      </c>
      <c r="AM29" s="155">
        <f ca="1">HLOOKUP($F29,Jornada!$I$4:$V$37,VLOOKUP(INDIRECT($C$5),Jornada!$C$8:$W$37,21,0)+3,0)</f>
        <v>0</v>
      </c>
      <c r="AN29" s="155">
        <f t="shared" ca="1" si="7"/>
        <v>0</v>
      </c>
      <c r="AO29" s="155">
        <f t="shared" si="8"/>
        <v>0</v>
      </c>
      <c r="AP29" s="155">
        <f t="shared" si="9"/>
        <v>0</v>
      </c>
    </row>
    <row r="30" spans="1:59" s="2" customFormat="1" ht="30" customHeight="1" thickTop="1" thickBot="1" x14ac:dyDescent="0.25">
      <c r="A30" s="1"/>
      <c r="B30"/>
      <c r="C30" s="172" t="str">
        <f>IF(Funcionários!C29=0,"",Funcionários!C29)</f>
        <v/>
      </c>
      <c r="D30"/>
      <c r="E30" s="173">
        <f>Lanç!E30</f>
        <v>23</v>
      </c>
      <c r="F30" s="189" t="str">
        <f>Lanç!F30</f>
        <v>Seg</v>
      </c>
      <c r="G30" s="80"/>
      <c r="H30" s="94"/>
      <c r="I30" s="94"/>
      <c r="J30" s="94"/>
      <c r="K30" s="94"/>
      <c r="L30" s="197"/>
      <c r="M30" s="95">
        <f t="shared" si="1"/>
        <v>0</v>
      </c>
      <c r="N30" s="196"/>
      <c r="O30" s="95">
        <f ca="1">IF(OR(G30=0,G30="Férias",G30="Falta Justificada",G30="Feriado",G30="Folga (DSR)"),0,IF(G30="Falta Injustificada",HLOOKUP($F30,Jornada!$X$7:$AD$37,VLOOKUP(INDIRECT($C$5),Jornada!$C$8:$W$37,21,0),0),IF(HLOOKUP($F30,Jornada!$X$7:$AD$37,VLOOKUP(INDIRECT($C$5),Jornada!$C$8:$W$37,21,0),0)-M30&gt;0,HLOOKUP($F30,Jornada!$X$7:$AD$37,VLOOKUP(INDIRECT($C$5),Jornada!$C$8:$W$37,21,0),0)-M30,0)))</f>
        <v>0</v>
      </c>
      <c r="P30" s="193">
        <f ca="1">IF(HLOOKUP($F30,Jornada!$X$7:$AD$37,VLOOKUP(INDIRECT($C$5),Jornada!$C$8:$W$37,21,0),0)-M30&lt;0,ABS(HLOOKUP($F30,Jornada!$X$7:$AD$37,VLOOKUP(INDIRECT($C$5),Jornada!$C$8:$W$37,21,0),0)-M30),0)</f>
        <v>0</v>
      </c>
      <c r="Q30" s="95">
        <f t="shared" si="0"/>
        <v>0</v>
      </c>
      <c r="R30" s="2">
        <f>IF(Q30&gt;$R$7,1,0)</f>
        <v>0</v>
      </c>
      <c r="S30" s="13"/>
      <c r="T30" s="74"/>
      <c r="U30" s="74"/>
      <c r="X30" s="177"/>
      <c r="AB30" s="177">
        <f t="shared" si="10"/>
        <v>23</v>
      </c>
      <c r="AC30" s="2">
        <f>WEEKDAY(AB30)</f>
        <v>2</v>
      </c>
      <c r="AG30" s="220">
        <f t="shared" si="4"/>
        <v>0</v>
      </c>
      <c r="AH30" s="220">
        <f ca="1">IF(HLOOKUP($F30,Jornada!$X$7:$AD$37,VLOOKUP(INDIRECT($C$5),Jornada!$C$8:$W$37,21,0),0)=0,0,VLOOKUP(INDIRECT($C$5),Jornada!$C$8:$H$37,4,0))</f>
        <v>0</v>
      </c>
      <c r="AI30" s="155">
        <f ca="1">IF(AND(I30=0,J30=0,OR(H30&lt;&gt;0,K30&lt;&gt;0),HLOOKUP($F30,Jornada!$X$7:$AD$37,VLOOKUP(INDIRECT($C$5),Jornada!$C$8:$W$37,21,0),0)&gt;$AK$5,M30&gt;$AK$5),VLOOKUP(INDIRECT($C$5),Jornada!$C$8:$H$37,6,0),IF(AG30&gt;VLOOKUP(INDIRECT($C$5),Jornada!$C$8:$H$37,6,0),IF(VLOOKUP(INDIRECT($C$5),Jornada!$C$8:$H$37,6,0)&lt;AG30,0,ABS(VLOOKUP(INDIRECT($C$5),Jornada!$C$8:$H$37,6,0))-AG30),0))</f>
        <v>0</v>
      </c>
      <c r="AJ30" s="155">
        <f>($AJ$7-K30)+H30</f>
        <v>1</v>
      </c>
      <c r="AK30" s="155">
        <f>IF(AJ30&lt;$AK$7,$AK$7-AJ30,$AI$7)</f>
        <v>0</v>
      </c>
      <c r="AL30" s="155">
        <f ca="1">HLOOKUP($F30,Jornada!$I$5:$V$37,VLOOKUP(INDIRECT($C$5),Jornada!$C$8:$W$37,21,0)+2,0)</f>
        <v>0</v>
      </c>
      <c r="AM30" s="155">
        <f ca="1">HLOOKUP($F30,Jornada!$I$4:$V$37,VLOOKUP(INDIRECT($C$5),Jornada!$C$8:$W$37,21,0)+3,0)</f>
        <v>0</v>
      </c>
      <c r="AN30" s="155">
        <f t="shared" ca="1" si="7"/>
        <v>0</v>
      </c>
      <c r="AO30" s="155">
        <f t="shared" si="8"/>
        <v>0</v>
      </c>
      <c r="AP30" s="155">
        <f t="shared" si="9"/>
        <v>0</v>
      </c>
    </row>
    <row r="31" spans="1:59" s="2" customFormat="1" ht="30" customHeight="1" thickTop="1" thickBot="1" x14ac:dyDescent="0.25">
      <c r="A31" s="1"/>
      <c r="B31"/>
      <c r="C31" s="172" t="str">
        <f>IF(Funcionários!C30=0,"",Funcionários!C30)</f>
        <v/>
      </c>
      <c r="D31"/>
      <c r="E31" s="173">
        <f>Lanç!E31</f>
        <v>24</v>
      </c>
      <c r="F31" s="189" t="str">
        <f>Lanç!F31</f>
        <v>Ter</v>
      </c>
      <c r="G31" s="80"/>
      <c r="H31" s="94"/>
      <c r="I31" s="94"/>
      <c r="J31" s="94"/>
      <c r="K31" s="94"/>
      <c r="L31" s="197"/>
      <c r="M31" s="95">
        <f t="shared" si="1"/>
        <v>0</v>
      </c>
      <c r="N31" s="196"/>
      <c r="O31" s="95">
        <f ca="1">IF(OR(G31=0,G31="Férias",G31="Falta Justificada",G31="Feriado",G31="Folga (DSR)"),0,IF(G31="Falta Injustificada",HLOOKUP($F31,Jornada!$X$7:$AD$37,VLOOKUP(INDIRECT($C$5),Jornada!$C$8:$W$37,21,0),0),IF(HLOOKUP($F31,Jornada!$X$7:$AD$37,VLOOKUP(INDIRECT($C$5),Jornada!$C$8:$W$37,21,0),0)-M31&gt;0,HLOOKUP($F31,Jornada!$X$7:$AD$37,VLOOKUP(INDIRECT($C$5),Jornada!$C$8:$W$37,21,0),0)-M31,0)))</f>
        <v>0</v>
      </c>
      <c r="P31" s="193">
        <f ca="1">IF(HLOOKUP($F31,Jornada!$X$7:$AD$37,VLOOKUP(INDIRECT($C$5),Jornada!$C$8:$W$37,21,0),0)-M31&lt;0,ABS(HLOOKUP($F31,Jornada!$X$7:$AD$37,VLOOKUP(INDIRECT($C$5),Jornada!$C$8:$W$37,21,0),0)-M31),0)</f>
        <v>0</v>
      </c>
      <c r="Q31" s="95">
        <f t="shared" si="0"/>
        <v>0</v>
      </c>
      <c r="R31" s="2">
        <f>IF(Q31&gt;$R$7,1,0)</f>
        <v>0</v>
      </c>
      <c r="S31" s="13"/>
      <c r="T31" s="74"/>
      <c r="U31" s="74"/>
      <c r="X31" s="177"/>
      <c r="AB31" s="177">
        <f t="shared" si="10"/>
        <v>24</v>
      </c>
      <c r="AC31" s="2">
        <f>WEEKDAY(AB31)</f>
        <v>3</v>
      </c>
      <c r="AG31" s="220">
        <f t="shared" si="4"/>
        <v>0</v>
      </c>
      <c r="AH31" s="220">
        <f ca="1">IF(HLOOKUP($F31,Jornada!$X$7:$AD$37,VLOOKUP(INDIRECT($C$5),Jornada!$C$8:$W$37,21,0),0)=0,0,VLOOKUP(INDIRECT($C$5),Jornada!$C$8:$H$37,4,0))</f>
        <v>0</v>
      </c>
      <c r="AI31" s="155">
        <f ca="1">IF(AND(I31=0,J31=0,OR(H31&lt;&gt;0,K31&lt;&gt;0),HLOOKUP($F31,Jornada!$X$7:$AD$37,VLOOKUP(INDIRECT($C$5),Jornada!$C$8:$W$37,21,0),0)&gt;$AK$5,M31&gt;$AK$5),VLOOKUP(INDIRECT($C$5),Jornada!$C$8:$H$37,6,0),IF(AG31&gt;VLOOKUP(INDIRECT($C$5),Jornada!$C$8:$H$37,6,0),IF(VLOOKUP(INDIRECT($C$5),Jornada!$C$8:$H$37,6,0)&lt;AG31,0,ABS(VLOOKUP(INDIRECT($C$5),Jornada!$C$8:$H$37,6,0))-AG31),0))</f>
        <v>0</v>
      </c>
      <c r="AJ31" s="155">
        <f>($AJ$7-K31)+H31</f>
        <v>1</v>
      </c>
      <c r="AK31" s="155">
        <f>IF(AJ31&lt;$AK$7,$AK$7-AJ31,$AI$7)</f>
        <v>0</v>
      </c>
      <c r="AL31" s="155">
        <f ca="1">HLOOKUP($F31,Jornada!$I$5:$V$37,VLOOKUP(INDIRECT($C$5),Jornada!$C$8:$W$37,21,0)+2,0)</f>
        <v>0</v>
      </c>
      <c r="AM31" s="155">
        <f ca="1">HLOOKUP($F31,Jornada!$I$4:$V$37,VLOOKUP(INDIRECT($C$5),Jornada!$C$8:$W$37,21,0)+3,0)</f>
        <v>0</v>
      </c>
      <c r="AN31" s="155">
        <f t="shared" ca="1" si="7"/>
        <v>0</v>
      </c>
      <c r="AO31" s="155">
        <f t="shared" si="8"/>
        <v>0</v>
      </c>
      <c r="AP31" s="155">
        <f t="shared" si="9"/>
        <v>0</v>
      </c>
    </row>
    <row r="32" spans="1:59" s="2" customFormat="1" ht="30" customHeight="1" thickTop="1" thickBot="1" x14ac:dyDescent="0.25">
      <c r="A32" s="1"/>
      <c r="B32"/>
      <c r="C32" s="172" t="str">
        <f>IF(Funcionários!C31=0,"",Funcionários!C31)</f>
        <v/>
      </c>
      <c r="D32"/>
      <c r="E32" s="115">
        <f>Lanç!E32</f>
        <v>25</v>
      </c>
      <c r="F32" s="189" t="str">
        <f>Lanç!F32</f>
        <v>Qua</v>
      </c>
      <c r="G32" s="202"/>
      <c r="H32" s="94"/>
      <c r="I32" s="94"/>
      <c r="J32" s="94"/>
      <c r="K32" s="94"/>
      <c r="L32" s="197"/>
      <c r="M32" s="95">
        <f t="shared" si="1"/>
        <v>0</v>
      </c>
      <c r="N32" s="196"/>
      <c r="O32" s="95">
        <f ca="1">IF(OR(G32=0,G32="Férias",G32="Falta Justificada",G32="Feriado",G32="Folga (DSR)"),0,IF(G32="Falta Injustificada",HLOOKUP($F32,Jornada!$X$7:$AD$37,VLOOKUP(INDIRECT($C$5),Jornada!$C$8:$W$37,21,0),0),IF(HLOOKUP($F32,Jornada!$X$7:$AD$37,VLOOKUP(INDIRECT($C$5),Jornada!$C$8:$W$37,21,0),0)-M32&gt;0,HLOOKUP($F32,Jornada!$X$7:$AD$37,VLOOKUP(INDIRECT($C$5),Jornada!$C$8:$W$37,21,0),0)-M32,0)))</f>
        <v>0</v>
      </c>
      <c r="P32" s="193">
        <f ca="1">IF(HLOOKUP($F32,Jornada!$X$7:$AD$37,VLOOKUP(INDIRECT($C$5),Jornada!$C$8:$W$37,21,0),0)-M32&lt;0,ABS(HLOOKUP($F32,Jornada!$X$7:$AD$37,VLOOKUP(INDIRECT($C$5),Jornada!$C$8:$W$37,21,0),0)-M32),0)</f>
        <v>0</v>
      </c>
      <c r="Q32" s="95">
        <f t="shared" si="0"/>
        <v>0</v>
      </c>
      <c r="R32" s="2">
        <f t="shared" si="2"/>
        <v>0</v>
      </c>
      <c r="S32" s="74"/>
      <c r="T32" s="74"/>
      <c r="U32" s="74"/>
      <c r="X32" s="177"/>
      <c r="AB32" s="177">
        <f t="shared" si="10"/>
        <v>25</v>
      </c>
      <c r="AC32" s="2">
        <f t="shared" si="3"/>
        <v>4</v>
      </c>
      <c r="AG32" s="220">
        <f t="shared" si="4"/>
        <v>0</v>
      </c>
      <c r="AH32" s="220">
        <f ca="1">IF(HLOOKUP($F32,Jornada!$X$7:$AD$37,VLOOKUP(INDIRECT($C$5),Jornada!$C$8:$W$37,21,0),0)=0,0,VLOOKUP(INDIRECT($C$5),Jornada!$C$8:$H$37,4,0))</f>
        <v>0</v>
      </c>
      <c r="AI32" s="155">
        <f ca="1">IF(AND(I32=0,J32=0,OR(H32&lt;&gt;0,K32&lt;&gt;0),HLOOKUP($F32,Jornada!$X$7:$AD$37,VLOOKUP(INDIRECT($C$5),Jornada!$C$8:$W$37,21,0),0)&gt;$AK$5,M32&gt;$AK$5),VLOOKUP(INDIRECT($C$5),Jornada!$C$8:$H$37,6,0),IF(AG32&gt;VLOOKUP(INDIRECT($C$5),Jornada!$C$8:$H$37,6,0),IF(VLOOKUP(INDIRECT($C$5),Jornada!$C$8:$H$37,6,0)&lt;AG32,0,ABS(VLOOKUP(INDIRECT($C$5),Jornada!$C$8:$H$37,6,0))-AG32),0))</f>
        <v>0</v>
      </c>
      <c r="AJ32" s="155">
        <f t="shared" si="5"/>
        <v>1</v>
      </c>
      <c r="AK32" s="155">
        <f t="shared" si="6"/>
        <v>0</v>
      </c>
      <c r="AL32" s="155">
        <f ca="1">HLOOKUP($F32,Jornada!$I$5:$V$37,VLOOKUP(INDIRECT($C$5),Jornada!$C$8:$W$37,21,0)+2,0)</f>
        <v>0</v>
      </c>
      <c r="AM32" s="155">
        <f ca="1">HLOOKUP($F32,Jornada!$I$4:$V$37,VLOOKUP(INDIRECT($C$5),Jornada!$C$8:$W$37,21,0)+3,0)</f>
        <v>0</v>
      </c>
      <c r="AN32" s="155">
        <f t="shared" ca="1" si="7"/>
        <v>0</v>
      </c>
      <c r="AO32" s="155">
        <f t="shared" si="8"/>
        <v>0</v>
      </c>
      <c r="AP32" s="155">
        <f t="shared" si="9"/>
        <v>0</v>
      </c>
    </row>
    <row r="33" spans="1:42" s="2" customFormat="1" ht="30" customHeight="1" thickTop="1" thickBot="1" x14ac:dyDescent="0.25">
      <c r="A33" s="1"/>
      <c r="B33"/>
      <c r="C33" s="172" t="str">
        <f>IF(Funcionários!C32=0,"",Funcionários!C32)</f>
        <v/>
      </c>
      <c r="D33"/>
      <c r="E33" s="115">
        <f>Lanç!E33</f>
        <v>26</v>
      </c>
      <c r="F33" s="189" t="str">
        <f>Lanç!F33</f>
        <v>Qui</v>
      </c>
      <c r="G33" s="80"/>
      <c r="H33" s="94"/>
      <c r="I33" s="94"/>
      <c r="J33" s="94"/>
      <c r="K33" s="94"/>
      <c r="L33" s="197"/>
      <c r="M33" s="95">
        <f t="shared" si="1"/>
        <v>0</v>
      </c>
      <c r="N33" s="196"/>
      <c r="O33" s="95">
        <f ca="1">IF(OR(G33=0,G33="Férias",G33="Falta Justificada",G33="Feriado",G33="Folga (DSR)"),0,IF(G33="Falta Injustificada",HLOOKUP($F33,Jornada!$X$7:$AD$37,VLOOKUP(INDIRECT($C$5),Jornada!$C$8:$W$37,21,0),0),IF(HLOOKUP($F33,Jornada!$X$7:$AD$37,VLOOKUP(INDIRECT($C$5),Jornada!$C$8:$W$37,21,0),0)-M33&gt;0,HLOOKUP($F33,Jornada!$X$7:$AD$37,VLOOKUP(INDIRECT($C$5),Jornada!$C$8:$W$37,21,0),0)-M33,0)))</f>
        <v>0</v>
      </c>
      <c r="P33" s="193">
        <f ca="1">IF(HLOOKUP($F33,Jornada!$X$7:$AD$37,VLOOKUP(INDIRECT($C$5),Jornada!$C$8:$W$37,21,0),0)-M33&lt;0,ABS(HLOOKUP($F33,Jornada!$X$7:$AD$37,VLOOKUP(INDIRECT($C$5),Jornada!$C$8:$W$37,21,0),0)-M33),0)</f>
        <v>0</v>
      </c>
      <c r="Q33" s="95">
        <f t="shared" si="0"/>
        <v>0</v>
      </c>
      <c r="R33" s="2">
        <f t="shared" si="2"/>
        <v>0</v>
      </c>
      <c r="S33" s="74"/>
      <c r="T33" s="74"/>
      <c r="U33" s="74"/>
      <c r="X33" s="177"/>
      <c r="AB33" s="177">
        <f t="shared" si="10"/>
        <v>26</v>
      </c>
      <c r="AC33" s="2">
        <f t="shared" si="3"/>
        <v>5</v>
      </c>
      <c r="AG33" s="220">
        <f t="shared" si="4"/>
        <v>0</v>
      </c>
      <c r="AH33" s="220">
        <f ca="1">IF(HLOOKUP($F33,Jornada!$X$7:$AD$37,VLOOKUP(INDIRECT($C$5),Jornada!$C$8:$W$37,21,0),0)=0,0,VLOOKUP(INDIRECT($C$5),Jornada!$C$8:$H$37,4,0))</f>
        <v>0</v>
      </c>
      <c r="AI33" s="155">
        <f ca="1">IF(AND(I33=0,J33=0,OR(H33&lt;&gt;0,K33&lt;&gt;0),HLOOKUP($F33,Jornada!$X$7:$AD$37,VLOOKUP(INDIRECT($C$5),Jornada!$C$8:$W$37,21,0),0)&gt;$AK$5,M33&gt;$AK$5),VLOOKUP(INDIRECT($C$5),Jornada!$C$8:$H$37,6,0),IF(AG33&gt;VLOOKUP(INDIRECT($C$5),Jornada!$C$8:$H$37,6,0),IF(VLOOKUP(INDIRECT($C$5),Jornada!$C$8:$H$37,6,0)&lt;AG33,0,ABS(VLOOKUP(INDIRECT($C$5),Jornada!$C$8:$H$37,6,0))-AG33),0))</f>
        <v>0</v>
      </c>
      <c r="AJ33" s="155">
        <f t="shared" si="5"/>
        <v>1</v>
      </c>
      <c r="AK33" s="155">
        <f t="shared" si="6"/>
        <v>0</v>
      </c>
      <c r="AL33" s="155">
        <f ca="1">HLOOKUP($F33,Jornada!$I$5:$V$37,VLOOKUP(INDIRECT($C$5),Jornada!$C$8:$W$37,21,0)+2,0)</f>
        <v>0</v>
      </c>
      <c r="AM33" s="155">
        <f ca="1">HLOOKUP($F33,Jornada!$I$4:$V$37,VLOOKUP(INDIRECT($C$5),Jornada!$C$8:$W$37,21,0)+3,0)</f>
        <v>0</v>
      </c>
      <c r="AN33" s="155">
        <f t="shared" ca="1" si="7"/>
        <v>0</v>
      </c>
      <c r="AO33" s="155">
        <f t="shared" si="8"/>
        <v>0</v>
      </c>
      <c r="AP33" s="155">
        <f t="shared" si="9"/>
        <v>0</v>
      </c>
    </row>
    <row r="34" spans="1:42" s="2" customFormat="1" ht="30" customHeight="1" thickTop="1" thickBot="1" x14ac:dyDescent="0.25">
      <c r="A34" s="1"/>
      <c r="B34"/>
      <c r="C34" s="172" t="str">
        <f>IF(Funcionários!C33=0,"",Funcionários!C33)</f>
        <v/>
      </c>
      <c r="D34"/>
      <c r="E34" s="115">
        <f>Lanç!E34</f>
        <v>27</v>
      </c>
      <c r="F34" s="189" t="str">
        <f>Lanç!F34</f>
        <v>Sex</v>
      </c>
      <c r="G34" s="80"/>
      <c r="H34" s="94"/>
      <c r="I34" s="94"/>
      <c r="J34" s="94"/>
      <c r="K34" s="94"/>
      <c r="L34" s="197"/>
      <c r="M34" s="95">
        <f t="shared" si="1"/>
        <v>0</v>
      </c>
      <c r="N34" s="196"/>
      <c r="O34" s="95">
        <f ca="1">IF(OR(G34=0,G34="Férias",G34="Falta Justificada",G34="Feriado",G34="Folga (DSR)"),0,IF(G34="Falta Injustificada",HLOOKUP($F34,Jornada!$X$7:$AD$37,VLOOKUP(INDIRECT($C$5),Jornada!$C$8:$W$37,21,0),0),IF(HLOOKUP($F34,Jornada!$X$7:$AD$37,VLOOKUP(INDIRECT($C$5),Jornada!$C$8:$W$37,21,0),0)-M34&gt;0,HLOOKUP($F34,Jornada!$X$7:$AD$37,VLOOKUP(INDIRECT($C$5),Jornada!$C$8:$W$37,21,0),0)-M34,0)))</f>
        <v>0</v>
      </c>
      <c r="P34" s="193">
        <f ca="1">IF(HLOOKUP($F34,Jornada!$X$7:$AD$37,VLOOKUP(INDIRECT($C$5),Jornada!$C$8:$W$37,21,0),0)-M34&lt;0,ABS(HLOOKUP($F34,Jornada!$X$7:$AD$37,VLOOKUP(INDIRECT($C$5),Jornada!$C$8:$W$37,21,0),0)-M34),0)</f>
        <v>0</v>
      </c>
      <c r="Q34" s="95">
        <f t="shared" si="0"/>
        <v>0</v>
      </c>
      <c r="R34" s="2">
        <f t="shared" si="2"/>
        <v>0</v>
      </c>
      <c r="S34" s="74"/>
      <c r="T34" s="74"/>
      <c r="U34" s="74"/>
      <c r="X34" s="177"/>
      <c r="AB34" s="177">
        <f t="shared" si="10"/>
        <v>27</v>
      </c>
      <c r="AC34" s="2">
        <f t="shared" si="3"/>
        <v>6</v>
      </c>
      <c r="AG34" s="220">
        <f t="shared" si="4"/>
        <v>0</v>
      </c>
      <c r="AH34" s="220">
        <f ca="1">IF(HLOOKUP($F34,Jornada!$X$7:$AD$37,VLOOKUP(INDIRECT($C$5),Jornada!$C$8:$W$37,21,0),0)=0,0,VLOOKUP(INDIRECT($C$5),Jornada!$C$8:$H$37,4,0))</f>
        <v>0</v>
      </c>
      <c r="AI34" s="155">
        <f ca="1">IF(AND(I34=0,J34=0,OR(H34&lt;&gt;0,K34&lt;&gt;0),HLOOKUP($F34,Jornada!$X$7:$AD$37,VLOOKUP(INDIRECT($C$5),Jornada!$C$8:$W$37,21,0),0)&gt;$AK$5,M34&gt;$AK$5),VLOOKUP(INDIRECT($C$5),Jornada!$C$8:$H$37,6,0),IF(AG34&gt;VLOOKUP(INDIRECT($C$5),Jornada!$C$8:$H$37,6,0),IF(VLOOKUP(INDIRECT($C$5),Jornada!$C$8:$H$37,6,0)&lt;AG34,0,ABS(VLOOKUP(INDIRECT($C$5),Jornada!$C$8:$H$37,6,0))-AG34),0))</f>
        <v>0</v>
      </c>
      <c r="AJ34" s="155">
        <f t="shared" si="5"/>
        <v>1</v>
      </c>
      <c r="AK34" s="155">
        <f t="shared" si="6"/>
        <v>0</v>
      </c>
      <c r="AL34" s="155">
        <f ca="1">HLOOKUP($F34,Jornada!$I$5:$V$37,VLOOKUP(INDIRECT($C$5),Jornada!$C$8:$W$37,21,0)+2,0)</f>
        <v>0</v>
      </c>
      <c r="AM34" s="155">
        <f ca="1">HLOOKUP($F34,Jornada!$I$4:$V$37,VLOOKUP(INDIRECT($C$5),Jornada!$C$8:$W$37,21,0)+3,0)</f>
        <v>0</v>
      </c>
      <c r="AN34" s="155">
        <f t="shared" ca="1" si="7"/>
        <v>0</v>
      </c>
      <c r="AO34" s="155">
        <f t="shared" si="8"/>
        <v>0</v>
      </c>
      <c r="AP34" s="155">
        <f t="shared" si="9"/>
        <v>0</v>
      </c>
    </row>
    <row r="35" spans="1:42" s="2" customFormat="1" ht="30" customHeight="1" thickTop="1" thickBot="1" x14ac:dyDescent="0.25">
      <c r="A35" s="1"/>
      <c r="B35"/>
      <c r="C35" s="172" t="str">
        <f>IF(Funcionários!C34=0,"",Funcionários!C34)</f>
        <v/>
      </c>
      <c r="D35"/>
      <c r="E35" s="115">
        <f>Lanç!E35</f>
        <v>28</v>
      </c>
      <c r="F35" s="189" t="str">
        <f>Lanç!F35</f>
        <v>Sáb</v>
      </c>
      <c r="G35" s="80"/>
      <c r="H35" s="94"/>
      <c r="I35" s="94"/>
      <c r="J35" s="94"/>
      <c r="K35" s="94"/>
      <c r="L35" s="197"/>
      <c r="M35" s="95">
        <f t="shared" si="1"/>
        <v>0</v>
      </c>
      <c r="N35" s="196"/>
      <c r="O35" s="95">
        <f ca="1">IF(OR(G35=0,G35="Férias",G35="Falta Justificada",G35="Feriado",G35="Folga (DSR)"),0,IF(G35="Falta Injustificada",HLOOKUP($F35,Jornada!$X$7:$AD$37,VLOOKUP(INDIRECT($C$5),Jornada!$C$8:$W$37,21,0),0),IF(HLOOKUP($F35,Jornada!$X$7:$AD$37,VLOOKUP(INDIRECT($C$5),Jornada!$C$8:$W$37,21,0),0)-M35&gt;0,HLOOKUP($F35,Jornada!$X$7:$AD$37,VLOOKUP(INDIRECT($C$5),Jornada!$C$8:$W$37,21,0),0)-M35,0)))</f>
        <v>0</v>
      </c>
      <c r="P35" s="193">
        <f ca="1">IF(HLOOKUP($F35,Jornada!$X$7:$AD$37,VLOOKUP(INDIRECT($C$5),Jornada!$C$8:$W$37,21,0),0)-M35&lt;0,ABS(HLOOKUP($F35,Jornada!$X$7:$AD$37,VLOOKUP(INDIRECT($C$5),Jornada!$C$8:$W$37,21,0),0)-M35),0)</f>
        <v>0</v>
      </c>
      <c r="Q35" s="95">
        <f t="shared" si="0"/>
        <v>0</v>
      </c>
      <c r="R35" s="2">
        <f t="shared" si="2"/>
        <v>0</v>
      </c>
      <c r="S35"/>
      <c r="T35"/>
      <c r="U35"/>
      <c r="X35" s="177"/>
      <c r="AB35" s="177">
        <f>IF(MONTH(AB34+1)&lt;&gt;MONTH(AB34),"",AB34+1)</f>
        <v>28</v>
      </c>
      <c r="AC35" s="2">
        <f t="shared" si="3"/>
        <v>7</v>
      </c>
      <c r="AG35" s="220">
        <f t="shared" si="4"/>
        <v>0</v>
      </c>
      <c r="AH35" s="220">
        <f ca="1">IF(HLOOKUP($F35,Jornada!$X$7:$AD$37,VLOOKUP(INDIRECT($C$5),Jornada!$C$8:$W$37,21,0),0)=0,0,VLOOKUP(INDIRECT($C$5),Jornada!$C$8:$H$37,4,0))</f>
        <v>0</v>
      </c>
      <c r="AI35" s="155">
        <f ca="1">IF(AND(I35=0,J35=0,OR(H35&lt;&gt;0,K35&lt;&gt;0),HLOOKUP($F35,Jornada!$X$7:$AD$37,VLOOKUP(INDIRECT($C$5),Jornada!$C$8:$W$37,21,0),0)&gt;$AK$5,M35&gt;$AK$5),VLOOKUP(INDIRECT($C$5),Jornada!$C$8:$H$37,6,0),IF(AG35&gt;VLOOKUP(INDIRECT($C$5),Jornada!$C$8:$H$37,6,0),IF(VLOOKUP(INDIRECT($C$5),Jornada!$C$8:$H$37,6,0)&lt;AG35,0,ABS(VLOOKUP(INDIRECT($C$5),Jornada!$C$8:$H$37,6,0))-AG35),0))</f>
        <v>0</v>
      </c>
      <c r="AJ35" s="155">
        <f t="shared" si="5"/>
        <v>1</v>
      </c>
      <c r="AK35" s="155">
        <f t="shared" si="6"/>
        <v>0</v>
      </c>
      <c r="AL35" s="155">
        <f ca="1">HLOOKUP($F35,Jornada!$I$5:$V$37,VLOOKUP(INDIRECT($C$5),Jornada!$C$8:$W$37,21,0)+2,0)</f>
        <v>0</v>
      </c>
      <c r="AM35" s="155">
        <f ca="1">HLOOKUP($F35,Jornada!$I$4:$V$37,VLOOKUP(INDIRECT($C$5),Jornada!$C$8:$W$37,21,0)+3,0)</f>
        <v>0</v>
      </c>
      <c r="AN35" s="155">
        <f t="shared" ca="1" si="7"/>
        <v>0</v>
      </c>
      <c r="AO35" s="155">
        <f t="shared" si="8"/>
        <v>0</v>
      </c>
      <c r="AP35" s="155">
        <f t="shared" si="9"/>
        <v>0</v>
      </c>
    </row>
    <row r="36" spans="1:42" s="2" customFormat="1" ht="30" customHeight="1" thickTop="1" thickBot="1" x14ac:dyDescent="0.25">
      <c r="A36" s="1"/>
      <c r="B36"/>
      <c r="C36" s="172" t="str">
        <f>IF(Funcionários!C35=0,"",Funcionários!C35)</f>
        <v/>
      </c>
      <c r="D36"/>
      <c r="E36" s="115">
        <f>Lanç!E36</f>
        <v>29</v>
      </c>
      <c r="F36" s="189" t="str">
        <f>Lanç!F36</f>
        <v>Dom</v>
      </c>
      <c r="G36" s="80"/>
      <c r="H36" s="94"/>
      <c r="I36" s="94"/>
      <c r="J36" s="94"/>
      <c r="K36" s="94"/>
      <c r="L36" s="197"/>
      <c r="M36" s="95">
        <f t="shared" si="1"/>
        <v>0</v>
      </c>
      <c r="N36" s="196"/>
      <c r="O36" s="95">
        <f ca="1">IF(OR(G36=0,G36="Férias",G36="Falta Justificada",G36="Feriado",G36="Folga (DSR)"),0,IF(G36="Falta Injustificada",HLOOKUP($F36,Jornada!$X$7:$AD$37,VLOOKUP(INDIRECT($C$5),Jornada!$C$8:$W$37,21,0),0),IF(HLOOKUP($F36,Jornada!$X$7:$AD$37,VLOOKUP(INDIRECT($C$5),Jornada!$C$8:$W$37,21,0),0)-M36&gt;0,HLOOKUP($F36,Jornada!$X$7:$AD$37,VLOOKUP(INDIRECT($C$5),Jornada!$C$8:$W$37,21,0),0)-M36,0)))</f>
        <v>0</v>
      </c>
      <c r="P36" s="193">
        <f ca="1">IF(HLOOKUP($F36,Jornada!$X$7:$AD$37,VLOOKUP(INDIRECT($C$5),Jornada!$C$8:$W$37,21,0),0)-M36&lt;0,ABS(HLOOKUP($F36,Jornada!$X$7:$AD$37,VLOOKUP(INDIRECT($C$5),Jornada!$C$8:$W$37,21,0),0)-M36),0)</f>
        <v>0</v>
      </c>
      <c r="Q36" s="95">
        <f t="shared" si="0"/>
        <v>0</v>
      </c>
      <c r="R36" s="2">
        <f t="shared" si="2"/>
        <v>0</v>
      </c>
      <c r="S36"/>
      <c r="T36"/>
      <c r="U36"/>
      <c r="X36" s="177"/>
      <c r="AB36" s="177">
        <f>IF(MONTH(AB35+1)&lt;&gt;MONTH(AB35),"",IF(AB35="","",AB35+1))</f>
        <v>29</v>
      </c>
      <c r="AC36" s="2">
        <f>IF(ISERROR(WEEKDAY(AB36)),"",WEEKDAY(AB36))</f>
        <v>1</v>
      </c>
      <c r="AG36" s="220">
        <f t="shared" si="4"/>
        <v>0</v>
      </c>
      <c r="AH36" s="220">
        <f ca="1">IF(HLOOKUP($F36,Jornada!$X$7:$AD$37,VLOOKUP(INDIRECT($C$5),Jornada!$C$8:$W$37,21,0),0)=0,0,VLOOKUP(INDIRECT($C$5),Jornada!$C$8:$H$37,4,0))</f>
        <v>0</v>
      </c>
      <c r="AI36" s="155">
        <f ca="1">IF(AND(I36=0,J36=0,OR(H36&lt;&gt;0,K36&lt;&gt;0),HLOOKUP($F36,Jornada!$X$7:$AD$37,VLOOKUP(INDIRECT($C$5),Jornada!$C$8:$W$37,21,0),0)&gt;$AK$5,M36&gt;$AK$5),VLOOKUP(INDIRECT($C$5),Jornada!$C$8:$H$37,6,0),IF(AG36&gt;VLOOKUP(INDIRECT($C$5),Jornada!$C$8:$H$37,6,0),IF(VLOOKUP(INDIRECT($C$5),Jornada!$C$8:$H$37,6,0)&lt;AG36,0,ABS(VLOOKUP(INDIRECT($C$5),Jornada!$C$8:$H$37,6,0))-AG36),0))</f>
        <v>0</v>
      </c>
      <c r="AJ36" s="155">
        <f t="shared" si="5"/>
        <v>1</v>
      </c>
      <c r="AK36" s="155">
        <f t="shared" si="6"/>
        <v>0</v>
      </c>
      <c r="AL36" s="155">
        <f ca="1">HLOOKUP($F36,Jornada!$I$5:$V$37,VLOOKUP(INDIRECT($C$5),Jornada!$C$8:$W$37,21,0)+2,0)</f>
        <v>0</v>
      </c>
      <c r="AM36" s="155">
        <f ca="1">HLOOKUP($F36,Jornada!$I$4:$V$37,VLOOKUP(INDIRECT($C$5),Jornada!$C$8:$W$37,21,0)+3,0)</f>
        <v>0</v>
      </c>
      <c r="AN36" s="155">
        <f t="shared" ca="1" si="7"/>
        <v>0</v>
      </c>
      <c r="AO36" s="155">
        <f t="shared" si="8"/>
        <v>0</v>
      </c>
      <c r="AP36" s="155">
        <f t="shared" si="9"/>
        <v>0</v>
      </c>
    </row>
    <row r="37" spans="1:42" s="2" customFormat="1" ht="30" customHeight="1" thickTop="1" thickBot="1" x14ac:dyDescent="0.25">
      <c r="A37" s="1"/>
      <c r="B37"/>
      <c r="C37" s="172" t="str">
        <f>IF(Funcionários!C36=0,"",Funcionários!C36)</f>
        <v/>
      </c>
      <c r="D37"/>
      <c r="E37" s="115">
        <f>Lanç!E37</f>
        <v>30</v>
      </c>
      <c r="F37" s="189" t="str">
        <f>Lanç!F37</f>
        <v>Seg</v>
      </c>
      <c r="G37" s="80"/>
      <c r="H37" s="94"/>
      <c r="I37" s="94"/>
      <c r="J37" s="94"/>
      <c r="K37" s="94"/>
      <c r="L37" s="197"/>
      <c r="M37" s="95">
        <f t="shared" si="1"/>
        <v>0</v>
      </c>
      <c r="N37" s="196"/>
      <c r="O37" s="95">
        <f ca="1">IF(OR(G37=0,G37="Férias",G37="Falta Justificada",G37="Feriado",G37="Folga (DSR)"),0,IF(G37="Falta Injustificada",HLOOKUP($F37,Jornada!$X$7:$AD$37,VLOOKUP(INDIRECT($C$5),Jornada!$C$8:$W$37,21,0),0),IF(HLOOKUP($F37,Jornada!$X$7:$AD$37,VLOOKUP(INDIRECT($C$5),Jornada!$C$8:$W$37,21,0),0)-M37&gt;0,HLOOKUP($F37,Jornada!$X$7:$AD$37,VLOOKUP(INDIRECT($C$5),Jornada!$C$8:$W$37,21,0),0)-M37,0)))</f>
        <v>0</v>
      </c>
      <c r="P37" s="193">
        <f ca="1">IF(HLOOKUP($F37,Jornada!$X$7:$AD$37,VLOOKUP(INDIRECT($C$5),Jornada!$C$8:$W$37,21,0),0)-M37&lt;0,ABS(HLOOKUP($F37,Jornada!$X$7:$AD$37,VLOOKUP(INDIRECT($C$5),Jornada!$C$8:$W$37,21,0),0)-M37),0)</f>
        <v>0</v>
      </c>
      <c r="Q37" s="95">
        <f t="shared" si="0"/>
        <v>0</v>
      </c>
      <c r="R37" s="2">
        <f t="shared" si="2"/>
        <v>0</v>
      </c>
      <c r="S37"/>
      <c r="T37"/>
      <c r="U37"/>
      <c r="X37" s="177"/>
      <c r="AB37" s="177">
        <f>IF(AB36="","",IF(MONTH(AB36+1)&lt;&gt;MONTH(AB36),"",AB36+1))</f>
        <v>30</v>
      </c>
      <c r="AC37" s="2">
        <f>IF(ISERROR(WEEKDAY(AB37)),"",WEEKDAY(AB37))</f>
        <v>2</v>
      </c>
      <c r="AG37" s="220">
        <f t="shared" si="4"/>
        <v>0</v>
      </c>
      <c r="AH37" s="220">
        <f ca="1">IF(HLOOKUP($F37,Jornada!$X$7:$AD$37,VLOOKUP(INDIRECT($C$5),Jornada!$C$8:$W$37,21,0),0)=0,0,VLOOKUP(INDIRECT($C$5),Jornada!$C$8:$H$37,4,0))</f>
        <v>0</v>
      </c>
      <c r="AI37" s="155">
        <f ca="1">IF(AND(I37=0,J37=0,OR(H37&lt;&gt;0,K37&lt;&gt;0),HLOOKUP($F37,Jornada!$X$7:$AD$37,VLOOKUP(INDIRECT($C$5),Jornada!$C$8:$W$37,21,0),0)&gt;$AK$5,M37&gt;$AK$5),VLOOKUP(INDIRECT($C$5),Jornada!$C$8:$H$37,6,0),IF(AG37&gt;VLOOKUP(INDIRECT($C$5),Jornada!$C$8:$H$37,6,0),IF(VLOOKUP(INDIRECT($C$5),Jornada!$C$8:$H$37,6,0)&lt;AG37,0,ABS(VLOOKUP(INDIRECT($C$5),Jornada!$C$8:$H$37,6,0))-AG37),0))</f>
        <v>0</v>
      </c>
      <c r="AJ37" s="155">
        <f t="shared" si="5"/>
        <v>1</v>
      </c>
      <c r="AK37" s="155">
        <f t="shared" si="6"/>
        <v>0</v>
      </c>
      <c r="AL37" s="155">
        <f ca="1">HLOOKUP($F37,Jornada!$I$5:$V$37,VLOOKUP(INDIRECT($C$5),Jornada!$C$8:$W$37,21,0)+2,0)</f>
        <v>0</v>
      </c>
      <c r="AM37" s="155">
        <f ca="1">HLOOKUP($F37,Jornada!$I$4:$V$37,VLOOKUP(INDIRECT($C$5),Jornada!$C$8:$W$37,21,0)+3,0)</f>
        <v>0</v>
      </c>
      <c r="AN37" s="155">
        <f t="shared" ca="1" si="7"/>
        <v>0</v>
      </c>
      <c r="AO37" s="155">
        <f t="shared" si="8"/>
        <v>0</v>
      </c>
      <c r="AP37" s="155">
        <f t="shared" si="9"/>
        <v>0</v>
      </c>
    </row>
    <row r="38" spans="1:42" s="2" customFormat="1" ht="30" customHeight="1" thickTop="1" thickBot="1" x14ac:dyDescent="0.25">
      <c r="A38" s="1"/>
      <c r="B38"/>
      <c r="C38"/>
      <c r="D38" s="2">
        <f t="shared" ref="D38" si="11">IF(D37=7,1,D37+1)</f>
        <v>1</v>
      </c>
      <c r="E38" s="210">
        <f>Lanç!E38</f>
        <v>31</v>
      </c>
      <c r="F38" s="210" t="str">
        <f>Lanç!F38</f>
        <v>Ter</v>
      </c>
      <c r="G38" s="81"/>
      <c r="H38" s="94"/>
      <c r="I38" s="94"/>
      <c r="J38" s="94"/>
      <c r="K38" s="94"/>
      <c r="L38" s="197"/>
      <c r="M38" s="95">
        <f t="shared" si="1"/>
        <v>0</v>
      </c>
      <c r="N38" s="196"/>
      <c r="O38" s="95">
        <f ca="1">IF(OR(G38=0,G38="Férias",G38="Falta Justificada",G38="Feriado",G38="Folga (DSR)"),0,IF(G38="Falta Injustificada",HLOOKUP($F38,Jornada!$X$7:$AD$37,VLOOKUP(INDIRECT($C$5),Jornada!$C$8:$W$37,21,0),0),IF(HLOOKUP($F38,Jornada!$X$7:$AD$37,VLOOKUP(INDIRECT($C$5),Jornada!$C$8:$W$37,21,0),0)-M38&gt;0,HLOOKUP($F38,Jornada!$X$7:$AD$37,VLOOKUP(INDIRECT($C$5),Jornada!$C$8:$W$37,21,0),0)-M38,0)))</f>
        <v>0</v>
      </c>
      <c r="P38" s="201">
        <f ca="1">IF(HLOOKUP($F38,Jornada!$X$7:$AD$37,VLOOKUP(INDIRECT($C$5),Jornada!$C$8:$W$37,21,0),0)-M38&lt;0,ABS(HLOOKUP($F38,Jornada!$X$7:$AD$37,VLOOKUP(INDIRECT($C$5),Jornada!$C$8:$W$37,21,0),0)-M38),0)</f>
        <v>0</v>
      </c>
      <c r="Q38" s="95">
        <f t="shared" si="0"/>
        <v>0</v>
      </c>
      <c r="R38" s="2">
        <f t="shared" si="2"/>
        <v>0</v>
      </c>
      <c r="X38" s="177"/>
      <c r="AB38" s="177">
        <f>IF(AB37="","",IF(MONTH(AB37+1)&lt;&gt;MONTH(AB37),"",AB37+1))</f>
        <v>31</v>
      </c>
      <c r="AC38" s="2">
        <f>IF(ISERROR(WEEKDAY(AB38)),"",WEEKDAY(AB38))</f>
        <v>3</v>
      </c>
      <c r="AG38" s="220">
        <f t="shared" si="4"/>
        <v>0</v>
      </c>
      <c r="AH38" s="220">
        <f ca="1">IF(HLOOKUP($F38,Jornada!$X$7:$AD$37,VLOOKUP(INDIRECT($C$5),Jornada!$C$8:$W$37,21,0),0)=0,0,VLOOKUP(INDIRECT($C$5),Jornada!$C$8:$H$37,4,0))</f>
        <v>0</v>
      </c>
      <c r="AI38" s="155">
        <f ca="1">IF(AND(I38=0,J38=0,OR(H38&lt;&gt;0,K38&lt;&gt;0),HLOOKUP($F38,Jornada!$X$7:$AD$37,VLOOKUP(INDIRECT($C$5),Jornada!$C$8:$W$37,21,0),0)&gt;$AK$5,M38&gt;$AK$5),VLOOKUP(INDIRECT($C$5),Jornada!$C$8:$H$37,6,0),IF(AG38&gt;VLOOKUP(INDIRECT($C$5),Jornada!$C$8:$H$37,6,0),IF(VLOOKUP(INDIRECT($C$5),Jornada!$C$8:$H$37,6,0)&lt;AG38,0,ABS(VLOOKUP(INDIRECT($C$5),Jornada!$C$8:$H$37,6,0))-AG38),0))</f>
        <v>0</v>
      </c>
      <c r="AJ38" s="155">
        <f t="shared" si="5"/>
        <v>1</v>
      </c>
      <c r="AK38" s="155">
        <f t="shared" si="6"/>
        <v>0</v>
      </c>
      <c r="AL38" s="155">
        <f ca="1">HLOOKUP($F38,Jornada!$I$5:$V$37,VLOOKUP(INDIRECT($C$5),Jornada!$C$8:$W$37,21,0)+2,0)</f>
        <v>0</v>
      </c>
      <c r="AM38" s="155">
        <f ca="1">HLOOKUP($F38,Jornada!$I$4:$V$37,VLOOKUP(INDIRECT($C$5),Jornada!$C$8:$W$37,21,0)+3,0)</f>
        <v>0</v>
      </c>
      <c r="AN38" s="155">
        <f t="shared" ca="1" si="7"/>
        <v>0</v>
      </c>
      <c r="AO38" s="155">
        <f t="shared" si="8"/>
        <v>0</v>
      </c>
      <c r="AP38" s="155">
        <f t="shared" si="9"/>
        <v>0</v>
      </c>
    </row>
    <row r="39" spans="1:42" s="2" customFormat="1" ht="30" customHeight="1" thickTop="1" x14ac:dyDescent="0.2">
      <c r="A39" s="9"/>
      <c r="B39" s="234"/>
      <c r="C39" s="234"/>
      <c r="D39" s="234"/>
      <c r="E39" s="236">
        <f>EOMONTH(AB8,0)</f>
        <v>31</v>
      </c>
      <c r="F39" s="234">
        <f>DAY(E39)</f>
        <v>31</v>
      </c>
      <c r="G39" s="237">
        <f>COUNTIF(F8:F38,"Dom")+COUNTIF(G8:G38,"Feriado")</f>
        <v>5</v>
      </c>
      <c r="H39" s="238">
        <f>(SUM(Q8:Q38)/(F39-G39))*G39</f>
        <v>0</v>
      </c>
      <c r="I39" s="234"/>
      <c r="J39" s="234"/>
      <c r="K39" s="234"/>
      <c r="L39" s="234"/>
      <c r="M39" s="234"/>
      <c r="Z39" s="219"/>
    </row>
    <row r="40" spans="1:42" s="2" customFormat="1" ht="30" customHeight="1" x14ac:dyDescent="0.2">
      <c r="A40" s="9"/>
      <c r="B40" s="234"/>
      <c r="C40" s="239"/>
      <c r="D40" s="239"/>
      <c r="E40" s="239"/>
      <c r="F40" s="240"/>
      <c r="G40" s="241"/>
      <c r="H40" s="234">
        <f ca="1">IF(INDIRECT($C$5)="",0,VLOOKUP(INDIRECT($C$5),Funcionários!$C$7:$E$36,3,0)+IF(VLOOKUP(INDIRECT($C$5),Jornada!$C$8:$E$37,2,0)="Sim",IF('P Gerais'!$I$8&lt;&gt;0,VLOOKUP(INDIRECT($C$5),Funcionários!$C$7:$E$36,3,0)*'P Gerais'!$L$14,'P Gerais'!$I$8*'P Gerais'!$L$14),0)+IF(VLOOKUP(INDIRECT($C$5),Jornada!$C$8:$E$37,3,0)="Sim",VLOOKUP(INDIRECT($C$5),Funcionários!$C$7:$E$36,3,0)*'P Gerais'!$K$14,0))</f>
        <v>0</v>
      </c>
      <c r="I40" s="234">
        <f ca="1">VLOOKUP(INDIRECT($C$5),Jornada!$C$8:$AF$37,30,0)</f>
        <v>0</v>
      </c>
      <c r="J40" s="234" t="s">
        <v>298</v>
      </c>
      <c r="K40" s="242">
        <f ca="1">IF(I40=0,0,H40/I40)</f>
        <v>0</v>
      </c>
      <c r="L40" s="234"/>
      <c r="M40" s="234"/>
      <c r="Z40" s="219"/>
    </row>
    <row r="41" spans="1:42" s="2" customFormat="1" ht="30" customHeight="1" x14ac:dyDescent="0.2">
      <c r="A41" s="9"/>
      <c r="B41" s="234" t="s">
        <v>52</v>
      </c>
      <c r="C41" s="292" t="s">
        <v>75</v>
      </c>
      <c r="D41" s="292"/>
      <c r="E41" s="292"/>
      <c r="F41" s="243">
        <f t="shared" ref="F41:F47" si="12">SUMIFS($Q$8:$Q$38,$F$8:$F$38,$B41,$G$8:$G$38,"Normal")</f>
        <v>0</v>
      </c>
      <c r="G41" s="244">
        <f>IF($M$41="Sistema de banco de horas",0,'P Gerais'!$C$14)</f>
        <v>0.5</v>
      </c>
      <c r="H41" s="245">
        <f t="shared" ref="H41:H48" ca="1" si="13">IF($M$41="Sistema de banco de horas",0,$K$40*(1+G41)*(F41*24))</f>
        <v>0</v>
      </c>
      <c r="I41" s="243">
        <f t="shared" ref="I41:I47" ca="1" si="14">IF(SUMIF($F$8:$F$38,$B41,$Q$8:$Q$38)-SUMIFS($M$8:$M$38,$F$8:$F$38,$B41,$G$8:$G$38,"Feriado")-SUMIFS($M$8:$M$38,$F$8:$F$38,$B41,$G$8:$G$38,"Folga (DSR)")-SUMIFS($M$8:$M$38,$F$8:$F$38,$B41,$G$8:$G$38,"Férias")-SUMIF($F$8:$F$38,$B41,$AN$8:$AN$38)-SUMIF($F$8:$F$38,$B41,$AO$8:$AO$38)&lt;0,0,SUMIF($F$8:$F$38,$B41,$Q$8:$Q$38)-SUMIFS($M$8:$M$38,$F$8:$F$38,$B41,$G$8:$G$38,"Feriado")-SUMIFS($M$8:$M$38,$F$8:$F$38,$B41,$G$8:$G$38,"Folga (DSR)")-SUMIFS($M$8:$M$38,$F$8:$F$38,$B41,$G$8:$G$38,"Férias")-SUMIF($F$8:$F$38,$B41,$AN$8:$AN$38)-SUMIF($F$8:$F$38,$B41,$AO$8:$AO$38))</f>
        <v>0</v>
      </c>
      <c r="J41" s="245">
        <f ca="1">H41</f>
        <v>0</v>
      </c>
      <c r="K41" s="234"/>
      <c r="L41" s="234"/>
      <c r="M41" s="234">
        <f>'P Gerais'!I10</f>
        <v>0</v>
      </c>
      <c r="Z41" s="219"/>
    </row>
    <row r="42" spans="1:42" s="2" customFormat="1" ht="30" customHeight="1" x14ac:dyDescent="0.2">
      <c r="A42" s="9"/>
      <c r="B42" s="234" t="s">
        <v>53</v>
      </c>
      <c r="C42" s="292" t="s">
        <v>76</v>
      </c>
      <c r="D42" s="292"/>
      <c r="E42" s="292"/>
      <c r="F42" s="243">
        <f t="shared" si="12"/>
        <v>0</v>
      </c>
      <c r="G42" s="244">
        <f>IF($M$41="Sistema de banco de horas",0,'P Gerais'!$C$14)</f>
        <v>0.5</v>
      </c>
      <c r="H42" s="245">
        <f t="shared" ca="1" si="13"/>
        <v>0</v>
      </c>
      <c r="I42" s="243">
        <f t="shared" ca="1" si="14"/>
        <v>0</v>
      </c>
      <c r="J42" s="245">
        <f t="shared" ref="J42:J51" ca="1" si="15">H42</f>
        <v>0</v>
      </c>
      <c r="K42" s="234"/>
      <c r="L42" s="234"/>
      <c r="M42" s="234"/>
      <c r="Z42" s="219"/>
    </row>
    <row r="43" spans="1:42" s="2" customFormat="1" ht="30" customHeight="1" x14ac:dyDescent="0.2">
      <c r="A43" s="9"/>
      <c r="B43" s="234" t="s">
        <v>54</v>
      </c>
      <c r="C43" s="292" t="s">
        <v>77</v>
      </c>
      <c r="D43" s="292"/>
      <c r="E43" s="292"/>
      <c r="F43" s="243">
        <f t="shared" si="12"/>
        <v>0</v>
      </c>
      <c r="G43" s="244">
        <f>IF($M$41="Sistema de banco de horas",0,'P Gerais'!$C$14)</f>
        <v>0.5</v>
      </c>
      <c r="H43" s="245">
        <f t="shared" ca="1" si="13"/>
        <v>0</v>
      </c>
      <c r="I43" s="243">
        <f t="shared" ca="1" si="14"/>
        <v>0</v>
      </c>
      <c r="J43" s="245">
        <f t="shared" ca="1" si="15"/>
        <v>0</v>
      </c>
      <c r="K43" s="234"/>
      <c r="L43" s="234"/>
      <c r="M43" s="234"/>
      <c r="Z43" s="219"/>
    </row>
    <row r="44" spans="1:42" s="2" customFormat="1" ht="30" customHeight="1" x14ac:dyDescent="0.2">
      <c r="A44" s="9"/>
      <c r="B44" s="234" t="s">
        <v>55</v>
      </c>
      <c r="C44" s="292" t="s">
        <v>78</v>
      </c>
      <c r="D44" s="292"/>
      <c r="E44" s="292"/>
      <c r="F44" s="243">
        <f t="shared" si="12"/>
        <v>0</v>
      </c>
      <c r="G44" s="244">
        <f>IF($M$41="Sistema de banco de horas",0,'P Gerais'!$C$14)</f>
        <v>0.5</v>
      </c>
      <c r="H44" s="245">
        <f t="shared" ca="1" si="13"/>
        <v>0</v>
      </c>
      <c r="I44" s="243">
        <f t="shared" ca="1" si="14"/>
        <v>0</v>
      </c>
      <c r="J44" s="245">
        <f t="shared" ca="1" si="15"/>
        <v>0</v>
      </c>
      <c r="K44" s="234"/>
      <c r="L44" s="234"/>
      <c r="M44" s="234"/>
      <c r="Z44" s="219"/>
    </row>
    <row r="45" spans="1:42" s="2" customFormat="1" ht="30" customHeight="1" x14ac:dyDescent="0.2">
      <c r="A45" s="9"/>
      <c r="B45" s="234" t="s">
        <v>56</v>
      </c>
      <c r="C45" s="292" t="s">
        <v>79</v>
      </c>
      <c r="D45" s="292"/>
      <c r="E45" s="292"/>
      <c r="F45" s="243">
        <f t="shared" si="12"/>
        <v>0</v>
      </c>
      <c r="G45" s="244">
        <f>IF($M$41="Sistema de banco de horas",0,'P Gerais'!$C$14)</f>
        <v>0.5</v>
      </c>
      <c r="H45" s="245">
        <f t="shared" ca="1" si="13"/>
        <v>0</v>
      </c>
      <c r="I45" s="243">
        <f t="shared" ca="1" si="14"/>
        <v>0</v>
      </c>
      <c r="J45" s="245">
        <f t="shared" ca="1" si="15"/>
        <v>0</v>
      </c>
      <c r="K45" s="234"/>
      <c r="L45" s="234"/>
      <c r="M45" s="234"/>
      <c r="Z45" s="219"/>
    </row>
    <row r="46" spans="1:42" s="2" customFormat="1" ht="30" customHeight="1" x14ac:dyDescent="0.2">
      <c r="A46" s="9"/>
      <c r="B46" s="234" t="s">
        <v>57</v>
      </c>
      <c r="C46" s="292" t="s">
        <v>82</v>
      </c>
      <c r="D46" s="292"/>
      <c r="E46" s="292"/>
      <c r="F46" s="243">
        <f t="shared" si="12"/>
        <v>0</v>
      </c>
      <c r="G46" s="244">
        <f>IF($M$41="Sistema de banco de horas",0,'P Gerais'!$E$14)</f>
        <v>0.5</v>
      </c>
      <c r="H46" s="245">
        <f t="shared" ca="1" si="13"/>
        <v>0</v>
      </c>
      <c r="I46" s="243">
        <f t="shared" ca="1" si="14"/>
        <v>0</v>
      </c>
      <c r="J46" s="245">
        <f t="shared" ca="1" si="15"/>
        <v>0</v>
      </c>
      <c r="K46" s="234"/>
      <c r="L46" s="234"/>
      <c r="M46" s="234"/>
      <c r="Z46" s="219"/>
    </row>
    <row r="47" spans="1:42" s="2" customFormat="1" ht="30" customHeight="1" x14ac:dyDescent="0.2">
      <c r="A47" s="9"/>
      <c r="B47" s="234" t="s">
        <v>51</v>
      </c>
      <c r="C47" s="292" t="s">
        <v>81</v>
      </c>
      <c r="D47" s="292"/>
      <c r="E47" s="292"/>
      <c r="F47" s="243">
        <f t="shared" si="12"/>
        <v>0</v>
      </c>
      <c r="G47" s="244">
        <f>IF($M$41="Sistema de banco de horas",0,'P Gerais'!$F$14)</f>
        <v>1</v>
      </c>
      <c r="H47" s="245">
        <f t="shared" ca="1" si="13"/>
        <v>0</v>
      </c>
      <c r="I47" s="243">
        <f t="shared" ca="1" si="14"/>
        <v>0</v>
      </c>
      <c r="J47" s="245">
        <f t="shared" ca="1" si="15"/>
        <v>0</v>
      </c>
      <c r="K47" s="234"/>
      <c r="L47" s="234"/>
      <c r="M47" s="234"/>
      <c r="Z47" s="219"/>
    </row>
    <row r="48" spans="1:42" s="2" customFormat="1" ht="30" customHeight="1" x14ac:dyDescent="0.2">
      <c r="A48" s="9"/>
      <c r="B48" s="234"/>
      <c r="C48" s="292" t="s">
        <v>80</v>
      </c>
      <c r="D48" s="292"/>
      <c r="E48" s="292"/>
      <c r="F48" s="243">
        <f>SUMIFS($Q$8:$Q$38,$G$8:$G$38,"Feriado")</f>
        <v>0</v>
      </c>
      <c r="G48" s="244">
        <f>IF($M$41="Sistema de banco de horas",0,'P Gerais'!$I$14)</f>
        <v>1</v>
      </c>
      <c r="H48" s="245">
        <f t="shared" ca="1" si="13"/>
        <v>0</v>
      </c>
      <c r="I48" s="243"/>
      <c r="J48" s="245">
        <f t="shared" ca="1" si="15"/>
        <v>0</v>
      </c>
      <c r="K48" s="234"/>
      <c r="L48" s="234"/>
      <c r="M48" s="234"/>
      <c r="Z48" s="219"/>
    </row>
    <row r="49" spans="1:26" s="2" customFormat="1" ht="15" x14ac:dyDescent="0.2">
      <c r="A49" s="9"/>
      <c r="B49" s="234"/>
      <c r="C49" s="292" t="s">
        <v>146</v>
      </c>
      <c r="D49" s="292"/>
      <c r="E49" s="292"/>
      <c r="F49" s="243">
        <f>SUMIFS($Q$8:$Q$38,$G$8:$G$38,"Folga (DSR)")</f>
        <v>0</v>
      </c>
      <c r="G49" s="244">
        <f>IF($M$41="Sistema de banco de horas",0,'P Gerais'!H14)</f>
        <v>1</v>
      </c>
      <c r="H49" s="245">
        <f ca="1">((F53/(F39-G39))*G39)</f>
        <v>0</v>
      </c>
      <c r="I49" s="243"/>
      <c r="J49" s="245">
        <f t="shared" ca="1" si="15"/>
        <v>0</v>
      </c>
      <c r="K49" s="234"/>
      <c r="L49" s="234"/>
      <c r="M49" s="234"/>
      <c r="Z49" s="219"/>
    </row>
    <row r="50" spans="1:26" s="2" customFormat="1" ht="15" x14ac:dyDescent="0.2">
      <c r="A50" s="9"/>
      <c r="B50" s="234"/>
      <c r="C50" s="292" t="s">
        <v>84</v>
      </c>
      <c r="D50" s="292"/>
      <c r="E50" s="292"/>
      <c r="F50" s="243">
        <f ca="1">IF($M$41="Sistema de banco de horas",(SUM(AI$8:AI$38)*(1+G50)),SUM(AI$8:AI$38))</f>
        <v>0</v>
      </c>
      <c r="G50" s="244">
        <f>IF($M$41="Sistema de banco de horas",0,'P Gerais'!$I$17)</f>
        <v>0.5</v>
      </c>
      <c r="H50" s="245">
        <f ca="1">IF($M$41="Sistema de banco de horas",0,$K$40*(1+G50)*(F50*24))</f>
        <v>0</v>
      </c>
      <c r="I50" s="243">
        <f ca="1">IF(SUM($AN$8:$AO$38)&gt;SUM(AI$8:AI$38),0,SUM(AI$8:AI$38)-SUM($AN$8:$AO$38))</f>
        <v>0</v>
      </c>
      <c r="J50" s="245">
        <f t="shared" ca="1" si="15"/>
        <v>0</v>
      </c>
      <c r="K50" s="234"/>
      <c r="L50" s="234"/>
      <c r="M50" s="234"/>
      <c r="Z50" s="219"/>
    </row>
    <row r="51" spans="1:26" s="2" customFormat="1" ht="15" x14ac:dyDescent="0.2">
      <c r="A51" s="9"/>
      <c r="B51" s="234"/>
      <c r="C51" s="292" t="s">
        <v>85</v>
      </c>
      <c r="D51" s="292"/>
      <c r="E51" s="292"/>
      <c r="F51" s="243">
        <f>IF($M$41="Sistema de banco de horas",(SUM(AK$8:AK$38)*(1+G51)),SUM(AK$8:AK$38))</f>
        <v>0</v>
      </c>
      <c r="G51" s="244">
        <f>IF($M$41="Sistema de banco de horas",0,'P Gerais'!$C$17)</f>
        <v>1</v>
      </c>
      <c r="H51" s="245">
        <f ca="1">IF($M$41="Sistema de banco de horas",0,$K$40*(1+G51)*(F51*24))</f>
        <v>0</v>
      </c>
      <c r="I51" s="243"/>
      <c r="J51" s="245">
        <f t="shared" ca="1" si="15"/>
        <v>0</v>
      </c>
      <c r="K51" s="234"/>
      <c r="L51" s="234"/>
      <c r="M51" s="234"/>
      <c r="Z51" s="219"/>
    </row>
    <row r="52" spans="1:26" s="2" customFormat="1" ht="15" customHeight="1" x14ac:dyDescent="0.2">
      <c r="A52" s="9"/>
      <c r="B52" s="234"/>
      <c r="C52" s="292" t="s">
        <v>87</v>
      </c>
      <c r="D52" s="292"/>
      <c r="E52" s="292"/>
      <c r="F52" s="243">
        <f ca="1">U12</f>
        <v>0</v>
      </c>
      <c r="G52" s="246"/>
      <c r="H52" s="234"/>
      <c r="I52" s="234"/>
      <c r="J52" s="234"/>
      <c r="K52" s="234"/>
      <c r="L52" s="234"/>
      <c r="M52" s="234"/>
      <c r="Z52" s="219"/>
    </row>
    <row r="53" spans="1:26" s="2" customFormat="1" ht="15" x14ac:dyDescent="0.2">
      <c r="A53" s="9"/>
      <c r="B53" s="234"/>
      <c r="C53" s="292" t="s">
        <v>299</v>
      </c>
      <c r="D53" s="292"/>
      <c r="E53" s="292"/>
      <c r="F53" s="247">
        <f ca="1">SUM(H48)+J50+H51+SUM(J41:J47)</f>
        <v>0</v>
      </c>
      <c r="G53" s="248"/>
      <c r="H53" s="234"/>
      <c r="I53" s="234"/>
      <c r="J53" s="234"/>
      <c r="K53" s="234"/>
      <c r="L53" s="234"/>
      <c r="M53" s="234"/>
      <c r="Z53" s="219"/>
    </row>
    <row r="54" spans="1:26" s="2" customFormat="1" ht="15" x14ac:dyDescent="0.2">
      <c r="A54" s="9"/>
      <c r="B54" s="234"/>
      <c r="C54" s="292" t="s">
        <v>88</v>
      </c>
      <c r="D54" s="292"/>
      <c r="E54" s="292"/>
      <c r="F54" s="247">
        <f ca="1">F53+(H49*(1+G49))</f>
        <v>0</v>
      </c>
      <c r="G54" s="248"/>
      <c r="H54" s="249"/>
      <c r="I54" s="234"/>
      <c r="J54" s="234"/>
      <c r="K54" s="234"/>
      <c r="L54" s="234"/>
      <c r="M54" s="234"/>
      <c r="Z54" s="219"/>
    </row>
    <row r="55" spans="1:26" s="2" customFormat="1" ht="15" x14ac:dyDescent="0.2">
      <c r="A55" s="9"/>
      <c r="B55" s="234"/>
      <c r="C55" s="292" t="s">
        <v>89</v>
      </c>
      <c r="D55" s="292"/>
      <c r="E55" s="292"/>
      <c r="F55" s="247">
        <f ca="1">H40+F54</f>
        <v>0</v>
      </c>
      <c r="G55" s="246"/>
      <c r="H55" s="234"/>
      <c r="I55" s="234"/>
      <c r="J55" s="234"/>
      <c r="K55" s="234"/>
      <c r="L55" s="234"/>
      <c r="M55" s="234"/>
      <c r="Z55" s="219"/>
    </row>
    <row r="56" spans="1:26" s="2" customFormat="1" ht="15" x14ac:dyDescent="0.2">
      <c r="A56" s="9"/>
      <c r="B56" s="234"/>
      <c r="C56" s="292" t="s">
        <v>178</v>
      </c>
      <c r="D56" s="292"/>
      <c r="E56" s="292"/>
      <c r="F56" s="243">
        <f>IF($M$41="Sistema de banco de horas",(SUMIF($G$8:$G$38,"Férias",Q8:Q38))*(1+G48),SUMIF($G$8:$G$38,"Férias",Q8:Q38))</f>
        <v>0</v>
      </c>
      <c r="G56" s="246"/>
      <c r="H56" s="234"/>
      <c r="I56" s="234"/>
      <c r="J56" s="234"/>
      <c r="K56" s="234"/>
      <c r="L56" s="234"/>
      <c r="M56" s="234"/>
      <c r="Z56" s="219"/>
    </row>
    <row r="57" spans="1:26" s="2" customFormat="1" ht="15" x14ac:dyDescent="0.2">
      <c r="A57" s="9"/>
      <c r="B57" s="234"/>
      <c r="C57" s="239"/>
      <c r="D57" s="239"/>
      <c r="E57" s="239"/>
      <c r="F57" s="250">
        <f ca="1">U14</f>
        <v>0</v>
      </c>
      <c r="G57" s="246"/>
      <c r="H57" s="234"/>
      <c r="I57" s="234"/>
      <c r="J57" s="234"/>
      <c r="K57" s="234"/>
      <c r="L57" s="234"/>
      <c r="M57" s="234"/>
      <c r="Z57" s="219"/>
    </row>
    <row r="58" spans="1:26" s="2" customFormat="1" ht="15" x14ac:dyDescent="0.2">
      <c r="A58" s="9"/>
      <c r="B58" s="234"/>
      <c r="C58" s="239"/>
      <c r="D58" s="239"/>
      <c r="E58" s="239"/>
      <c r="F58" s="243">
        <f ca="1">SUM(F41:F51)</f>
        <v>0</v>
      </c>
      <c r="G58" s="246"/>
      <c r="H58" s="234"/>
      <c r="I58" s="234"/>
      <c r="J58" s="234"/>
      <c r="K58" s="234"/>
      <c r="L58" s="234"/>
      <c r="M58" s="234"/>
      <c r="Z58" s="219"/>
    </row>
    <row r="59" spans="1:26" s="2" customFormat="1" ht="15" x14ac:dyDescent="0.2">
      <c r="A59" s="9"/>
      <c r="Z59" s="219"/>
    </row>
    <row r="60" spans="1:26" s="2" customFormat="1" ht="15" x14ac:dyDescent="0.2">
      <c r="A60" s="9"/>
      <c r="G60" s="178"/>
      <c r="Z60" s="219"/>
    </row>
    <row r="61" spans="1:26" ht="15" x14ac:dyDescent="0.2"/>
    <row r="62" spans="1:26" ht="15" x14ac:dyDescent="0.2"/>
    <row r="63" spans="1:26" ht="15" x14ac:dyDescent="0.2"/>
    <row r="64" spans="1:26" ht="15" x14ac:dyDescent="0.2"/>
    <row r="65" ht="15" x14ac:dyDescent="0.2"/>
    <row r="66" ht="15" x14ac:dyDescent="0.2"/>
    <row r="67" ht="15" x14ac:dyDescent="0.2"/>
    <row r="68" ht="15" x14ac:dyDescent="0.2"/>
    <row r="69" ht="15" x14ac:dyDescent="0.2"/>
    <row r="70" ht="15" x14ac:dyDescent="0.2"/>
    <row r="71" ht="15" x14ac:dyDescent="0.2"/>
    <row r="72" ht="15" x14ac:dyDescent="0.2"/>
    <row r="73" ht="15" x14ac:dyDescent="0.2"/>
    <row r="74" ht="15" x14ac:dyDescent="0.2"/>
    <row r="75" ht="15" x14ac:dyDescent="0.2"/>
    <row r="76" ht="15" x14ac:dyDescent="0.2"/>
    <row r="77" ht="15" x14ac:dyDescent="0.2"/>
    <row r="78" ht="15" x14ac:dyDescent="0.2"/>
    <row r="79" ht="15" x14ac:dyDescent="0.2"/>
    <row r="80" ht="15" x14ac:dyDescent="0.2"/>
    <row r="81" ht="15" x14ac:dyDescent="0.2"/>
    <row r="82" ht="15" x14ac:dyDescent="0.2"/>
    <row r="83" ht="15" x14ac:dyDescent="0.2"/>
    <row r="84" ht="15" x14ac:dyDescent="0.2"/>
    <row r="85" ht="15" x14ac:dyDescent="0.2"/>
    <row r="86" ht="15" x14ac:dyDescent="0.2"/>
    <row r="87" ht="15" x14ac:dyDescent="0.2"/>
    <row r="88" ht="15" x14ac:dyDescent="0.2"/>
    <row r="89" ht="15" x14ac:dyDescent="0.2"/>
    <row r="90" ht="15" x14ac:dyDescent="0.2"/>
    <row r="91" ht="15" x14ac:dyDescent="0.2"/>
    <row r="92" ht="15" x14ac:dyDescent="0.2"/>
    <row r="93" ht="15" x14ac:dyDescent="0.2"/>
    <row r="94" ht="15" x14ac:dyDescent="0.2"/>
    <row r="95" ht="15" x14ac:dyDescent="0.2"/>
    <row r="96" ht="15" x14ac:dyDescent="0.2"/>
    <row r="97" ht="15" x14ac:dyDescent="0.2"/>
    <row r="98" ht="15" x14ac:dyDescent="0.2"/>
    <row r="99" ht="15" x14ac:dyDescent="0.2"/>
    <row r="100" ht="15" x14ac:dyDescent="0.2"/>
    <row r="101" ht="15" x14ac:dyDescent="0.2"/>
    <row r="102" ht="15" x14ac:dyDescent="0.2"/>
    <row r="103" ht="15" x14ac:dyDescent="0.2"/>
  </sheetData>
  <sheetProtection sheet="1" objects="1" scenarios="1" selectLockedCells="1"/>
  <mergeCells count="34">
    <mergeCell ref="C56:E56"/>
    <mergeCell ref="C48:E48"/>
    <mergeCell ref="C49:E49"/>
    <mergeCell ref="C50:E50"/>
    <mergeCell ref="C52:E52"/>
    <mergeCell ref="C53:E53"/>
    <mergeCell ref="C54:E54"/>
    <mergeCell ref="C51:E51"/>
    <mergeCell ref="C44:E44"/>
    <mergeCell ref="C55:E55"/>
    <mergeCell ref="C45:E45"/>
    <mergeCell ref="C46:E46"/>
    <mergeCell ref="C47:E47"/>
    <mergeCell ref="S22:U22"/>
    <mergeCell ref="C41:E41"/>
    <mergeCell ref="C42:E42"/>
    <mergeCell ref="C43:E43"/>
    <mergeCell ref="S26:U28"/>
    <mergeCell ref="S23:U25"/>
    <mergeCell ref="E7:F7"/>
    <mergeCell ref="I7:J7"/>
    <mergeCell ref="S7:U7"/>
    <mergeCell ref="S8:T9"/>
    <mergeCell ref="U8:U9"/>
    <mergeCell ref="S16:T17"/>
    <mergeCell ref="U16:U17"/>
    <mergeCell ref="S18:T19"/>
    <mergeCell ref="S10:T11"/>
    <mergeCell ref="U10:U11"/>
    <mergeCell ref="S12:T13"/>
    <mergeCell ref="U12:U13"/>
    <mergeCell ref="S14:T15"/>
    <mergeCell ref="U14:U15"/>
    <mergeCell ref="U18:U19"/>
  </mergeCells>
  <phoneticPr fontId="50" type="noConversion"/>
  <conditionalFormatting sqref="M8:M26 M28:M37">
    <cfRule type="cellIs" dxfId="1238" priority="280" operator="greaterThan">
      <formula>0</formula>
    </cfRule>
  </conditionalFormatting>
  <conditionalFormatting sqref="N36:N37 L36:L37">
    <cfRule type="expression" dxfId="1237" priority="247">
      <formula>AND($E36&lt;$E$35,$E$8=1)</formula>
    </cfRule>
    <cfRule type="expression" dxfId="1236" priority="248">
      <formula>AND($E36&gt;=$E$8,$E$8&lt;&gt;1)</formula>
    </cfRule>
  </conditionalFormatting>
  <conditionalFormatting sqref="E36:E38">
    <cfRule type="expression" dxfId="1235" priority="245">
      <formula>AND($E36&lt;$E$35,$E$8=1)</formula>
    </cfRule>
    <cfRule type="expression" dxfId="1234" priority="246">
      <formula>AND($E36&gt;=$E$8,$E$8&lt;&gt;1)</formula>
    </cfRule>
  </conditionalFormatting>
  <conditionalFormatting sqref="O8:O26 O28:O37">
    <cfRule type="cellIs" dxfId="1233" priority="240" operator="greaterThan">
      <formula>0.000001</formula>
    </cfRule>
  </conditionalFormatting>
  <conditionalFormatting sqref="O36:O37">
    <cfRule type="expression" dxfId="1232" priority="238">
      <formula>AND($E36&lt;$E$35,$E$8=1)</formula>
    </cfRule>
    <cfRule type="expression" dxfId="1231" priority="239">
      <formula>AND($E36&gt;=$E$8,$E$8&lt;&gt;1)</formula>
    </cfRule>
  </conditionalFormatting>
  <conditionalFormatting sqref="M27">
    <cfRule type="cellIs" dxfId="1230" priority="206" operator="greaterThan">
      <formula>0</formula>
    </cfRule>
  </conditionalFormatting>
  <conditionalFormatting sqref="O27">
    <cfRule type="cellIs" dxfId="1229" priority="204" operator="greaterThan">
      <formula>0.000001</formula>
    </cfRule>
  </conditionalFormatting>
  <conditionalFormatting sqref="F8:F38">
    <cfRule type="containsText" dxfId="1228" priority="190" operator="containsText" text="Dom">
      <formula>NOT(ISERROR(SEARCH("Dom",F8)))</formula>
    </cfRule>
    <cfRule type="containsText" dxfId="1227" priority="191" operator="containsText" text="Sáb">
      <formula>NOT(ISERROR(SEARCH("Sáb",F8)))</formula>
    </cfRule>
  </conditionalFormatting>
  <conditionalFormatting sqref="Q8:Q37">
    <cfRule type="cellIs" dxfId="1226" priority="130" operator="greaterThan">
      <formula>0.000001</formula>
    </cfRule>
  </conditionalFormatting>
  <conditionalFormatting sqref="O38">
    <cfRule type="cellIs" dxfId="1225" priority="57" operator="greaterThan">
      <formula>0.000001</formula>
    </cfRule>
  </conditionalFormatting>
  <conditionalFormatting sqref="M38">
    <cfRule type="cellIs" dxfId="1224" priority="58" operator="greaterThan">
      <formula>0</formula>
    </cfRule>
  </conditionalFormatting>
  <conditionalFormatting sqref="L38:O38">
    <cfRule type="expression" dxfId="1223" priority="56">
      <formula>AND($E38&gt;=$E$8,$E$8&lt;&gt;1)</formula>
    </cfRule>
  </conditionalFormatting>
  <conditionalFormatting sqref="G38:K38">
    <cfRule type="expression" dxfId="1222" priority="43">
      <formula>OR($G38="Férias",$G38="Falta Injustificada")</formula>
    </cfRule>
    <cfRule type="expression" dxfId="1221" priority="44">
      <formula>$G38="Folga (DSR)"</formula>
    </cfRule>
    <cfRule type="expression" dxfId="1220" priority="45">
      <formula>$G38="Feriado"</formula>
    </cfRule>
    <cfRule type="expression" dxfId="1219" priority="46">
      <formula>$F38="Dom"</formula>
    </cfRule>
  </conditionalFormatting>
  <conditionalFormatting sqref="H38:K38">
    <cfRule type="expression" dxfId="1218" priority="42">
      <formula>OR($G38="Falta Justificada",$G38="Falta Injustificada")</formula>
    </cfRule>
  </conditionalFormatting>
  <conditionalFormatting sqref="Q38">
    <cfRule type="cellIs" dxfId="1217" priority="39" operator="greaterThan">
      <formula>0.000001</formula>
    </cfRule>
  </conditionalFormatting>
  <conditionalFormatting sqref="L38:Q38">
    <cfRule type="expression" dxfId="1216" priority="55">
      <formula>AND($E38&lt;$E$35,$E$8=1)</formula>
    </cfRule>
  </conditionalFormatting>
  <conditionalFormatting sqref="G38:Q38">
    <cfRule type="expression" dxfId="1215" priority="40">
      <formula>AND($E38&lt;$E$35,$E$8=1)</formula>
    </cfRule>
    <cfRule type="expression" dxfId="1214" priority="41">
      <formula>AND($E38&gt;=$E$8,$E$8&lt;&gt;1)</formula>
    </cfRule>
  </conditionalFormatting>
  <conditionalFormatting sqref="H37:K37">
    <cfRule type="expression" dxfId="1213" priority="32">
      <formula>OR($G37="Férias",$G37="Falta Injustificada")</formula>
    </cfRule>
    <cfRule type="expression" dxfId="1212" priority="33">
      <formula>$G37="Folga (DSR)"</formula>
    </cfRule>
    <cfRule type="expression" dxfId="1211" priority="34">
      <formula>$G37="Feriado"</formula>
    </cfRule>
    <cfRule type="expression" dxfId="1210" priority="35">
      <formula>$F37="Dom"</formula>
    </cfRule>
  </conditionalFormatting>
  <conditionalFormatting sqref="H37:K37">
    <cfRule type="expression" dxfId="1209" priority="29">
      <formula>AND($E37&lt;$E$35,$E$8=1)</formula>
    </cfRule>
    <cfRule type="expression" dxfId="1208" priority="30">
      <formula>AND($E37&gt;=$E$8,$E$8&lt;&gt;1)</formula>
    </cfRule>
  </conditionalFormatting>
  <conditionalFormatting sqref="H37:K37">
    <cfRule type="expression" dxfId="1207" priority="31">
      <formula>OR($G37="Falta Justificada",$G37="Falta Injustificada")</formula>
    </cfRule>
  </conditionalFormatting>
  <conditionalFormatting sqref="G8:K8 H9:K35 G9:G37">
    <cfRule type="expression" dxfId="1206" priority="25">
      <formula>OR($G8="Férias",$G8="Falta Injustificada")</formula>
    </cfRule>
    <cfRule type="expression" dxfId="1205" priority="26">
      <formula>$G8="Folga (DSR)"</formula>
    </cfRule>
    <cfRule type="expression" dxfId="1204" priority="27">
      <formula>$G8="Feriado"</formula>
    </cfRule>
    <cfRule type="expression" dxfId="1203" priority="28">
      <formula>$F8="Dom"</formula>
    </cfRule>
  </conditionalFormatting>
  <conditionalFormatting sqref="H8:K35">
    <cfRule type="expression" dxfId="1202" priority="24">
      <formula>OR($G8="Falta Justificada",$G8="Falta Injustificada")</formula>
    </cfRule>
  </conditionalFormatting>
  <conditionalFormatting sqref="H36:K36">
    <cfRule type="expression" dxfId="1201" priority="20">
      <formula>OR($G36="Férias",$G36="Falta Injustificada")</formula>
    </cfRule>
    <cfRule type="expression" dxfId="1200" priority="21">
      <formula>$G36="Folga (DSR)"</formula>
    </cfRule>
    <cfRule type="expression" dxfId="1199" priority="22">
      <formula>$G36="Feriado"</formula>
    </cfRule>
    <cfRule type="expression" dxfId="1198" priority="23">
      <formula>$F36="Dom"</formula>
    </cfRule>
  </conditionalFormatting>
  <conditionalFormatting sqref="H36:K36">
    <cfRule type="expression" dxfId="1197" priority="17">
      <formula>AND($E36&lt;$E$35,$E$8=1)</formula>
    </cfRule>
    <cfRule type="expression" dxfId="1196" priority="18">
      <formula>AND($E36&gt;=$E$8,$E$8&lt;&gt;1)</formula>
    </cfRule>
  </conditionalFormatting>
  <conditionalFormatting sqref="H36:K36">
    <cfRule type="expression" dxfId="1195" priority="19">
      <formula>OR($G36="Falta Justificada",$G36="Falta Injustificada")</formula>
    </cfRule>
  </conditionalFormatting>
  <conditionalFormatting sqref="U10:U11">
    <cfRule type="expression" dxfId="1194" priority="8">
      <formula>$V$11="Negativo"</formula>
    </cfRule>
  </conditionalFormatting>
  <conditionalFormatting sqref="U12:U13">
    <cfRule type="expression" dxfId="1193" priority="580">
      <formula>$U$14&gt;$F$58</formula>
    </cfRule>
  </conditionalFormatting>
  <conditionalFormatting sqref="F40">
    <cfRule type="expression" dxfId="1192" priority="581">
      <formula>$E40="Folga(DSR)"</formula>
    </cfRule>
    <cfRule type="expression" dxfId="1191" priority="582">
      <formula>$E40="Feriado"</formula>
    </cfRule>
    <cfRule type="expression" dxfId="1190" priority="583">
      <formula>$D40="Dom"</formula>
    </cfRule>
  </conditionalFormatting>
  <dataValidations count="3">
    <dataValidation type="time" allowBlank="1" showInputMessage="1" showErrorMessage="1" sqref="H8:K38">
      <formula1>0</formula1>
      <formula2>0.999988425925926</formula2>
    </dataValidation>
    <dataValidation type="list" allowBlank="1" showInputMessage="1" showErrorMessage="1" sqref="G8:G38">
      <formula1>"Normal,Feriado,Folga (DSR),Falta Justificada,Férias,Falta Injustificada"</formula1>
    </dataValidation>
    <dataValidation type="list" allowBlank="1" showInputMessage="1" showErrorMessage="1" sqref="E9:E35">
      <formula1>"1,5,10,16"</formula1>
    </dataValidation>
  </dataValidations>
  <hyperlinks>
    <hyperlink ref="C8" location="Lanç!A1" display="Lanç!A1"/>
    <hyperlink ref="C9" location="'Lanç (2)'!A1" display="'Lanç (2)'!A1"/>
    <hyperlink ref="C10" location="'Lanç (3)'!A1" display="'Lanç (3)'!A1"/>
    <hyperlink ref="C11" location="'Lanç (4)'!A1" display="'Lanç (4)'!A1"/>
    <hyperlink ref="C12" location="'Lanç (5)'!A1" display="'Lanç (5)'!A1"/>
    <hyperlink ref="C13" location="'Lanç (6)'!A1" display="'Lanç (6)'!A1"/>
    <hyperlink ref="C14" location="'Lanç (7)'!A1" display="'Lanç (7)'!A1"/>
    <hyperlink ref="C15" location="'Lanç (8)'!A1" display="'Lanç (8)'!A1"/>
    <hyperlink ref="C16" location="'Lanç (9)'!A1" display="'Lanç (9)'!A1"/>
    <hyperlink ref="C17" location="'Lanç (10)'!A1" display="'Lanç (10)'!A1"/>
    <hyperlink ref="C18" location="'Lanç (11)'!A1" display="'Lanç (11)'!A1"/>
    <hyperlink ref="C19" location="'Lanç (12)'!A1" display="'Lanç (12)'!A1"/>
    <hyperlink ref="C20" location="'Lanç (13)'!A1" display="'Lanç (13)'!A1"/>
    <hyperlink ref="C21" location="'Lanç (14)'!A1" display="'Lanç (14)'!A1"/>
    <hyperlink ref="C22" location="'Lanç (15)'!A1" display="'Lanç (15)'!A1"/>
    <hyperlink ref="C23" location="'Lanç (16)'!A1" display="'Lanç (16)'!A1"/>
    <hyperlink ref="C24" location="'Lanç (17)'!A1" display="'Lanç (17)'!A1"/>
    <hyperlink ref="C25" location="'Lanç (18)'!A1" display="'Lanç (18)'!A1"/>
    <hyperlink ref="C26" location="'Lanç (19)'!A1" display="'Lanç (19)'!A1"/>
    <hyperlink ref="C27" location="'Lanç (20)'!A1" display="'Lanç (20)'!A1"/>
    <hyperlink ref="C28" location="'Lanç (21)'!A1" display="'Lanç (21)'!A1"/>
    <hyperlink ref="C29" location="'Lanç (22)'!A1" display="'Lanç (22)'!A1"/>
    <hyperlink ref="C30" location="'Lanç (23)'!A1" display="'Lanç (23)'!A1"/>
    <hyperlink ref="C31" location="'Lanç (24)'!A1" display="'Lanç (24)'!A1"/>
    <hyperlink ref="C32" location="'Lanç (25)'!A1" display="'Lanç (25)'!A1"/>
    <hyperlink ref="C33" location="'Lanç (26)'!A1" display="'Lanç (26)'!A1"/>
    <hyperlink ref="C34" location="'Lanç (27)'!A1" display="'Lanç (27)'!A1"/>
    <hyperlink ref="C35" location="'Lanç (28)'!A1" display="'Lanç (28)'!A1"/>
    <hyperlink ref="C36" location="'Lanç (29)'!A1" display="'Lanç (29)'!A1"/>
    <hyperlink ref="C37" location="'Lanç (30)'!A1" display="'Lanç (30)'!A1"/>
  </hyperlinks>
  <printOptions horizontalCentered="1"/>
  <pageMargins left="0.23622047244094502" right="0.23622047244094502" top="0.74803149606299202" bottom="0.74803149606299202" header="0.31496062992126" footer="0.31496062992126"/>
  <pageSetup paperSize="9" scale="53" orientation="portrait" cellComments="atEnd"/>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122" id="{29ECE29F-740C-5C4D-B773-48DDCA689C8C}">
            <xm:f>'P Gerais'!$I$10:$M$10="Pagas em Dinheiro"</xm:f>
            <x14:dxf>
              <font>
                <color theme="0"/>
              </font>
              <fill>
                <patternFill>
                  <bgColor theme="0"/>
                </patternFill>
              </fill>
              <border>
                <left/>
                <right/>
                <top/>
                <bottom/>
              </border>
            </x14:dxf>
          </x14:cfRule>
          <xm:sqref>S10:T13</xm:sqref>
        </x14:conditionalFormatting>
        <x14:conditionalFormatting xmlns:xm="http://schemas.microsoft.com/office/excel/2006/main">
          <x14:cfRule type="expression" priority="121" id="{7E380B55-560D-9443-AA8E-F10988C9E465}">
            <xm:f>'P Gerais'!$I$10:$M$10="Sistema de banco de horas"</xm:f>
            <x14:dxf>
              <font>
                <color theme="0"/>
              </font>
              <fill>
                <patternFill>
                  <bgColor theme="0"/>
                </patternFill>
              </fill>
              <border>
                <left/>
                <right/>
                <top/>
                <bottom/>
              </border>
            </x14:dxf>
          </x14:cfRule>
          <xm:sqref>S18:T19</xm:sqref>
        </x14:conditionalFormatting>
        <x14:conditionalFormatting xmlns:xm="http://schemas.microsoft.com/office/excel/2006/main">
          <x14:cfRule type="expression" priority="10" id="{32A7EF67-11C6-2240-B589-881EF3BD93C7}">
            <xm:f>'P Gerais'!$I$10:$M$10="Sistema de banco de horas"</xm:f>
            <x14:dxf>
              <font>
                <color theme="0"/>
              </font>
              <fill>
                <patternFill>
                  <bgColor theme="0"/>
                </patternFill>
              </fill>
              <border>
                <left/>
                <right/>
                <top/>
                <bottom/>
              </border>
            </x14:dxf>
          </x14:cfRule>
          <xm:sqref>U18:U19</xm:sqref>
        </x14:conditionalFormatting>
        <x14:conditionalFormatting xmlns:xm="http://schemas.microsoft.com/office/excel/2006/main">
          <x14:cfRule type="expression" priority="7" id="{F0687E86-ED83-014A-BBD0-0082D735CDCB}">
            <xm:f>'P Gerais'!$I$10:$M$10="Pagas em Dinheiro"</xm:f>
            <x14:dxf>
              <font>
                <color theme="0"/>
              </font>
              <fill>
                <patternFill>
                  <bgColor theme="0"/>
                </patternFill>
              </fill>
              <border>
                <left/>
                <right/>
                <top/>
                <bottom/>
              </border>
            </x14:dxf>
          </x14:cfRule>
          <xm:sqref>U10:U13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9" enableFormatConditionsCalculation="0"/>
  <dimension ref="A1:BG103"/>
  <sheetViews>
    <sheetView showGridLines="0" zoomScale="90" zoomScaleNormal="90" zoomScalePageLayoutView="90" workbookViewId="0">
      <selection activeCell="I14" sqref="I14"/>
    </sheetView>
  </sheetViews>
  <sheetFormatPr baseColWidth="10" defaultColWidth="9.1640625" defaultRowHeight="0" customHeight="1" zeroHeight="1" x14ac:dyDescent="0.2"/>
  <cols>
    <col min="1" max="1" width="27.83203125" style="194" customWidth="1"/>
    <col min="2" max="2" width="3.83203125" style="14" customWidth="1"/>
    <col min="3" max="3" width="33.33203125" style="14" customWidth="1"/>
    <col min="4" max="4" width="2.83203125" style="14" customWidth="1"/>
    <col min="5" max="5" width="5.83203125" style="14" customWidth="1"/>
    <col min="6" max="6" width="11.83203125" style="14" customWidth="1"/>
    <col min="7" max="7" width="14.33203125" style="195" customWidth="1"/>
    <col min="8" max="11" width="9.83203125" style="14" customWidth="1"/>
    <col min="12" max="12" width="1.83203125" style="14" customWidth="1"/>
    <col min="13" max="13" width="13.33203125" style="14" customWidth="1"/>
    <col min="14" max="14" width="1.83203125" style="14" customWidth="1"/>
    <col min="15" max="15" width="13.33203125" style="14" customWidth="1"/>
    <col min="16" max="16" width="1.83203125" style="14" customWidth="1"/>
    <col min="17" max="17" width="13.33203125" style="14" customWidth="1"/>
    <col min="18" max="18" width="4.83203125" style="2" bestFit="1" customWidth="1"/>
    <col min="19" max="21" width="11.83203125" style="14" customWidth="1"/>
    <col min="22" max="23" width="8.83203125" style="2" customWidth="1"/>
    <col min="24" max="24" width="11.33203125" style="2" bestFit="1" customWidth="1"/>
    <col min="25" max="25" width="8.83203125" style="2" customWidth="1"/>
    <col min="26" max="26" width="8.1640625" style="219" bestFit="1" customWidth="1"/>
    <col min="27" max="27" width="8.83203125" style="2" customWidth="1"/>
    <col min="28" max="28" width="11.33203125" style="2" bestFit="1" customWidth="1"/>
    <col min="29" max="43" width="8.83203125" style="2" customWidth="1"/>
    <col min="44" max="50" width="11.33203125" style="2" customWidth="1"/>
    <col min="51" max="57" width="11.33203125" style="14" customWidth="1"/>
    <col min="58" max="16384" width="9.1640625" style="14"/>
  </cols>
  <sheetData>
    <row r="1" spans="1:59" s="15" customFormat="1" ht="33.75" customHeight="1" x14ac:dyDescent="0.3">
      <c r="A1" s="56"/>
      <c r="B1" s="3"/>
      <c r="C1" s="4" t="s">
        <v>30</v>
      </c>
      <c r="D1" s="3"/>
      <c r="E1" s="3"/>
      <c r="F1" s="3"/>
      <c r="G1" s="77"/>
      <c r="H1" s="3"/>
      <c r="I1" s="3"/>
      <c r="J1" s="3"/>
      <c r="K1" s="3"/>
      <c r="M1" s="3"/>
      <c r="O1" s="3"/>
      <c r="Q1" s="3"/>
      <c r="S1" s="3"/>
      <c r="T1" s="3"/>
      <c r="U1" s="3"/>
      <c r="Z1" s="174"/>
    </row>
    <row r="2" spans="1:59" s="15" customFormat="1" ht="21.5" customHeight="1" x14ac:dyDescent="0.2">
      <c r="A2" s="1"/>
      <c r="B2" s="3"/>
      <c r="C2" s="3"/>
      <c r="D2" s="3"/>
      <c r="E2" s="3"/>
      <c r="F2" s="3"/>
      <c r="G2" s="77"/>
      <c r="H2" s="3"/>
      <c r="I2" s="3"/>
      <c r="J2" s="3"/>
      <c r="K2" s="3"/>
      <c r="M2" s="3"/>
      <c r="O2" s="3"/>
      <c r="Q2" s="3"/>
      <c r="S2" s="3"/>
      <c r="T2" s="3"/>
      <c r="U2" s="3"/>
      <c r="Z2" s="174"/>
    </row>
    <row r="3" spans="1:59" s="15" customFormat="1" ht="21.5" customHeight="1" x14ac:dyDescent="0.2">
      <c r="A3" s="1"/>
      <c r="B3" s="3"/>
      <c r="C3" s="3"/>
      <c r="D3" s="3"/>
      <c r="E3" s="3"/>
      <c r="F3" s="3"/>
      <c r="G3" s="77"/>
      <c r="H3" s="3"/>
      <c r="I3" s="3"/>
      <c r="J3" s="3"/>
      <c r="K3" s="3"/>
      <c r="M3" s="3"/>
      <c r="O3" s="3"/>
      <c r="Q3" s="3"/>
      <c r="S3" s="3"/>
      <c r="T3" s="3"/>
      <c r="U3" s="3"/>
      <c r="Z3" s="174"/>
    </row>
    <row r="4" spans="1:59" s="2" customFormat="1" ht="30" customHeight="1" x14ac:dyDescent="0.2">
      <c r="A4" s="1"/>
      <c r="B4"/>
      <c r="C4"/>
      <c r="D4"/>
      <c r="E4"/>
      <c r="F4"/>
      <c r="G4" s="78"/>
      <c r="H4"/>
      <c r="I4"/>
      <c r="J4"/>
      <c r="K4"/>
      <c r="M4"/>
      <c r="O4" s="13"/>
      <c r="Q4"/>
      <c r="S4"/>
      <c r="T4"/>
      <c r="U4"/>
      <c r="Z4" s="219"/>
      <c r="AN4" s="175"/>
    </row>
    <row r="5" spans="1:59" s="2" customFormat="1" ht="30" customHeight="1" x14ac:dyDescent="0.2">
      <c r="A5" s="9"/>
      <c r="C5" s="160" t="s">
        <v>190</v>
      </c>
      <c r="K5" s="157">
        <f ca="1">IF(ISERROR(VLOOKUP(INDIRECT($C$5),Jornada!$C$8:$F$37,4,0)),0,VLOOKUP(INDIRECT($C$5),Jornada!$C$8:$F$37,4,0))</f>
        <v>0</v>
      </c>
      <c r="L5" s="158"/>
      <c r="M5" s="157">
        <f ca="1">IF(ISERROR(VLOOKUP(INDIRECT($C$5),Jornada!$C$8:$G$37,5,0)),0,VLOOKUP(INDIRECT($C$5),Jornada!$C$8:$G$37,5,0))</f>
        <v>0</v>
      </c>
      <c r="O5" s="12"/>
      <c r="U5" s="12"/>
      <c r="Z5" s="219"/>
      <c r="AC5" s="12"/>
      <c r="AK5" s="179">
        <v>0.25</v>
      </c>
      <c r="AL5" s="155">
        <v>0.91666666666666663</v>
      </c>
      <c r="AM5" s="155">
        <v>0.20833333333333334</v>
      </c>
      <c r="AN5" s="155">
        <v>1</v>
      </c>
      <c r="AO5" s="155">
        <v>0.70833333333333337</v>
      </c>
    </row>
    <row r="6" spans="1:59" s="2" customFormat="1" ht="8" customHeight="1" thickBot="1" x14ac:dyDescent="0.25">
      <c r="A6" s="9"/>
      <c r="C6" s="198"/>
      <c r="G6" s="178"/>
      <c r="M6" s="220">
        <v>1</v>
      </c>
      <c r="O6" s="156"/>
      <c r="Q6" s="156"/>
      <c r="Z6" s="176"/>
    </row>
    <row r="7" spans="1:59" s="2" customFormat="1" ht="30" customHeight="1" thickTop="1" thickBot="1" x14ac:dyDescent="0.25">
      <c r="A7" s="1"/>
      <c r="B7"/>
      <c r="C7" s="76" t="s">
        <v>176</v>
      </c>
      <c r="D7"/>
      <c r="E7" s="281" t="str">
        <f>Lanç!E7</f>
        <v>Janeiro</v>
      </c>
      <c r="F7" s="283"/>
      <c r="G7" s="79" t="s">
        <v>58</v>
      </c>
      <c r="H7" s="82" t="s">
        <v>0</v>
      </c>
      <c r="I7" s="293" t="s">
        <v>59</v>
      </c>
      <c r="J7" s="293"/>
      <c r="K7" s="82" t="s">
        <v>60</v>
      </c>
      <c r="M7" s="73" t="s">
        <v>61</v>
      </c>
      <c r="O7" s="73" t="s">
        <v>62</v>
      </c>
      <c r="Q7" s="73" t="s">
        <v>63</v>
      </c>
      <c r="R7" s="155">
        <v>8.3333333333333329E-2</v>
      </c>
      <c r="S7" s="293" t="s">
        <v>64</v>
      </c>
      <c r="T7" s="293"/>
      <c r="U7" s="293"/>
      <c r="W7" s="2" t="s">
        <v>90</v>
      </c>
      <c r="X7" s="156">
        <v>1</v>
      </c>
      <c r="AB7" s="2">
        <f>VLOOKUP($E$7,$W$7:$X$18,2,0)</f>
        <v>1</v>
      </c>
      <c r="AG7" s="176" t="s">
        <v>167</v>
      </c>
      <c r="AH7" s="176" t="s">
        <v>168</v>
      </c>
      <c r="AI7" s="155">
        <v>0</v>
      </c>
      <c r="AJ7" s="155">
        <v>1</v>
      </c>
      <c r="AK7" s="155">
        <v>0.45833333333333331</v>
      </c>
      <c r="AL7" s="2" t="s">
        <v>0</v>
      </c>
      <c r="AM7" s="2" t="s">
        <v>162</v>
      </c>
      <c r="AN7" s="2" t="s">
        <v>184</v>
      </c>
      <c r="BE7" s="14"/>
      <c r="BF7" s="14"/>
      <c r="BG7" s="14"/>
    </row>
    <row r="8" spans="1:59" s="2" customFormat="1" ht="30" customHeight="1" thickTop="1" thickBot="1" x14ac:dyDescent="0.25">
      <c r="A8" s="1"/>
      <c r="B8"/>
      <c r="C8" s="172" t="str">
        <f>IF(Funcionários!C7=0,"",Funcionários!C7)</f>
        <v/>
      </c>
      <c r="D8"/>
      <c r="E8" s="115">
        <f>Lanç!E8</f>
        <v>1</v>
      </c>
      <c r="F8" s="189" t="str">
        <f>Lanç!F8</f>
        <v>Dom</v>
      </c>
      <c r="G8" s="80"/>
      <c r="H8" s="93"/>
      <c r="I8" s="93"/>
      <c r="J8" s="93"/>
      <c r="K8" s="93"/>
      <c r="L8" s="197"/>
      <c r="M8" s="95">
        <f>IF(AND(H8=K8,H8&lt;&gt;0),$M$6-IF(J8&lt;I8,$AJ$7+J8-I8,J8-I8),IF(H8&gt;K8,(K8+1-H8)-IF(J8&lt;I8,$AJ$7+J8-I8,J8-I8),(K8-H8)-IF(J8&lt;I8,$AJ$7+J8-I8,J8-I8)))</f>
        <v>0</v>
      </c>
      <c r="N8" s="196"/>
      <c r="O8" s="95">
        <f ca="1">IF(OR(G8=0,G8="Férias",G8="Falta Justificada",G8="Feriado",G8="Folga (DSR)"),0,IF(G8="Falta Injustificada",HLOOKUP($F8,Jornada!$X$7:$AD$37,VLOOKUP(INDIRECT($C$5),Jornada!$C$8:$W$37,21,0),0),IF(HLOOKUP($F8,Jornada!$X$7:$AD$37,VLOOKUP(INDIRECT($C$5),Jornada!$C$8:$W$37,21,0),0)-M8&gt;0,HLOOKUP($F8,Jornada!$X$7:$AD$37,VLOOKUP(INDIRECT($C$5),Jornada!$C$8:$W$37,21,0),0)-M8,0)))</f>
        <v>0</v>
      </c>
      <c r="P8" s="193">
        <f ca="1">IF(HLOOKUP($F8,Jornada!$X$7:$AD$37,VLOOKUP(INDIRECT($C$5),Jornada!$C$8:$W$37,21,0),0)-M8&lt;0,ABS(HLOOKUP($F8,Jornada!$X$7:$AD$37,VLOOKUP(INDIRECT($C$5),Jornada!$C$8:$W$37,21,0),0)-M8),0)</f>
        <v>0</v>
      </c>
      <c r="Q8" s="95">
        <f t="shared" ref="Q8:Q38" si="0">IF(G8="Normal",P8,IF(G8=0,0,IF(OR(G8="Feriado",G8="Férias"),IF(H8&gt;K8,(K8+1-H8)-IF(J8&lt;I8,$AJ$7+J8-I8,J8-I8),(K8-H8)-IF(J8&lt;I8,$AJ$7+J8-I8,J8-I8)),IF(G8="Folga (DSR)",IF(H8&gt;K8,(K8+1-H8)-IF(J8&lt;I8,$AJ$7+J8-I8,J8-I8),(K8-H8)-IF(J8&lt;I8,$AJ$7+J8-I8,J8-I8)),IF(G8="Falta Justificada",IF(H8&gt;K8,(K8+1-H8)-IF(J8&lt;I8,$AJ$7+J8-I8,J8-I8),(K8-H8)-IF(J8&lt;I8,$AJ$7+J8-I8,J8-I8)),0)))))</f>
        <v>0</v>
      </c>
      <c r="R8" s="2">
        <f>IF(Q8&gt;$R$7,1,0)</f>
        <v>0</v>
      </c>
      <c r="S8" s="294" t="s">
        <v>65</v>
      </c>
      <c r="T8" s="294"/>
      <c r="U8" s="295">
        <f>SUM(M8:M38)</f>
        <v>0</v>
      </c>
      <c r="W8" s="2" t="s">
        <v>91</v>
      </c>
      <c r="X8" s="156">
        <v>2</v>
      </c>
      <c r="AB8" s="177">
        <f>DATE('P Gerais'!$D$6,AB7,1)</f>
        <v>1</v>
      </c>
      <c r="AC8" s="2">
        <f>WEEKDAY(AB8)</f>
        <v>1</v>
      </c>
      <c r="AE8" s="2">
        <v>1</v>
      </c>
      <c r="AF8" s="2" t="s">
        <v>51</v>
      </c>
      <c r="AG8" s="220">
        <f>IF(J8&lt;I8,$AJ$7+J8-I8,J8-I8)</f>
        <v>0</v>
      </c>
      <c r="AH8" s="220">
        <f ca="1">IF(HLOOKUP($F8,Jornada!$X$7:$AD$37,VLOOKUP(INDIRECT($C$5),Jornada!$C$8:$W$37,21,0),0)=0,0,VLOOKUP(INDIRECT($C$5),Jornada!$C$8:$H$37,4,0))</f>
        <v>0</v>
      </c>
      <c r="AI8" s="155">
        <f ca="1">IF(AND(I8=0,J8=0,OR(H8&lt;&gt;0,K8&lt;&gt;0),HLOOKUP($F8,Jornada!$X$7:$AD$37,VLOOKUP(INDIRECT($C$5),Jornada!$C$8:$W$37,21,0),0)&gt;$AK$5,M8&gt;$AK$5),VLOOKUP(INDIRECT($C$5),Jornada!$C$8:$H$37,6,0),IF(AG8&gt;VLOOKUP(INDIRECT($C$5),Jornada!$C$8:$H$37,6,0),IF(VLOOKUP(INDIRECT($C$5),Jornada!$C$8:$H$37,6,0)&lt;AG8,0,ABS(VLOOKUP(INDIRECT($C$5),Jornada!$C$8:$H$37,6,0))-AG8),0))</f>
        <v>0</v>
      </c>
      <c r="AJ8" s="155">
        <f>($AJ$7-K8)+H8</f>
        <v>1</v>
      </c>
      <c r="AK8" s="155">
        <f>IF(AJ8&lt;$AK$7,$AK$7-AJ8,$AI$7)</f>
        <v>0</v>
      </c>
      <c r="AL8" s="155">
        <f ca="1">HLOOKUP($F8,Jornada!$I$5:$V$37,VLOOKUP(INDIRECT($C$5),Jornada!$C$8:$W$37,21,0)+2,0)</f>
        <v>0</v>
      </c>
      <c r="AM8" s="155">
        <f ca="1">HLOOKUP($F8,Jornada!$I$4:$V$37,VLOOKUP(INDIRECT($C$5),Jornada!$C$8:$W$37,21,0)+3,0)</f>
        <v>0</v>
      </c>
      <c r="AN8" s="155">
        <f ca="1">IF(AND(AL8&gt;=$AL$5,AL8&lt;$AN$5,H8&gt;=$AL$5,H8&lt;AL8),AL8-H8,IF(AND(AL8&gt;$AI$7,AL8&lt;=$AM$5,H8&gt;=$AL$5,H8&lt;=$AN$5),$AN$5-H8+AL8,IF(AND(AL8&gt;=$AI$7,AL8&lt;=$AM$5,H8&gt;=$AI$7,H8&lt;=$AM$5,H8&lt;AL8),H8-AL8,0)))</f>
        <v>0</v>
      </c>
      <c r="AO8" s="155">
        <f>IF(AP8&gt;Q8,0,AP8)</f>
        <v>0</v>
      </c>
      <c r="AP8" s="155">
        <f>IF(Q8=0,0,IF(AND(AM8&gt;=$AL$5,AM8&lt;$AN$5,K8&gt;=$AL$5,K8&lt;$AM$5,K8&gt;AM8),K8-AM8,IF(AND(AM8&gt;=$AL$5,AM8&lt;$AN$5,K8&lt;$AN$5,K8&gt;AM8),K8-$AL$5,IF(AND(AM8&gt;=$AI$7,AM8&lt;$AM$5,K8&lt;$AM$5),K8-AM8,IF(AND(AM8&lt;&gt;AI7,AM8&gt;=$AI$7,AM8&lt;=$AM$5,K8&gt;$AM$5,K8&gt;AM8),$AM$5-AM8,IF(AND(K8&gt;$AL$5,K8&lt;$AN$5),K8-$AL$5,IF(AND(K8&gt;$AI$7,K8&lt;$AM$5),$AN$5-$AL$5+K8,IF(AND(OR(K8&gt;$AL$5,H8&gt;$AO$5),AM8&gt;=$AI$7,AM8&lt;$AM$5,K8&gt;$AM$5),(1+$AM$5-$AL$5)-AG8,0))))))))</f>
        <v>0</v>
      </c>
      <c r="BE8" s="14"/>
      <c r="BF8" s="14"/>
      <c r="BG8" s="14"/>
    </row>
    <row r="9" spans="1:59" s="2" customFormat="1" ht="30" customHeight="1" thickTop="1" thickBot="1" x14ac:dyDescent="0.25">
      <c r="A9" s="1"/>
      <c r="B9"/>
      <c r="C9" s="172" t="str">
        <f>IF(Funcionários!C8=0,"",Funcionários!C8)</f>
        <v/>
      </c>
      <c r="D9"/>
      <c r="E9" s="115">
        <f>Lanç!E9</f>
        <v>2</v>
      </c>
      <c r="F9" s="189" t="str">
        <f>Lanç!F9</f>
        <v>Seg</v>
      </c>
      <c r="G9" s="80"/>
      <c r="H9" s="94"/>
      <c r="I9" s="94"/>
      <c r="J9" s="94"/>
      <c r="K9" s="94"/>
      <c r="L9" s="197"/>
      <c r="M9" s="95">
        <f t="shared" ref="M9:M36" si="1">IF(AND(H9=K9,H9&lt;&gt;0),$M$6-IF(J9&lt;I9,$AJ$7+J9-I9,J9-I9),IF(H9&gt;K9,(K9+1-H9)-IF(J9&lt;I9,$AJ$7+J9-I9,J9-I9),(K9-H9)-IF(J9&lt;I9,$AJ$7+J9-I9,J9-I9)))</f>
        <v>0</v>
      </c>
      <c r="N9" s="196"/>
      <c r="O9" s="95">
        <f ca="1">IF(OR(G9=0,G9="Férias",G9="Falta Justificada",G9="Feriado",G9="Folga (DSR)"),0,IF(G9="Falta Injustificada",HLOOKUP($F9,Jornada!$X$7:$AD$37,VLOOKUP(INDIRECT($C$5),Jornada!$C$8:$W$37,21,0),0),IF(HLOOKUP($F9,Jornada!$X$7:$AD$37,VLOOKUP(INDIRECT($C$5),Jornada!$C$8:$W$37,21,0),0)-M9&gt;0,HLOOKUP($F9,Jornada!$X$7:$AD$37,VLOOKUP(INDIRECT($C$5),Jornada!$C$8:$W$37,21,0),0)-M9,0)))</f>
        <v>0</v>
      </c>
      <c r="P9" s="193">
        <f ca="1">IF(HLOOKUP($F9,Jornada!$X$7:$AD$37,VLOOKUP(INDIRECT($C$5),Jornada!$C$8:$W$37,21,0),0)-M9&lt;0,ABS(HLOOKUP($F9,Jornada!$X$7:$AD$37,VLOOKUP(INDIRECT($C$5),Jornada!$C$8:$W$37,21,0),0)-M9),0)</f>
        <v>0</v>
      </c>
      <c r="Q9" s="95">
        <f t="shared" si="0"/>
        <v>0</v>
      </c>
      <c r="R9" s="2">
        <f t="shared" ref="R9:R38" si="2">IF(Q9&gt;$R$7,1,0)</f>
        <v>0</v>
      </c>
      <c r="S9" s="294"/>
      <c r="T9" s="294"/>
      <c r="U9" s="295"/>
      <c r="W9" s="2" t="s">
        <v>92</v>
      </c>
      <c r="X9" s="156">
        <v>3</v>
      </c>
      <c r="AB9" s="177">
        <f>AB8+1</f>
        <v>2</v>
      </c>
      <c r="AC9" s="2">
        <f t="shared" ref="AC9:AC35" si="3">WEEKDAY(AB9)</f>
        <v>2</v>
      </c>
      <c r="AE9" s="2">
        <v>2</v>
      </c>
      <c r="AF9" s="2" t="s">
        <v>52</v>
      </c>
      <c r="AG9" s="220">
        <f t="shared" ref="AG9:AG38" si="4">IF(J9&lt;I9,$AJ$7+J9-I9,J9-I9)</f>
        <v>0</v>
      </c>
      <c r="AH9" s="220">
        <f ca="1">IF(HLOOKUP($F9,Jornada!$X$7:$AD$37,VLOOKUP(INDIRECT($C$5),Jornada!$C$8:$W$37,21,0),0)=0,0,VLOOKUP(INDIRECT($C$5),Jornada!$C$8:$H$37,4,0))</f>
        <v>0</v>
      </c>
      <c r="AI9" s="155">
        <f ca="1">IF(AND(I9=0,J9=0,OR(H9&lt;&gt;0,K9&lt;&gt;0),HLOOKUP($F9,Jornada!$X$7:$AD$37,VLOOKUP(INDIRECT($C$5),Jornada!$C$8:$W$37,21,0),0)&gt;$AK$5,M9&gt;$AK$5),VLOOKUP(INDIRECT($C$5),Jornada!$C$8:$H$37,6,0),IF(AG9&gt;VLOOKUP(INDIRECT($C$5),Jornada!$C$8:$H$37,6,0),IF(VLOOKUP(INDIRECT($C$5),Jornada!$C$8:$H$37,6,0)&lt;AG9,0,ABS(VLOOKUP(INDIRECT($C$5),Jornada!$C$8:$H$37,6,0))-AG9),0))</f>
        <v>0</v>
      </c>
      <c r="AJ9" s="155">
        <f t="shared" ref="AJ9:AJ38" si="5">($AJ$7-K9)+H9</f>
        <v>1</v>
      </c>
      <c r="AK9" s="155">
        <f t="shared" ref="AK9:AK38" si="6">IF(AJ9&lt;$AK$7,$AK$7-AJ9,$AI$7)</f>
        <v>0</v>
      </c>
      <c r="AL9" s="155">
        <f ca="1">HLOOKUP($F9,Jornada!$I$5:$V$37,VLOOKUP(INDIRECT($C$5),Jornada!$C$8:$W$37,21,0)+2,0)</f>
        <v>0</v>
      </c>
      <c r="AM9" s="155">
        <f ca="1">HLOOKUP($F9,Jornada!$I$4:$V$37,VLOOKUP(INDIRECT($C$5),Jornada!$C$8:$W$37,21,0)+3,0)</f>
        <v>0</v>
      </c>
      <c r="AN9" s="155">
        <f t="shared" ref="AN9:AN38" ca="1" si="7">IF(AND(AL9&gt;=$AL$5,AL9&lt;$AN$5,H9&gt;=$AL$5,H9&lt;AL9),AL9-H9,IF(AND(AL9&gt;$AI$7,AL9&lt;=$AM$5,H9&gt;=$AL$5,H9&lt;=$AN$5),$AN$5-H9+AL9,IF(AND(AL9&gt;=$AI$7,AL9&lt;=$AM$5,H9&gt;=$AI$7,H9&lt;=$AM$5,H9&lt;AL9),H9-AL9,0)))</f>
        <v>0</v>
      </c>
      <c r="AO9" s="155">
        <f t="shared" ref="AO9:AO38" si="8">IF(AP9&gt;Q9,0,AP9)</f>
        <v>0</v>
      </c>
      <c r="AP9" s="155">
        <f t="shared" ref="AP9:AP38" si="9">IF(Q9=0,0,IF(AND(AM9&gt;=$AL$5,AM9&lt;$AN$5,K9&gt;=$AL$5,K9&lt;$AM$5,K9&gt;AM9),K9-AM9,IF(AND(AM9&gt;=$AL$5,AM9&lt;$AN$5,K9&lt;$AN$5,K9&gt;AM9),K9-$AL$5,IF(AND(AM9&gt;=$AI$7,AM9&lt;$AM$5,K9&lt;$AM$5),K9-AM9,IF(AND(AM9&lt;&gt;AI8,AM9&gt;=$AI$7,AM9&lt;=$AM$5,K9&gt;$AM$5,K9&gt;AM9),$AM$5-AM9,IF(AND(K9&gt;$AL$5,K9&lt;$AN$5),K9-$AL$5,IF(AND(K9&gt;$AI$7,K9&lt;$AM$5),$AN$5-$AL$5+K9,IF(AND(OR(K9&gt;$AL$5,H9&gt;$AO$5),AM9&gt;=$AI$7,AM9&lt;$AM$5,K9&gt;$AM$5),(1+$AM$5-$AL$5)-AG9,0))))))))</f>
        <v>0</v>
      </c>
      <c r="BE9" s="14"/>
      <c r="BF9" s="14"/>
      <c r="BG9" s="14"/>
    </row>
    <row r="10" spans="1:59" s="2" customFormat="1" ht="30" customHeight="1" thickTop="1" thickBot="1" x14ac:dyDescent="0.25">
      <c r="A10" s="1"/>
      <c r="B10"/>
      <c r="C10" s="172" t="str">
        <f>IF(Funcionários!C9=0,"",Funcionários!C9)</f>
        <v/>
      </c>
      <c r="D10"/>
      <c r="E10" s="115">
        <f>Lanç!E10</f>
        <v>3</v>
      </c>
      <c r="F10" s="189" t="str">
        <f>Lanç!F10</f>
        <v>Ter</v>
      </c>
      <c r="G10" s="80"/>
      <c r="H10" s="94"/>
      <c r="I10" s="94"/>
      <c r="J10" s="94"/>
      <c r="K10" s="94"/>
      <c r="L10" s="197"/>
      <c r="M10" s="95">
        <f t="shared" si="1"/>
        <v>0</v>
      </c>
      <c r="N10" s="196"/>
      <c r="O10" s="95">
        <f ca="1">IF(OR(G10=0,G10="Férias",G10="Falta Justificada",G10="Feriado",G10="Folga (DSR)"),0,IF(G10="Falta Injustificada",HLOOKUP($F10,Jornada!$X$7:$AD$37,VLOOKUP(INDIRECT($C$5),Jornada!$C$8:$W$37,21,0),0),IF(HLOOKUP($F10,Jornada!$X$7:$AD$37,VLOOKUP(INDIRECT($C$5),Jornada!$C$8:$W$37,21,0),0)-M10&gt;0,HLOOKUP($F10,Jornada!$X$7:$AD$37,VLOOKUP(INDIRECT($C$5),Jornada!$C$8:$W$37,21,0),0)-M10,0)))</f>
        <v>0</v>
      </c>
      <c r="P10" s="193">
        <f ca="1">IF(HLOOKUP($F10,Jornada!$X$7:$AD$37,VLOOKUP(INDIRECT($C$5),Jornada!$C$8:$W$37,21,0),0)-M10&lt;0,ABS(HLOOKUP($F10,Jornada!$X$7:$AD$37,VLOOKUP(INDIRECT($C$5),Jornada!$C$8:$W$37,21,0),0)-M10),0)</f>
        <v>0</v>
      </c>
      <c r="Q10" s="95">
        <f t="shared" si="0"/>
        <v>0</v>
      </c>
      <c r="R10" s="2">
        <f t="shared" si="2"/>
        <v>0</v>
      </c>
      <c r="S10" s="294" t="s">
        <v>66</v>
      </c>
      <c r="T10" s="294"/>
      <c r="U10" s="295">
        <f ca="1">IF(M5="Horas devidas",ABS(-K5+F58-U14),ABS(K5+F58-U14))</f>
        <v>0</v>
      </c>
      <c r="W10" s="2" t="s">
        <v>93</v>
      </c>
      <c r="X10" s="156">
        <v>4</v>
      </c>
      <c r="AB10" s="177">
        <f t="shared" ref="AB10:AB34" si="10">AB9+1</f>
        <v>3</v>
      </c>
      <c r="AC10" s="2">
        <f t="shared" si="3"/>
        <v>3</v>
      </c>
      <c r="AE10" s="2">
        <v>3</v>
      </c>
      <c r="AF10" s="2" t="s">
        <v>53</v>
      </c>
      <c r="AG10" s="220">
        <f t="shared" si="4"/>
        <v>0</v>
      </c>
      <c r="AH10" s="220">
        <f ca="1">IF(HLOOKUP($F10,Jornada!$X$7:$AD$37,VLOOKUP(INDIRECT($C$5),Jornada!$C$8:$W$37,21,0),0)=0,0,VLOOKUP(INDIRECT($C$5),Jornada!$C$8:$H$37,4,0))</f>
        <v>0</v>
      </c>
      <c r="AI10" s="155">
        <f ca="1">IF(AND(I10=0,J10=0,OR(H10&lt;&gt;0,K10&lt;&gt;0),HLOOKUP($F10,Jornada!$X$7:$AD$37,VLOOKUP(INDIRECT($C$5),Jornada!$C$8:$W$37,21,0),0)&gt;$AK$5,M10&gt;$AK$5),VLOOKUP(INDIRECT($C$5),Jornada!$C$8:$H$37,6,0),IF(AG10&gt;VLOOKUP(INDIRECT($C$5),Jornada!$C$8:$H$37,6,0),IF(VLOOKUP(INDIRECT($C$5),Jornada!$C$8:$H$37,6,0)&lt;AG10,0,ABS(VLOOKUP(INDIRECT($C$5),Jornada!$C$8:$H$37,6,0))-AG10),0))</f>
        <v>0</v>
      </c>
      <c r="AJ10" s="155">
        <f t="shared" si="5"/>
        <v>1</v>
      </c>
      <c r="AK10" s="155">
        <f t="shared" si="6"/>
        <v>0</v>
      </c>
      <c r="AL10" s="155">
        <f ca="1">HLOOKUP($F10,Jornada!$I$5:$V$37,VLOOKUP(INDIRECT($C$5),Jornada!$C$8:$W$37,21,0)+2,0)</f>
        <v>0</v>
      </c>
      <c r="AM10" s="155">
        <f ca="1">HLOOKUP($F10,Jornada!$I$4:$V$37,VLOOKUP(INDIRECT($C$5),Jornada!$C$8:$W$37,21,0)+3,0)</f>
        <v>0</v>
      </c>
      <c r="AN10" s="155">
        <f t="shared" ca="1" si="7"/>
        <v>0</v>
      </c>
      <c r="AO10" s="155">
        <f t="shared" si="8"/>
        <v>0</v>
      </c>
      <c r="AP10" s="155">
        <f t="shared" si="9"/>
        <v>0</v>
      </c>
      <c r="BE10" s="14"/>
      <c r="BF10" s="14"/>
      <c r="BG10" s="14"/>
    </row>
    <row r="11" spans="1:59" s="2" customFormat="1" ht="30" customHeight="1" thickTop="1" thickBot="1" x14ac:dyDescent="0.25">
      <c r="A11" s="1"/>
      <c r="B11"/>
      <c r="C11" s="172" t="str">
        <f>IF(Funcionários!C10=0,"",Funcionários!C10)</f>
        <v/>
      </c>
      <c r="D11"/>
      <c r="E11" s="115">
        <f>Lanç!E11</f>
        <v>4</v>
      </c>
      <c r="F11" s="189" t="str">
        <f>Lanç!F11</f>
        <v>Qua</v>
      </c>
      <c r="G11" s="80"/>
      <c r="H11" s="94"/>
      <c r="I11" s="94"/>
      <c r="J11" s="94"/>
      <c r="K11" s="94"/>
      <c r="L11" s="197"/>
      <c r="M11" s="95">
        <f t="shared" si="1"/>
        <v>0</v>
      </c>
      <c r="N11" s="196"/>
      <c r="O11" s="95">
        <f ca="1">IF(OR(G11=0,G11="Férias",G11="Falta Justificada",G11="Feriado",G11="Folga (DSR)"),0,IF(G11="Falta Injustificada",HLOOKUP($F11,Jornada!$X$7:$AD$37,VLOOKUP(INDIRECT($C$5),Jornada!$C$8:$W$37,21,0),0),IF(HLOOKUP($F11,Jornada!$X$7:$AD$37,VLOOKUP(INDIRECT($C$5),Jornada!$C$8:$W$37,21,0),0)-M11&gt;0,HLOOKUP($F11,Jornada!$X$7:$AD$37,VLOOKUP(INDIRECT($C$5),Jornada!$C$8:$W$37,21,0),0)-M11,0)))</f>
        <v>0</v>
      </c>
      <c r="P11" s="193">
        <f ca="1">IF(HLOOKUP($F11,Jornada!$X$7:$AD$37,VLOOKUP(INDIRECT($C$5),Jornada!$C$8:$W$37,21,0),0)-M11&lt;0,ABS(HLOOKUP($F11,Jornada!$X$7:$AD$37,VLOOKUP(INDIRECT($C$5),Jornada!$C$8:$W$37,21,0),0)-M11),0)</f>
        <v>0</v>
      </c>
      <c r="Q11" s="95">
        <f t="shared" si="0"/>
        <v>0</v>
      </c>
      <c r="R11" s="2">
        <f t="shared" si="2"/>
        <v>0</v>
      </c>
      <c r="S11" s="294"/>
      <c r="T11" s="294"/>
      <c r="U11" s="295"/>
      <c r="V11" s="2">
        <f ca="1">IF(AND(K5&gt;U12,M5="Horas devidas"),"Negativo",IF(AND(U12&gt;K5,U14&gt;F58),"Negativo",0))</f>
        <v>0</v>
      </c>
      <c r="W11" s="2" t="s">
        <v>94</v>
      </c>
      <c r="X11" s="156">
        <v>5</v>
      </c>
      <c r="Z11" s="2" t="str">
        <f ca="1">IF(AND(M5="horas extras",Z13="positivo"),"positivo",IF(AND(M5="horas devidas",Z13="Negativo"),"Negativo",IF(AND(Z13="positivo",M5="horas devidas",U12&gt;K5),"Positivo","Negativo")))</f>
        <v>Negativo</v>
      </c>
      <c r="AB11" s="177">
        <f t="shared" si="10"/>
        <v>4</v>
      </c>
      <c r="AC11" s="2">
        <f t="shared" si="3"/>
        <v>4</v>
      </c>
      <c r="AE11" s="2">
        <v>4</v>
      </c>
      <c r="AF11" s="2" t="s">
        <v>54</v>
      </c>
      <c r="AG11" s="220">
        <f t="shared" si="4"/>
        <v>0</v>
      </c>
      <c r="AH11" s="220">
        <f ca="1">IF(HLOOKUP($F11,Jornada!$X$7:$AD$37,VLOOKUP(INDIRECT($C$5),Jornada!$C$8:$W$37,21,0),0)=0,0,VLOOKUP(INDIRECT($C$5),Jornada!$C$8:$H$37,4,0))</f>
        <v>0</v>
      </c>
      <c r="AI11" s="155">
        <f ca="1">IF(AND(I11=0,J11=0,OR(H11&lt;&gt;0,K11&lt;&gt;0),HLOOKUP($F11,Jornada!$X$7:$AD$37,VLOOKUP(INDIRECT($C$5),Jornada!$C$8:$W$37,21,0),0)&gt;$AK$5,M11&gt;$AK$5),VLOOKUP(INDIRECT($C$5),Jornada!$C$8:$H$37,6,0),IF(AG11&gt;VLOOKUP(INDIRECT($C$5),Jornada!$C$8:$H$37,6,0),IF(VLOOKUP(INDIRECT($C$5),Jornada!$C$8:$H$37,6,0)&lt;AG11,0,ABS(VLOOKUP(INDIRECT($C$5),Jornada!$C$8:$H$37,6,0))-AG11),0))</f>
        <v>0</v>
      </c>
      <c r="AJ11" s="155">
        <f t="shared" si="5"/>
        <v>1</v>
      </c>
      <c r="AK11" s="155">
        <f t="shared" si="6"/>
        <v>0</v>
      </c>
      <c r="AL11" s="155">
        <f ca="1">HLOOKUP($F11,Jornada!$I$5:$V$37,VLOOKUP(INDIRECT($C$5),Jornada!$C$8:$W$37,21,0)+2,0)</f>
        <v>0</v>
      </c>
      <c r="AM11" s="155">
        <f ca="1">HLOOKUP($F11,Jornada!$I$4:$V$37,VLOOKUP(INDIRECT($C$5),Jornada!$C$8:$W$37,21,0)+3,0)</f>
        <v>0</v>
      </c>
      <c r="AN11" s="155">
        <f t="shared" ca="1" si="7"/>
        <v>0</v>
      </c>
      <c r="AO11" s="155">
        <f t="shared" si="8"/>
        <v>0</v>
      </c>
      <c r="AP11" s="155">
        <f t="shared" si="9"/>
        <v>0</v>
      </c>
      <c r="BE11" s="14"/>
      <c r="BF11" s="14"/>
      <c r="BG11" s="14"/>
    </row>
    <row r="12" spans="1:59" s="2" customFormat="1" ht="30" customHeight="1" thickTop="1" thickBot="1" x14ac:dyDescent="0.25">
      <c r="A12" s="1"/>
      <c r="B12"/>
      <c r="C12" s="172" t="str">
        <f>IF(Funcionários!C11=0,"",Funcionários!C11)</f>
        <v/>
      </c>
      <c r="D12"/>
      <c r="E12" s="115">
        <f>Lanç!E12</f>
        <v>5</v>
      </c>
      <c r="F12" s="189" t="str">
        <f>Lanç!F12</f>
        <v>Qui</v>
      </c>
      <c r="G12" s="80"/>
      <c r="H12" s="94"/>
      <c r="I12" s="94"/>
      <c r="J12" s="94"/>
      <c r="K12" s="94"/>
      <c r="L12" s="197"/>
      <c r="M12" s="95">
        <f t="shared" si="1"/>
        <v>0</v>
      </c>
      <c r="N12" s="196"/>
      <c r="O12" s="95">
        <f ca="1">IF(OR(G12=0,G12="Férias",G12="Falta Justificada",G12="Feriado",G12="Folga (DSR)"),0,IF(G12="Falta Injustificada",HLOOKUP($F12,Jornada!$X$7:$AD$37,VLOOKUP(INDIRECT($C$5),Jornada!$C$8:$W$37,21,0),0),IF(HLOOKUP($F12,Jornada!$X$7:$AD$37,VLOOKUP(INDIRECT($C$5),Jornada!$C$8:$W$37,21,0),0)-M12&gt;0,HLOOKUP($F12,Jornada!$X$7:$AD$37,VLOOKUP(INDIRECT($C$5),Jornada!$C$8:$W$37,21,0),0)-M12,0)))</f>
        <v>0</v>
      </c>
      <c r="P12" s="193">
        <f ca="1">IF(HLOOKUP($F12,Jornada!$X$7:$AD$37,VLOOKUP(INDIRECT($C$5),Jornada!$C$8:$W$37,21,0),0)-M12&lt;0,ABS(HLOOKUP($F12,Jornada!$X$7:$AD$37,VLOOKUP(INDIRECT($C$5),Jornada!$C$8:$W$37,21,0),0)-M12),0)</f>
        <v>0</v>
      </c>
      <c r="Q12" s="95">
        <f t="shared" si="0"/>
        <v>0</v>
      </c>
      <c r="R12" s="2">
        <f t="shared" si="2"/>
        <v>0</v>
      </c>
      <c r="S12" s="294" t="s">
        <v>175</v>
      </c>
      <c r="T12" s="294"/>
      <c r="U12" s="295">
        <f ca="1">IF(U14&gt;=F58,(U14)-F58,(F58-U14))</f>
        <v>0</v>
      </c>
      <c r="W12" s="2" t="s">
        <v>95</v>
      </c>
      <c r="X12" s="156">
        <v>6</v>
      </c>
      <c r="AB12" s="177">
        <f t="shared" si="10"/>
        <v>5</v>
      </c>
      <c r="AC12" s="2">
        <f t="shared" si="3"/>
        <v>5</v>
      </c>
      <c r="AE12" s="2">
        <v>5</v>
      </c>
      <c r="AF12" s="2" t="s">
        <v>55</v>
      </c>
      <c r="AG12" s="220">
        <f t="shared" si="4"/>
        <v>0</v>
      </c>
      <c r="AH12" s="220">
        <f ca="1">IF(HLOOKUP($F12,Jornada!$X$7:$AD$37,VLOOKUP(INDIRECT($C$5),Jornada!$C$8:$W$37,21,0),0)=0,0,VLOOKUP(INDIRECT($C$5),Jornada!$C$8:$H$37,4,0))</f>
        <v>0</v>
      </c>
      <c r="AI12" s="155">
        <f ca="1">IF(AND(I12=0,J12=0,OR(H12&lt;&gt;0,K12&lt;&gt;0),HLOOKUP($F12,Jornada!$X$7:$AD$37,VLOOKUP(INDIRECT($C$5),Jornada!$C$8:$W$37,21,0),0)&gt;$AK$5,M12&gt;$AK$5),VLOOKUP(INDIRECT($C$5),Jornada!$C$8:$H$37,6,0),IF(AG12&gt;VLOOKUP(INDIRECT($C$5),Jornada!$C$8:$H$37,6,0),IF(VLOOKUP(INDIRECT($C$5),Jornada!$C$8:$H$37,6,0)&lt;AG12,0,ABS(VLOOKUP(INDIRECT($C$5),Jornada!$C$8:$H$37,6,0))-AG12),0))</f>
        <v>0</v>
      </c>
      <c r="AJ12" s="155">
        <f t="shared" si="5"/>
        <v>1</v>
      </c>
      <c r="AK12" s="155">
        <f t="shared" si="6"/>
        <v>0</v>
      </c>
      <c r="AL12" s="155">
        <f ca="1">HLOOKUP($F12,Jornada!$I$5:$V$37,VLOOKUP(INDIRECT($C$5),Jornada!$C$8:$W$37,21,0)+2,0)</f>
        <v>0</v>
      </c>
      <c r="AM12" s="155">
        <f ca="1">HLOOKUP($F12,Jornada!$I$4:$V$37,VLOOKUP(INDIRECT($C$5),Jornada!$C$8:$W$37,21,0)+3,0)</f>
        <v>0</v>
      </c>
      <c r="AN12" s="155">
        <f t="shared" ca="1" si="7"/>
        <v>0</v>
      </c>
      <c r="AO12" s="155">
        <f t="shared" si="8"/>
        <v>0</v>
      </c>
      <c r="AP12" s="155">
        <f t="shared" si="9"/>
        <v>0</v>
      </c>
      <c r="BE12" s="14"/>
      <c r="BF12" s="14"/>
      <c r="BG12" s="14"/>
    </row>
    <row r="13" spans="1:59" s="2" customFormat="1" ht="30" customHeight="1" thickTop="1" thickBot="1" x14ac:dyDescent="0.25">
      <c r="A13" s="1"/>
      <c r="B13"/>
      <c r="C13" s="172" t="str">
        <f>IF(Funcionários!C12=0,"",Funcionários!C12)</f>
        <v/>
      </c>
      <c r="D13"/>
      <c r="E13" s="115">
        <f>Lanç!E13</f>
        <v>6</v>
      </c>
      <c r="F13" s="189" t="str">
        <f>Lanç!F13</f>
        <v>Sex</v>
      </c>
      <c r="G13" s="80"/>
      <c r="H13" s="94"/>
      <c r="I13" s="94"/>
      <c r="J13" s="94"/>
      <c r="K13" s="94"/>
      <c r="L13" s="197"/>
      <c r="M13" s="95">
        <f t="shared" si="1"/>
        <v>0</v>
      </c>
      <c r="N13" s="196"/>
      <c r="O13" s="95">
        <f ca="1">IF(OR(G13=0,G13="Férias",G13="Falta Justificada",G13="Feriado",G13="Folga (DSR)"),0,IF(G13="Falta Injustificada",HLOOKUP($F13,Jornada!$X$7:$AD$37,VLOOKUP(INDIRECT($C$5),Jornada!$C$8:$W$37,21,0),0),IF(HLOOKUP($F13,Jornada!$X$7:$AD$37,VLOOKUP(INDIRECT($C$5),Jornada!$C$8:$W$37,21,0),0)-M13&gt;0,HLOOKUP($F13,Jornada!$X$7:$AD$37,VLOOKUP(INDIRECT($C$5),Jornada!$C$8:$W$37,21,0),0)-M13,0)))</f>
        <v>0</v>
      </c>
      <c r="P13" s="193">
        <f ca="1">IF(HLOOKUP($F13,Jornada!$X$7:$AD$37,VLOOKUP(INDIRECT($C$5),Jornada!$C$8:$W$37,21,0),0)-M13&lt;0,ABS(HLOOKUP($F13,Jornada!$X$7:$AD$37,VLOOKUP(INDIRECT($C$5),Jornada!$C$8:$W$37,21,0),0)-M13),0)</f>
        <v>0</v>
      </c>
      <c r="Q13" s="95">
        <f t="shared" si="0"/>
        <v>0</v>
      </c>
      <c r="R13" s="2">
        <f t="shared" si="2"/>
        <v>0</v>
      </c>
      <c r="S13" s="294"/>
      <c r="T13" s="294"/>
      <c r="U13" s="295"/>
      <c r="W13" s="2" t="s">
        <v>96</v>
      </c>
      <c r="X13" s="156">
        <v>7</v>
      </c>
      <c r="Z13" s="2" t="str">
        <f ca="1">IF(U14&gt;F58,"Negativo","Positivo")</f>
        <v>Positivo</v>
      </c>
      <c r="AB13" s="177">
        <f t="shared" si="10"/>
        <v>6</v>
      </c>
      <c r="AC13" s="2">
        <f t="shared" si="3"/>
        <v>6</v>
      </c>
      <c r="AE13" s="2">
        <v>6</v>
      </c>
      <c r="AF13" s="2" t="s">
        <v>56</v>
      </c>
      <c r="AG13" s="220">
        <f t="shared" si="4"/>
        <v>0</v>
      </c>
      <c r="AH13" s="220">
        <f ca="1">IF(HLOOKUP($F13,Jornada!$X$7:$AD$37,VLOOKUP(INDIRECT($C$5),Jornada!$C$8:$W$37,21,0),0)=0,0,VLOOKUP(INDIRECT($C$5),Jornada!$C$8:$H$37,4,0))</f>
        <v>0</v>
      </c>
      <c r="AI13" s="155">
        <f ca="1">IF(AND(I13=0,J13=0,OR(H13&lt;&gt;0,K13&lt;&gt;0),HLOOKUP($F13,Jornada!$X$7:$AD$37,VLOOKUP(INDIRECT($C$5),Jornada!$C$8:$W$37,21,0),0)&gt;$AK$5,M13&gt;$AK$5),VLOOKUP(INDIRECT($C$5),Jornada!$C$8:$H$37,6,0),IF(AG13&gt;VLOOKUP(INDIRECT($C$5),Jornada!$C$8:$H$37,6,0),IF(VLOOKUP(INDIRECT($C$5),Jornada!$C$8:$H$37,6,0)&lt;AG13,0,ABS(VLOOKUP(INDIRECT($C$5),Jornada!$C$8:$H$37,6,0))-AG13),0))</f>
        <v>0</v>
      </c>
      <c r="AJ13" s="155">
        <f t="shared" si="5"/>
        <v>1</v>
      </c>
      <c r="AK13" s="155">
        <f t="shared" si="6"/>
        <v>0</v>
      </c>
      <c r="AL13" s="155">
        <f ca="1">HLOOKUP($F13,Jornada!$I$5:$V$37,VLOOKUP(INDIRECT($C$5),Jornada!$C$8:$W$37,21,0)+2,0)</f>
        <v>0</v>
      </c>
      <c r="AM13" s="155">
        <f ca="1">HLOOKUP($F13,Jornada!$I$4:$V$37,VLOOKUP(INDIRECT($C$5),Jornada!$C$8:$W$37,21,0)+3,0)</f>
        <v>0</v>
      </c>
      <c r="AN13" s="155">
        <f t="shared" ca="1" si="7"/>
        <v>0</v>
      </c>
      <c r="AO13" s="155">
        <f t="shared" si="8"/>
        <v>0</v>
      </c>
      <c r="AP13" s="155">
        <f t="shared" si="9"/>
        <v>0</v>
      </c>
      <c r="BE13" s="14"/>
      <c r="BF13" s="14"/>
      <c r="BG13" s="14"/>
    </row>
    <row r="14" spans="1:59" s="2" customFormat="1" ht="30" customHeight="1" thickTop="1" thickBot="1" x14ac:dyDescent="0.25">
      <c r="A14" s="1"/>
      <c r="B14"/>
      <c r="C14" s="171" t="str">
        <f>IF(Funcionários!C13=0,"",Funcionários!C13)</f>
        <v/>
      </c>
      <c r="D14"/>
      <c r="E14" s="115">
        <f>Lanç!E14</f>
        <v>7</v>
      </c>
      <c r="F14" s="189" t="str">
        <f>Lanç!F14</f>
        <v>Sáb</v>
      </c>
      <c r="G14" s="80"/>
      <c r="H14" s="94"/>
      <c r="I14" s="94"/>
      <c r="J14" s="94"/>
      <c r="K14" s="94"/>
      <c r="L14" s="197"/>
      <c r="M14" s="95">
        <f t="shared" si="1"/>
        <v>0</v>
      </c>
      <c r="N14" s="196"/>
      <c r="O14" s="95">
        <f ca="1">IF(OR(G14=0,G14="Férias",G14="Falta Justificada",G14="Feriado",G14="Folga (DSR)"),0,IF(G14="Falta Injustificada",HLOOKUP($F14,Jornada!$X$7:$AD$37,VLOOKUP(INDIRECT($C$5),Jornada!$C$8:$W$37,21,0),0),IF(HLOOKUP($F14,Jornada!$X$7:$AD$37,VLOOKUP(INDIRECT($C$5),Jornada!$C$8:$W$37,21,0),0)-M14&gt;0,HLOOKUP($F14,Jornada!$X$7:$AD$37,VLOOKUP(INDIRECT($C$5),Jornada!$C$8:$W$37,21,0),0)-M14,0)))</f>
        <v>0</v>
      </c>
      <c r="P14" s="193">
        <f ca="1">IF(HLOOKUP($F14,Jornada!$X$7:$AD$37,VLOOKUP(INDIRECT($C$5),Jornada!$C$8:$W$37,21,0),0)-M14&lt;0,ABS(HLOOKUP($F14,Jornada!$X$7:$AD$37,VLOOKUP(INDIRECT($C$5),Jornada!$C$8:$W$37,21,0),0)-M14),0)</f>
        <v>0</v>
      </c>
      <c r="Q14" s="95">
        <f t="shared" si="0"/>
        <v>0</v>
      </c>
      <c r="R14" s="2">
        <f t="shared" si="2"/>
        <v>0</v>
      </c>
      <c r="S14" s="294" t="s">
        <v>68</v>
      </c>
      <c r="T14" s="294"/>
      <c r="U14" s="295">
        <f ca="1">SUM(O8:O38)</f>
        <v>0</v>
      </c>
      <c r="W14" s="2" t="s">
        <v>97</v>
      </c>
      <c r="X14" s="156">
        <v>8</v>
      </c>
      <c r="AB14" s="177">
        <f t="shared" si="10"/>
        <v>7</v>
      </c>
      <c r="AC14" s="2">
        <f t="shared" si="3"/>
        <v>7</v>
      </c>
      <c r="AE14" s="2">
        <v>7</v>
      </c>
      <c r="AF14" s="2" t="s">
        <v>57</v>
      </c>
      <c r="AG14" s="220">
        <f t="shared" si="4"/>
        <v>0</v>
      </c>
      <c r="AH14" s="220">
        <f ca="1">IF(HLOOKUP($F14,Jornada!$X$7:$AD$37,VLOOKUP(INDIRECT($C$5),Jornada!$C$8:$W$37,21,0),0)=0,0,VLOOKUP(INDIRECT($C$5),Jornada!$C$8:$H$37,4,0))</f>
        <v>0</v>
      </c>
      <c r="AI14" s="155">
        <f ca="1">IF(AND(I14=0,J14=0,OR(H14&lt;&gt;0,K14&lt;&gt;0),HLOOKUP($F14,Jornada!$X$7:$AD$37,VLOOKUP(INDIRECT($C$5),Jornada!$C$8:$W$37,21,0),0)&gt;$AK$5,M14&gt;$AK$5),VLOOKUP(INDIRECT($C$5),Jornada!$C$8:$H$37,6,0),IF(AG14&gt;VLOOKUP(INDIRECT($C$5),Jornada!$C$8:$H$37,6,0),IF(VLOOKUP(INDIRECT($C$5),Jornada!$C$8:$H$37,6,0)&lt;AG14,0,ABS(VLOOKUP(INDIRECT($C$5),Jornada!$C$8:$H$37,6,0))-AG14),0))</f>
        <v>0</v>
      </c>
      <c r="AJ14" s="155">
        <f t="shared" si="5"/>
        <v>1</v>
      </c>
      <c r="AK14" s="155">
        <f t="shared" si="6"/>
        <v>0</v>
      </c>
      <c r="AL14" s="155">
        <f ca="1">HLOOKUP($F14,Jornada!$I$5:$V$37,VLOOKUP(INDIRECT($C$5),Jornada!$C$8:$W$37,21,0)+2,0)</f>
        <v>0</v>
      </c>
      <c r="AM14" s="155">
        <f ca="1">HLOOKUP($F14,Jornada!$I$4:$V$37,VLOOKUP(INDIRECT($C$5),Jornada!$C$8:$W$37,21,0)+3,0)</f>
        <v>0</v>
      </c>
      <c r="AN14" s="155">
        <f t="shared" ca="1" si="7"/>
        <v>0</v>
      </c>
      <c r="AO14" s="155">
        <f t="shared" si="8"/>
        <v>0</v>
      </c>
      <c r="AP14" s="155">
        <f t="shared" si="9"/>
        <v>0</v>
      </c>
      <c r="BE14" s="14"/>
      <c r="BF14" s="14"/>
      <c r="BG14" s="14"/>
    </row>
    <row r="15" spans="1:59" s="2" customFormat="1" ht="30" customHeight="1" thickTop="1" thickBot="1" x14ac:dyDescent="0.25">
      <c r="A15" s="1"/>
      <c r="B15"/>
      <c r="C15" s="172" t="str">
        <f>IF(Funcionários!C14=0,"",Funcionários!C14)</f>
        <v/>
      </c>
      <c r="D15"/>
      <c r="E15" s="115">
        <f>Lanç!E15</f>
        <v>8</v>
      </c>
      <c r="F15" s="189" t="str">
        <f>Lanç!F15</f>
        <v>Dom</v>
      </c>
      <c r="G15" s="80"/>
      <c r="H15" s="94"/>
      <c r="I15" s="94"/>
      <c r="J15" s="94"/>
      <c r="K15" s="94"/>
      <c r="L15" s="197"/>
      <c r="M15" s="95">
        <f t="shared" si="1"/>
        <v>0</v>
      </c>
      <c r="N15" s="196"/>
      <c r="O15" s="95">
        <f ca="1">IF(OR(G15=0,G15="Férias",G15="Falta Justificada",G15="Feriado",G15="Folga (DSR)"),0,IF(G15="Falta Injustificada",HLOOKUP($F15,Jornada!$X$7:$AD$37,VLOOKUP(INDIRECT($C$5),Jornada!$C$8:$W$37,21,0),0),IF(HLOOKUP($F15,Jornada!$X$7:$AD$37,VLOOKUP(INDIRECT($C$5),Jornada!$C$8:$W$37,21,0),0)-M15&gt;0,HLOOKUP($F15,Jornada!$X$7:$AD$37,VLOOKUP(INDIRECT($C$5),Jornada!$C$8:$W$37,21,0),0)-M15,0)))</f>
        <v>0</v>
      </c>
      <c r="P15" s="193">
        <f ca="1">IF(HLOOKUP($F15,Jornada!$X$7:$AD$37,VLOOKUP(INDIRECT($C$5),Jornada!$C$8:$W$37,21,0),0)-M15&lt;0,ABS(HLOOKUP($F15,Jornada!$X$7:$AD$37,VLOOKUP(INDIRECT($C$5),Jornada!$C$8:$W$37,21,0),0)-M15),0)</f>
        <v>0</v>
      </c>
      <c r="Q15" s="95">
        <f t="shared" si="0"/>
        <v>0</v>
      </c>
      <c r="R15" s="2">
        <f t="shared" si="2"/>
        <v>0</v>
      </c>
      <c r="S15" s="294"/>
      <c r="T15" s="294"/>
      <c r="U15" s="295"/>
      <c r="W15" s="2" t="s">
        <v>98</v>
      </c>
      <c r="X15" s="156">
        <v>9</v>
      </c>
      <c r="AB15" s="177">
        <f t="shared" si="10"/>
        <v>8</v>
      </c>
      <c r="AC15" s="2">
        <f t="shared" si="3"/>
        <v>1</v>
      </c>
      <c r="AG15" s="220">
        <f t="shared" si="4"/>
        <v>0</v>
      </c>
      <c r="AH15" s="220">
        <f ca="1">IF(HLOOKUP($F15,Jornada!$X$7:$AD$37,VLOOKUP(INDIRECT($C$5),Jornada!$C$8:$W$37,21,0),0)=0,0,VLOOKUP(INDIRECT($C$5),Jornada!$C$8:$H$37,4,0))</f>
        <v>0</v>
      </c>
      <c r="AI15" s="155">
        <f ca="1">IF(AND(I15=0,J15=0,OR(H15&lt;&gt;0,K15&lt;&gt;0),HLOOKUP($F15,Jornada!$X$7:$AD$37,VLOOKUP(INDIRECT($C$5),Jornada!$C$8:$W$37,21,0),0)&gt;$AK$5,M15&gt;$AK$5),VLOOKUP(INDIRECT($C$5),Jornada!$C$8:$H$37,6,0),IF(AG15&gt;VLOOKUP(INDIRECT($C$5),Jornada!$C$8:$H$37,6,0),IF(VLOOKUP(INDIRECT($C$5),Jornada!$C$8:$H$37,6,0)&lt;AG15,0,ABS(VLOOKUP(INDIRECT($C$5),Jornada!$C$8:$H$37,6,0))-AG15),0))</f>
        <v>0</v>
      </c>
      <c r="AJ15" s="155">
        <f t="shared" si="5"/>
        <v>1</v>
      </c>
      <c r="AK15" s="155">
        <f t="shared" si="6"/>
        <v>0</v>
      </c>
      <c r="AL15" s="155">
        <f ca="1">HLOOKUP($F15,Jornada!$I$5:$V$37,VLOOKUP(INDIRECT($C$5),Jornada!$C$8:$W$37,21,0)+2,0)</f>
        <v>0</v>
      </c>
      <c r="AM15" s="155">
        <f ca="1">HLOOKUP($F15,Jornada!$I$4:$V$37,VLOOKUP(INDIRECT($C$5),Jornada!$C$8:$W$37,21,0)+3,0)</f>
        <v>0</v>
      </c>
      <c r="AN15" s="155">
        <f t="shared" ca="1" si="7"/>
        <v>0</v>
      </c>
      <c r="AO15" s="155">
        <f t="shared" si="8"/>
        <v>0</v>
      </c>
      <c r="AP15" s="155">
        <f t="shared" si="9"/>
        <v>0</v>
      </c>
      <c r="BE15" s="14"/>
      <c r="BF15" s="14"/>
      <c r="BG15" s="14"/>
    </row>
    <row r="16" spans="1:59" s="2" customFormat="1" ht="30" customHeight="1" thickTop="1" thickBot="1" x14ac:dyDescent="0.25">
      <c r="A16" s="1"/>
      <c r="B16"/>
      <c r="C16" s="172" t="str">
        <f>IF(Funcionários!C15=0,"",Funcionários!C15)</f>
        <v/>
      </c>
      <c r="D16"/>
      <c r="E16" s="115">
        <f>Lanç!E16</f>
        <v>9</v>
      </c>
      <c r="F16" s="189" t="str">
        <f>Lanç!F16</f>
        <v>Seg</v>
      </c>
      <c r="G16" s="80"/>
      <c r="H16" s="94"/>
      <c r="I16" s="94"/>
      <c r="J16" s="94"/>
      <c r="K16" s="94"/>
      <c r="L16" s="197"/>
      <c r="M16" s="95">
        <f t="shared" si="1"/>
        <v>0</v>
      </c>
      <c r="N16" s="196"/>
      <c r="O16" s="95">
        <f ca="1">IF(OR(G16=0,G16="Férias",G16="Falta Justificada",G16="Feriado",G16="Folga (DSR)"),0,IF(G16="Falta Injustificada",HLOOKUP($F16,Jornada!$X$7:$AD$37,VLOOKUP(INDIRECT($C$5),Jornada!$C$8:$W$37,21,0),0),IF(HLOOKUP($F16,Jornada!$X$7:$AD$37,VLOOKUP(INDIRECT($C$5),Jornada!$C$8:$W$37,21,0),0)-M16&gt;0,HLOOKUP($F16,Jornada!$X$7:$AD$37,VLOOKUP(INDIRECT($C$5),Jornada!$C$8:$W$37,21,0),0)-M16,0)))</f>
        <v>0</v>
      </c>
      <c r="P16" s="193">
        <f ca="1">IF(HLOOKUP($F16,Jornada!$X$7:$AD$37,VLOOKUP(INDIRECT($C$5),Jornada!$C$8:$W$37,21,0),0)-M16&lt;0,ABS(HLOOKUP($F16,Jornada!$X$7:$AD$37,VLOOKUP(INDIRECT($C$5),Jornada!$C$8:$W$37,21,0),0)-M16),0)</f>
        <v>0</v>
      </c>
      <c r="Q16" s="95">
        <f t="shared" si="0"/>
        <v>0</v>
      </c>
      <c r="R16" s="2">
        <f t="shared" si="2"/>
        <v>0</v>
      </c>
      <c r="S16" s="294" t="s">
        <v>67</v>
      </c>
      <c r="T16" s="294"/>
      <c r="U16" s="295">
        <f>SUM(Q8:Q38)</f>
        <v>0</v>
      </c>
      <c r="W16" s="2" t="s">
        <v>99</v>
      </c>
      <c r="X16" s="156">
        <v>10</v>
      </c>
      <c r="AB16" s="177">
        <f t="shared" si="10"/>
        <v>9</v>
      </c>
      <c r="AC16" s="2">
        <f t="shared" si="3"/>
        <v>2</v>
      </c>
      <c r="AG16" s="220">
        <f t="shared" si="4"/>
        <v>0</v>
      </c>
      <c r="AH16" s="220">
        <f ca="1">IF(HLOOKUP($F16,Jornada!$X$7:$AD$37,VLOOKUP(INDIRECT($C$5),Jornada!$C$8:$W$37,21,0),0)=0,0,VLOOKUP(INDIRECT($C$5),Jornada!$C$8:$H$37,4,0))</f>
        <v>0</v>
      </c>
      <c r="AI16" s="155">
        <f ca="1">IF(AND(I16=0,J16=0,OR(H16&lt;&gt;0,K16&lt;&gt;0),HLOOKUP($F16,Jornada!$X$7:$AD$37,VLOOKUP(INDIRECT($C$5),Jornada!$C$8:$W$37,21,0),0)&gt;$AK$5,M16&gt;$AK$5),VLOOKUP(INDIRECT($C$5),Jornada!$C$8:$H$37,6,0),IF(AG16&gt;VLOOKUP(INDIRECT($C$5),Jornada!$C$8:$H$37,6,0),IF(VLOOKUP(INDIRECT($C$5),Jornada!$C$8:$H$37,6,0)&lt;AG16,0,ABS(VLOOKUP(INDIRECT($C$5),Jornada!$C$8:$H$37,6,0))-AG16),0))</f>
        <v>0</v>
      </c>
      <c r="AJ16" s="155">
        <f t="shared" si="5"/>
        <v>1</v>
      </c>
      <c r="AK16" s="155">
        <f t="shared" si="6"/>
        <v>0</v>
      </c>
      <c r="AL16" s="155">
        <f ca="1">HLOOKUP($F16,Jornada!$I$5:$V$37,VLOOKUP(INDIRECT($C$5),Jornada!$C$8:$W$37,21,0)+2,0)</f>
        <v>0</v>
      </c>
      <c r="AM16" s="155">
        <f ca="1">HLOOKUP($F16,Jornada!$I$4:$V$37,VLOOKUP(INDIRECT($C$5),Jornada!$C$8:$W$37,21,0)+3,0)</f>
        <v>0</v>
      </c>
      <c r="AN16" s="155">
        <f t="shared" ca="1" si="7"/>
        <v>0</v>
      </c>
      <c r="AO16" s="155">
        <f t="shared" si="8"/>
        <v>0</v>
      </c>
      <c r="AP16" s="155">
        <f t="shared" si="9"/>
        <v>0</v>
      </c>
      <c r="BE16" s="14"/>
      <c r="BF16" s="14"/>
      <c r="BG16" s="14"/>
    </row>
    <row r="17" spans="1:59" s="2" customFormat="1" ht="30" customHeight="1" thickTop="1" thickBot="1" x14ac:dyDescent="0.25">
      <c r="A17" s="1"/>
      <c r="B17"/>
      <c r="C17" s="172" t="str">
        <f>IF(Funcionários!C16=0,"",Funcionários!C16)</f>
        <v/>
      </c>
      <c r="D17"/>
      <c r="E17" s="115">
        <f>Lanç!E17</f>
        <v>10</v>
      </c>
      <c r="F17" s="189" t="str">
        <f>Lanç!F17</f>
        <v>Ter</v>
      </c>
      <c r="G17" s="80"/>
      <c r="H17" s="94"/>
      <c r="I17" s="94"/>
      <c r="J17" s="94"/>
      <c r="K17" s="94"/>
      <c r="L17" s="197"/>
      <c r="M17" s="95">
        <f t="shared" si="1"/>
        <v>0</v>
      </c>
      <c r="N17" s="196"/>
      <c r="O17" s="95">
        <f ca="1">IF(OR(G17=0,G17="Férias",G17="Falta Justificada",G17="Feriado",G17="Folga (DSR)"),0,IF(G17="Falta Injustificada",HLOOKUP($F17,Jornada!$X$7:$AD$37,VLOOKUP(INDIRECT($C$5),Jornada!$C$8:$W$37,21,0),0),IF(HLOOKUP($F17,Jornada!$X$7:$AD$37,VLOOKUP(INDIRECT($C$5),Jornada!$C$8:$W$37,21,0),0)-M17&gt;0,HLOOKUP($F17,Jornada!$X$7:$AD$37,VLOOKUP(INDIRECT($C$5),Jornada!$C$8:$W$37,21,0),0)-M17,0)))</f>
        <v>0</v>
      </c>
      <c r="P17" s="193">
        <f ca="1">IF(HLOOKUP($F17,Jornada!$X$7:$AD$37,VLOOKUP(INDIRECT($C$5),Jornada!$C$8:$W$37,21,0),0)-M17&lt;0,ABS(HLOOKUP($F17,Jornada!$X$7:$AD$37,VLOOKUP(INDIRECT($C$5),Jornada!$C$8:$W$37,21,0),0)-M17),0)</f>
        <v>0</v>
      </c>
      <c r="Q17" s="95">
        <f t="shared" si="0"/>
        <v>0</v>
      </c>
      <c r="R17" s="2">
        <f t="shared" si="2"/>
        <v>0</v>
      </c>
      <c r="S17" s="294"/>
      <c r="T17" s="294"/>
      <c r="U17" s="295"/>
      <c r="W17" s="2" t="s">
        <v>100</v>
      </c>
      <c r="X17" s="156">
        <v>11</v>
      </c>
      <c r="AB17" s="177">
        <f t="shared" si="10"/>
        <v>10</v>
      </c>
      <c r="AC17" s="2">
        <f t="shared" si="3"/>
        <v>3</v>
      </c>
      <c r="AG17" s="220">
        <f t="shared" si="4"/>
        <v>0</v>
      </c>
      <c r="AH17" s="220">
        <f ca="1">IF(HLOOKUP($F17,Jornada!$X$7:$AD$37,VLOOKUP(INDIRECT($C$5),Jornada!$C$8:$W$37,21,0),0)=0,0,VLOOKUP(INDIRECT($C$5),Jornada!$C$8:$H$37,4,0))</f>
        <v>0</v>
      </c>
      <c r="AI17" s="155">
        <f ca="1">IF(AND(I17=0,J17=0,OR(H17&lt;&gt;0,K17&lt;&gt;0),HLOOKUP($F17,Jornada!$X$7:$AD$37,VLOOKUP(INDIRECT($C$5),Jornada!$C$8:$W$37,21,0),0)&gt;$AK$5,M17&gt;$AK$5),VLOOKUP(INDIRECT($C$5),Jornada!$C$8:$H$37,6,0),IF(AG17&gt;VLOOKUP(INDIRECT($C$5),Jornada!$C$8:$H$37,6,0),IF(VLOOKUP(INDIRECT($C$5),Jornada!$C$8:$H$37,6,0)&lt;AG17,0,ABS(VLOOKUP(INDIRECT($C$5),Jornada!$C$8:$H$37,6,0))-AG17),0))</f>
        <v>0</v>
      </c>
      <c r="AJ17" s="155">
        <f t="shared" si="5"/>
        <v>1</v>
      </c>
      <c r="AK17" s="155">
        <f t="shared" si="6"/>
        <v>0</v>
      </c>
      <c r="AL17" s="155">
        <f ca="1">HLOOKUP($F17,Jornada!$I$5:$V$37,VLOOKUP(INDIRECT($C$5),Jornada!$C$8:$W$37,21,0)+2,0)</f>
        <v>0</v>
      </c>
      <c r="AM17" s="155">
        <f ca="1">HLOOKUP($F17,Jornada!$I$4:$V$37,VLOOKUP(INDIRECT($C$5),Jornada!$C$8:$W$37,21,0)+3,0)</f>
        <v>0</v>
      </c>
      <c r="AN17" s="155">
        <f t="shared" ca="1" si="7"/>
        <v>0</v>
      </c>
      <c r="AO17" s="155">
        <f t="shared" si="8"/>
        <v>0</v>
      </c>
      <c r="AP17" s="155">
        <f t="shared" si="9"/>
        <v>0</v>
      </c>
      <c r="BE17" s="14"/>
      <c r="BF17" s="14"/>
      <c r="BG17" s="14"/>
    </row>
    <row r="18" spans="1:59" s="2" customFormat="1" ht="30" customHeight="1" thickTop="1" thickBot="1" x14ac:dyDescent="0.25">
      <c r="A18" s="1"/>
      <c r="B18"/>
      <c r="C18" s="172" t="str">
        <f>IF(Funcionários!C17=0,"",Funcionários!C17)</f>
        <v/>
      </c>
      <c r="D18"/>
      <c r="E18" s="115">
        <f>Lanç!E18</f>
        <v>11</v>
      </c>
      <c r="F18" s="189" t="str">
        <f>Lanç!F18</f>
        <v>Qua</v>
      </c>
      <c r="G18" s="80"/>
      <c r="H18" s="94"/>
      <c r="I18" s="94"/>
      <c r="J18" s="94"/>
      <c r="K18" s="94"/>
      <c r="L18" s="197"/>
      <c r="M18" s="95">
        <f t="shared" si="1"/>
        <v>0</v>
      </c>
      <c r="N18" s="196"/>
      <c r="O18" s="95">
        <f ca="1">IF(OR(G18=0,G18="Férias",G18="Falta Justificada",G18="Feriado",G18="Folga (DSR)"),0,IF(G18="Falta Injustificada",HLOOKUP($F18,Jornada!$X$7:$AD$37,VLOOKUP(INDIRECT($C$5),Jornada!$C$8:$W$37,21,0),0),IF(HLOOKUP($F18,Jornada!$X$7:$AD$37,VLOOKUP(INDIRECT($C$5),Jornada!$C$8:$W$37,21,0),0)-M18&gt;0,HLOOKUP($F18,Jornada!$X$7:$AD$37,VLOOKUP(INDIRECT($C$5),Jornada!$C$8:$W$37,21,0),0)-M18,0)))</f>
        <v>0</v>
      </c>
      <c r="P18" s="193">
        <f ca="1">IF(HLOOKUP($F18,Jornada!$X$7:$AD$37,VLOOKUP(INDIRECT($C$5),Jornada!$C$8:$W$37,21,0),0)-M18&lt;0,ABS(HLOOKUP($F18,Jornada!$X$7:$AD$37,VLOOKUP(INDIRECT($C$5),Jornada!$C$8:$W$37,21,0),0)-M18),0)</f>
        <v>0</v>
      </c>
      <c r="Q18" s="95">
        <f t="shared" si="0"/>
        <v>0</v>
      </c>
      <c r="R18" s="2">
        <f t="shared" si="2"/>
        <v>0</v>
      </c>
      <c r="S18" s="294" t="s">
        <v>69</v>
      </c>
      <c r="T18" s="294"/>
      <c r="U18" s="299">
        <f ca="1">F54</f>
        <v>0</v>
      </c>
      <c r="W18" s="2" t="s">
        <v>101</v>
      </c>
      <c r="X18" s="156">
        <v>12</v>
      </c>
      <c r="AB18" s="177">
        <f t="shared" si="10"/>
        <v>11</v>
      </c>
      <c r="AC18" s="2">
        <f t="shared" si="3"/>
        <v>4</v>
      </c>
      <c r="AG18" s="220">
        <f t="shared" si="4"/>
        <v>0</v>
      </c>
      <c r="AH18" s="220">
        <f ca="1">IF(HLOOKUP($F18,Jornada!$X$7:$AD$37,VLOOKUP(INDIRECT($C$5),Jornada!$C$8:$W$37,21,0),0)=0,0,VLOOKUP(INDIRECT($C$5),Jornada!$C$8:$H$37,4,0))</f>
        <v>0</v>
      </c>
      <c r="AI18" s="155">
        <f ca="1">IF(AND(I18=0,J18=0,OR(H18&lt;&gt;0,K18&lt;&gt;0),HLOOKUP($F18,Jornada!$X$7:$AD$37,VLOOKUP(INDIRECT($C$5),Jornada!$C$8:$W$37,21,0),0)&gt;$AK$5,M18&gt;$AK$5),VLOOKUP(INDIRECT($C$5),Jornada!$C$8:$H$37,6,0),IF(AG18&gt;VLOOKUP(INDIRECT($C$5),Jornada!$C$8:$H$37,6,0),IF(VLOOKUP(INDIRECT($C$5),Jornada!$C$8:$H$37,6,0)&lt;AG18,0,ABS(VLOOKUP(INDIRECT($C$5),Jornada!$C$8:$H$37,6,0))-AG18),0))</f>
        <v>0</v>
      </c>
      <c r="AJ18" s="155">
        <f t="shared" si="5"/>
        <v>1</v>
      </c>
      <c r="AK18" s="155">
        <f t="shared" si="6"/>
        <v>0</v>
      </c>
      <c r="AL18" s="155">
        <f ca="1">HLOOKUP($F18,Jornada!$I$5:$V$37,VLOOKUP(INDIRECT($C$5),Jornada!$C$8:$W$37,21,0)+2,0)</f>
        <v>0</v>
      </c>
      <c r="AM18" s="155">
        <f ca="1">HLOOKUP($F18,Jornada!$I$4:$V$37,VLOOKUP(INDIRECT($C$5),Jornada!$C$8:$W$37,21,0)+3,0)</f>
        <v>0</v>
      </c>
      <c r="AN18" s="155">
        <f t="shared" ca="1" si="7"/>
        <v>0</v>
      </c>
      <c r="AO18" s="155">
        <f t="shared" si="8"/>
        <v>0</v>
      </c>
      <c r="AP18" s="155">
        <f t="shared" si="9"/>
        <v>0</v>
      </c>
      <c r="BE18" s="14"/>
      <c r="BF18" s="14"/>
      <c r="BG18" s="14"/>
    </row>
    <row r="19" spans="1:59" s="2" customFormat="1" ht="30" customHeight="1" thickTop="1" thickBot="1" x14ac:dyDescent="0.25">
      <c r="A19" s="1"/>
      <c r="B19"/>
      <c r="C19" s="172" t="str">
        <f>IF(Funcionários!C18=0,"",Funcionários!C18)</f>
        <v/>
      </c>
      <c r="D19"/>
      <c r="E19" s="115">
        <f>Lanç!E19</f>
        <v>12</v>
      </c>
      <c r="F19" s="189" t="str">
        <f>Lanç!F19</f>
        <v>Qui</v>
      </c>
      <c r="G19" s="80"/>
      <c r="H19" s="94"/>
      <c r="I19" s="94"/>
      <c r="J19" s="94"/>
      <c r="K19" s="94"/>
      <c r="L19" s="197"/>
      <c r="M19" s="95">
        <f t="shared" si="1"/>
        <v>0</v>
      </c>
      <c r="N19" s="196"/>
      <c r="O19" s="95">
        <f ca="1">IF(OR(G19=0,G19="Férias",G19="Falta Justificada",G19="Feriado",G19="Folga (DSR)"),0,IF(G19="Falta Injustificada",HLOOKUP($F19,Jornada!$X$7:$AD$37,VLOOKUP(INDIRECT($C$5),Jornada!$C$8:$W$37,21,0),0),IF(HLOOKUP($F19,Jornada!$X$7:$AD$37,VLOOKUP(INDIRECT($C$5),Jornada!$C$8:$W$37,21,0),0)-M19&gt;0,HLOOKUP($F19,Jornada!$X$7:$AD$37,VLOOKUP(INDIRECT($C$5),Jornada!$C$8:$W$37,21,0),0)-M19,0)))</f>
        <v>0</v>
      </c>
      <c r="P19" s="193">
        <f ca="1">IF(HLOOKUP($F19,Jornada!$X$7:$AD$37,VLOOKUP(INDIRECT($C$5),Jornada!$C$8:$W$37,21,0),0)-M19&lt;0,ABS(HLOOKUP($F19,Jornada!$X$7:$AD$37,VLOOKUP(INDIRECT($C$5),Jornada!$C$8:$W$37,21,0),0)-M19),0)</f>
        <v>0</v>
      </c>
      <c r="Q19" s="95">
        <f t="shared" si="0"/>
        <v>0</v>
      </c>
      <c r="R19" s="2">
        <f t="shared" si="2"/>
        <v>0</v>
      </c>
      <c r="S19" s="294"/>
      <c r="T19" s="294"/>
      <c r="U19" s="299"/>
      <c r="X19" s="177"/>
      <c r="AB19" s="177">
        <f t="shared" si="10"/>
        <v>12</v>
      </c>
      <c r="AC19" s="2">
        <f t="shared" si="3"/>
        <v>5</v>
      </c>
      <c r="AG19" s="220">
        <f t="shared" si="4"/>
        <v>0</v>
      </c>
      <c r="AH19" s="220">
        <f ca="1">IF(HLOOKUP($F19,Jornada!$X$7:$AD$37,VLOOKUP(INDIRECT($C$5),Jornada!$C$8:$W$37,21,0),0)=0,0,VLOOKUP(INDIRECT($C$5),Jornada!$C$8:$H$37,4,0))</f>
        <v>0</v>
      </c>
      <c r="AI19" s="155">
        <f ca="1">IF(AND(I19=0,J19=0,OR(H19&lt;&gt;0,K19&lt;&gt;0),HLOOKUP($F19,Jornada!$X$7:$AD$37,VLOOKUP(INDIRECT($C$5),Jornada!$C$8:$W$37,21,0),0)&gt;$AK$5,M19&gt;$AK$5),VLOOKUP(INDIRECT($C$5),Jornada!$C$8:$H$37,6,0),IF(AG19&gt;VLOOKUP(INDIRECT($C$5),Jornada!$C$8:$H$37,6,0),IF(VLOOKUP(INDIRECT($C$5),Jornada!$C$8:$H$37,6,0)&lt;AG19,0,ABS(VLOOKUP(INDIRECT($C$5),Jornada!$C$8:$H$37,6,0))-AG19),0))</f>
        <v>0</v>
      </c>
      <c r="AJ19" s="155">
        <f t="shared" si="5"/>
        <v>1</v>
      </c>
      <c r="AK19" s="155">
        <f t="shared" si="6"/>
        <v>0</v>
      </c>
      <c r="AL19" s="155">
        <f ca="1">HLOOKUP($F19,Jornada!$I$5:$V$37,VLOOKUP(INDIRECT($C$5),Jornada!$C$8:$W$37,21,0)+2,0)</f>
        <v>0</v>
      </c>
      <c r="AM19" s="155">
        <f ca="1">HLOOKUP($F19,Jornada!$I$4:$V$37,VLOOKUP(INDIRECT($C$5),Jornada!$C$8:$W$37,21,0)+3,0)</f>
        <v>0</v>
      </c>
      <c r="AN19" s="155">
        <f t="shared" ca="1" si="7"/>
        <v>0</v>
      </c>
      <c r="AO19" s="155">
        <f t="shared" si="8"/>
        <v>0</v>
      </c>
      <c r="AP19" s="155">
        <f t="shared" si="9"/>
        <v>0</v>
      </c>
      <c r="BE19" s="14"/>
      <c r="BF19" s="14"/>
      <c r="BG19" s="14"/>
    </row>
    <row r="20" spans="1:59" s="2" customFormat="1" ht="30" customHeight="1" thickTop="1" thickBot="1" x14ac:dyDescent="0.25">
      <c r="A20" s="1"/>
      <c r="B20"/>
      <c r="C20" s="172" t="str">
        <f>IF(Funcionários!C19=0,"",Funcionários!C19)</f>
        <v/>
      </c>
      <c r="D20"/>
      <c r="E20" s="115">
        <f>Lanç!E20</f>
        <v>13</v>
      </c>
      <c r="F20" s="189" t="str">
        <f>Lanç!F20</f>
        <v>Sex</v>
      </c>
      <c r="G20" s="80"/>
      <c r="H20" s="94"/>
      <c r="I20" s="94"/>
      <c r="J20" s="94"/>
      <c r="K20" s="94"/>
      <c r="L20" s="197"/>
      <c r="M20" s="95">
        <f t="shared" si="1"/>
        <v>0</v>
      </c>
      <c r="N20" s="196"/>
      <c r="O20" s="95">
        <f ca="1">IF(OR(G20=0,G20="Férias",G20="Falta Justificada",G20="Feriado",G20="Folga (DSR)"),0,IF(G20="Falta Injustificada",HLOOKUP($F20,Jornada!$X$7:$AD$37,VLOOKUP(INDIRECT($C$5),Jornada!$C$8:$W$37,21,0),0),IF(HLOOKUP($F20,Jornada!$X$7:$AD$37,VLOOKUP(INDIRECT($C$5),Jornada!$C$8:$W$37,21,0),0)-M20&gt;0,HLOOKUP($F20,Jornada!$X$7:$AD$37,VLOOKUP(INDIRECT($C$5),Jornada!$C$8:$W$37,21,0),0)-M20,0)))</f>
        <v>0</v>
      </c>
      <c r="P20" s="193">
        <f ca="1">IF(HLOOKUP($F20,Jornada!$X$7:$AD$37,VLOOKUP(INDIRECT($C$5),Jornada!$C$8:$W$37,21,0),0)-M20&lt;0,ABS(HLOOKUP($F20,Jornada!$X$7:$AD$37,VLOOKUP(INDIRECT($C$5),Jornada!$C$8:$W$37,21,0),0)-M20),0)</f>
        <v>0</v>
      </c>
      <c r="Q20" s="95">
        <f t="shared" si="0"/>
        <v>0</v>
      </c>
      <c r="R20" s="2">
        <f t="shared" si="2"/>
        <v>0</v>
      </c>
      <c r="S20"/>
      <c r="T20"/>
      <c r="U20"/>
      <c r="X20" s="177"/>
      <c r="AB20" s="177">
        <f t="shared" si="10"/>
        <v>13</v>
      </c>
      <c r="AC20" s="2">
        <f t="shared" si="3"/>
        <v>6</v>
      </c>
      <c r="AG20" s="220">
        <f t="shared" si="4"/>
        <v>0</v>
      </c>
      <c r="AH20" s="220">
        <f ca="1">IF(HLOOKUP($F20,Jornada!$X$7:$AD$37,VLOOKUP(INDIRECT($C$5),Jornada!$C$8:$W$37,21,0),0)=0,0,VLOOKUP(INDIRECT($C$5),Jornada!$C$8:$H$37,4,0))</f>
        <v>0</v>
      </c>
      <c r="AI20" s="155">
        <f ca="1">IF(AND(I20=0,J20=0,OR(H20&lt;&gt;0,K20&lt;&gt;0),HLOOKUP($F20,Jornada!$X$7:$AD$37,VLOOKUP(INDIRECT($C$5),Jornada!$C$8:$W$37,21,0),0)&gt;$AK$5,M20&gt;$AK$5),VLOOKUP(INDIRECT($C$5),Jornada!$C$8:$H$37,6,0),IF(AG20&gt;VLOOKUP(INDIRECT($C$5),Jornada!$C$8:$H$37,6,0),IF(VLOOKUP(INDIRECT($C$5),Jornada!$C$8:$H$37,6,0)&lt;AG20,0,ABS(VLOOKUP(INDIRECT($C$5),Jornada!$C$8:$H$37,6,0))-AG20),0))</f>
        <v>0</v>
      </c>
      <c r="AJ20" s="155">
        <f t="shared" si="5"/>
        <v>1</v>
      </c>
      <c r="AK20" s="155">
        <f t="shared" si="6"/>
        <v>0</v>
      </c>
      <c r="AL20" s="155">
        <f ca="1">HLOOKUP($F20,Jornada!$I$5:$V$37,VLOOKUP(INDIRECT($C$5),Jornada!$C$8:$W$37,21,0)+2,0)</f>
        <v>0</v>
      </c>
      <c r="AM20" s="155">
        <f ca="1">HLOOKUP($F20,Jornada!$I$4:$V$37,VLOOKUP(INDIRECT($C$5),Jornada!$C$8:$W$37,21,0)+3,0)</f>
        <v>0</v>
      </c>
      <c r="AN20" s="155">
        <f t="shared" ca="1" si="7"/>
        <v>0</v>
      </c>
      <c r="AO20" s="155">
        <f t="shared" si="8"/>
        <v>0</v>
      </c>
      <c r="AP20" s="155">
        <f t="shared" si="9"/>
        <v>0</v>
      </c>
      <c r="BE20" s="14"/>
      <c r="BF20" s="14"/>
      <c r="BG20" s="14"/>
    </row>
    <row r="21" spans="1:59" s="2" customFormat="1" ht="30" customHeight="1" thickTop="1" thickBot="1" x14ac:dyDescent="0.25">
      <c r="A21" s="1"/>
      <c r="B21"/>
      <c r="C21" s="172" t="str">
        <f>IF(Funcionários!C20=0,"",Funcionários!C20)</f>
        <v/>
      </c>
      <c r="D21"/>
      <c r="E21" s="115">
        <f>Lanç!E21</f>
        <v>14</v>
      </c>
      <c r="F21" s="189" t="str">
        <f>Lanç!F21</f>
        <v>Sáb</v>
      </c>
      <c r="G21" s="80"/>
      <c r="H21" s="94"/>
      <c r="I21" s="94"/>
      <c r="J21" s="94"/>
      <c r="K21" s="94"/>
      <c r="L21" s="197"/>
      <c r="M21" s="95">
        <f t="shared" si="1"/>
        <v>0</v>
      </c>
      <c r="N21" s="196"/>
      <c r="O21" s="95">
        <f ca="1">IF(OR(G21=0,G21="Férias",G21="Falta Justificada",G21="Feriado",G21="Folga (DSR)"),0,IF(G21="Falta Injustificada",HLOOKUP($F21,Jornada!$X$7:$AD$37,VLOOKUP(INDIRECT($C$5),Jornada!$C$8:$W$37,21,0),0),IF(HLOOKUP($F21,Jornada!$X$7:$AD$37,VLOOKUP(INDIRECT($C$5),Jornada!$C$8:$W$37,21,0),0)-M21&gt;0,HLOOKUP($F21,Jornada!$X$7:$AD$37,VLOOKUP(INDIRECT($C$5),Jornada!$C$8:$W$37,21,0),0)-M21,0)))</f>
        <v>0</v>
      </c>
      <c r="P21" s="193">
        <f ca="1">IF(HLOOKUP($F21,Jornada!$X$7:$AD$37,VLOOKUP(INDIRECT($C$5),Jornada!$C$8:$W$37,21,0),0)-M21&lt;0,ABS(HLOOKUP($F21,Jornada!$X$7:$AD$37,VLOOKUP(INDIRECT($C$5),Jornada!$C$8:$W$37,21,0),0)-M21),0)</f>
        <v>0</v>
      </c>
      <c r="Q21" s="95">
        <f t="shared" si="0"/>
        <v>0</v>
      </c>
      <c r="R21" s="2">
        <f t="shared" si="2"/>
        <v>0</v>
      </c>
      <c r="S21"/>
      <c r="T21"/>
      <c r="U21"/>
      <c r="X21" s="177"/>
      <c r="AB21" s="177">
        <f t="shared" si="10"/>
        <v>14</v>
      </c>
      <c r="AC21" s="2">
        <f t="shared" si="3"/>
        <v>7</v>
      </c>
      <c r="AG21" s="220">
        <f t="shared" si="4"/>
        <v>0</v>
      </c>
      <c r="AH21" s="220">
        <f ca="1">IF(HLOOKUP($F21,Jornada!$X$7:$AD$37,VLOOKUP(INDIRECT($C$5),Jornada!$C$8:$W$37,21,0),0)=0,0,VLOOKUP(INDIRECT($C$5),Jornada!$C$8:$H$37,4,0))</f>
        <v>0</v>
      </c>
      <c r="AI21" s="155">
        <f ca="1">IF(AND(I21=0,J21=0,OR(H21&lt;&gt;0,K21&lt;&gt;0),HLOOKUP($F21,Jornada!$X$7:$AD$37,VLOOKUP(INDIRECT($C$5),Jornada!$C$8:$W$37,21,0),0)&gt;$AK$5,M21&gt;$AK$5),VLOOKUP(INDIRECT($C$5),Jornada!$C$8:$H$37,6,0),IF(AG21&gt;VLOOKUP(INDIRECT($C$5),Jornada!$C$8:$H$37,6,0),IF(VLOOKUP(INDIRECT($C$5),Jornada!$C$8:$H$37,6,0)&lt;AG21,0,ABS(VLOOKUP(INDIRECT($C$5),Jornada!$C$8:$H$37,6,0))-AG21),0))</f>
        <v>0</v>
      </c>
      <c r="AJ21" s="155">
        <f t="shared" si="5"/>
        <v>1</v>
      </c>
      <c r="AK21" s="155">
        <f t="shared" si="6"/>
        <v>0</v>
      </c>
      <c r="AL21" s="155">
        <f ca="1">HLOOKUP($F21,Jornada!$I$5:$V$37,VLOOKUP(INDIRECT($C$5),Jornada!$C$8:$W$37,21,0)+2,0)</f>
        <v>0</v>
      </c>
      <c r="AM21" s="155">
        <f ca="1">HLOOKUP($F21,Jornada!$I$4:$V$37,VLOOKUP(INDIRECT($C$5),Jornada!$C$8:$W$37,21,0)+3,0)</f>
        <v>0</v>
      </c>
      <c r="AN21" s="155">
        <f t="shared" ca="1" si="7"/>
        <v>0</v>
      </c>
      <c r="AO21" s="155">
        <f t="shared" si="8"/>
        <v>0</v>
      </c>
      <c r="AP21" s="155">
        <f t="shared" si="9"/>
        <v>0</v>
      </c>
      <c r="BE21" s="14"/>
      <c r="BF21" s="14"/>
      <c r="BG21" s="14"/>
    </row>
    <row r="22" spans="1:59" s="2" customFormat="1" ht="30" customHeight="1" thickTop="1" thickBot="1" x14ac:dyDescent="0.25">
      <c r="A22" s="1"/>
      <c r="B22"/>
      <c r="C22" s="172" t="str">
        <f>IF(Funcionários!C21=0,"",Funcionários!C21)</f>
        <v/>
      </c>
      <c r="D22"/>
      <c r="E22" s="115">
        <f>Lanç!E22</f>
        <v>15</v>
      </c>
      <c r="F22" s="189" t="str">
        <f>Lanç!F22</f>
        <v>Dom</v>
      </c>
      <c r="G22" s="80"/>
      <c r="H22" s="94"/>
      <c r="I22" s="94"/>
      <c r="J22" s="94"/>
      <c r="K22" s="94"/>
      <c r="L22" s="197"/>
      <c r="M22" s="95">
        <f t="shared" si="1"/>
        <v>0</v>
      </c>
      <c r="N22" s="196"/>
      <c r="O22" s="95">
        <f ca="1">IF(OR(G22=0,G22="Férias",G22="Falta Justificada",G22="Feriado",G22="Folga (DSR)"),0,IF(G22="Falta Injustificada",HLOOKUP($F22,Jornada!$X$7:$AD$37,VLOOKUP(INDIRECT($C$5),Jornada!$C$8:$W$37,21,0),0),IF(HLOOKUP($F22,Jornada!$X$7:$AD$37,VLOOKUP(INDIRECT($C$5),Jornada!$C$8:$W$37,21,0),0)-M22&gt;0,HLOOKUP($F22,Jornada!$X$7:$AD$37,VLOOKUP(INDIRECT($C$5),Jornada!$C$8:$W$37,21,0),0)-M22,0)))</f>
        <v>0</v>
      </c>
      <c r="P22" s="193">
        <f ca="1">IF(HLOOKUP($F22,Jornada!$X$7:$AD$37,VLOOKUP(INDIRECT($C$5),Jornada!$C$8:$W$37,21,0),0)-M22&lt;0,ABS(HLOOKUP($F22,Jornada!$X$7:$AD$37,VLOOKUP(INDIRECT($C$5),Jornada!$C$8:$W$37,21,0),0)-M22),0)</f>
        <v>0</v>
      </c>
      <c r="Q22" s="95">
        <f t="shared" si="0"/>
        <v>0</v>
      </c>
      <c r="R22" s="2">
        <f t="shared" si="2"/>
        <v>0</v>
      </c>
      <c r="S22" s="300" t="s">
        <v>63</v>
      </c>
      <c r="T22" s="301"/>
      <c r="U22" s="302"/>
      <c r="X22" s="177"/>
      <c r="AB22" s="177">
        <f t="shared" si="10"/>
        <v>15</v>
      </c>
      <c r="AC22" s="2">
        <f t="shared" si="3"/>
        <v>1</v>
      </c>
      <c r="AG22" s="220">
        <f t="shared" si="4"/>
        <v>0</v>
      </c>
      <c r="AH22" s="220">
        <f ca="1">IF(HLOOKUP($F22,Jornada!$X$7:$AD$37,VLOOKUP(INDIRECT($C$5),Jornada!$C$8:$W$37,21,0),0)=0,0,VLOOKUP(INDIRECT($C$5),Jornada!$C$8:$H$37,4,0))</f>
        <v>0</v>
      </c>
      <c r="AI22" s="155">
        <f ca="1">IF(AND(I22=0,J22=0,OR(H22&lt;&gt;0,K22&lt;&gt;0),HLOOKUP($F22,Jornada!$X$7:$AD$37,VLOOKUP(INDIRECT($C$5),Jornada!$C$8:$W$37,21,0),0)&gt;$AK$5,M22&gt;$AK$5),VLOOKUP(INDIRECT($C$5),Jornada!$C$8:$H$37,6,0),IF(AG22&gt;VLOOKUP(INDIRECT($C$5),Jornada!$C$8:$H$37,6,0),IF(VLOOKUP(INDIRECT($C$5),Jornada!$C$8:$H$37,6,0)&lt;AG22,0,ABS(VLOOKUP(INDIRECT($C$5),Jornada!$C$8:$H$37,6,0))-AG22),0))</f>
        <v>0</v>
      </c>
      <c r="AJ22" s="155">
        <f t="shared" si="5"/>
        <v>1</v>
      </c>
      <c r="AK22" s="155">
        <f t="shared" si="6"/>
        <v>0</v>
      </c>
      <c r="AL22" s="155">
        <f ca="1">HLOOKUP($F22,Jornada!$I$5:$V$37,VLOOKUP(INDIRECT($C$5),Jornada!$C$8:$W$37,21,0)+2,0)</f>
        <v>0</v>
      </c>
      <c r="AM22" s="155">
        <f ca="1">HLOOKUP($F22,Jornada!$I$4:$V$37,VLOOKUP(INDIRECT($C$5),Jornada!$C$8:$W$37,21,0)+3,0)</f>
        <v>0</v>
      </c>
      <c r="AN22" s="155">
        <f t="shared" ca="1" si="7"/>
        <v>0</v>
      </c>
      <c r="AO22" s="155">
        <f t="shared" si="8"/>
        <v>0</v>
      </c>
      <c r="AP22" s="155">
        <f t="shared" si="9"/>
        <v>0</v>
      </c>
      <c r="BE22" s="14"/>
      <c r="BF22" s="14"/>
      <c r="BG22" s="14"/>
    </row>
    <row r="23" spans="1:59" s="2" customFormat="1" ht="30" customHeight="1" thickTop="1" thickBot="1" x14ac:dyDescent="0.25">
      <c r="A23" s="1"/>
      <c r="B23"/>
      <c r="C23" s="172" t="str">
        <f>IF(Funcionários!C22=0,"",Funcionários!C22)</f>
        <v/>
      </c>
      <c r="D23"/>
      <c r="E23" s="115">
        <f>Lanç!E23</f>
        <v>16</v>
      </c>
      <c r="F23" s="189" t="str">
        <f>Lanç!F23</f>
        <v>Seg</v>
      </c>
      <c r="G23" s="80"/>
      <c r="H23" s="94"/>
      <c r="I23" s="94"/>
      <c r="J23" s="94"/>
      <c r="K23" s="94"/>
      <c r="L23" s="197"/>
      <c r="M23" s="95">
        <f t="shared" si="1"/>
        <v>0</v>
      </c>
      <c r="N23" s="196"/>
      <c r="O23" s="95">
        <f ca="1">IF(OR(G23=0,G23="Férias",G23="Falta Justificada",G23="Feriado",G23="Folga (DSR)"),0,IF(G23="Falta Injustificada",HLOOKUP($F23,Jornada!$X$7:$AD$37,VLOOKUP(INDIRECT($C$5),Jornada!$C$8:$W$37,21,0),0),IF(HLOOKUP($F23,Jornada!$X$7:$AD$37,VLOOKUP(INDIRECT($C$5),Jornada!$C$8:$W$37,21,0),0)-M23&gt;0,HLOOKUP($F23,Jornada!$X$7:$AD$37,VLOOKUP(INDIRECT($C$5),Jornada!$C$8:$W$37,21,0),0)-M23,0)))</f>
        <v>0</v>
      </c>
      <c r="P23" s="193">
        <f ca="1">IF(HLOOKUP($F23,Jornada!$X$7:$AD$37,VLOOKUP(INDIRECT($C$5),Jornada!$C$8:$W$37,21,0),0)-M23&lt;0,ABS(HLOOKUP($F23,Jornada!$X$7:$AD$37,VLOOKUP(INDIRECT($C$5),Jornada!$C$8:$W$37,21,0),0)-M23),0)</f>
        <v>0</v>
      </c>
      <c r="Q23" s="95">
        <f t="shared" si="0"/>
        <v>0</v>
      </c>
      <c r="R23" s="2">
        <f t="shared" si="2"/>
        <v>0</v>
      </c>
      <c r="S23" s="296" t="str">
        <f>IF(SUM(R8:R38)&gt;0,"Segundo o art 59 da CLT, o máximo de horas extras permitidas por dia são 2 horas.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T23" s="297"/>
      <c r="U23" s="298"/>
      <c r="X23" s="177"/>
      <c r="AB23" s="177">
        <f t="shared" si="10"/>
        <v>16</v>
      </c>
      <c r="AC23" s="2">
        <f t="shared" si="3"/>
        <v>2</v>
      </c>
      <c r="AG23" s="220">
        <f t="shared" si="4"/>
        <v>0</v>
      </c>
      <c r="AH23" s="220">
        <f ca="1">IF(HLOOKUP($F23,Jornada!$X$7:$AD$37,VLOOKUP(INDIRECT($C$5),Jornada!$C$8:$W$37,21,0),0)=0,0,VLOOKUP(INDIRECT($C$5),Jornada!$C$8:$H$37,4,0))</f>
        <v>0</v>
      </c>
      <c r="AI23" s="155">
        <f ca="1">IF(AND(I23=0,J23=0,OR(H23&lt;&gt;0,K23&lt;&gt;0),HLOOKUP($F23,Jornada!$X$7:$AD$37,VLOOKUP(INDIRECT($C$5),Jornada!$C$8:$W$37,21,0),0)&gt;$AK$5,M23&gt;$AK$5),VLOOKUP(INDIRECT($C$5),Jornada!$C$8:$H$37,6,0),IF(AG23&gt;VLOOKUP(INDIRECT($C$5),Jornada!$C$8:$H$37,6,0),IF(VLOOKUP(INDIRECT($C$5),Jornada!$C$8:$H$37,6,0)&lt;AG23,0,ABS(VLOOKUP(INDIRECT($C$5),Jornada!$C$8:$H$37,6,0))-AG23),0))</f>
        <v>0</v>
      </c>
      <c r="AJ23" s="155">
        <f t="shared" si="5"/>
        <v>1</v>
      </c>
      <c r="AK23" s="155">
        <f t="shared" si="6"/>
        <v>0</v>
      </c>
      <c r="AL23" s="155">
        <f ca="1">HLOOKUP($F23,Jornada!$I$5:$V$37,VLOOKUP(INDIRECT($C$5),Jornada!$C$8:$W$37,21,0)+2,0)</f>
        <v>0</v>
      </c>
      <c r="AM23" s="155">
        <f ca="1">HLOOKUP($F23,Jornada!$I$4:$V$37,VLOOKUP(INDIRECT($C$5),Jornada!$C$8:$W$37,21,0)+3,0)</f>
        <v>0</v>
      </c>
      <c r="AN23" s="155">
        <f t="shared" ca="1" si="7"/>
        <v>0</v>
      </c>
      <c r="AO23" s="155">
        <f t="shared" si="8"/>
        <v>0</v>
      </c>
      <c r="AP23" s="155">
        <f t="shared" si="9"/>
        <v>0</v>
      </c>
      <c r="BE23" s="14"/>
      <c r="BF23" s="14"/>
      <c r="BG23" s="14"/>
    </row>
    <row r="24" spans="1:59" s="2" customFormat="1" ht="30" customHeight="1" thickTop="1" thickBot="1" x14ac:dyDescent="0.25">
      <c r="A24" s="1"/>
      <c r="B24"/>
      <c r="C24" s="172" t="str">
        <f>IF(Funcionários!C23=0,"",Funcionários!C23)</f>
        <v/>
      </c>
      <c r="D24"/>
      <c r="E24" s="115">
        <f>Lanç!E24</f>
        <v>17</v>
      </c>
      <c r="F24" s="189" t="str">
        <f>Lanç!F24</f>
        <v>Ter</v>
      </c>
      <c r="G24" s="80"/>
      <c r="H24" s="94"/>
      <c r="I24" s="94"/>
      <c r="J24" s="94"/>
      <c r="K24" s="94"/>
      <c r="L24" s="197"/>
      <c r="M24" s="95">
        <f t="shared" si="1"/>
        <v>0</v>
      </c>
      <c r="N24" s="196"/>
      <c r="O24" s="95">
        <f ca="1">IF(OR(G24=0,G24="Férias",G24="Falta Justificada",G24="Feriado",G24="Folga (DSR)"),0,IF(G24="Falta Injustificada",HLOOKUP($F24,Jornada!$X$7:$AD$37,VLOOKUP(INDIRECT($C$5),Jornada!$C$8:$W$37,21,0),0),IF(HLOOKUP($F24,Jornada!$X$7:$AD$37,VLOOKUP(INDIRECT($C$5),Jornada!$C$8:$W$37,21,0),0)-M24&gt;0,HLOOKUP($F24,Jornada!$X$7:$AD$37,VLOOKUP(INDIRECT($C$5),Jornada!$C$8:$W$37,21,0),0)-M24,0)))</f>
        <v>0</v>
      </c>
      <c r="P24" s="193">
        <f ca="1">IF(HLOOKUP($F24,Jornada!$X$7:$AD$37,VLOOKUP(INDIRECT($C$5),Jornada!$C$8:$W$37,21,0),0)-M24&lt;0,ABS(HLOOKUP($F24,Jornada!$X$7:$AD$37,VLOOKUP(INDIRECT($C$5),Jornada!$C$8:$W$37,21,0),0)-M24),0)</f>
        <v>0</v>
      </c>
      <c r="Q24" s="95">
        <f t="shared" si="0"/>
        <v>0</v>
      </c>
      <c r="R24" s="2">
        <f t="shared" si="2"/>
        <v>0</v>
      </c>
      <c r="S24" s="296"/>
      <c r="T24" s="297"/>
      <c r="U24" s="298"/>
      <c r="X24" s="177"/>
      <c r="AB24" s="177">
        <f t="shared" si="10"/>
        <v>17</v>
      </c>
      <c r="AC24" s="2">
        <f t="shared" si="3"/>
        <v>3</v>
      </c>
      <c r="AG24" s="220">
        <f t="shared" si="4"/>
        <v>0</v>
      </c>
      <c r="AH24" s="220">
        <f ca="1">IF(HLOOKUP($F24,Jornada!$X$7:$AD$37,VLOOKUP(INDIRECT($C$5),Jornada!$C$8:$W$37,21,0),0)=0,0,VLOOKUP(INDIRECT($C$5),Jornada!$C$8:$H$37,4,0))</f>
        <v>0</v>
      </c>
      <c r="AI24" s="155">
        <f ca="1">IF(AND(I24=0,J24=0,OR(H24&lt;&gt;0,K24&lt;&gt;0),HLOOKUP($F24,Jornada!$X$7:$AD$37,VLOOKUP(INDIRECT($C$5),Jornada!$C$8:$W$37,21,0),0)&gt;$AK$5,M24&gt;$AK$5),VLOOKUP(INDIRECT($C$5),Jornada!$C$8:$H$37,6,0),IF(AG24&gt;VLOOKUP(INDIRECT($C$5),Jornada!$C$8:$H$37,6,0),IF(VLOOKUP(INDIRECT($C$5),Jornada!$C$8:$H$37,6,0)&lt;AG24,0,ABS(VLOOKUP(INDIRECT($C$5),Jornada!$C$8:$H$37,6,0))-AG24),0))</f>
        <v>0</v>
      </c>
      <c r="AJ24" s="155">
        <f t="shared" si="5"/>
        <v>1</v>
      </c>
      <c r="AK24" s="155">
        <f t="shared" si="6"/>
        <v>0</v>
      </c>
      <c r="AL24" s="155">
        <f ca="1">HLOOKUP($F24,Jornada!$I$5:$V$37,VLOOKUP(INDIRECT($C$5),Jornada!$C$8:$W$37,21,0)+2,0)</f>
        <v>0</v>
      </c>
      <c r="AM24" s="155">
        <f ca="1">HLOOKUP($F24,Jornada!$I$4:$V$37,VLOOKUP(INDIRECT($C$5),Jornada!$C$8:$W$37,21,0)+3,0)</f>
        <v>0</v>
      </c>
      <c r="AN24" s="155">
        <f t="shared" ca="1" si="7"/>
        <v>0</v>
      </c>
      <c r="AO24" s="155">
        <f t="shared" si="8"/>
        <v>0</v>
      </c>
      <c r="AP24" s="155">
        <f t="shared" si="9"/>
        <v>0</v>
      </c>
      <c r="BE24" s="14"/>
      <c r="BF24" s="14"/>
      <c r="BG24" s="14"/>
    </row>
    <row r="25" spans="1:59" s="2" customFormat="1" ht="30" customHeight="1" thickTop="1" thickBot="1" x14ac:dyDescent="0.25">
      <c r="A25" s="1"/>
      <c r="B25"/>
      <c r="C25" s="172" t="str">
        <f>IF(Funcionários!C24=0,"",Funcionários!C24)</f>
        <v/>
      </c>
      <c r="D25"/>
      <c r="E25" s="115">
        <f>Lanç!E25</f>
        <v>18</v>
      </c>
      <c r="F25" s="189" t="str">
        <f>Lanç!F25</f>
        <v>Qua</v>
      </c>
      <c r="G25" s="80"/>
      <c r="H25" s="94"/>
      <c r="I25" s="94"/>
      <c r="J25" s="94"/>
      <c r="K25" s="94"/>
      <c r="L25" s="197"/>
      <c r="M25" s="95">
        <f t="shared" si="1"/>
        <v>0</v>
      </c>
      <c r="N25" s="196"/>
      <c r="O25" s="95">
        <f ca="1">IF(OR(G25=0,G25="Férias",G25="Falta Justificada",G25="Feriado",G25="Folga (DSR)"),0,IF(G25="Falta Injustificada",HLOOKUP($F25,Jornada!$X$7:$AD$37,VLOOKUP(INDIRECT($C$5),Jornada!$C$8:$W$37,21,0),0),IF(HLOOKUP($F25,Jornada!$X$7:$AD$37,VLOOKUP(INDIRECT($C$5),Jornada!$C$8:$W$37,21,0),0)-M25&gt;0,HLOOKUP($F25,Jornada!$X$7:$AD$37,VLOOKUP(INDIRECT($C$5),Jornada!$C$8:$W$37,21,0),0)-M25,0)))</f>
        <v>0</v>
      </c>
      <c r="P25" s="193">
        <f ca="1">IF(HLOOKUP($F25,Jornada!$X$7:$AD$37,VLOOKUP(INDIRECT($C$5),Jornada!$C$8:$W$37,21,0),0)-M25&lt;0,ABS(HLOOKUP($F25,Jornada!$X$7:$AD$37,VLOOKUP(INDIRECT($C$5),Jornada!$C$8:$W$37,21,0),0)-M25),0)</f>
        <v>0</v>
      </c>
      <c r="Q25" s="95">
        <f t="shared" si="0"/>
        <v>0</v>
      </c>
      <c r="R25" s="2">
        <f t="shared" si="2"/>
        <v>0</v>
      </c>
      <c r="S25" s="296"/>
      <c r="T25" s="297"/>
      <c r="U25" s="298"/>
      <c r="X25" s="177"/>
      <c r="Z25" s="2">
        <f>IF(SUM(R8:R38)&gt;0,1,0)</f>
        <v>0</v>
      </c>
      <c r="AB25" s="177">
        <f t="shared" si="10"/>
        <v>18</v>
      </c>
      <c r="AC25" s="2">
        <f t="shared" si="3"/>
        <v>4</v>
      </c>
      <c r="AG25" s="220">
        <f t="shared" si="4"/>
        <v>0</v>
      </c>
      <c r="AH25" s="220">
        <f ca="1">IF(HLOOKUP($F25,Jornada!$X$7:$AD$37,VLOOKUP(INDIRECT($C$5),Jornada!$C$8:$W$37,21,0),0)=0,0,VLOOKUP(INDIRECT($C$5),Jornada!$C$8:$H$37,4,0))</f>
        <v>0</v>
      </c>
      <c r="AI25" s="155">
        <f ca="1">IF(AND(I25=0,J25=0,OR(H25&lt;&gt;0,K25&lt;&gt;0),HLOOKUP($F25,Jornada!$X$7:$AD$37,VLOOKUP(INDIRECT($C$5),Jornada!$C$8:$W$37,21,0),0)&gt;$AK$5,M25&gt;$AK$5),VLOOKUP(INDIRECT($C$5),Jornada!$C$8:$H$37,6,0),IF(AG25&gt;VLOOKUP(INDIRECT($C$5),Jornada!$C$8:$H$37,6,0),IF(VLOOKUP(INDIRECT($C$5),Jornada!$C$8:$H$37,6,0)&lt;AG25,0,ABS(VLOOKUP(INDIRECT($C$5),Jornada!$C$8:$H$37,6,0))-AG25),0))</f>
        <v>0</v>
      </c>
      <c r="AJ25" s="155">
        <f t="shared" si="5"/>
        <v>1</v>
      </c>
      <c r="AK25" s="155">
        <f t="shared" si="6"/>
        <v>0</v>
      </c>
      <c r="AL25" s="155">
        <f ca="1">HLOOKUP($F25,Jornada!$I$5:$V$37,VLOOKUP(INDIRECT($C$5),Jornada!$C$8:$W$37,21,0)+2,0)</f>
        <v>0</v>
      </c>
      <c r="AM25" s="155">
        <f ca="1">HLOOKUP($F25,Jornada!$I$4:$V$37,VLOOKUP(INDIRECT($C$5),Jornada!$C$8:$W$37,21,0)+3,0)</f>
        <v>0</v>
      </c>
      <c r="AN25" s="155">
        <f t="shared" ca="1" si="7"/>
        <v>0</v>
      </c>
      <c r="AO25" s="155">
        <f t="shared" si="8"/>
        <v>0</v>
      </c>
      <c r="AP25" s="155">
        <f t="shared" si="9"/>
        <v>0</v>
      </c>
      <c r="BE25" s="14"/>
      <c r="BF25" s="14"/>
      <c r="BG25" s="14"/>
    </row>
    <row r="26" spans="1:59" s="2" customFormat="1" ht="30" customHeight="1" thickTop="1" thickBot="1" x14ac:dyDescent="0.25">
      <c r="A26" s="1"/>
      <c r="B26"/>
      <c r="C26" s="172" t="str">
        <f>IF(Funcionários!C25=0,"",Funcionários!C25)</f>
        <v/>
      </c>
      <c r="D26"/>
      <c r="E26" s="115">
        <f>Lanç!E26</f>
        <v>19</v>
      </c>
      <c r="F26" s="189" t="str">
        <f>Lanç!F26</f>
        <v>Qui</v>
      </c>
      <c r="G26" s="80"/>
      <c r="H26" s="94"/>
      <c r="I26" s="94"/>
      <c r="J26" s="94"/>
      <c r="K26" s="94"/>
      <c r="L26" s="197"/>
      <c r="M26" s="95">
        <f t="shared" si="1"/>
        <v>0</v>
      </c>
      <c r="N26" s="196"/>
      <c r="O26" s="95">
        <f ca="1">IF(OR(G26=0,G26="Férias",G26="Falta Justificada",G26="Feriado",G26="Folga (DSR)"),0,IF(G26="Falta Injustificada",HLOOKUP($F26,Jornada!$X$7:$AD$37,VLOOKUP(INDIRECT($C$5),Jornada!$C$8:$W$37,21,0),0),IF(HLOOKUP($F26,Jornada!$X$7:$AD$37,VLOOKUP(INDIRECT($C$5),Jornada!$C$8:$W$37,21,0),0)-M26&gt;0,HLOOKUP($F26,Jornada!$X$7:$AD$37,VLOOKUP(INDIRECT($C$5),Jornada!$C$8:$W$37,21,0),0)-M26,0)))</f>
        <v>0</v>
      </c>
      <c r="P26" s="193">
        <f ca="1">IF(HLOOKUP($F26,Jornada!$X$7:$AD$37,VLOOKUP(INDIRECT($C$5),Jornada!$C$8:$W$37,21,0),0)-M26&lt;0,ABS(HLOOKUP($F26,Jornada!$X$7:$AD$37,VLOOKUP(INDIRECT($C$5),Jornada!$C$8:$W$37,21,0),0)-M26),0)</f>
        <v>0</v>
      </c>
      <c r="Q26" s="95">
        <f t="shared" si="0"/>
        <v>0</v>
      </c>
      <c r="R26" s="2">
        <f t="shared" si="2"/>
        <v>0</v>
      </c>
      <c r="S26" s="296" t="str">
        <f>IF(COUNTIF(G8:G38,"Folga (DSR)")&lt;DAY(E39)/8,"O mês não está contemplando um DSR (Descanso Semanal Remunerado) por semana. Isso pode configurar uma irregularidade segundo as leis trabalhistas.","Parabéns!! Sua folha de pagamento contempla uma DSR por semana conforme a lei trabalhista.")</f>
        <v>O mês não está contemplando um DSR (Descanso Semanal Remunerado) por semana. Isso pode configurar uma irregularidade segundo as leis trabalhistas.</v>
      </c>
      <c r="T26" s="297"/>
      <c r="U26" s="298"/>
      <c r="X26" s="177"/>
      <c r="AB26" s="177">
        <f t="shared" si="10"/>
        <v>19</v>
      </c>
      <c r="AC26" s="2">
        <f t="shared" si="3"/>
        <v>5</v>
      </c>
      <c r="AG26" s="220">
        <f t="shared" si="4"/>
        <v>0</v>
      </c>
      <c r="AH26" s="220">
        <f ca="1">IF(HLOOKUP($F26,Jornada!$X$7:$AD$37,VLOOKUP(INDIRECT($C$5),Jornada!$C$8:$W$37,21,0),0)=0,0,VLOOKUP(INDIRECT($C$5),Jornada!$C$8:$H$37,4,0))</f>
        <v>0</v>
      </c>
      <c r="AI26" s="155">
        <f ca="1">IF(AND(I26=0,J26=0,OR(H26&lt;&gt;0,K26&lt;&gt;0),HLOOKUP($F26,Jornada!$X$7:$AD$37,VLOOKUP(INDIRECT($C$5),Jornada!$C$8:$W$37,21,0),0)&gt;$AK$5,M26&gt;$AK$5),VLOOKUP(INDIRECT($C$5),Jornada!$C$8:$H$37,6,0),IF(AG26&gt;VLOOKUP(INDIRECT($C$5),Jornada!$C$8:$H$37,6,0),IF(VLOOKUP(INDIRECT($C$5),Jornada!$C$8:$H$37,6,0)&lt;AG26,0,ABS(VLOOKUP(INDIRECT($C$5),Jornada!$C$8:$H$37,6,0))-AG26),0))</f>
        <v>0</v>
      </c>
      <c r="AJ26" s="155">
        <f t="shared" si="5"/>
        <v>1</v>
      </c>
      <c r="AK26" s="155">
        <f t="shared" si="6"/>
        <v>0</v>
      </c>
      <c r="AL26" s="155">
        <f ca="1">HLOOKUP($F26,Jornada!$I$5:$V$37,VLOOKUP(INDIRECT($C$5),Jornada!$C$8:$W$37,21,0)+2,0)</f>
        <v>0</v>
      </c>
      <c r="AM26" s="155">
        <f ca="1">HLOOKUP($F26,Jornada!$I$4:$V$37,VLOOKUP(INDIRECT($C$5),Jornada!$C$8:$W$37,21,0)+3,0)</f>
        <v>0</v>
      </c>
      <c r="AN26" s="155">
        <f t="shared" ca="1" si="7"/>
        <v>0</v>
      </c>
      <c r="AO26" s="155">
        <f t="shared" si="8"/>
        <v>0</v>
      </c>
      <c r="AP26" s="155">
        <f t="shared" si="9"/>
        <v>0</v>
      </c>
      <c r="BE26" s="14"/>
      <c r="BF26" s="14"/>
      <c r="BG26" s="14"/>
    </row>
    <row r="27" spans="1:59" s="2" customFormat="1" ht="30" customHeight="1" thickTop="1" thickBot="1" x14ac:dyDescent="0.25">
      <c r="A27" s="1"/>
      <c r="B27"/>
      <c r="C27" s="172" t="str">
        <f>IF(Funcionários!C26=0,"",Funcionários!C26)</f>
        <v/>
      </c>
      <c r="D27"/>
      <c r="E27" s="115">
        <f>Lanç!E27</f>
        <v>20</v>
      </c>
      <c r="F27" s="189" t="str">
        <f>Lanç!F27</f>
        <v>Sex</v>
      </c>
      <c r="G27" s="80"/>
      <c r="H27" s="94"/>
      <c r="I27" s="94"/>
      <c r="J27" s="94"/>
      <c r="K27" s="94"/>
      <c r="L27" s="197"/>
      <c r="M27" s="95">
        <f t="shared" si="1"/>
        <v>0</v>
      </c>
      <c r="N27" s="196"/>
      <c r="O27" s="95">
        <f ca="1">IF(OR(G27=0,G27="Férias",G27="Falta Justificada",G27="Feriado",G27="Folga (DSR)"),0,IF(G27="Falta Injustificada",HLOOKUP($F27,Jornada!$X$7:$AD$37,VLOOKUP(INDIRECT($C$5),Jornada!$C$8:$W$37,21,0),0),IF(HLOOKUP($F27,Jornada!$X$7:$AD$37,VLOOKUP(INDIRECT($C$5),Jornada!$C$8:$W$37,21,0),0)-M27&gt;0,HLOOKUP($F27,Jornada!$X$7:$AD$37,VLOOKUP(INDIRECT($C$5),Jornada!$C$8:$W$37,21,0),0)-M27,0)))</f>
        <v>0</v>
      </c>
      <c r="P27" s="193">
        <f ca="1">IF(HLOOKUP($F27,Jornada!$X$7:$AD$37,VLOOKUP(INDIRECT($C$5),Jornada!$C$8:$W$37,21,0),0)-M27&lt;0,ABS(HLOOKUP($F27,Jornada!$X$7:$AD$37,VLOOKUP(INDIRECT($C$5),Jornada!$C$8:$W$37,21,0),0)-M27),0)</f>
        <v>0</v>
      </c>
      <c r="Q27" s="95">
        <f t="shared" si="0"/>
        <v>0</v>
      </c>
      <c r="R27" s="2">
        <f t="shared" si="2"/>
        <v>0</v>
      </c>
      <c r="S27" s="296"/>
      <c r="T27" s="297"/>
      <c r="U27" s="298"/>
      <c r="X27" s="177"/>
      <c r="AB27" s="177">
        <f t="shared" si="10"/>
        <v>20</v>
      </c>
      <c r="AC27" s="2">
        <f t="shared" si="3"/>
        <v>6</v>
      </c>
      <c r="AG27" s="220">
        <f t="shared" si="4"/>
        <v>0</v>
      </c>
      <c r="AH27" s="220">
        <f ca="1">IF(HLOOKUP($F27,Jornada!$X$7:$AD$37,VLOOKUP(INDIRECT($C$5),Jornada!$C$8:$W$37,21,0),0)=0,0,VLOOKUP(INDIRECT($C$5),Jornada!$C$8:$H$37,4,0))</f>
        <v>0</v>
      </c>
      <c r="AI27" s="155">
        <f ca="1">IF(AND(I27=0,J27=0,OR(H27&lt;&gt;0,K27&lt;&gt;0),HLOOKUP($F27,Jornada!$X$7:$AD$37,VLOOKUP(INDIRECT($C$5),Jornada!$C$8:$W$37,21,0),0)&gt;$AK$5,M27&gt;$AK$5),VLOOKUP(INDIRECT($C$5),Jornada!$C$8:$H$37,6,0),IF(AG27&gt;VLOOKUP(INDIRECT($C$5),Jornada!$C$8:$H$37,6,0),IF(VLOOKUP(INDIRECT($C$5),Jornada!$C$8:$H$37,6,0)&lt;AG27,0,ABS(VLOOKUP(INDIRECT($C$5),Jornada!$C$8:$H$37,6,0))-AG27),0))</f>
        <v>0</v>
      </c>
      <c r="AJ27" s="155">
        <f t="shared" si="5"/>
        <v>1</v>
      </c>
      <c r="AK27" s="155">
        <f t="shared" si="6"/>
        <v>0</v>
      </c>
      <c r="AL27" s="155">
        <f ca="1">HLOOKUP($F27,Jornada!$I$5:$V$37,VLOOKUP(INDIRECT($C$5),Jornada!$C$8:$W$37,21,0)+2,0)</f>
        <v>0</v>
      </c>
      <c r="AM27" s="155">
        <f ca="1">HLOOKUP($F27,Jornada!$I$4:$V$37,VLOOKUP(INDIRECT($C$5),Jornada!$C$8:$W$37,21,0)+3,0)</f>
        <v>0</v>
      </c>
      <c r="AN27" s="155">
        <f t="shared" ca="1" si="7"/>
        <v>0</v>
      </c>
      <c r="AO27" s="155">
        <f t="shared" si="8"/>
        <v>0</v>
      </c>
      <c r="AP27" s="155">
        <f t="shared" si="9"/>
        <v>0</v>
      </c>
    </row>
    <row r="28" spans="1:59" s="2" customFormat="1" ht="30" customHeight="1" thickTop="1" thickBot="1" x14ac:dyDescent="0.25">
      <c r="A28" s="1"/>
      <c r="B28"/>
      <c r="C28" s="172" t="str">
        <f>IF(Funcionários!C27=0,"",Funcionários!C27)</f>
        <v/>
      </c>
      <c r="D28"/>
      <c r="E28" s="115">
        <f>Lanç!E28</f>
        <v>21</v>
      </c>
      <c r="F28" s="189" t="str">
        <f>Lanç!F28</f>
        <v>Sáb</v>
      </c>
      <c r="G28" s="80"/>
      <c r="H28" s="94"/>
      <c r="I28" s="94"/>
      <c r="J28" s="94"/>
      <c r="K28" s="94"/>
      <c r="L28" s="197"/>
      <c r="M28" s="95">
        <f t="shared" si="1"/>
        <v>0</v>
      </c>
      <c r="N28" s="196"/>
      <c r="O28" s="95">
        <f ca="1">IF(OR(G28=0,G28="Férias",G28="Falta Justificada",G28="Feriado",G28="Folga (DSR)"),0,IF(G28="Falta Injustificada",HLOOKUP($F28,Jornada!$X$7:$AD$37,VLOOKUP(INDIRECT($C$5),Jornada!$C$8:$W$37,21,0),0),IF(HLOOKUP($F28,Jornada!$X$7:$AD$37,VLOOKUP(INDIRECT($C$5),Jornada!$C$8:$W$37,21,0),0)-M28&gt;0,HLOOKUP($F28,Jornada!$X$7:$AD$37,VLOOKUP(INDIRECT($C$5),Jornada!$C$8:$W$37,21,0),0)-M28,0)))</f>
        <v>0</v>
      </c>
      <c r="P28" s="193">
        <f ca="1">IF(HLOOKUP($F28,Jornada!$X$7:$AD$37,VLOOKUP(INDIRECT($C$5),Jornada!$C$8:$W$37,21,0),0)-M28&lt;0,ABS(HLOOKUP($F28,Jornada!$X$7:$AD$37,VLOOKUP(INDIRECT($C$5),Jornada!$C$8:$W$37,21,0),0)-M28),0)</f>
        <v>0</v>
      </c>
      <c r="Q28" s="95">
        <f t="shared" si="0"/>
        <v>0</v>
      </c>
      <c r="R28" s="2">
        <f t="shared" si="2"/>
        <v>0</v>
      </c>
      <c r="S28" s="296"/>
      <c r="T28" s="297"/>
      <c r="U28" s="298"/>
      <c r="X28" s="177"/>
      <c r="AB28" s="177">
        <f t="shared" si="10"/>
        <v>21</v>
      </c>
      <c r="AC28" s="2">
        <f t="shared" si="3"/>
        <v>7</v>
      </c>
      <c r="AG28" s="220">
        <f t="shared" si="4"/>
        <v>0</v>
      </c>
      <c r="AH28" s="220">
        <f ca="1">IF(HLOOKUP($F28,Jornada!$X$7:$AD$37,VLOOKUP(INDIRECT($C$5),Jornada!$C$8:$W$37,21,0),0)=0,0,VLOOKUP(INDIRECT($C$5),Jornada!$C$8:$H$37,4,0))</f>
        <v>0</v>
      </c>
      <c r="AI28" s="155">
        <f ca="1">IF(AND(I28=0,J28=0,OR(H28&lt;&gt;0,K28&lt;&gt;0),HLOOKUP($F28,Jornada!$X$7:$AD$37,VLOOKUP(INDIRECT($C$5),Jornada!$C$8:$W$37,21,0),0)&gt;$AK$5,M28&gt;$AK$5),VLOOKUP(INDIRECT($C$5),Jornada!$C$8:$H$37,6,0),IF(AG28&gt;VLOOKUP(INDIRECT($C$5),Jornada!$C$8:$H$37,6,0),IF(VLOOKUP(INDIRECT($C$5),Jornada!$C$8:$H$37,6,0)&lt;AG28,0,ABS(VLOOKUP(INDIRECT($C$5),Jornada!$C$8:$H$37,6,0))-AG28),0))</f>
        <v>0</v>
      </c>
      <c r="AJ28" s="155">
        <f t="shared" si="5"/>
        <v>1</v>
      </c>
      <c r="AK28" s="155">
        <f t="shared" si="6"/>
        <v>0</v>
      </c>
      <c r="AL28" s="155">
        <f ca="1">HLOOKUP($F28,Jornada!$I$5:$V$37,VLOOKUP(INDIRECT($C$5),Jornada!$C$8:$W$37,21,0)+2,0)</f>
        <v>0</v>
      </c>
      <c r="AM28" s="155">
        <f ca="1">HLOOKUP($F28,Jornada!$I$4:$V$37,VLOOKUP(INDIRECT($C$5),Jornada!$C$8:$W$37,21,0)+3,0)</f>
        <v>0</v>
      </c>
      <c r="AN28" s="155">
        <f t="shared" ca="1" si="7"/>
        <v>0</v>
      </c>
      <c r="AO28" s="155">
        <f t="shared" si="8"/>
        <v>0</v>
      </c>
      <c r="AP28" s="155">
        <f t="shared" si="9"/>
        <v>0</v>
      </c>
    </row>
    <row r="29" spans="1:59" s="2" customFormat="1" ht="30" customHeight="1" thickTop="1" thickBot="1" x14ac:dyDescent="0.25">
      <c r="A29" s="1"/>
      <c r="B29"/>
      <c r="C29" s="172" t="str">
        <f>IF(Funcionários!C28=0,"",Funcionários!C28)</f>
        <v/>
      </c>
      <c r="D29"/>
      <c r="E29" s="115">
        <f>Lanç!E29</f>
        <v>22</v>
      </c>
      <c r="F29" s="189" t="str">
        <f>Lanç!F29</f>
        <v>Dom</v>
      </c>
      <c r="G29" s="80"/>
      <c r="H29" s="94"/>
      <c r="I29" s="94"/>
      <c r="J29" s="94"/>
      <c r="K29" s="94"/>
      <c r="L29" s="197"/>
      <c r="M29" s="95">
        <f t="shared" si="1"/>
        <v>0</v>
      </c>
      <c r="N29" s="196"/>
      <c r="O29" s="95">
        <f ca="1">IF(OR(G29=0,G29="Férias",G29="Falta Justificada",G29="Feriado",G29="Folga (DSR)"),0,IF(G29="Falta Injustificada",HLOOKUP($F29,Jornada!$X$7:$AD$37,VLOOKUP(INDIRECT($C$5),Jornada!$C$8:$W$37,21,0),0),IF(HLOOKUP($F29,Jornada!$X$7:$AD$37,VLOOKUP(INDIRECT($C$5),Jornada!$C$8:$W$37,21,0),0)-M29&gt;0,HLOOKUP($F29,Jornada!$X$7:$AD$37,VLOOKUP(INDIRECT($C$5),Jornada!$C$8:$W$37,21,0),0)-M29,0)))</f>
        <v>0</v>
      </c>
      <c r="P29" s="193">
        <f ca="1">IF(HLOOKUP($F29,Jornada!$X$7:$AD$37,VLOOKUP(INDIRECT($C$5),Jornada!$C$8:$W$37,21,0),0)-M29&lt;0,ABS(HLOOKUP($F29,Jornada!$X$7:$AD$37,VLOOKUP(INDIRECT($C$5),Jornada!$C$8:$W$37,21,0),0)-M29),0)</f>
        <v>0</v>
      </c>
      <c r="Q29" s="95">
        <f t="shared" si="0"/>
        <v>0</v>
      </c>
      <c r="R29" s="2">
        <f t="shared" si="2"/>
        <v>0</v>
      </c>
      <c r="S29" s="13"/>
      <c r="T29" s="74"/>
      <c r="U29" s="74"/>
      <c r="X29" s="177"/>
      <c r="AB29" s="177">
        <f t="shared" si="10"/>
        <v>22</v>
      </c>
      <c r="AC29" s="2">
        <f t="shared" si="3"/>
        <v>1</v>
      </c>
      <c r="AG29" s="220">
        <f t="shared" si="4"/>
        <v>0</v>
      </c>
      <c r="AH29" s="220">
        <f ca="1">IF(HLOOKUP($F29,Jornada!$X$7:$AD$37,VLOOKUP(INDIRECT($C$5),Jornada!$C$8:$W$37,21,0),0)=0,0,VLOOKUP(INDIRECT($C$5),Jornada!$C$8:$H$37,4,0))</f>
        <v>0</v>
      </c>
      <c r="AI29" s="155">
        <f ca="1">IF(AND(I29=0,J29=0,OR(H29&lt;&gt;0,K29&lt;&gt;0),HLOOKUP($F29,Jornada!$X$7:$AD$37,VLOOKUP(INDIRECT($C$5),Jornada!$C$8:$W$37,21,0),0)&gt;$AK$5,M29&gt;$AK$5),VLOOKUP(INDIRECT($C$5),Jornada!$C$8:$H$37,6,0),IF(AG29&gt;VLOOKUP(INDIRECT($C$5),Jornada!$C$8:$H$37,6,0),IF(VLOOKUP(INDIRECT($C$5),Jornada!$C$8:$H$37,6,0)&lt;AG29,0,ABS(VLOOKUP(INDIRECT($C$5),Jornada!$C$8:$H$37,6,0))-AG29),0))</f>
        <v>0</v>
      </c>
      <c r="AJ29" s="155">
        <f t="shared" si="5"/>
        <v>1</v>
      </c>
      <c r="AK29" s="155">
        <f t="shared" si="6"/>
        <v>0</v>
      </c>
      <c r="AL29" s="155">
        <f ca="1">HLOOKUP($F29,Jornada!$I$5:$V$37,VLOOKUP(INDIRECT($C$5),Jornada!$C$8:$W$37,21,0)+2,0)</f>
        <v>0</v>
      </c>
      <c r="AM29" s="155">
        <f ca="1">HLOOKUP($F29,Jornada!$I$4:$V$37,VLOOKUP(INDIRECT($C$5),Jornada!$C$8:$W$37,21,0)+3,0)</f>
        <v>0</v>
      </c>
      <c r="AN29" s="155">
        <f t="shared" ca="1" si="7"/>
        <v>0</v>
      </c>
      <c r="AO29" s="155">
        <f t="shared" si="8"/>
        <v>0</v>
      </c>
      <c r="AP29" s="155">
        <f t="shared" si="9"/>
        <v>0</v>
      </c>
    </row>
    <row r="30" spans="1:59" s="2" customFormat="1" ht="30" customHeight="1" thickTop="1" thickBot="1" x14ac:dyDescent="0.25">
      <c r="A30" s="1"/>
      <c r="B30"/>
      <c r="C30" s="172" t="str">
        <f>IF(Funcionários!C29=0,"",Funcionários!C29)</f>
        <v/>
      </c>
      <c r="D30"/>
      <c r="E30" s="173">
        <f>Lanç!E30</f>
        <v>23</v>
      </c>
      <c r="F30" s="189" t="str">
        <f>Lanç!F30</f>
        <v>Seg</v>
      </c>
      <c r="G30" s="80"/>
      <c r="H30" s="94"/>
      <c r="I30" s="94"/>
      <c r="J30" s="94"/>
      <c r="K30" s="94"/>
      <c r="L30" s="197"/>
      <c r="M30" s="95">
        <f t="shared" si="1"/>
        <v>0</v>
      </c>
      <c r="N30" s="196"/>
      <c r="O30" s="95">
        <f ca="1">IF(OR(G30=0,G30="Férias",G30="Falta Justificada",G30="Feriado",G30="Folga (DSR)"),0,IF(G30="Falta Injustificada",HLOOKUP($F30,Jornada!$X$7:$AD$37,VLOOKUP(INDIRECT($C$5),Jornada!$C$8:$W$37,21,0),0),IF(HLOOKUP($F30,Jornada!$X$7:$AD$37,VLOOKUP(INDIRECT($C$5),Jornada!$C$8:$W$37,21,0),0)-M30&gt;0,HLOOKUP($F30,Jornada!$X$7:$AD$37,VLOOKUP(INDIRECT($C$5),Jornada!$C$8:$W$37,21,0),0)-M30,0)))</f>
        <v>0</v>
      </c>
      <c r="P30" s="193">
        <f ca="1">IF(HLOOKUP($F30,Jornada!$X$7:$AD$37,VLOOKUP(INDIRECT($C$5),Jornada!$C$8:$W$37,21,0),0)-M30&lt;0,ABS(HLOOKUP($F30,Jornada!$X$7:$AD$37,VLOOKUP(INDIRECT($C$5),Jornada!$C$8:$W$37,21,0),0)-M30),0)</f>
        <v>0</v>
      </c>
      <c r="Q30" s="95">
        <f t="shared" si="0"/>
        <v>0</v>
      </c>
      <c r="R30" s="2">
        <f>IF(Q30&gt;$R$7,1,0)</f>
        <v>0</v>
      </c>
      <c r="S30" s="13"/>
      <c r="T30" s="74"/>
      <c r="U30" s="74"/>
      <c r="X30" s="177"/>
      <c r="AB30" s="177">
        <f t="shared" si="10"/>
        <v>23</v>
      </c>
      <c r="AC30" s="2">
        <f>WEEKDAY(AB30)</f>
        <v>2</v>
      </c>
      <c r="AG30" s="220">
        <f t="shared" si="4"/>
        <v>0</v>
      </c>
      <c r="AH30" s="220">
        <f ca="1">IF(HLOOKUP($F30,Jornada!$X$7:$AD$37,VLOOKUP(INDIRECT($C$5),Jornada!$C$8:$W$37,21,0),0)=0,0,VLOOKUP(INDIRECT($C$5),Jornada!$C$8:$H$37,4,0))</f>
        <v>0</v>
      </c>
      <c r="AI30" s="155">
        <f ca="1">IF(AND(I30=0,J30=0,OR(H30&lt;&gt;0,K30&lt;&gt;0),HLOOKUP($F30,Jornada!$X$7:$AD$37,VLOOKUP(INDIRECT($C$5),Jornada!$C$8:$W$37,21,0),0)&gt;$AK$5,M30&gt;$AK$5),VLOOKUP(INDIRECT($C$5),Jornada!$C$8:$H$37,6,0),IF(AG30&gt;VLOOKUP(INDIRECT($C$5),Jornada!$C$8:$H$37,6,0),IF(VLOOKUP(INDIRECT($C$5),Jornada!$C$8:$H$37,6,0)&lt;AG30,0,ABS(VLOOKUP(INDIRECT($C$5),Jornada!$C$8:$H$37,6,0))-AG30),0))</f>
        <v>0</v>
      </c>
      <c r="AJ30" s="155">
        <f>($AJ$7-K30)+H30</f>
        <v>1</v>
      </c>
      <c r="AK30" s="155">
        <f>IF(AJ30&lt;$AK$7,$AK$7-AJ30,$AI$7)</f>
        <v>0</v>
      </c>
      <c r="AL30" s="155">
        <f ca="1">HLOOKUP($F30,Jornada!$I$5:$V$37,VLOOKUP(INDIRECT($C$5),Jornada!$C$8:$W$37,21,0)+2,0)</f>
        <v>0</v>
      </c>
      <c r="AM30" s="155">
        <f ca="1">HLOOKUP($F30,Jornada!$I$4:$V$37,VLOOKUP(INDIRECT($C$5),Jornada!$C$8:$W$37,21,0)+3,0)</f>
        <v>0</v>
      </c>
      <c r="AN30" s="155">
        <f t="shared" ca="1" si="7"/>
        <v>0</v>
      </c>
      <c r="AO30" s="155">
        <f t="shared" si="8"/>
        <v>0</v>
      </c>
      <c r="AP30" s="155">
        <f t="shared" si="9"/>
        <v>0</v>
      </c>
    </row>
    <row r="31" spans="1:59" s="2" customFormat="1" ht="30" customHeight="1" thickTop="1" thickBot="1" x14ac:dyDescent="0.25">
      <c r="A31" s="1"/>
      <c r="B31"/>
      <c r="C31" s="172" t="str">
        <f>IF(Funcionários!C30=0,"",Funcionários!C30)</f>
        <v/>
      </c>
      <c r="D31"/>
      <c r="E31" s="173">
        <f>Lanç!E31</f>
        <v>24</v>
      </c>
      <c r="F31" s="189" t="str">
        <f>Lanç!F31</f>
        <v>Ter</v>
      </c>
      <c r="G31" s="80"/>
      <c r="H31" s="94"/>
      <c r="I31" s="94"/>
      <c r="J31" s="94"/>
      <c r="K31" s="94"/>
      <c r="L31" s="197"/>
      <c r="M31" s="95">
        <f t="shared" si="1"/>
        <v>0</v>
      </c>
      <c r="N31" s="196"/>
      <c r="O31" s="95">
        <f ca="1">IF(OR(G31=0,G31="Férias",G31="Falta Justificada",G31="Feriado",G31="Folga (DSR)"),0,IF(G31="Falta Injustificada",HLOOKUP($F31,Jornada!$X$7:$AD$37,VLOOKUP(INDIRECT($C$5),Jornada!$C$8:$W$37,21,0),0),IF(HLOOKUP($F31,Jornada!$X$7:$AD$37,VLOOKUP(INDIRECT($C$5),Jornada!$C$8:$W$37,21,0),0)-M31&gt;0,HLOOKUP($F31,Jornada!$X$7:$AD$37,VLOOKUP(INDIRECT($C$5),Jornada!$C$8:$W$37,21,0),0)-M31,0)))</f>
        <v>0</v>
      </c>
      <c r="P31" s="193">
        <f ca="1">IF(HLOOKUP($F31,Jornada!$X$7:$AD$37,VLOOKUP(INDIRECT($C$5),Jornada!$C$8:$W$37,21,0),0)-M31&lt;0,ABS(HLOOKUP($F31,Jornada!$X$7:$AD$37,VLOOKUP(INDIRECT($C$5),Jornada!$C$8:$W$37,21,0),0)-M31),0)</f>
        <v>0</v>
      </c>
      <c r="Q31" s="95">
        <f t="shared" si="0"/>
        <v>0</v>
      </c>
      <c r="R31" s="2">
        <f>IF(Q31&gt;$R$7,1,0)</f>
        <v>0</v>
      </c>
      <c r="S31" s="13"/>
      <c r="T31" s="74"/>
      <c r="U31" s="74"/>
      <c r="X31" s="177"/>
      <c r="AB31" s="177">
        <f t="shared" si="10"/>
        <v>24</v>
      </c>
      <c r="AC31" s="2">
        <f>WEEKDAY(AB31)</f>
        <v>3</v>
      </c>
      <c r="AG31" s="220">
        <f t="shared" si="4"/>
        <v>0</v>
      </c>
      <c r="AH31" s="220">
        <f ca="1">IF(HLOOKUP($F31,Jornada!$X$7:$AD$37,VLOOKUP(INDIRECT($C$5),Jornada!$C$8:$W$37,21,0),0)=0,0,VLOOKUP(INDIRECT($C$5),Jornada!$C$8:$H$37,4,0))</f>
        <v>0</v>
      </c>
      <c r="AI31" s="155">
        <f ca="1">IF(AND(I31=0,J31=0,OR(H31&lt;&gt;0,K31&lt;&gt;0),HLOOKUP($F31,Jornada!$X$7:$AD$37,VLOOKUP(INDIRECT($C$5),Jornada!$C$8:$W$37,21,0),0)&gt;$AK$5,M31&gt;$AK$5),VLOOKUP(INDIRECT($C$5),Jornada!$C$8:$H$37,6,0),IF(AG31&gt;VLOOKUP(INDIRECT($C$5),Jornada!$C$8:$H$37,6,0),IF(VLOOKUP(INDIRECT($C$5),Jornada!$C$8:$H$37,6,0)&lt;AG31,0,ABS(VLOOKUP(INDIRECT($C$5),Jornada!$C$8:$H$37,6,0))-AG31),0))</f>
        <v>0</v>
      </c>
      <c r="AJ31" s="155">
        <f>($AJ$7-K31)+H31</f>
        <v>1</v>
      </c>
      <c r="AK31" s="155">
        <f>IF(AJ31&lt;$AK$7,$AK$7-AJ31,$AI$7)</f>
        <v>0</v>
      </c>
      <c r="AL31" s="155">
        <f ca="1">HLOOKUP($F31,Jornada!$I$5:$V$37,VLOOKUP(INDIRECT($C$5),Jornada!$C$8:$W$37,21,0)+2,0)</f>
        <v>0</v>
      </c>
      <c r="AM31" s="155">
        <f ca="1">HLOOKUP($F31,Jornada!$I$4:$V$37,VLOOKUP(INDIRECT($C$5),Jornada!$C$8:$W$37,21,0)+3,0)</f>
        <v>0</v>
      </c>
      <c r="AN31" s="155">
        <f t="shared" ca="1" si="7"/>
        <v>0</v>
      </c>
      <c r="AO31" s="155">
        <f t="shared" si="8"/>
        <v>0</v>
      </c>
      <c r="AP31" s="155">
        <f t="shared" si="9"/>
        <v>0</v>
      </c>
    </row>
    <row r="32" spans="1:59" s="2" customFormat="1" ht="30" customHeight="1" thickTop="1" thickBot="1" x14ac:dyDescent="0.25">
      <c r="A32" s="1"/>
      <c r="B32"/>
      <c r="C32" s="172" t="str">
        <f>IF(Funcionários!C31=0,"",Funcionários!C31)</f>
        <v/>
      </c>
      <c r="D32"/>
      <c r="E32" s="115">
        <f>Lanç!E32</f>
        <v>25</v>
      </c>
      <c r="F32" s="189" t="str">
        <f>Lanç!F32</f>
        <v>Qua</v>
      </c>
      <c r="G32" s="202"/>
      <c r="H32" s="94"/>
      <c r="I32" s="94"/>
      <c r="J32" s="94"/>
      <c r="K32" s="94"/>
      <c r="L32" s="197"/>
      <c r="M32" s="95">
        <f t="shared" si="1"/>
        <v>0</v>
      </c>
      <c r="N32" s="196"/>
      <c r="O32" s="95">
        <f ca="1">IF(OR(G32=0,G32="Férias",G32="Falta Justificada",G32="Feriado",G32="Folga (DSR)"),0,IF(G32="Falta Injustificada",HLOOKUP($F32,Jornada!$X$7:$AD$37,VLOOKUP(INDIRECT($C$5),Jornada!$C$8:$W$37,21,0),0),IF(HLOOKUP($F32,Jornada!$X$7:$AD$37,VLOOKUP(INDIRECT($C$5),Jornada!$C$8:$W$37,21,0),0)-M32&gt;0,HLOOKUP($F32,Jornada!$X$7:$AD$37,VLOOKUP(INDIRECT($C$5),Jornada!$C$8:$W$37,21,0),0)-M32,0)))</f>
        <v>0</v>
      </c>
      <c r="P32" s="193">
        <f ca="1">IF(HLOOKUP($F32,Jornada!$X$7:$AD$37,VLOOKUP(INDIRECT($C$5),Jornada!$C$8:$W$37,21,0),0)-M32&lt;0,ABS(HLOOKUP($F32,Jornada!$X$7:$AD$37,VLOOKUP(INDIRECT($C$5),Jornada!$C$8:$W$37,21,0),0)-M32),0)</f>
        <v>0</v>
      </c>
      <c r="Q32" s="95">
        <f t="shared" si="0"/>
        <v>0</v>
      </c>
      <c r="R32" s="2">
        <f t="shared" si="2"/>
        <v>0</v>
      </c>
      <c r="S32" s="74"/>
      <c r="T32" s="74"/>
      <c r="U32" s="74"/>
      <c r="X32" s="177"/>
      <c r="AB32" s="177">
        <f t="shared" si="10"/>
        <v>25</v>
      </c>
      <c r="AC32" s="2">
        <f t="shared" si="3"/>
        <v>4</v>
      </c>
      <c r="AG32" s="220">
        <f t="shared" si="4"/>
        <v>0</v>
      </c>
      <c r="AH32" s="220">
        <f ca="1">IF(HLOOKUP($F32,Jornada!$X$7:$AD$37,VLOOKUP(INDIRECT($C$5),Jornada!$C$8:$W$37,21,0),0)=0,0,VLOOKUP(INDIRECT($C$5),Jornada!$C$8:$H$37,4,0))</f>
        <v>0</v>
      </c>
      <c r="AI32" s="155">
        <f ca="1">IF(AND(I32=0,J32=0,OR(H32&lt;&gt;0,K32&lt;&gt;0),HLOOKUP($F32,Jornada!$X$7:$AD$37,VLOOKUP(INDIRECT($C$5),Jornada!$C$8:$W$37,21,0),0)&gt;$AK$5,M32&gt;$AK$5),VLOOKUP(INDIRECT($C$5),Jornada!$C$8:$H$37,6,0),IF(AG32&gt;VLOOKUP(INDIRECT($C$5),Jornada!$C$8:$H$37,6,0),IF(VLOOKUP(INDIRECT($C$5),Jornada!$C$8:$H$37,6,0)&lt;AG32,0,ABS(VLOOKUP(INDIRECT($C$5),Jornada!$C$8:$H$37,6,0))-AG32),0))</f>
        <v>0</v>
      </c>
      <c r="AJ32" s="155">
        <f t="shared" si="5"/>
        <v>1</v>
      </c>
      <c r="AK32" s="155">
        <f t="shared" si="6"/>
        <v>0</v>
      </c>
      <c r="AL32" s="155">
        <f ca="1">HLOOKUP($F32,Jornada!$I$5:$V$37,VLOOKUP(INDIRECT($C$5),Jornada!$C$8:$W$37,21,0)+2,0)</f>
        <v>0</v>
      </c>
      <c r="AM32" s="155">
        <f ca="1">HLOOKUP($F32,Jornada!$I$4:$V$37,VLOOKUP(INDIRECT($C$5),Jornada!$C$8:$W$37,21,0)+3,0)</f>
        <v>0</v>
      </c>
      <c r="AN32" s="155">
        <f t="shared" ca="1" si="7"/>
        <v>0</v>
      </c>
      <c r="AO32" s="155">
        <f t="shared" si="8"/>
        <v>0</v>
      </c>
      <c r="AP32" s="155">
        <f t="shared" si="9"/>
        <v>0</v>
      </c>
    </row>
    <row r="33" spans="1:42" s="2" customFormat="1" ht="30" customHeight="1" thickTop="1" thickBot="1" x14ac:dyDescent="0.25">
      <c r="A33" s="1"/>
      <c r="B33"/>
      <c r="C33" s="172" t="str">
        <f>IF(Funcionários!C32=0,"",Funcionários!C32)</f>
        <v/>
      </c>
      <c r="D33"/>
      <c r="E33" s="115">
        <f>Lanç!E33</f>
        <v>26</v>
      </c>
      <c r="F33" s="189" t="str">
        <f>Lanç!F33</f>
        <v>Qui</v>
      </c>
      <c r="G33" s="80"/>
      <c r="H33" s="94"/>
      <c r="I33" s="94"/>
      <c r="J33" s="94"/>
      <c r="K33" s="94"/>
      <c r="L33" s="197"/>
      <c r="M33" s="95">
        <f t="shared" si="1"/>
        <v>0</v>
      </c>
      <c r="N33" s="196"/>
      <c r="O33" s="95">
        <f ca="1">IF(OR(G33=0,G33="Férias",G33="Falta Justificada",G33="Feriado",G33="Folga (DSR)"),0,IF(G33="Falta Injustificada",HLOOKUP($F33,Jornada!$X$7:$AD$37,VLOOKUP(INDIRECT($C$5),Jornada!$C$8:$W$37,21,0),0),IF(HLOOKUP($F33,Jornada!$X$7:$AD$37,VLOOKUP(INDIRECT($C$5),Jornada!$C$8:$W$37,21,0),0)-M33&gt;0,HLOOKUP($F33,Jornada!$X$7:$AD$37,VLOOKUP(INDIRECT($C$5),Jornada!$C$8:$W$37,21,0),0)-M33,0)))</f>
        <v>0</v>
      </c>
      <c r="P33" s="193">
        <f ca="1">IF(HLOOKUP($F33,Jornada!$X$7:$AD$37,VLOOKUP(INDIRECT($C$5),Jornada!$C$8:$W$37,21,0),0)-M33&lt;0,ABS(HLOOKUP($F33,Jornada!$X$7:$AD$37,VLOOKUP(INDIRECT($C$5),Jornada!$C$8:$W$37,21,0),0)-M33),0)</f>
        <v>0</v>
      </c>
      <c r="Q33" s="95">
        <f t="shared" si="0"/>
        <v>0</v>
      </c>
      <c r="R33" s="2">
        <f t="shared" si="2"/>
        <v>0</v>
      </c>
      <c r="S33" s="74"/>
      <c r="T33" s="74"/>
      <c r="U33" s="74"/>
      <c r="X33" s="177"/>
      <c r="AB33" s="177">
        <f t="shared" si="10"/>
        <v>26</v>
      </c>
      <c r="AC33" s="2">
        <f t="shared" si="3"/>
        <v>5</v>
      </c>
      <c r="AG33" s="220">
        <f t="shared" si="4"/>
        <v>0</v>
      </c>
      <c r="AH33" s="220">
        <f ca="1">IF(HLOOKUP($F33,Jornada!$X$7:$AD$37,VLOOKUP(INDIRECT($C$5),Jornada!$C$8:$W$37,21,0),0)=0,0,VLOOKUP(INDIRECT($C$5),Jornada!$C$8:$H$37,4,0))</f>
        <v>0</v>
      </c>
      <c r="AI33" s="155">
        <f ca="1">IF(AND(I33=0,J33=0,OR(H33&lt;&gt;0,K33&lt;&gt;0),HLOOKUP($F33,Jornada!$X$7:$AD$37,VLOOKUP(INDIRECT($C$5),Jornada!$C$8:$W$37,21,0),0)&gt;$AK$5,M33&gt;$AK$5),VLOOKUP(INDIRECT($C$5),Jornada!$C$8:$H$37,6,0),IF(AG33&gt;VLOOKUP(INDIRECT($C$5),Jornada!$C$8:$H$37,6,0),IF(VLOOKUP(INDIRECT($C$5),Jornada!$C$8:$H$37,6,0)&lt;AG33,0,ABS(VLOOKUP(INDIRECT($C$5),Jornada!$C$8:$H$37,6,0))-AG33),0))</f>
        <v>0</v>
      </c>
      <c r="AJ33" s="155">
        <f t="shared" si="5"/>
        <v>1</v>
      </c>
      <c r="AK33" s="155">
        <f t="shared" si="6"/>
        <v>0</v>
      </c>
      <c r="AL33" s="155">
        <f ca="1">HLOOKUP($F33,Jornada!$I$5:$V$37,VLOOKUP(INDIRECT($C$5),Jornada!$C$8:$W$37,21,0)+2,0)</f>
        <v>0</v>
      </c>
      <c r="AM33" s="155">
        <f ca="1">HLOOKUP($F33,Jornada!$I$4:$V$37,VLOOKUP(INDIRECT($C$5),Jornada!$C$8:$W$37,21,0)+3,0)</f>
        <v>0</v>
      </c>
      <c r="AN33" s="155">
        <f t="shared" ca="1" si="7"/>
        <v>0</v>
      </c>
      <c r="AO33" s="155">
        <f t="shared" si="8"/>
        <v>0</v>
      </c>
      <c r="AP33" s="155">
        <f t="shared" si="9"/>
        <v>0</v>
      </c>
    </row>
    <row r="34" spans="1:42" s="2" customFormat="1" ht="30" customHeight="1" thickTop="1" thickBot="1" x14ac:dyDescent="0.25">
      <c r="A34" s="1"/>
      <c r="B34"/>
      <c r="C34" s="172" t="str">
        <f>IF(Funcionários!C33=0,"",Funcionários!C33)</f>
        <v/>
      </c>
      <c r="D34"/>
      <c r="E34" s="115">
        <f>Lanç!E34</f>
        <v>27</v>
      </c>
      <c r="F34" s="189" t="str">
        <f>Lanç!F34</f>
        <v>Sex</v>
      </c>
      <c r="G34" s="80"/>
      <c r="H34" s="94"/>
      <c r="I34" s="94"/>
      <c r="J34" s="94"/>
      <c r="K34" s="94"/>
      <c r="L34" s="197"/>
      <c r="M34" s="95">
        <f t="shared" si="1"/>
        <v>0</v>
      </c>
      <c r="N34" s="196"/>
      <c r="O34" s="95">
        <f ca="1">IF(OR(G34=0,G34="Férias",G34="Falta Justificada",G34="Feriado",G34="Folga (DSR)"),0,IF(G34="Falta Injustificada",HLOOKUP($F34,Jornada!$X$7:$AD$37,VLOOKUP(INDIRECT($C$5),Jornada!$C$8:$W$37,21,0),0),IF(HLOOKUP($F34,Jornada!$X$7:$AD$37,VLOOKUP(INDIRECT($C$5),Jornada!$C$8:$W$37,21,0),0)-M34&gt;0,HLOOKUP($F34,Jornada!$X$7:$AD$37,VLOOKUP(INDIRECT($C$5),Jornada!$C$8:$W$37,21,0),0)-M34,0)))</f>
        <v>0</v>
      </c>
      <c r="P34" s="193">
        <f ca="1">IF(HLOOKUP($F34,Jornada!$X$7:$AD$37,VLOOKUP(INDIRECT($C$5),Jornada!$C$8:$W$37,21,0),0)-M34&lt;0,ABS(HLOOKUP($F34,Jornada!$X$7:$AD$37,VLOOKUP(INDIRECT($C$5),Jornada!$C$8:$W$37,21,0),0)-M34),0)</f>
        <v>0</v>
      </c>
      <c r="Q34" s="95">
        <f t="shared" si="0"/>
        <v>0</v>
      </c>
      <c r="R34" s="2">
        <f t="shared" si="2"/>
        <v>0</v>
      </c>
      <c r="S34" s="74"/>
      <c r="T34" s="74"/>
      <c r="U34" s="74"/>
      <c r="X34" s="177"/>
      <c r="AB34" s="177">
        <f t="shared" si="10"/>
        <v>27</v>
      </c>
      <c r="AC34" s="2">
        <f t="shared" si="3"/>
        <v>6</v>
      </c>
      <c r="AG34" s="220">
        <f t="shared" si="4"/>
        <v>0</v>
      </c>
      <c r="AH34" s="220">
        <f ca="1">IF(HLOOKUP($F34,Jornada!$X$7:$AD$37,VLOOKUP(INDIRECT($C$5),Jornada!$C$8:$W$37,21,0),0)=0,0,VLOOKUP(INDIRECT($C$5),Jornada!$C$8:$H$37,4,0))</f>
        <v>0</v>
      </c>
      <c r="AI34" s="155">
        <f ca="1">IF(AND(I34=0,J34=0,OR(H34&lt;&gt;0,K34&lt;&gt;0),HLOOKUP($F34,Jornada!$X$7:$AD$37,VLOOKUP(INDIRECT($C$5),Jornada!$C$8:$W$37,21,0),0)&gt;$AK$5,M34&gt;$AK$5),VLOOKUP(INDIRECT($C$5),Jornada!$C$8:$H$37,6,0),IF(AG34&gt;VLOOKUP(INDIRECT($C$5),Jornada!$C$8:$H$37,6,0),IF(VLOOKUP(INDIRECT($C$5),Jornada!$C$8:$H$37,6,0)&lt;AG34,0,ABS(VLOOKUP(INDIRECT($C$5),Jornada!$C$8:$H$37,6,0))-AG34),0))</f>
        <v>0</v>
      </c>
      <c r="AJ34" s="155">
        <f t="shared" si="5"/>
        <v>1</v>
      </c>
      <c r="AK34" s="155">
        <f t="shared" si="6"/>
        <v>0</v>
      </c>
      <c r="AL34" s="155">
        <f ca="1">HLOOKUP($F34,Jornada!$I$5:$V$37,VLOOKUP(INDIRECT($C$5),Jornada!$C$8:$W$37,21,0)+2,0)</f>
        <v>0</v>
      </c>
      <c r="AM34" s="155">
        <f ca="1">HLOOKUP($F34,Jornada!$I$4:$V$37,VLOOKUP(INDIRECT($C$5),Jornada!$C$8:$W$37,21,0)+3,0)</f>
        <v>0</v>
      </c>
      <c r="AN34" s="155">
        <f t="shared" ca="1" si="7"/>
        <v>0</v>
      </c>
      <c r="AO34" s="155">
        <f t="shared" si="8"/>
        <v>0</v>
      </c>
      <c r="AP34" s="155">
        <f t="shared" si="9"/>
        <v>0</v>
      </c>
    </row>
    <row r="35" spans="1:42" s="2" customFormat="1" ht="30" customHeight="1" thickTop="1" thickBot="1" x14ac:dyDescent="0.25">
      <c r="A35" s="1"/>
      <c r="B35"/>
      <c r="C35" s="172" t="str">
        <f>IF(Funcionários!C34=0,"",Funcionários!C34)</f>
        <v/>
      </c>
      <c r="D35"/>
      <c r="E35" s="115">
        <f>Lanç!E35</f>
        <v>28</v>
      </c>
      <c r="F35" s="189" t="str">
        <f>Lanç!F35</f>
        <v>Sáb</v>
      </c>
      <c r="G35" s="80"/>
      <c r="H35" s="94"/>
      <c r="I35" s="94"/>
      <c r="J35" s="94"/>
      <c r="K35" s="94"/>
      <c r="L35" s="197"/>
      <c r="M35" s="95">
        <f t="shared" si="1"/>
        <v>0</v>
      </c>
      <c r="N35" s="196"/>
      <c r="O35" s="95">
        <f ca="1">IF(OR(G35=0,G35="Férias",G35="Falta Justificada",G35="Feriado",G35="Folga (DSR)"),0,IF(G35="Falta Injustificada",HLOOKUP($F35,Jornada!$X$7:$AD$37,VLOOKUP(INDIRECT($C$5),Jornada!$C$8:$W$37,21,0),0),IF(HLOOKUP($F35,Jornada!$X$7:$AD$37,VLOOKUP(INDIRECT($C$5),Jornada!$C$8:$W$37,21,0),0)-M35&gt;0,HLOOKUP($F35,Jornada!$X$7:$AD$37,VLOOKUP(INDIRECT($C$5),Jornada!$C$8:$W$37,21,0),0)-M35,0)))</f>
        <v>0</v>
      </c>
      <c r="P35" s="193">
        <f ca="1">IF(HLOOKUP($F35,Jornada!$X$7:$AD$37,VLOOKUP(INDIRECT($C$5),Jornada!$C$8:$W$37,21,0),0)-M35&lt;0,ABS(HLOOKUP($F35,Jornada!$X$7:$AD$37,VLOOKUP(INDIRECT($C$5),Jornada!$C$8:$W$37,21,0),0)-M35),0)</f>
        <v>0</v>
      </c>
      <c r="Q35" s="95">
        <f t="shared" si="0"/>
        <v>0</v>
      </c>
      <c r="R35" s="2">
        <f t="shared" si="2"/>
        <v>0</v>
      </c>
      <c r="S35"/>
      <c r="T35"/>
      <c r="U35"/>
      <c r="X35" s="177"/>
      <c r="AB35" s="177">
        <f>IF(MONTH(AB34+1)&lt;&gt;MONTH(AB34),"",AB34+1)</f>
        <v>28</v>
      </c>
      <c r="AC35" s="2">
        <f t="shared" si="3"/>
        <v>7</v>
      </c>
      <c r="AG35" s="220">
        <f t="shared" si="4"/>
        <v>0</v>
      </c>
      <c r="AH35" s="220">
        <f ca="1">IF(HLOOKUP($F35,Jornada!$X$7:$AD$37,VLOOKUP(INDIRECT($C$5),Jornada!$C$8:$W$37,21,0),0)=0,0,VLOOKUP(INDIRECT($C$5),Jornada!$C$8:$H$37,4,0))</f>
        <v>0</v>
      </c>
      <c r="AI35" s="155">
        <f ca="1">IF(AND(I35=0,J35=0,OR(H35&lt;&gt;0,K35&lt;&gt;0),HLOOKUP($F35,Jornada!$X$7:$AD$37,VLOOKUP(INDIRECT($C$5),Jornada!$C$8:$W$37,21,0),0)&gt;$AK$5,M35&gt;$AK$5),VLOOKUP(INDIRECT($C$5),Jornada!$C$8:$H$37,6,0),IF(AG35&gt;VLOOKUP(INDIRECT($C$5),Jornada!$C$8:$H$37,6,0),IF(VLOOKUP(INDIRECT($C$5),Jornada!$C$8:$H$37,6,0)&lt;AG35,0,ABS(VLOOKUP(INDIRECT($C$5),Jornada!$C$8:$H$37,6,0))-AG35),0))</f>
        <v>0</v>
      </c>
      <c r="AJ35" s="155">
        <f t="shared" si="5"/>
        <v>1</v>
      </c>
      <c r="AK35" s="155">
        <f t="shared" si="6"/>
        <v>0</v>
      </c>
      <c r="AL35" s="155">
        <f ca="1">HLOOKUP($F35,Jornada!$I$5:$V$37,VLOOKUP(INDIRECT($C$5),Jornada!$C$8:$W$37,21,0)+2,0)</f>
        <v>0</v>
      </c>
      <c r="AM35" s="155">
        <f ca="1">HLOOKUP($F35,Jornada!$I$4:$V$37,VLOOKUP(INDIRECT($C$5),Jornada!$C$8:$W$37,21,0)+3,0)</f>
        <v>0</v>
      </c>
      <c r="AN35" s="155">
        <f t="shared" ca="1" si="7"/>
        <v>0</v>
      </c>
      <c r="AO35" s="155">
        <f t="shared" si="8"/>
        <v>0</v>
      </c>
      <c r="AP35" s="155">
        <f t="shared" si="9"/>
        <v>0</v>
      </c>
    </row>
    <row r="36" spans="1:42" s="2" customFormat="1" ht="30" customHeight="1" thickTop="1" thickBot="1" x14ac:dyDescent="0.25">
      <c r="A36" s="1"/>
      <c r="B36"/>
      <c r="C36" s="172" t="str">
        <f>IF(Funcionários!C35=0,"",Funcionários!C35)</f>
        <v/>
      </c>
      <c r="D36"/>
      <c r="E36" s="115">
        <f>Lanç!E36</f>
        <v>29</v>
      </c>
      <c r="F36" s="189" t="str">
        <f>Lanç!F36</f>
        <v>Dom</v>
      </c>
      <c r="G36" s="80"/>
      <c r="H36" s="94"/>
      <c r="I36" s="94"/>
      <c r="J36" s="94"/>
      <c r="K36" s="94"/>
      <c r="L36" s="197"/>
      <c r="M36" s="95">
        <f t="shared" si="1"/>
        <v>0</v>
      </c>
      <c r="N36" s="196"/>
      <c r="O36" s="95">
        <f ca="1">IF(OR(G36=0,G36="Férias",G36="Falta Justificada",G36="Feriado",G36="Folga (DSR)"),0,IF(G36="Falta Injustificada",HLOOKUP($F36,Jornada!$X$7:$AD$37,VLOOKUP(INDIRECT($C$5),Jornada!$C$8:$W$37,21,0),0),IF(HLOOKUP($F36,Jornada!$X$7:$AD$37,VLOOKUP(INDIRECT($C$5),Jornada!$C$8:$W$37,21,0),0)-M36&gt;0,HLOOKUP($F36,Jornada!$X$7:$AD$37,VLOOKUP(INDIRECT($C$5),Jornada!$C$8:$W$37,21,0),0)-M36,0)))</f>
        <v>0</v>
      </c>
      <c r="P36" s="193">
        <f ca="1">IF(HLOOKUP($F36,Jornada!$X$7:$AD$37,VLOOKUP(INDIRECT($C$5),Jornada!$C$8:$W$37,21,0),0)-M36&lt;0,ABS(HLOOKUP($F36,Jornada!$X$7:$AD$37,VLOOKUP(INDIRECT($C$5),Jornada!$C$8:$W$37,21,0),0)-M36),0)</f>
        <v>0</v>
      </c>
      <c r="Q36" s="95">
        <f t="shared" si="0"/>
        <v>0</v>
      </c>
      <c r="R36" s="2">
        <f t="shared" si="2"/>
        <v>0</v>
      </c>
      <c r="S36"/>
      <c r="T36"/>
      <c r="U36"/>
      <c r="X36" s="177"/>
      <c r="AB36" s="177">
        <f>IF(MONTH(AB35+1)&lt;&gt;MONTH(AB35),"",IF(AB35="","",AB35+1))</f>
        <v>29</v>
      </c>
      <c r="AC36" s="2">
        <f>IF(ISERROR(WEEKDAY(AB36)),"",WEEKDAY(AB36))</f>
        <v>1</v>
      </c>
      <c r="AG36" s="220">
        <f t="shared" si="4"/>
        <v>0</v>
      </c>
      <c r="AH36" s="220">
        <f ca="1">IF(HLOOKUP($F36,Jornada!$X$7:$AD$37,VLOOKUP(INDIRECT($C$5),Jornada!$C$8:$W$37,21,0),0)=0,0,VLOOKUP(INDIRECT($C$5),Jornada!$C$8:$H$37,4,0))</f>
        <v>0</v>
      </c>
      <c r="AI36" s="155">
        <f ca="1">IF(AND(I36=0,J36=0,OR(H36&lt;&gt;0,K36&lt;&gt;0),HLOOKUP($F36,Jornada!$X$7:$AD$37,VLOOKUP(INDIRECT($C$5),Jornada!$C$8:$W$37,21,0),0)&gt;$AK$5,M36&gt;$AK$5),VLOOKUP(INDIRECT($C$5),Jornada!$C$8:$H$37,6,0),IF(AG36&gt;VLOOKUP(INDIRECT($C$5),Jornada!$C$8:$H$37,6,0),IF(VLOOKUP(INDIRECT($C$5),Jornada!$C$8:$H$37,6,0)&lt;AG36,0,ABS(VLOOKUP(INDIRECT($C$5),Jornada!$C$8:$H$37,6,0))-AG36),0))</f>
        <v>0</v>
      </c>
      <c r="AJ36" s="155">
        <f t="shared" si="5"/>
        <v>1</v>
      </c>
      <c r="AK36" s="155">
        <f t="shared" si="6"/>
        <v>0</v>
      </c>
      <c r="AL36" s="155">
        <f ca="1">HLOOKUP($F36,Jornada!$I$5:$V$37,VLOOKUP(INDIRECT($C$5),Jornada!$C$8:$W$37,21,0)+2,0)</f>
        <v>0</v>
      </c>
      <c r="AM36" s="155">
        <f ca="1">HLOOKUP($F36,Jornada!$I$4:$V$37,VLOOKUP(INDIRECT($C$5),Jornada!$C$8:$W$37,21,0)+3,0)</f>
        <v>0</v>
      </c>
      <c r="AN36" s="155">
        <f t="shared" ca="1" si="7"/>
        <v>0</v>
      </c>
      <c r="AO36" s="155">
        <f t="shared" si="8"/>
        <v>0</v>
      </c>
      <c r="AP36" s="155">
        <f t="shared" si="9"/>
        <v>0</v>
      </c>
    </row>
    <row r="37" spans="1:42" s="2" customFormat="1" ht="30" customHeight="1" thickTop="1" thickBot="1" x14ac:dyDescent="0.25">
      <c r="A37" s="1"/>
      <c r="B37"/>
      <c r="C37" s="172" t="str">
        <f>IF(Funcionários!C36=0,"",Funcionários!C36)</f>
        <v/>
      </c>
      <c r="D37"/>
      <c r="E37" s="115">
        <f>Lanç!E37</f>
        <v>30</v>
      </c>
      <c r="F37" s="189" t="str">
        <f>Lanç!F37</f>
        <v>Seg</v>
      </c>
      <c r="G37" s="80"/>
      <c r="H37" s="94"/>
      <c r="I37" s="94"/>
      <c r="J37" s="94"/>
      <c r="K37" s="94"/>
      <c r="L37" s="197"/>
      <c r="M37" s="95">
        <f>IF(AND(H37=K37,H37&lt;&gt;0),$M$6-IF(J37&lt;I37,$AJ$7+J37-I37,J37-I37),IF(H37&gt;K37,(K37+1-H37)-IF(J37&lt;I37,$AJ$7+J37-I37,J37-I37),(K37-H37)-IF(J37&lt;I37,$AJ$7+J37-I37,J37-I37)))</f>
        <v>0</v>
      </c>
      <c r="N37" s="196"/>
      <c r="O37" s="95">
        <f ca="1">IF(OR(G37=0,G37="Férias",G37="Falta Justificada",G37="Feriado",G37="Folga (DSR)"),0,IF(G37="Falta Injustificada",HLOOKUP($F37,Jornada!$X$7:$AD$37,VLOOKUP(INDIRECT($C$5),Jornada!$C$8:$W$37,21,0),0),IF(HLOOKUP($F37,Jornada!$X$7:$AD$37,VLOOKUP(INDIRECT($C$5),Jornada!$C$8:$W$37,21,0),0)-M37&gt;0,HLOOKUP($F37,Jornada!$X$7:$AD$37,VLOOKUP(INDIRECT($C$5),Jornada!$C$8:$W$37,21,0),0)-M37,0)))</f>
        <v>0</v>
      </c>
      <c r="P37" s="193">
        <f ca="1">IF(HLOOKUP($F37,Jornada!$X$7:$AD$37,VLOOKUP(INDIRECT($C$5),Jornada!$C$8:$W$37,21,0),0)-M37&lt;0,ABS(HLOOKUP($F37,Jornada!$X$7:$AD$37,VLOOKUP(INDIRECT($C$5),Jornada!$C$8:$W$37,21,0),0)-M37),0)</f>
        <v>0</v>
      </c>
      <c r="Q37" s="95">
        <f t="shared" si="0"/>
        <v>0</v>
      </c>
      <c r="R37" s="2">
        <f t="shared" si="2"/>
        <v>0</v>
      </c>
      <c r="S37"/>
      <c r="T37"/>
      <c r="U37"/>
      <c r="X37" s="177"/>
      <c r="AB37" s="177">
        <f>IF(AB36="","",IF(MONTH(AB36+1)&lt;&gt;MONTH(AB36),"",AB36+1))</f>
        <v>30</v>
      </c>
      <c r="AC37" s="2">
        <f>IF(ISERROR(WEEKDAY(AB37)),"",WEEKDAY(AB37))</f>
        <v>2</v>
      </c>
      <c r="AG37" s="220">
        <f t="shared" si="4"/>
        <v>0</v>
      </c>
      <c r="AH37" s="220">
        <f ca="1">IF(HLOOKUP($F37,Jornada!$X$7:$AD$37,VLOOKUP(INDIRECT($C$5),Jornada!$C$8:$W$37,21,0),0)=0,0,VLOOKUP(INDIRECT($C$5),Jornada!$C$8:$H$37,4,0))</f>
        <v>0</v>
      </c>
      <c r="AI37" s="155">
        <f ca="1">IF(AND(I37=0,J37=0,OR(H37&lt;&gt;0,K37&lt;&gt;0),HLOOKUP($F37,Jornada!$X$7:$AD$37,VLOOKUP(INDIRECT($C$5),Jornada!$C$8:$W$37,21,0),0)&gt;$AK$5,M37&gt;$AK$5),VLOOKUP(INDIRECT($C$5),Jornada!$C$8:$H$37,6,0),IF(AG37&gt;VLOOKUP(INDIRECT($C$5),Jornada!$C$8:$H$37,6,0),IF(VLOOKUP(INDIRECT($C$5),Jornada!$C$8:$H$37,6,0)&lt;AG37,0,ABS(VLOOKUP(INDIRECT($C$5),Jornada!$C$8:$H$37,6,0))-AG37),0))</f>
        <v>0</v>
      </c>
      <c r="AJ37" s="155">
        <f t="shared" si="5"/>
        <v>1</v>
      </c>
      <c r="AK37" s="155">
        <f t="shared" si="6"/>
        <v>0</v>
      </c>
      <c r="AL37" s="155">
        <f ca="1">HLOOKUP($F37,Jornada!$I$5:$V$37,VLOOKUP(INDIRECT($C$5),Jornada!$C$8:$W$37,21,0)+2,0)</f>
        <v>0</v>
      </c>
      <c r="AM37" s="155">
        <f ca="1">HLOOKUP($F37,Jornada!$I$4:$V$37,VLOOKUP(INDIRECT($C$5),Jornada!$C$8:$W$37,21,0)+3,0)</f>
        <v>0</v>
      </c>
      <c r="AN37" s="155">
        <f t="shared" ca="1" si="7"/>
        <v>0</v>
      </c>
      <c r="AO37" s="155">
        <f t="shared" si="8"/>
        <v>0</v>
      </c>
      <c r="AP37" s="155">
        <f t="shared" si="9"/>
        <v>0</v>
      </c>
    </row>
    <row r="38" spans="1:42" s="2" customFormat="1" ht="30" customHeight="1" thickTop="1" thickBot="1" x14ac:dyDescent="0.25">
      <c r="A38" s="1"/>
      <c r="B38"/>
      <c r="C38"/>
      <c r="D38" s="2">
        <f t="shared" ref="D38" si="11">IF(D37=7,1,D37+1)</f>
        <v>1</v>
      </c>
      <c r="E38" s="210">
        <f>Lanç!E38</f>
        <v>31</v>
      </c>
      <c r="F38" s="210" t="str">
        <f>Lanç!F38</f>
        <v>Ter</v>
      </c>
      <c r="G38" s="81"/>
      <c r="H38" s="94"/>
      <c r="I38" s="94"/>
      <c r="J38" s="94"/>
      <c r="K38" s="94"/>
      <c r="L38" s="197"/>
      <c r="M38" s="95">
        <f t="shared" ref="M38" si="12">IF(AND(H38=K38,H38&lt;&gt;0),$M$6-IF(J38&lt;I38,$AJ$7+J38-I38,J38-I38),IF(H38&gt;K38,(K38+1-H38)-IF(J38&lt;I38,$AJ$7+J38-I38,J38-I38),(K38-H38)-IF(J38&lt;I38,$AJ$7+J38-I38,J38-I38)))</f>
        <v>0</v>
      </c>
      <c r="N38" s="196"/>
      <c r="O38" s="95">
        <f ca="1">IF(OR(G38=0,G38="Férias",G38="Falta Justificada",G38="Feriado",G38="Folga (DSR)"),0,IF(G38="Falta Injustificada",HLOOKUP($F38,Jornada!$X$7:$AD$37,VLOOKUP(INDIRECT($C$5),Jornada!$C$8:$W$37,21,0),0),IF(HLOOKUP($F38,Jornada!$X$7:$AD$37,VLOOKUP(INDIRECT($C$5),Jornada!$C$8:$W$37,21,0),0)-M38&gt;0,HLOOKUP($F38,Jornada!$X$7:$AD$37,VLOOKUP(INDIRECT($C$5),Jornada!$C$8:$W$37,21,0),0)-M38,0)))</f>
        <v>0</v>
      </c>
      <c r="P38" s="201">
        <f ca="1">IF(HLOOKUP($F38,Jornada!$X$7:$AD$37,VLOOKUP(INDIRECT($C$5),Jornada!$C$8:$W$37,21,0),0)-M38&lt;0,ABS(HLOOKUP($F38,Jornada!$X$7:$AD$37,VLOOKUP(INDIRECT($C$5),Jornada!$C$8:$W$37,21,0),0)-M38),0)</f>
        <v>0</v>
      </c>
      <c r="Q38" s="95">
        <f t="shared" si="0"/>
        <v>0</v>
      </c>
      <c r="R38" s="2">
        <f t="shared" si="2"/>
        <v>0</v>
      </c>
      <c r="X38" s="177"/>
      <c r="AB38" s="177">
        <f>IF(AB37="","",IF(MONTH(AB37+1)&lt;&gt;MONTH(AB37),"",AB37+1))</f>
        <v>31</v>
      </c>
      <c r="AC38" s="2">
        <f>IF(ISERROR(WEEKDAY(AB38)),"",WEEKDAY(AB38))</f>
        <v>3</v>
      </c>
      <c r="AG38" s="220">
        <f t="shared" si="4"/>
        <v>0</v>
      </c>
      <c r="AH38" s="220">
        <f ca="1">IF(HLOOKUP($F38,Jornada!$X$7:$AD$37,VLOOKUP(INDIRECT($C$5),Jornada!$C$8:$W$37,21,0),0)=0,0,VLOOKUP(INDIRECT($C$5),Jornada!$C$8:$H$37,4,0))</f>
        <v>0</v>
      </c>
      <c r="AI38" s="155">
        <f ca="1">IF(AND(I38=0,J38=0,OR(H38&lt;&gt;0,K38&lt;&gt;0),HLOOKUP($F38,Jornada!$X$7:$AD$37,VLOOKUP(INDIRECT($C$5),Jornada!$C$8:$W$37,21,0),0)&gt;$AK$5,M38&gt;$AK$5),VLOOKUP(INDIRECT($C$5),Jornada!$C$8:$H$37,6,0),IF(AG38&gt;VLOOKUP(INDIRECT($C$5),Jornada!$C$8:$H$37,6,0),IF(VLOOKUP(INDIRECT($C$5),Jornada!$C$8:$H$37,6,0)&lt;AG38,0,ABS(VLOOKUP(INDIRECT($C$5),Jornada!$C$8:$H$37,6,0))-AG38),0))</f>
        <v>0</v>
      </c>
      <c r="AJ38" s="155">
        <f t="shared" si="5"/>
        <v>1</v>
      </c>
      <c r="AK38" s="155">
        <f t="shared" si="6"/>
        <v>0</v>
      </c>
      <c r="AL38" s="155">
        <f ca="1">HLOOKUP($F38,Jornada!$I$5:$V$37,VLOOKUP(INDIRECT($C$5),Jornada!$C$8:$W$37,21,0)+2,0)</f>
        <v>0</v>
      </c>
      <c r="AM38" s="155">
        <f ca="1">HLOOKUP($F38,Jornada!$I$4:$V$37,VLOOKUP(INDIRECT($C$5),Jornada!$C$8:$W$37,21,0)+3,0)</f>
        <v>0</v>
      </c>
      <c r="AN38" s="155">
        <f t="shared" ca="1" si="7"/>
        <v>0</v>
      </c>
      <c r="AO38" s="155">
        <f t="shared" si="8"/>
        <v>0</v>
      </c>
      <c r="AP38" s="155">
        <f t="shared" si="9"/>
        <v>0</v>
      </c>
    </row>
    <row r="39" spans="1:42" s="2" customFormat="1" ht="30" customHeight="1" thickTop="1" x14ac:dyDescent="0.2">
      <c r="A39" s="9"/>
      <c r="B39" s="234"/>
      <c r="C39" s="234"/>
      <c r="D39" s="234"/>
      <c r="E39" s="236">
        <f>EOMONTH(AB8,0)</f>
        <v>31</v>
      </c>
      <c r="F39" s="234">
        <f>DAY(E39)</f>
        <v>31</v>
      </c>
      <c r="G39" s="237">
        <f>COUNTIF(F8:F38,"Dom")+COUNTIF(G8:G38,"Feriado")</f>
        <v>5</v>
      </c>
      <c r="H39" s="238">
        <f>(SUM(Q8:Q38)/(F39-G39))*G39</f>
        <v>0</v>
      </c>
      <c r="I39" s="234"/>
      <c r="J39" s="234"/>
      <c r="K39" s="234"/>
      <c r="L39" s="234"/>
      <c r="M39" s="234"/>
      <c r="Z39" s="219"/>
    </row>
    <row r="40" spans="1:42" s="2" customFormat="1" ht="30" customHeight="1" x14ac:dyDescent="0.2">
      <c r="A40" s="9"/>
      <c r="B40" s="234"/>
      <c r="C40" s="239"/>
      <c r="D40" s="239"/>
      <c r="E40" s="239"/>
      <c r="F40" s="240"/>
      <c r="G40" s="241"/>
      <c r="H40" s="234">
        <f ca="1">IF(INDIRECT($C$5)="",0,VLOOKUP(INDIRECT($C$5),Funcionários!$C$7:$E$36,3,0)+IF(VLOOKUP(INDIRECT($C$5),Jornada!$C$8:$E$37,2,0)="Sim",IF('P Gerais'!$I$8&lt;&gt;0,VLOOKUP(INDIRECT($C$5),Funcionários!$C$7:$E$36,3,0)*'P Gerais'!$L$14,'P Gerais'!$I$8*'P Gerais'!$L$14),0)+IF(VLOOKUP(INDIRECT($C$5),Jornada!$C$8:$E$37,3,0)="Sim",VLOOKUP(INDIRECT($C$5),Funcionários!$C$7:$E$36,3,0)*'P Gerais'!$K$14,0))</f>
        <v>0</v>
      </c>
      <c r="I40" s="234">
        <f ca="1">VLOOKUP(INDIRECT($C$5),Jornada!$C$8:$AF$37,30,0)</f>
        <v>0</v>
      </c>
      <c r="J40" s="234" t="s">
        <v>298</v>
      </c>
      <c r="K40" s="242">
        <f ca="1">IF(I40=0,0,H40/I40)</f>
        <v>0</v>
      </c>
      <c r="L40" s="234"/>
      <c r="M40" s="234"/>
      <c r="Z40" s="219"/>
    </row>
    <row r="41" spans="1:42" s="2" customFormat="1" ht="30" customHeight="1" x14ac:dyDescent="0.2">
      <c r="A41" s="9"/>
      <c r="B41" s="234" t="s">
        <v>52</v>
      </c>
      <c r="C41" s="292" t="s">
        <v>75</v>
      </c>
      <c r="D41" s="292"/>
      <c r="E41" s="292"/>
      <c r="F41" s="243">
        <f t="shared" ref="F41:F47" si="13">SUMIFS($Q$8:$Q$38,$F$8:$F$38,$B41,$G$8:$G$38,"Normal")</f>
        <v>0</v>
      </c>
      <c r="G41" s="244">
        <f>IF($M$41="Sistema de banco de horas",0,'P Gerais'!$C$14)</f>
        <v>0.5</v>
      </c>
      <c r="H41" s="245">
        <f t="shared" ref="H41:H48" ca="1" si="14">IF($M$41="Sistema de banco de horas",0,$K$40*(1+G41)*(F41*24))</f>
        <v>0</v>
      </c>
      <c r="I41" s="243">
        <f t="shared" ref="I41:I47" ca="1" si="15">IF(SUMIF($F$8:$F$38,$B41,$Q$8:$Q$38)-SUMIFS($M$8:$M$38,$F$8:$F$38,$B41,$G$8:$G$38,"Feriado")-SUMIFS($M$8:$M$38,$F$8:$F$38,$B41,$G$8:$G$38,"Folga (DSR)")-SUMIFS($M$8:$M$38,$F$8:$F$38,$B41,$G$8:$G$38,"Férias")-SUMIF($F$8:$F$38,$B41,$AN$8:$AN$38)-SUMIF($F$8:$F$38,$B41,$AO$8:$AO$38)&lt;0,0,SUMIF($F$8:$F$38,$B41,$Q$8:$Q$38)-SUMIFS($M$8:$M$38,$F$8:$F$38,$B41,$G$8:$G$38,"Feriado")-SUMIFS($M$8:$M$38,$F$8:$F$38,$B41,$G$8:$G$38,"Folga (DSR)")-SUMIFS($M$8:$M$38,$F$8:$F$38,$B41,$G$8:$G$38,"Férias")-SUMIF($F$8:$F$38,$B41,$AN$8:$AN$38)-SUMIF($F$8:$F$38,$B41,$AO$8:$AO$38))</f>
        <v>0</v>
      </c>
      <c r="J41" s="245">
        <f ca="1">H41</f>
        <v>0</v>
      </c>
      <c r="K41" s="234"/>
      <c r="L41" s="234"/>
      <c r="M41" s="234">
        <f>'P Gerais'!I10</f>
        <v>0</v>
      </c>
      <c r="Z41" s="219"/>
    </row>
    <row r="42" spans="1:42" s="2" customFormat="1" ht="30" customHeight="1" x14ac:dyDescent="0.2">
      <c r="A42" s="9"/>
      <c r="B42" s="234" t="s">
        <v>53</v>
      </c>
      <c r="C42" s="292" t="s">
        <v>76</v>
      </c>
      <c r="D42" s="292"/>
      <c r="E42" s="292"/>
      <c r="F42" s="243">
        <f t="shared" si="13"/>
        <v>0</v>
      </c>
      <c r="G42" s="244">
        <f>IF($M$41="Sistema de banco de horas",0,'P Gerais'!$C$14)</f>
        <v>0.5</v>
      </c>
      <c r="H42" s="245">
        <f t="shared" ca="1" si="14"/>
        <v>0</v>
      </c>
      <c r="I42" s="243">
        <f t="shared" ca="1" si="15"/>
        <v>0</v>
      </c>
      <c r="J42" s="245">
        <f t="shared" ref="J42:J51" ca="1" si="16">H42</f>
        <v>0</v>
      </c>
      <c r="K42" s="234"/>
      <c r="L42" s="234"/>
      <c r="M42" s="234"/>
      <c r="Z42" s="219"/>
    </row>
    <row r="43" spans="1:42" s="2" customFormat="1" ht="30" customHeight="1" x14ac:dyDescent="0.2">
      <c r="A43" s="9"/>
      <c r="B43" s="234" t="s">
        <v>54</v>
      </c>
      <c r="C43" s="292" t="s">
        <v>77</v>
      </c>
      <c r="D43" s="292"/>
      <c r="E43" s="292"/>
      <c r="F43" s="243">
        <f t="shared" si="13"/>
        <v>0</v>
      </c>
      <c r="G43" s="244">
        <f>IF($M$41="Sistema de banco de horas",0,'P Gerais'!$C$14)</f>
        <v>0.5</v>
      </c>
      <c r="H43" s="245">
        <f t="shared" ca="1" si="14"/>
        <v>0</v>
      </c>
      <c r="I43" s="243">
        <f t="shared" ca="1" si="15"/>
        <v>0</v>
      </c>
      <c r="J43" s="245">
        <f t="shared" ca="1" si="16"/>
        <v>0</v>
      </c>
      <c r="K43" s="234"/>
      <c r="L43" s="234"/>
      <c r="M43" s="234"/>
      <c r="Z43" s="219"/>
    </row>
    <row r="44" spans="1:42" s="2" customFormat="1" ht="30" customHeight="1" x14ac:dyDescent="0.2">
      <c r="A44" s="9"/>
      <c r="B44" s="234" t="s">
        <v>55</v>
      </c>
      <c r="C44" s="292" t="s">
        <v>78</v>
      </c>
      <c r="D44" s="292"/>
      <c r="E44" s="292"/>
      <c r="F44" s="243">
        <f t="shared" si="13"/>
        <v>0</v>
      </c>
      <c r="G44" s="244">
        <f>IF($M$41="Sistema de banco de horas",0,'P Gerais'!$C$14)</f>
        <v>0.5</v>
      </c>
      <c r="H44" s="245">
        <f t="shared" ca="1" si="14"/>
        <v>0</v>
      </c>
      <c r="I44" s="243">
        <f t="shared" ca="1" si="15"/>
        <v>0</v>
      </c>
      <c r="J44" s="245">
        <f t="shared" ca="1" si="16"/>
        <v>0</v>
      </c>
      <c r="K44" s="234"/>
      <c r="L44" s="234"/>
      <c r="M44" s="234"/>
      <c r="Z44" s="219"/>
    </row>
    <row r="45" spans="1:42" s="2" customFormat="1" ht="30" customHeight="1" x14ac:dyDescent="0.2">
      <c r="A45" s="9"/>
      <c r="B45" s="234" t="s">
        <v>56</v>
      </c>
      <c r="C45" s="292" t="s">
        <v>79</v>
      </c>
      <c r="D45" s="292"/>
      <c r="E45" s="292"/>
      <c r="F45" s="243">
        <f t="shared" si="13"/>
        <v>0</v>
      </c>
      <c r="G45" s="244">
        <f>IF($M$41="Sistema de banco de horas",0,'P Gerais'!$C$14)</f>
        <v>0.5</v>
      </c>
      <c r="H45" s="245">
        <f t="shared" ca="1" si="14"/>
        <v>0</v>
      </c>
      <c r="I45" s="243">
        <f t="shared" ca="1" si="15"/>
        <v>0</v>
      </c>
      <c r="J45" s="245">
        <f t="shared" ca="1" si="16"/>
        <v>0</v>
      </c>
      <c r="K45" s="234"/>
      <c r="L45" s="234"/>
      <c r="M45" s="234"/>
      <c r="Z45" s="219"/>
    </row>
    <row r="46" spans="1:42" s="2" customFormat="1" ht="30" customHeight="1" x14ac:dyDescent="0.2">
      <c r="A46" s="9"/>
      <c r="B46" s="234" t="s">
        <v>57</v>
      </c>
      <c r="C46" s="292" t="s">
        <v>82</v>
      </c>
      <c r="D46" s="292"/>
      <c r="E46" s="292"/>
      <c r="F46" s="243">
        <f t="shared" si="13"/>
        <v>0</v>
      </c>
      <c r="G46" s="244">
        <f>IF($M$41="Sistema de banco de horas",0,'P Gerais'!$E$14)</f>
        <v>0.5</v>
      </c>
      <c r="H46" s="245">
        <f t="shared" ca="1" si="14"/>
        <v>0</v>
      </c>
      <c r="I46" s="243">
        <f t="shared" ca="1" si="15"/>
        <v>0</v>
      </c>
      <c r="J46" s="245">
        <f t="shared" ca="1" si="16"/>
        <v>0</v>
      </c>
      <c r="K46" s="234"/>
      <c r="L46" s="234"/>
      <c r="M46" s="234"/>
      <c r="Z46" s="219"/>
    </row>
    <row r="47" spans="1:42" s="2" customFormat="1" ht="30" customHeight="1" x14ac:dyDescent="0.2">
      <c r="A47" s="9"/>
      <c r="B47" s="234" t="s">
        <v>51</v>
      </c>
      <c r="C47" s="292" t="s">
        <v>81</v>
      </c>
      <c r="D47" s="292"/>
      <c r="E47" s="292"/>
      <c r="F47" s="243">
        <f t="shared" si="13"/>
        <v>0</v>
      </c>
      <c r="G47" s="244">
        <f>IF($M$41="Sistema de banco de horas",0,'P Gerais'!$F$14)</f>
        <v>1</v>
      </c>
      <c r="H47" s="245">
        <f t="shared" ca="1" si="14"/>
        <v>0</v>
      </c>
      <c r="I47" s="243">
        <f t="shared" ca="1" si="15"/>
        <v>0</v>
      </c>
      <c r="J47" s="245">
        <f t="shared" ca="1" si="16"/>
        <v>0</v>
      </c>
      <c r="K47" s="234"/>
      <c r="L47" s="234"/>
      <c r="M47" s="234"/>
      <c r="Z47" s="219"/>
    </row>
    <row r="48" spans="1:42" s="2" customFormat="1" ht="30" customHeight="1" x14ac:dyDescent="0.2">
      <c r="A48" s="9"/>
      <c r="B48" s="234"/>
      <c r="C48" s="292" t="s">
        <v>80</v>
      </c>
      <c r="D48" s="292"/>
      <c r="E48" s="292"/>
      <c r="F48" s="243">
        <f>SUMIFS($Q$8:$Q$38,$G$8:$G$38,"Feriado")</f>
        <v>0</v>
      </c>
      <c r="G48" s="244">
        <f>IF($M$41="Sistema de banco de horas",0,'P Gerais'!$I$14)</f>
        <v>1</v>
      </c>
      <c r="H48" s="245">
        <f t="shared" ca="1" si="14"/>
        <v>0</v>
      </c>
      <c r="I48" s="243"/>
      <c r="J48" s="245">
        <f t="shared" ca="1" si="16"/>
        <v>0</v>
      </c>
      <c r="K48" s="234"/>
      <c r="L48" s="234"/>
      <c r="M48" s="234"/>
      <c r="Z48" s="219"/>
    </row>
    <row r="49" spans="1:26" s="2" customFormat="1" ht="15" x14ac:dyDescent="0.2">
      <c r="A49" s="9"/>
      <c r="B49" s="234"/>
      <c r="C49" s="292" t="s">
        <v>146</v>
      </c>
      <c r="D49" s="292"/>
      <c r="E49" s="292"/>
      <c r="F49" s="243">
        <f>SUMIFS($Q$8:$Q$38,$G$8:$G$38,"Folga (DSR)")</f>
        <v>0</v>
      </c>
      <c r="G49" s="244">
        <f>IF($M$41="Sistema de banco de horas",0,'P Gerais'!H14)</f>
        <v>1</v>
      </c>
      <c r="H49" s="245">
        <f ca="1">((F53/(F39-G39))*G39)</f>
        <v>0</v>
      </c>
      <c r="I49" s="243"/>
      <c r="J49" s="245">
        <f t="shared" ca="1" si="16"/>
        <v>0</v>
      </c>
      <c r="K49" s="234"/>
      <c r="L49" s="234"/>
      <c r="M49" s="234"/>
      <c r="Z49" s="219"/>
    </row>
    <row r="50" spans="1:26" s="2" customFormat="1" ht="15" x14ac:dyDescent="0.2">
      <c r="A50" s="9"/>
      <c r="B50" s="234"/>
      <c r="C50" s="292" t="s">
        <v>84</v>
      </c>
      <c r="D50" s="292"/>
      <c r="E50" s="292"/>
      <c r="F50" s="243">
        <f ca="1">IF($M$41="Sistema de banco de horas",(SUM(AI$8:AI$38)*(1+G50)),SUM(AI$8:AI$38))</f>
        <v>0</v>
      </c>
      <c r="G50" s="244">
        <f>IF($M$41="Sistema de banco de horas",0,'P Gerais'!$I$17)</f>
        <v>0.5</v>
      </c>
      <c r="H50" s="245">
        <f ca="1">IF($M$41="Sistema de banco de horas",0,$K$40*(1+G50)*(F50*24))</f>
        <v>0</v>
      </c>
      <c r="I50" s="243">
        <f ca="1">IF(SUM($AN$8:$AO$38)&gt;SUM(AI$8:AI$38),0,SUM(AI$8:AI$38)-SUM($AN$8:$AO$38))</f>
        <v>0</v>
      </c>
      <c r="J50" s="245">
        <f t="shared" ca="1" si="16"/>
        <v>0</v>
      </c>
      <c r="K50" s="234"/>
      <c r="L50" s="234"/>
      <c r="M50" s="234"/>
      <c r="Z50" s="219"/>
    </row>
    <row r="51" spans="1:26" s="2" customFormat="1" ht="15" x14ac:dyDescent="0.2">
      <c r="A51" s="9"/>
      <c r="B51" s="234"/>
      <c r="C51" s="292" t="s">
        <v>85</v>
      </c>
      <c r="D51" s="292"/>
      <c r="E51" s="292"/>
      <c r="F51" s="243">
        <f>IF($M$41="Sistema de banco de horas",(SUM(AK$8:AK$38)*(1+G51)),SUM(AK$8:AK$38))</f>
        <v>0</v>
      </c>
      <c r="G51" s="244">
        <f>IF($M$41="Sistema de banco de horas",0,'P Gerais'!$C$17)</f>
        <v>1</v>
      </c>
      <c r="H51" s="245">
        <f ca="1">IF($M$41="Sistema de banco de horas",0,$K$40*(1+G51)*(F51*24))</f>
        <v>0</v>
      </c>
      <c r="I51" s="243"/>
      <c r="J51" s="245">
        <f t="shared" ca="1" si="16"/>
        <v>0</v>
      </c>
      <c r="K51" s="234"/>
      <c r="L51" s="234"/>
      <c r="M51" s="234"/>
      <c r="Z51" s="219"/>
    </row>
    <row r="52" spans="1:26" s="2" customFormat="1" ht="15" customHeight="1" x14ac:dyDescent="0.2">
      <c r="A52" s="9"/>
      <c r="B52" s="234"/>
      <c r="C52" s="292" t="s">
        <v>87</v>
      </c>
      <c r="D52" s="292"/>
      <c r="E52" s="292"/>
      <c r="F52" s="243">
        <f ca="1">U12</f>
        <v>0</v>
      </c>
      <c r="G52" s="246"/>
      <c r="H52" s="234"/>
      <c r="I52" s="234"/>
      <c r="J52" s="234"/>
      <c r="K52" s="234"/>
      <c r="L52" s="234"/>
      <c r="M52" s="234"/>
      <c r="Z52" s="219"/>
    </row>
    <row r="53" spans="1:26" s="2" customFormat="1" ht="15" x14ac:dyDescent="0.2">
      <c r="A53" s="9"/>
      <c r="B53" s="234"/>
      <c r="C53" s="292" t="s">
        <v>299</v>
      </c>
      <c r="D53" s="292"/>
      <c r="E53" s="292"/>
      <c r="F53" s="247">
        <f ca="1">SUM(H48)+J50+H51+SUM(J41:J47)</f>
        <v>0</v>
      </c>
      <c r="G53" s="248"/>
      <c r="H53" s="234"/>
      <c r="I53" s="234"/>
      <c r="J53" s="234"/>
      <c r="K53" s="234"/>
      <c r="L53" s="234"/>
      <c r="M53" s="234"/>
      <c r="Z53" s="219"/>
    </row>
    <row r="54" spans="1:26" s="2" customFormat="1" ht="15" x14ac:dyDescent="0.2">
      <c r="A54" s="9"/>
      <c r="B54" s="234"/>
      <c r="C54" s="292" t="s">
        <v>88</v>
      </c>
      <c r="D54" s="292"/>
      <c r="E54" s="292"/>
      <c r="F54" s="247">
        <f ca="1">F53+(H49*(1+G49))</f>
        <v>0</v>
      </c>
      <c r="G54" s="248"/>
      <c r="H54" s="249"/>
      <c r="I54" s="234"/>
      <c r="J54" s="234"/>
      <c r="K54" s="234"/>
      <c r="L54" s="234"/>
      <c r="M54" s="234"/>
      <c r="Z54" s="219"/>
    </row>
    <row r="55" spans="1:26" s="2" customFormat="1" ht="15" x14ac:dyDescent="0.2">
      <c r="A55" s="9"/>
      <c r="B55" s="234"/>
      <c r="C55" s="292" t="s">
        <v>89</v>
      </c>
      <c r="D55" s="292"/>
      <c r="E55" s="292"/>
      <c r="F55" s="247">
        <f ca="1">H40+F54</f>
        <v>0</v>
      </c>
      <c r="G55" s="246"/>
      <c r="H55" s="234"/>
      <c r="I55" s="234"/>
      <c r="J55" s="234"/>
      <c r="K55" s="234"/>
      <c r="L55" s="234"/>
      <c r="M55" s="234"/>
      <c r="Z55" s="219"/>
    </row>
    <row r="56" spans="1:26" s="2" customFormat="1" ht="15" x14ac:dyDescent="0.2">
      <c r="A56" s="9"/>
      <c r="B56" s="234"/>
      <c r="C56" s="292" t="s">
        <v>178</v>
      </c>
      <c r="D56" s="292"/>
      <c r="E56" s="292"/>
      <c r="F56" s="243">
        <f>IF($M$41="Sistema de banco de horas",(SUMIF($G$8:$G$38,"Férias",Q8:Q38))*(1+G48),SUMIF($G$8:$G$38,"Férias",Q8:Q38))</f>
        <v>0</v>
      </c>
      <c r="G56" s="246"/>
      <c r="H56" s="234"/>
      <c r="I56" s="234"/>
      <c r="J56" s="234"/>
      <c r="K56" s="234"/>
      <c r="L56" s="234"/>
      <c r="M56" s="234"/>
      <c r="Z56" s="219"/>
    </row>
    <row r="57" spans="1:26" s="2" customFormat="1" ht="15" x14ac:dyDescent="0.2">
      <c r="A57" s="9"/>
      <c r="B57" s="234"/>
      <c r="C57" s="239"/>
      <c r="D57" s="239"/>
      <c r="E57" s="239"/>
      <c r="F57" s="250">
        <f ca="1">U14</f>
        <v>0</v>
      </c>
      <c r="G57" s="246"/>
      <c r="H57" s="234"/>
      <c r="I57" s="234"/>
      <c r="J57" s="234"/>
      <c r="K57" s="234"/>
      <c r="L57" s="234"/>
      <c r="M57" s="234"/>
      <c r="Z57" s="219"/>
    </row>
    <row r="58" spans="1:26" s="2" customFormat="1" ht="15" x14ac:dyDescent="0.2">
      <c r="A58" s="9"/>
      <c r="B58" s="234"/>
      <c r="C58" s="239"/>
      <c r="D58" s="239"/>
      <c r="E58" s="239"/>
      <c r="F58" s="243">
        <f ca="1">SUM(F41:F51)</f>
        <v>0</v>
      </c>
      <c r="G58" s="246"/>
      <c r="H58" s="234"/>
      <c r="I58" s="234"/>
      <c r="J58" s="234"/>
      <c r="K58" s="234"/>
      <c r="L58" s="234"/>
      <c r="M58" s="234"/>
      <c r="Z58" s="219"/>
    </row>
    <row r="59" spans="1:26" s="2" customFormat="1" ht="15" x14ac:dyDescent="0.2">
      <c r="A59" s="9"/>
      <c r="Z59" s="219"/>
    </row>
    <row r="60" spans="1:26" s="2" customFormat="1" ht="15" x14ac:dyDescent="0.2">
      <c r="A60" s="9"/>
      <c r="G60" s="178"/>
      <c r="Z60" s="219"/>
    </row>
    <row r="61" spans="1:26" ht="15" x14ac:dyDescent="0.2"/>
    <row r="62" spans="1:26" ht="15" x14ac:dyDescent="0.2"/>
    <row r="63" spans="1:26" ht="15" x14ac:dyDescent="0.2"/>
    <row r="64" spans="1:26" ht="15" x14ac:dyDescent="0.2"/>
    <row r="65" ht="15" x14ac:dyDescent="0.2"/>
    <row r="66" ht="15" x14ac:dyDescent="0.2"/>
    <row r="67" ht="15" x14ac:dyDescent="0.2"/>
    <row r="68" ht="15" x14ac:dyDescent="0.2"/>
    <row r="69" ht="15" x14ac:dyDescent="0.2"/>
    <row r="70" ht="15" x14ac:dyDescent="0.2"/>
    <row r="71" ht="15" x14ac:dyDescent="0.2"/>
    <row r="72" ht="15" x14ac:dyDescent="0.2"/>
    <row r="73" ht="15" x14ac:dyDescent="0.2"/>
    <row r="74" ht="15" x14ac:dyDescent="0.2"/>
    <row r="75" ht="15" x14ac:dyDescent="0.2"/>
    <row r="76" ht="15" x14ac:dyDescent="0.2"/>
    <row r="77" ht="15" x14ac:dyDescent="0.2"/>
    <row r="78" ht="15" x14ac:dyDescent="0.2"/>
    <row r="79" ht="15" x14ac:dyDescent="0.2"/>
    <row r="80" ht="15" x14ac:dyDescent="0.2"/>
    <row r="81" ht="15" x14ac:dyDescent="0.2"/>
    <row r="82" ht="15" x14ac:dyDescent="0.2"/>
    <row r="83" ht="15" x14ac:dyDescent="0.2"/>
    <row r="84" ht="15" x14ac:dyDescent="0.2"/>
    <row r="85" ht="15" x14ac:dyDescent="0.2"/>
    <row r="86" ht="15" x14ac:dyDescent="0.2"/>
    <row r="87" ht="15" x14ac:dyDescent="0.2"/>
    <row r="88" ht="15" x14ac:dyDescent="0.2"/>
    <row r="89" ht="15" x14ac:dyDescent="0.2"/>
    <row r="90" ht="15" x14ac:dyDescent="0.2"/>
    <row r="91" ht="15" x14ac:dyDescent="0.2"/>
    <row r="92" ht="15" x14ac:dyDescent="0.2"/>
    <row r="93" ht="15" x14ac:dyDescent="0.2"/>
    <row r="94" ht="15" x14ac:dyDescent="0.2"/>
    <row r="95" ht="15" x14ac:dyDescent="0.2"/>
    <row r="96" ht="15" x14ac:dyDescent="0.2"/>
    <row r="97" ht="15" x14ac:dyDescent="0.2"/>
    <row r="98" ht="15" x14ac:dyDescent="0.2"/>
    <row r="99" ht="15" x14ac:dyDescent="0.2"/>
    <row r="100" ht="15" x14ac:dyDescent="0.2"/>
    <row r="101" ht="15" x14ac:dyDescent="0.2"/>
    <row r="102" ht="15" x14ac:dyDescent="0.2"/>
    <row r="103" ht="15" x14ac:dyDescent="0.2"/>
  </sheetData>
  <sheetProtection sheet="1" objects="1" scenarios="1" selectLockedCells="1"/>
  <mergeCells count="34">
    <mergeCell ref="C56:E56"/>
    <mergeCell ref="C48:E48"/>
    <mergeCell ref="C49:E49"/>
    <mergeCell ref="C50:E50"/>
    <mergeCell ref="C52:E52"/>
    <mergeCell ref="C53:E53"/>
    <mergeCell ref="C54:E54"/>
    <mergeCell ref="C51:E51"/>
    <mergeCell ref="C44:E44"/>
    <mergeCell ref="C55:E55"/>
    <mergeCell ref="C45:E45"/>
    <mergeCell ref="C46:E46"/>
    <mergeCell ref="C47:E47"/>
    <mergeCell ref="S22:U22"/>
    <mergeCell ref="C41:E41"/>
    <mergeCell ref="C42:E42"/>
    <mergeCell ref="C43:E43"/>
    <mergeCell ref="S26:U28"/>
    <mergeCell ref="S23:U25"/>
    <mergeCell ref="E7:F7"/>
    <mergeCell ref="I7:J7"/>
    <mergeCell ref="S7:U7"/>
    <mergeCell ref="S8:T9"/>
    <mergeCell ref="U8:U9"/>
    <mergeCell ref="S16:T17"/>
    <mergeCell ref="U16:U17"/>
    <mergeCell ref="S18:T19"/>
    <mergeCell ref="S10:T11"/>
    <mergeCell ref="U10:U11"/>
    <mergeCell ref="S12:T13"/>
    <mergeCell ref="U12:U13"/>
    <mergeCell ref="S14:T15"/>
    <mergeCell ref="U14:U15"/>
    <mergeCell ref="U18:U19"/>
  </mergeCells>
  <phoneticPr fontId="50" type="noConversion"/>
  <conditionalFormatting sqref="M8:M36">
    <cfRule type="cellIs" dxfId="1185" priority="244" operator="greaterThan">
      <formula>0</formula>
    </cfRule>
  </conditionalFormatting>
  <conditionalFormatting sqref="N36 L36:L37">
    <cfRule type="expression" dxfId="1184" priority="211">
      <formula>AND($E36&lt;$E$35,$E$8=1)</formula>
    </cfRule>
    <cfRule type="expression" dxfId="1183" priority="212">
      <formula>AND($E36&gt;=$E$8,$E$8&lt;&gt;1)</formula>
    </cfRule>
  </conditionalFormatting>
  <conditionalFormatting sqref="E36:E38">
    <cfRule type="expression" dxfId="1182" priority="209">
      <formula>AND($E36&lt;$E$35,$E$8=1)</formula>
    </cfRule>
    <cfRule type="expression" dxfId="1181" priority="210">
      <formula>AND($E36&gt;=$E$8,$E$8&lt;&gt;1)</formula>
    </cfRule>
  </conditionalFormatting>
  <conditionalFormatting sqref="O8:O36">
    <cfRule type="cellIs" dxfId="1180" priority="204" operator="greaterThan">
      <formula>0.000001</formula>
    </cfRule>
  </conditionalFormatting>
  <conditionalFormatting sqref="O36">
    <cfRule type="expression" dxfId="1179" priority="202">
      <formula>AND($E36&lt;$E$35,$E$8=1)</formula>
    </cfRule>
    <cfRule type="expression" dxfId="1178" priority="203">
      <formula>AND($E36&gt;=$E$8,$E$8&lt;&gt;1)</formula>
    </cfRule>
  </conditionalFormatting>
  <conditionalFormatting sqref="M37">
    <cfRule type="cellIs" dxfId="1177" priority="175" operator="greaterThan">
      <formula>0</formula>
    </cfRule>
  </conditionalFormatting>
  <conditionalFormatting sqref="N37">
    <cfRule type="expression" dxfId="1176" priority="173">
      <formula>AND($E37&lt;$E$35,$E$8=1)</formula>
    </cfRule>
    <cfRule type="expression" dxfId="1175" priority="174">
      <formula>AND($E37&gt;=$E$8,$E$8&lt;&gt;1)</formula>
    </cfRule>
  </conditionalFormatting>
  <conditionalFormatting sqref="O37">
    <cfRule type="cellIs" dxfId="1174" priority="169" operator="greaterThan">
      <formula>0.000001</formula>
    </cfRule>
  </conditionalFormatting>
  <conditionalFormatting sqref="O37">
    <cfRule type="expression" dxfId="1173" priority="167">
      <formula>AND($E37&lt;$E$35,$E$8=1)</formula>
    </cfRule>
    <cfRule type="expression" dxfId="1172" priority="168">
      <formula>AND($E37&gt;=$E$8,$E$8&lt;&gt;1)</formula>
    </cfRule>
  </conditionalFormatting>
  <conditionalFormatting sqref="F8:F38">
    <cfRule type="containsText" dxfId="1171" priority="153" operator="containsText" text="Dom">
      <formula>NOT(ISERROR(SEARCH("Dom",F8)))</formula>
    </cfRule>
    <cfRule type="containsText" dxfId="1170" priority="154" operator="containsText" text="Sáb">
      <formula>NOT(ISERROR(SEARCH("Sáb",F8)))</formula>
    </cfRule>
  </conditionalFormatting>
  <conditionalFormatting sqref="Q8:Q37">
    <cfRule type="cellIs" dxfId="1169" priority="123" operator="greaterThan">
      <formula>0.000001</formula>
    </cfRule>
  </conditionalFormatting>
  <conditionalFormatting sqref="O38">
    <cfRule type="cellIs" dxfId="1168" priority="57" operator="greaterThan">
      <formula>0.000001</formula>
    </cfRule>
  </conditionalFormatting>
  <conditionalFormatting sqref="M38">
    <cfRule type="cellIs" dxfId="1167" priority="58" operator="greaterThan">
      <formula>0</formula>
    </cfRule>
  </conditionalFormatting>
  <conditionalFormatting sqref="L38:O38">
    <cfRule type="expression" dxfId="1166" priority="56">
      <formula>AND($E38&gt;=$E$8,$E$8&lt;&gt;1)</formula>
    </cfRule>
  </conditionalFormatting>
  <conditionalFormatting sqref="G38:K38">
    <cfRule type="expression" dxfId="1165" priority="43">
      <formula>OR($G38="Férias",$G38="Falta Injustificada")</formula>
    </cfRule>
    <cfRule type="expression" dxfId="1164" priority="44">
      <formula>$G38="Folga (DSR)"</formula>
    </cfRule>
    <cfRule type="expression" dxfId="1163" priority="45">
      <formula>$G38="Feriado"</formula>
    </cfRule>
    <cfRule type="expression" dxfId="1162" priority="46">
      <formula>$F38="Dom"</formula>
    </cfRule>
  </conditionalFormatting>
  <conditionalFormatting sqref="H38:K38">
    <cfRule type="expression" dxfId="1161" priority="42">
      <formula>OR($G38="Falta Justificada",$G38="Falta Injustificada")</formula>
    </cfRule>
  </conditionalFormatting>
  <conditionalFormatting sqref="Q38">
    <cfRule type="cellIs" dxfId="1160" priority="39" operator="greaterThan">
      <formula>0.000001</formula>
    </cfRule>
  </conditionalFormatting>
  <conditionalFormatting sqref="L38:Q38">
    <cfRule type="expression" dxfId="1159" priority="55">
      <formula>AND($E38&lt;$E$35,$E$8=1)</formula>
    </cfRule>
  </conditionalFormatting>
  <conditionalFormatting sqref="G38:Q38">
    <cfRule type="expression" dxfId="1158" priority="40">
      <formula>AND($E38&lt;$E$35,$E$8=1)</formula>
    </cfRule>
    <cfRule type="expression" dxfId="1157" priority="41">
      <formula>AND($E38&gt;=$E$8,$E$8&lt;&gt;1)</formula>
    </cfRule>
  </conditionalFormatting>
  <conditionalFormatting sqref="H37:K37">
    <cfRule type="expression" dxfId="1156" priority="32">
      <formula>OR($G37="Férias",$G37="Falta Injustificada")</formula>
    </cfRule>
    <cfRule type="expression" dxfId="1155" priority="33">
      <formula>$G37="Folga (DSR)"</formula>
    </cfRule>
    <cfRule type="expression" dxfId="1154" priority="34">
      <formula>$G37="Feriado"</formula>
    </cfRule>
    <cfRule type="expression" dxfId="1153" priority="35">
      <formula>$F37="Dom"</formula>
    </cfRule>
  </conditionalFormatting>
  <conditionalFormatting sqref="H37:K37">
    <cfRule type="expression" dxfId="1152" priority="29">
      <formula>AND($E37&lt;$E$35,$E$8=1)</formula>
    </cfRule>
    <cfRule type="expression" dxfId="1151" priority="30">
      <formula>AND($E37&gt;=$E$8,$E$8&lt;&gt;1)</formula>
    </cfRule>
  </conditionalFormatting>
  <conditionalFormatting sqref="H37:K37">
    <cfRule type="expression" dxfId="1150" priority="31">
      <formula>OR($G37="Falta Justificada",$G37="Falta Injustificada")</formula>
    </cfRule>
  </conditionalFormatting>
  <conditionalFormatting sqref="G8:K8 H9:K35 G9:G37">
    <cfRule type="expression" dxfId="1149" priority="25">
      <formula>OR($G8="Férias",$G8="Falta Injustificada")</formula>
    </cfRule>
    <cfRule type="expression" dxfId="1148" priority="26">
      <formula>$G8="Folga (DSR)"</formula>
    </cfRule>
    <cfRule type="expression" dxfId="1147" priority="27">
      <formula>$G8="Feriado"</formula>
    </cfRule>
    <cfRule type="expression" dxfId="1146" priority="28">
      <formula>$F8="Dom"</formula>
    </cfRule>
  </conditionalFormatting>
  <conditionalFormatting sqref="H8:K35">
    <cfRule type="expression" dxfId="1145" priority="24">
      <formula>OR($G8="Falta Justificada",$G8="Falta Injustificada")</formula>
    </cfRule>
  </conditionalFormatting>
  <conditionalFormatting sqref="H36:K36">
    <cfRule type="expression" dxfId="1144" priority="20">
      <formula>OR($G36="Férias",$G36="Falta Injustificada")</formula>
    </cfRule>
    <cfRule type="expression" dxfId="1143" priority="21">
      <formula>$G36="Folga (DSR)"</formula>
    </cfRule>
    <cfRule type="expression" dxfId="1142" priority="22">
      <formula>$G36="Feriado"</formula>
    </cfRule>
    <cfRule type="expression" dxfId="1141" priority="23">
      <formula>$F36="Dom"</formula>
    </cfRule>
  </conditionalFormatting>
  <conditionalFormatting sqref="H36:K36">
    <cfRule type="expression" dxfId="1140" priority="17">
      <formula>AND($E36&lt;$E$35,$E$8=1)</formula>
    </cfRule>
    <cfRule type="expression" dxfId="1139" priority="18">
      <formula>AND($E36&gt;=$E$8,$E$8&lt;&gt;1)</formula>
    </cfRule>
  </conditionalFormatting>
  <conditionalFormatting sqref="H36:K36">
    <cfRule type="expression" dxfId="1138" priority="19">
      <formula>OR($G36="Falta Justificada",$G36="Falta Injustificada")</formula>
    </cfRule>
  </conditionalFormatting>
  <conditionalFormatting sqref="U10:U11">
    <cfRule type="expression" dxfId="1137" priority="8">
      <formula>$V$11="Negativo"</formula>
    </cfRule>
  </conditionalFormatting>
  <conditionalFormatting sqref="U12:U13">
    <cfRule type="expression" dxfId="1136" priority="576">
      <formula>$U$14&gt;$F$58</formula>
    </cfRule>
  </conditionalFormatting>
  <conditionalFormatting sqref="F40">
    <cfRule type="expression" dxfId="1135" priority="577">
      <formula>$E40="Folga(DSR)"</formula>
    </cfRule>
    <cfRule type="expression" dxfId="1134" priority="578">
      <formula>$E40="Feriado"</formula>
    </cfRule>
    <cfRule type="expression" dxfId="1133" priority="579">
      <formula>$D40="Dom"</formula>
    </cfRule>
  </conditionalFormatting>
  <dataValidations count="3">
    <dataValidation type="list" allowBlank="1" showInputMessage="1" showErrorMessage="1" sqref="G8:G38">
      <formula1>"Normal,Feriado,Folga (DSR),Falta Justificada,Férias,Falta Injustificada"</formula1>
    </dataValidation>
    <dataValidation type="time" allowBlank="1" showInputMessage="1" showErrorMessage="1" sqref="H8:K38">
      <formula1>0</formula1>
      <formula2>0.999988425925926</formula2>
    </dataValidation>
    <dataValidation type="list" allowBlank="1" showInputMessage="1" showErrorMessage="1" sqref="E9:E35">
      <formula1>"1,5,10,16"</formula1>
    </dataValidation>
  </dataValidations>
  <hyperlinks>
    <hyperlink ref="C8" location="Lanç!A1" display="Lanç!A1"/>
    <hyperlink ref="C9" location="'Lanç (2)'!A1" display="'Lanç (2)'!A1"/>
    <hyperlink ref="C10" location="'Lanç (3)'!A1" display="'Lanç (3)'!A1"/>
    <hyperlink ref="C11" location="'Lanç (4)'!A1" display="'Lanç (4)'!A1"/>
    <hyperlink ref="C12" location="'Lanç (5)'!A1" display="'Lanç (5)'!A1"/>
    <hyperlink ref="C13" location="'Lanç (6)'!A1" display="'Lanç (6)'!A1"/>
    <hyperlink ref="C14" location="'Lanç (7)'!A1" display="'Lanç (7)'!A1"/>
    <hyperlink ref="C15" location="'Lanç (8)'!A1" display="'Lanç (8)'!A1"/>
    <hyperlink ref="C16" location="'Lanç (9)'!A1" display="'Lanç (9)'!A1"/>
    <hyperlink ref="C17" location="'Lanç (10)'!A1" display="'Lanç (10)'!A1"/>
    <hyperlink ref="C18" location="'Lanç (11)'!A1" display="'Lanç (11)'!A1"/>
    <hyperlink ref="C19" location="'Lanç (12)'!A1" display="'Lanç (12)'!A1"/>
    <hyperlink ref="C20" location="'Lanç (13)'!A1" display="'Lanç (13)'!A1"/>
    <hyperlink ref="C21" location="'Lanç (14)'!A1" display="'Lanç (14)'!A1"/>
    <hyperlink ref="C22" location="'Lanç (15)'!A1" display="'Lanç (15)'!A1"/>
    <hyperlink ref="C23" location="'Lanç (16)'!A1" display="'Lanç (16)'!A1"/>
    <hyperlink ref="C24" location="'Lanç (17)'!A1" display="'Lanç (17)'!A1"/>
    <hyperlink ref="C25" location="'Lanç (18)'!A1" display="'Lanç (18)'!A1"/>
    <hyperlink ref="C26" location="'Lanç (19)'!A1" display="'Lanç (19)'!A1"/>
    <hyperlink ref="C27" location="'Lanç (20)'!A1" display="'Lanç (20)'!A1"/>
    <hyperlink ref="C28" location="'Lanç (21)'!A1" display="'Lanç (21)'!A1"/>
    <hyperlink ref="C29" location="'Lanç (22)'!A1" display="'Lanç (22)'!A1"/>
    <hyperlink ref="C30" location="'Lanç (23)'!A1" display="'Lanç (23)'!A1"/>
    <hyperlink ref="C31" location="'Lanç (24)'!A1" display="'Lanç (24)'!A1"/>
    <hyperlink ref="C32" location="'Lanç (25)'!A1" display="'Lanç (25)'!A1"/>
    <hyperlink ref="C33" location="'Lanç (26)'!A1" display="'Lanç (26)'!A1"/>
    <hyperlink ref="C34" location="'Lanç (27)'!A1" display="'Lanç (27)'!A1"/>
    <hyperlink ref="C35" location="'Lanç (28)'!A1" display="'Lanç (28)'!A1"/>
    <hyperlink ref="C36" location="'Lanç (29)'!A1" display="'Lanç (29)'!A1"/>
    <hyperlink ref="C37" location="'Lanç (30)'!A1" display="'Lanç (30)'!A1"/>
  </hyperlinks>
  <printOptions horizontalCentered="1"/>
  <pageMargins left="0.23622047244094502" right="0.23622047244094502" top="0.74803149606299202" bottom="0.74803149606299202" header="0.31496062992126" footer="0.31496062992126"/>
  <pageSetup paperSize="9" scale="53" orientation="portrait" cellComments="atEnd"/>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115" id="{4AB6DF75-2C14-E948-9AF1-8625556A0E93}">
            <xm:f>'P Gerais'!$I$10:$M$10="Pagas em Dinheiro"</xm:f>
            <x14:dxf>
              <font>
                <color theme="0"/>
              </font>
              <fill>
                <patternFill>
                  <bgColor theme="0"/>
                </patternFill>
              </fill>
              <border>
                <left/>
                <right/>
                <top/>
                <bottom/>
              </border>
            </x14:dxf>
          </x14:cfRule>
          <xm:sqref>S10:T13</xm:sqref>
        </x14:conditionalFormatting>
        <x14:conditionalFormatting xmlns:xm="http://schemas.microsoft.com/office/excel/2006/main">
          <x14:cfRule type="expression" priority="114" id="{CB66A990-816B-1347-8298-149B1DDA4CA8}">
            <xm:f>'P Gerais'!$I$10:$M$10="Sistema de banco de horas"</xm:f>
            <x14:dxf>
              <font>
                <color theme="0"/>
              </font>
              <fill>
                <patternFill>
                  <bgColor theme="0"/>
                </patternFill>
              </fill>
              <border>
                <left/>
                <right/>
                <top/>
                <bottom/>
              </border>
            </x14:dxf>
          </x14:cfRule>
          <xm:sqref>S18:T19</xm:sqref>
        </x14:conditionalFormatting>
        <x14:conditionalFormatting xmlns:xm="http://schemas.microsoft.com/office/excel/2006/main">
          <x14:cfRule type="expression" priority="10" id="{CBEC9BF4-14C7-744E-807D-3C37C5E3969C}">
            <xm:f>'P Gerais'!$I$10:$M$10="Sistema de banco de horas"</xm:f>
            <x14:dxf>
              <font>
                <color theme="0"/>
              </font>
              <fill>
                <patternFill>
                  <bgColor theme="0"/>
                </patternFill>
              </fill>
              <border>
                <left/>
                <right/>
                <top/>
                <bottom/>
              </border>
            </x14:dxf>
          </x14:cfRule>
          <xm:sqref>U18:U19</xm:sqref>
        </x14:conditionalFormatting>
        <x14:conditionalFormatting xmlns:xm="http://schemas.microsoft.com/office/excel/2006/main">
          <x14:cfRule type="expression" priority="7" id="{861DB979-6ABE-9448-9F10-D5A8D55BE5BF}">
            <xm:f>'P Gerais'!$I$10:$M$10="Pagas em Dinheiro"</xm:f>
            <x14:dxf>
              <font>
                <color theme="0"/>
              </font>
              <fill>
                <patternFill>
                  <bgColor theme="0"/>
                </patternFill>
              </fill>
              <border>
                <left/>
                <right/>
                <top/>
                <bottom/>
              </border>
            </x14:dxf>
          </x14:cfRule>
          <xm:sqref>U10:U13</xm:sqref>
        </x14:conditionalFormatting>
      </x14:conditionalFormatting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10" enableFormatConditionsCalculation="0"/>
  <dimension ref="A1:BG103"/>
  <sheetViews>
    <sheetView showGridLines="0" zoomScale="90" zoomScaleNormal="90" zoomScalePageLayoutView="90" workbookViewId="0">
      <selection activeCell="G18" sqref="G18"/>
    </sheetView>
  </sheetViews>
  <sheetFormatPr baseColWidth="10" defaultColWidth="9.1640625" defaultRowHeight="0" customHeight="1" zeroHeight="1" x14ac:dyDescent="0.2"/>
  <cols>
    <col min="1" max="1" width="27.83203125" style="194" customWidth="1"/>
    <col min="2" max="2" width="3.83203125" style="14" customWidth="1"/>
    <col min="3" max="3" width="33.33203125" style="14" customWidth="1"/>
    <col min="4" max="4" width="2.83203125" style="14" customWidth="1"/>
    <col min="5" max="5" width="5.83203125" style="14" customWidth="1"/>
    <col min="6" max="6" width="11.83203125" style="14" customWidth="1"/>
    <col min="7" max="7" width="14.33203125" style="195" customWidth="1"/>
    <col min="8" max="11" width="9.83203125" style="14" customWidth="1"/>
    <col min="12" max="12" width="1.83203125" style="14" customWidth="1"/>
    <col min="13" max="13" width="13.33203125" style="14" customWidth="1"/>
    <col min="14" max="14" width="1.83203125" style="14" customWidth="1"/>
    <col min="15" max="15" width="13.33203125" style="14" customWidth="1"/>
    <col min="16" max="16" width="6.5" style="14" customWidth="1"/>
    <col min="17" max="17" width="13.33203125" style="14" customWidth="1"/>
    <col min="18" max="18" width="4.83203125" style="2" bestFit="1" customWidth="1"/>
    <col min="19" max="21" width="11.83203125" style="14" customWidth="1"/>
    <col min="22" max="23" width="8.83203125" style="2" customWidth="1"/>
    <col min="24" max="24" width="11.33203125" style="2" bestFit="1" customWidth="1"/>
    <col min="25" max="25" width="8.83203125" style="2" customWidth="1"/>
    <col min="26" max="26" width="8.1640625" style="219" bestFit="1" customWidth="1"/>
    <col min="27" max="27" width="8.83203125" style="2" customWidth="1"/>
    <col min="28" max="28" width="11.33203125" style="2" bestFit="1" customWidth="1"/>
    <col min="29" max="43" width="8.83203125" style="2" customWidth="1"/>
    <col min="44" max="50" width="11.33203125" style="2" customWidth="1"/>
    <col min="51" max="57" width="11.33203125" style="14" customWidth="1"/>
    <col min="58" max="16384" width="9.1640625" style="14"/>
  </cols>
  <sheetData>
    <row r="1" spans="1:59" s="15" customFormat="1" ht="33.75" customHeight="1" x14ac:dyDescent="0.3">
      <c r="A1" s="56"/>
      <c r="B1" s="3"/>
      <c r="C1" s="4" t="s">
        <v>30</v>
      </c>
      <c r="D1" s="3"/>
      <c r="E1" s="3"/>
      <c r="F1" s="3"/>
      <c r="G1" s="77"/>
      <c r="H1" s="3"/>
      <c r="I1" s="3"/>
      <c r="J1" s="3"/>
      <c r="K1" s="3"/>
      <c r="M1" s="3"/>
      <c r="O1" s="3"/>
      <c r="Q1" s="3"/>
      <c r="S1" s="3"/>
      <c r="T1" s="3"/>
      <c r="U1" s="3"/>
      <c r="Z1" s="174"/>
    </row>
    <row r="2" spans="1:59" s="15" customFormat="1" ht="21.5" customHeight="1" x14ac:dyDescent="0.2">
      <c r="A2" s="1"/>
      <c r="B2" s="3"/>
      <c r="C2" s="3"/>
      <c r="D2" s="3"/>
      <c r="E2" s="3"/>
      <c r="F2" s="3"/>
      <c r="G2" s="77"/>
      <c r="H2" s="3"/>
      <c r="I2" s="3"/>
      <c r="J2" s="3"/>
      <c r="K2" s="3"/>
      <c r="M2" s="3"/>
      <c r="O2" s="3"/>
      <c r="Q2" s="3"/>
      <c r="S2" s="3"/>
      <c r="T2" s="3"/>
      <c r="U2" s="3"/>
      <c r="Z2" s="174"/>
    </row>
    <row r="3" spans="1:59" s="15" customFormat="1" ht="21.5" customHeight="1" x14ac:dyDescent="0.2">
      <c r="A3" s="1"/>
      <c r="B3" s="3"/>
      <c r="C3" s="3"/>
      <c r="D3" s="3"/>
      <c r="E3" s="3"/>
      <c r="F3" s="3"/>
      <c r="G3" s="77"/>
      <c r="H3" s="3"/>
      <c r="I3" s="3"/>
      <c r="J3" s="3"/>
      <c r="K3" s="3"/>
      <c r="M3" s="3"/>
      <c r="O3" s="3"/>
      <c r="Q3" s="3"/>
      <c r="S3" s="3"/>
      <c r="T3" s="3"/>
      <c r="U3" s="3"/>
      <c r="Z3" s="174"/>
    </row>
    <row r="4" spans="1:59" s="2" customFormat="1" ht="30" customHeight="1" x14ac:dyDescent="0.2">
      <c r="A4" s="1"/>
      <c r="B4"/>
      <c r="C4"/>
      <c r="D4"/>
      <c r="E4"/>
      <c r="F4"/>
      <c r="G4" s="78"/>
      <c r="H4"/>
      <c r="I4"/>
      <c r="J4"/>
      <c r="K4"/>
      <c r="M4"/>
      <c r="O4" s="13"/>
      <c r="Q4"/>
      <c r="S4"/>
      <c r="T4"/>
      <c r="U4"/>
      <c r="Z4" s="219"/>
      <c r="AN4" s="175"/>
    </row>
    <row r="5" spans="1:59" s="2" customFormat="1" ht="30" customHeight="1" x14ac:dyDescent="0.2">
      <c r="A5" s="9"/>
      <c r="C5" s="160" t="s">
        <v>191</v>
      </c>
      <c r="K5" s="157">
        <f ca="1">IF(ISERROR(VLOOKUP(INDIRECT($C$5),Jornada!$C$8:$F$37,4,0)),0,VLOOKUP(INDIRECT($C$5),Jornada!$C$8:$F$37,4,0))</f>
        <v>0</v>
      </c>
      <c r="L5" s="158"/>
      <c r="M5" s="157">
        <f ca="1">IF(ISERROR(VLOOKUP(INDIRECT($C$5),Jornada!$C$8:$G$37,5,0)),0,VLOOKUP(INDIRECT($C$5),Jornada!$C$8:$G$37,5,0))</f>
        <v>0</v>
      </c>
      <c r="O5" s="12"/>
      <c r="U5" s="12"/>
      <c r="Z5" s="219"/>
      <c r="AC5" s="12"/>
      <c r="AK5" s="179">
        <v>0.25</v>
      </c>
      <c r="AL5" s="155">
        <v>0.91666666666666663</v>
      </c>
      <c r="AM5" s="155">
        <v>0.20833333333333334</v>
      </c>
      <c r="AN5" s="155">
        <v>1</v>
      </c>
      <c r="AO5" s="155">
        <v>0.70833333333333337</v>
      </c>
    </row>
    <row r="6" spans="1:59" s="2" customFormat="1" ht="8" customHeight="1" thickBot="1" x14ac:dyDescent="0.25">
      <c r="A6" s="9"/>
      <c r="C6" s="198"/>
      <c r="G6" s="178"/>
      <c r="M6" s="220">
        <v>1</v>
      </c>
      <c r="O6" s="156"/>
      <c r="Q6" s="156"/>
      <c r="Z6" s="176"/>
    </row>
    <row r="7" spans="1:59" s="2" customFormat="1" ht="30" customHeight="1" thickTop="1" thickBot="1" x14ac:dyDescent="0.25">
      <c r="A7" s="1"/>
      <c r="B7"/>
      <c r="C7" s="76" t="s">
        <v>176</v>
      </c>
      <c r="D7"/>
      <c r="E7" s="281" t="str">
        <f>Lanç!E7</f>
        <v>Janeiro</v>
      </c>
      <c r="F7" s="283"/>
      <c r="G7" s="79" t="s">
        <v>58</v>
      </c>
      <c r="H7" s="82" t="s">
        <v>0</v>
      </c>
      <c r="I7" s="293" t="s">
        <v>59</v>
      </c>
      <c r="J7" s="293"/>
      <c r="K7" s="82" t="s">
        <v>60</v>
      </c>
      <c r="M7" s="73" t="s">
        <v>61</v>
      </c>
      <c r="O7" s="73" t="s">
        <v>62</v>
      </c>
      <c r="Q7" s="73" t="s">
        <v>63</v>
      </c>
      <c r="R7" s="155">
        <v>8.3333333333333329E-2</v>
      </c>
      <c r="S7" s="293" t="s">
        <v>64</v>
      </c>
      <c r="T7" s="293"/>
      <c r="U7" s="293"/>
      <c r="W7" s="2" t="s">
        <v>90</v>
      </c>
      <c r="X7" s="156">
        <v>1</v>
      </c>
      <c r="AB7" s="2">
        <f>VLOOKUP($E$7,$W$7:$X$18,2,0)</f>
        <v>1</v>
      </c>
      <c r="AG7" s="176" t="s">
        <v>167</v>
      </c>
      <c r="AH7" s="176" t="s">
        <v>168</v>
      </c>
      <c r="AI7" s="155">
        <v>0</v>
      </c>
      <c r="AJ7" s="155">
        <v>1</v>
      </c>
      <c r="AK7" s="155">
        <v>0.45833333333333331</v>
      </c>
      <c r="AL7" s="2" t="s">
        <v>0</v>
      </c>
      <c r="AM7" s="2" t="s">
        <v>162</v>
      </c>
      <c r="AN7" s="2" t="s">
        <v>184</v>
      </c>
      <c r="BE7" s="14"/>
      <c r="BF7" s="14"/>
      <c r="BG7" s="14"/>
    </row>
    <row r="8" spans="1:59" s="2" customFormat="1" ht="30" customHeight="1" thickTop="1" thickBot="1" x14ac:dyDescent="0.25">
      <c r="A8" s="1"/>
      <c r="B8"/>
      <c r="C8" s="172" t="str">
        <f>IF(Funcionários!C7=0,"",Funcionários!C7)</f>
        <v/>
      </c>
      <c r="D8"/>
      <c r="E8" s="115">
        <f>Lanç!E8</f>
        <v>1</v>
      </c>
      <c r="F8" s="189" t="str">
        <f>Lanç!F8</f>
        <v>Dom</v>
      </c>
      <c r="G8" s="80"/>
      <c r="H8" s="93"/>
      <c r="I8" s="93"/>
      <c r="J8" s="93"/>
      <c r="K8" s="93"/>
      <c r="L8" s="197"/>
      <c r="M8" s="95">
        <f>IF(AND(H8=K8,H8&lt;&gt;0),$M$6-IF(J8&lt;I8,$AJ$7+J8-I8,J8-I8),IF(H8&gt;K8,(K8+1-H8)-IF(J8&lt;I8,$AJ$7+J8-I8,J8-I8),(K8-H8)-IF(J8&lt;I8,$AJ$7+J8-I8,J8-I8)))</f>
        <v>0</v>
      </c>
      <c r="N8" s="196"/>
      <c r="O8" s="95">
        <f ca="1">IF(OR(G8=0,G8="Férias",G8="Falta Justificada",G8="Feriado",G8="Folga (DSR)"),0,IF(G8="Falta Injustificada",HLOOKUP($F8,Jornada!$X$7:$AD$37,VLOOKUP(INDIRECT($C$5),Jornada!$C$8:$W$37,21,0),0),IF(HLOOKUP($F8,Jornada!$X$7:$AD$37,VLOOKUP(INDIRECT($C$5),Jornada!$C$8:$W$37,21,0),0)-M8&gt;0,HLOOKUP($F8,Jornada!$X$7:$AD$37,VLOOKUP(INDIRECT($C$5),Jornada!$C$8:$W$37,21,0),0)-M8,0)))</f>
        <v>0</v>
      </c>
      <c r="P8" s="193">
        <f ca="1">IF(HLOOKUP($F8,Jornada!$X$7:$AD$37,VLOOKUP(INDIRECT($C$5),Jornada!$C$8:$W$37,21,0),0)-M8&lt;0,ABS(HLOOKUP($F8,Jornada!$X$7:$AD$37,VLOOKUP(INDIRECT($C$5),Jornada!$C$8:$W$37,21,0),0)-M8),0)</f>
        <v>0</v>
      </c>
      <c r="Q8" s="95">
        <f t="shared" ref="Q8:Q38" si="0">IF(G8="Normal",P8,IF(G8=0,0,IF(OR(G8="Feriado",G8="Férias"),IF(H8&gt;K8,(K8+1-H8)-IF(J8&lt;I8,$AJ$7+J8-I8,J8-I8),(K8-H8)-IF(J8&lt;I8,$AJ$7+J8-I8,J8-I8)),IF(G8="Folga (DSR)",IF(H8&gt;K8,(K8+1-H8)-IF(J8&lt;I8,$AJ$7+J8-I8,J8-I8),(K8-H8)-IF(J8&lt;I8,$AJ$7+J8-I8,J8-I8)),IF(G8="Falta Justificada",IF(H8&gt;K8,(K8+1-H8)-IF(J8&lt;I8,$AJ$7+J8-I8,J8-I8),(K8-H8)-IF(J8&lt;I8,$AJ$7+J8-I8,J8-I8)),0)))))</f>
        <v>0</v>
      </c>
      <c r="R8" s="2">
        <f>IF(Q8&gt;$R$7,1,0)</f>
        <v>0</v>
      </c>
      <c r="S8" s="294" t="s">
        <v>65</v>
      </c>
      <c r="T8" s="294"/>
      <c r="U8" s="295">
        <f>SUM(M8:M38)</f>
        <v>0</v>
      </c>
      <c r="W8" s="2" t="s">
        <v>91</v>
      </c>
      <c r="X8" s="156">
        <v>2</v>
      </c>
      <c r="AB8" s="177">
        <f>DATE('P Gerais'!$D$6,AB7,1)</f>
        <v>1</v>
      </c>
      <c r="AC8" s="2">
        <f>WEEKDAY(AB8)</f>
        <v>1</v>
      </c>
      <c r="AE8" s="2">
        <v>1</v>
      </c>
      <c r="AF8" s="2" t="s">
        <v>51</v>
      </c>
      <c r="AG8" s="220">
        <f>IF(J8&lt;I8,$AJ$7+J8-I8,J8-I8)</f>
        <v>0</v>
      </c>
      <c r="AH8" s="220">
        <f ca="1">IF(HLOOKUP($F8,Jornada!$X$7:$AD$37,VLOOKUP(INDIRECT($C$5),Jornada!$C$8:$W$37,21,0),0)=0,0,VLOOKUP(INDIRECT($C$5),Jornada!$C$8:$H$37,4,0))</f>
        <v>0</v>
      </c>
      <c r="AI8" s="155">
        <f ca="1">IF(AND(I8=0,J8=0,OR(H8&lt;&gt;0,K8&lt;&gt;0),HLOOKUP($F8,Jornada!$X$7:$AD$37,VLOOKUP(INDIRECT($C$5),Jornada!$C$8:$W$37,21,0),0)&gt;$AK$5,M8&gt;$AK$5),VLOOKUP(INDIRECT($C$5),Jornada!$C$8:$H$37,6,0),IF(AG8&gt;VLOOKUP(INDIRECT($C$5),Jornada!$C$8:$H$37,6,0),IF(VLOOKUP(INDIRECT($C$5),Jornada!$C$8:$H$37,6,0)&lt;AG8,0,ABS(VLOOKUP(INDIRECT($C$5),Jornada!$C$8:$H$37,6,0))-AG8),0))</f>
        <v>0</v>
      </c>
      <c r="AJ8" s="155">
        <f>($AJ$7-K8)+H8</f>
        <v>1</v>
      </c>
      <c r="AK8" s="155">
        <f>IF(AJ8&lt;$AK$7,$AK$7-AJ8,$AI$7)</f>
        <v>0</v>
      </c>
      <c r="AL8" s="155">
        <f ca="1">HLOOKUP($F8,Jornada!$I$5:$V$37,VLOOKUP(INDIRECT($C$5),Jornada!$C$8:$W$37,21,0)+2,0)</f>
        <v>0</v>
      </c>
      <c r="AM8" s="155">
        <f ca="1">HLOOKUP($F8,Jornada!$I$4:$V$37,VLOOKUP(INDIRECT($C$5),Jornada!$C$8:$W$37,21,0)+3,0)</f>
        <v>0</v>
      </c>
      <c r="AN8" s="155">
        <f ca="1">IF(AND(AL8&gt;=$AL$5,AL8&lt;$AN$5,H8&gt;=$AL$5,H8&lt;AL8),AL8-H8,IF(AND(AL8&gt;$AI$7,AL8&lt;=$AM$5,H8&gt;=$AL$5,H8&lt;=$AN$5),$AN$5-H8+AL8,IF(AND(AL8&gt;=$AI$7,AL8&lt;=$AM$5,H8&gt;=$AI$7,H8&lt;=$AM$5,H8&lt;AL8),H8-AL8,0)))</f>
        <v>0</v>
      </c>
      <c r="AO8" s="155">
        <f>IF(AP8&gt;Q8,0,AP8)</f>
        <v>0</v>
      </c>
      <c r="AP8" s="155">
        <f>IF(Q8=0,0,IF(AND(AM8&gt;=$AL$5,AM8&lt;$AN$5,K8&gt;=$AL$5,K8&lt;$AM$5,K8&gt;AM8),K8-AM8,IF(AND(AM8&gt;=$AL$5,AM8&lt;$AN$5,K8&lt;$AN$5,K8&gt;AM8),K8-$AL$5,IF(AND(AM8&gt;=$AI$7,AM8&lt;$AM$5,K8&lt;$AM$5),K8-AM8,IF(AND(AM8&lt;&gt;AI7,AM8&gt;=$AI$7,AM8&lt;=$AM$5,K8&gt;$AM$5,K8&gt;AM8),$AM$5-AM8,IF(AND(K8&gt;$AL$5,K8&lt;$AN$5),K8-$AL$5,IF(AND(K8&gt;$AI$7,K8&lt;$AM$5),$AN$5-$AL$5+K8,IF(AND(OR(K8&gt;$AL$5,H8&gt;$AO$5),AM8&gt;=$AI$7,AM8&lt;$AM$5,K8&gt;$AM$5),(1+$AM$5-$AL$5)-AG8,0))))))))</f>
        <v>0</v>
      </c>
      <c r="BE8" s="14"/>
      <c r="BF8" s="14"/>
      <c r="BG8" s="14"/>
    </row>
    <row r="9" spans="1:59" s="2" customFormat="1" ht="30" customHeight="1" thickTop="1" thickBot="1" x14ac:dyDescent="0.25">
      <c r="A9" s="1"/>
      <c r="B9"/>
      <c r="C9" s="172" t="str">
        <f>IF(Funcionários!C8=0,"",Funcionários!C8)</f>
        <v/>
      </c>
      <c r="D9"/>
      <c r="E9" s="115">
        <f>Lanç!E9</f>
        <v>2</v>
      </c>
      <c r="F9" s="189" t="str">
        <f>Lanç!F9</f>
        <v>Seg</v>
      </c>
      <c r="G9" s="80"/>
      <c r="H9" s="94"/>
      <c r="I9" s="94"/>
      <c r="J9" s="94"/>
      <c r="K9" s="94"/>
      <c r="L9" s="197"/>
      <c r="M9" s="95">
        <f t="shared" ref="M9:M38" si="1">IF(AND(H9=K9,H9&lt;&gt;0),$M$6-IF(J9&lt;I9,$AJ$7+J9-I9,J9-I9),IF(H9&gt;K9,(K9+1-H9)-IF(J9&lt;I9,$AJ$7+J9-I9,J9-I9),(K9-H9)-IF(J9&lt;I9,$AJ$7+J9-I9,J9-I9)))</f>
        <v>0</v>
      </c>
      <c r="N9" s="196"/>
      <c r="O9" s="95">
        <f ca="1">IF(OR(G9=0,G9="Férias",G9="Falta Justificada",G9="Feriado",G9="Folga (DSR)"),0,IF(G9="Falta Injustificada",HLOOKUP($F9,Jornada!$X$7:$AD$37,VLOOKUP(INDIRECT($C$5),Jornada!$C$8:$W$37,21,0),0),IF(HLOOKUP($F9,Jornada!$X$7:$AD$37,VLOOKUP(INDIRECT($C$5),Jornada!$C$8:$W$37,21,0),0)-M9&gt;0,HLOOKUP($F9,Jornada!$X$7:$AD$37,VLOOKUP(INDIRECT($C$5),Jornada!$C$8:$W$37,21,0),0)-M9,0)))</f>
        <v>0</v>
      </c>
      <c r="P9" s="193">
        <f ca="1">IF(HLOOKUP($F9,Jornada!$X$7:$AD$37,VLOOKUP(INDIRECT($C$5),Jornada!$C$8:$W$37,21,0),0)-M9&lt;0,ABS(HLOOKUP($F9,Jornada!$X$7:$AD$37,VLOOKUP(INDIRECT($C$5),Jornada!$C$8:$W$37,21,0),0)-M9),0)</f>
        <v>0</v>
      </c>
      <c r="Q9" s="95">
        <f t="shared" si="0"/>
        <v>0</v>
      </c>
      <c r="R9" s="2">
        <f t="shared" ref="R9:R38" si="2">IF(Q9&gt;$R$7,1,0)</f>
        <v>0</v>
      </c>
      <c r="S9" s="294"/>
      <c r="T9" s="294"/>
      <c r="U9" s="295"/>
      <c r="W9" s="2" t="s">
        <v>92</v>
      </c>
      <c r="X9" s="156">
        <v>3</v>
      </c>
      <c r="AB9" s="177">
        <f>AB8+1</f>
        <v>2</v>
      </c>
      <c r="AC9" s="2">
        <f t="shared" ref="AC9:AC35" si="3">WEEKDAY(AB9)</f>
        <v>2</v>
      </c>
      <c r="AE9" s="2">
        <v>2</v>
      </c>
      <c r="AF9" s="2" t="s">
        <v>52</v>
      </c>
      <c r="AG9" s="220">
        <f t="shared" ref="AG9:AG38" si="4">IF(J9&lt;I9,$AJ$7+J9-I9,J9-I9)</f>
        <v>0</v>
      </c>
      <c r="AH9" s="220">
        <f ca="1">IF(HLOOKUP($F9,Jornada!$X$7:$AD$37,VLOOKUP(INDIRECT($C$5),Jornada!$C$8:$W$37,21,0),0)=0,0,VLOOKUP(INDIRECT($C$5),Jornada!$C$8:$H$37,4,0))</f>
        <v>0</v>
      </c>
      <c r="AI9" s="155">
        <f ca="1">IF(AND(I9=0,J9=0,OR(H9&lt;&gt;0,K9&lt;&gt;0),HLOOKUP($F9,Jornada!$X$7:$AD$37,VLOOKUP(INDIRECT($C$5),Jornada!$C$8:$W$37,21,0),0)&gt;$AK$5,M9&gt;$AK$5),VLOOKUP(INDIRECT($C$5),Jornada!$C$8:$H$37,6,0),IF(AG9&gt;VLOOKUP(INDIRECT($C$5),Jornada!$C$8:$H$37,6,0),IF(VLOOKUP(INDIRECT($C$5),Jornada!$C$8:$H$37,6,0)&lt;AG9,0,ABS(VLOOKUP(INDIRECT($C$5),Jornada!$C$8:$H$37,6,0))-AG9),0))</f>
        <v>0</v>
      </c>
      <c r="AJ9" s="155">
        <f>($AJ$7-K9)+H9</f>
        <v>1</v>
      </c>
      <c r="AK9" s="155">
        <f t="shared" ref="AK9:AK38" si="5">IF(AJ9&lt;$AK$7,$AK$7-AJ9,$AI$7)</f>
        <v>0</v>
      </c>
      <c r="AL9" s="155">
        <f ca="1">HLOOKUP($F9,Jornada!$I$5:$V$37,VLOOKUP(INDIRECT($C$5),Jornada!$C$8:$W$37,21,0)+2,0)</f>
        <v>0</v>
      </c>
      <c r="AM9" s="155">
        <f ca="1">HLOOKUP($F9,Jornada!$I$4:$V$37,VLOOKUP(INDIRECT($C$5),Jornada!$C$8:$W$37,21,0)+3,0)</f>
        <v>0</v>
      </c>
      <c r="AN9" s="155">
        <f t="shared" ref="AN9:AN38" ca="1" si="6">IF(AND(AL9&gt;=$AL$5,AL9&lt;$AN$5,H9&gt;=$AL$5,H9&lt;AL9),AL9-H9,IF(AND(AL9&gt;$AI$7,AL9&lt;=$AM$5,H9&gt;=$AL$5,H9&lt;=$AN$5),$AN$5-H9+AL9,IF(AND(AL9&gt;=$AI$7,AL9&lt;=$AM$5,H9&gt;=$AI$7,H9&lt;=$AM$5,H9&lt;AL9),H9-AL9,0)))</f>
        <v>0</v>
      </c>
      <c r="AO9" s="155">
        <f t="shared" ref="AO9:AO38" si="7">IF(AP9&gt;Q9,0,AP9)</f>
        <v>0</v>
      </c>
      <c r="AP9" s="155">
        <f t="shared" ref="AP9:AP38" si="8">IF(Q9=0,0,IF(AND(AM9&gt;=$AL$5,AM9&lt;$AN$5,K9&gt;=$AL$5,K9&lt;$AM$5,K9&gt;AM9),K9-AM9,IF(AND(AM9&gt;=$AL$5,AM9&lt;$AN$5,K9&lt;$AN$5,K9&gt;AM9),K9-$AL$5,IF(AND(AM9&gt;=$AI$7,AM9&lt;$AM$5,K9&lt;$AM$5),K9-AM9,IF(AND(AM9&lt;&gt;AI8,AM9&gt;=$AI$7,AM9&lt;=$AM$5,K9&gt;$AM$5,K9&gt;AM9),$AM$5-AM9,IF(AND(K9&gt;$AL$5,K9&lt;$AN$5),K9-$AL$5,IF(AND(K9&gt;$AI$7,K9&lt;$AM$5),$AN$5-$AL$5+K9,IF(AND(OR(K9&gt;$AL$5,H9&gt;$AO$5),AM9&gt;=$AI$7,AM9&lt;$AM$5,K9&gt;$AM$5),(1+$AM$5-$AL$5)-AG9,0))))))))</f>
        <v>0</v>
      </c>
      <c r="BE9" s="14"/>
      <c r="BF9" s="14"/>
      <c r="BG9" s="14"/>
    </row>
    <row r="10" spans="1:59" s="2" customFormat="1" ht="30" customHeight="1" thickTop="1" thickBot="1" x14ac:dyDescent="0.25">
      <c r="A10" s="1"/>
      <c r="B10"/>
      <c r="C10" s="172" t="str">
        <f>IF(Funcionários!C9=0,"",Funcionários!C9)</f>
        <v/>
      </c>
      <c r="D10"/>
      <c r="E10" s="115">
        <f>Lanç!E10</f>
        <v>3</v>
      </c>
      <c r="F10" s="189" t="str">
        <f>Lanç!F10</f>
        <v>Ter</v>
      </c>
      <c r="G10" s="80"/>
      <c r="H10" s="94"/>
      <c r="I10" s="94"/>
      <c r="J10" s="94"/>
      <c r="K10" s="94"/>
      <c r="L10" s="197"/>
      <c r="M10" s="95">
        <f t="shared" si="1"/>
        <v>0</v>
      </c>
      <c r="N10" s="196"/>
      <c r="O10" s="95">
        <f ca="1">IF(OR(G10=0,G10="Férias",G10="Falta Justificada",G10="Feriado",G10="Folga (DSR)"),0,IF(G10="Falta Injustificada",HLOOKUP($F10,Jornada!$X$7:$AD$37,VLOOKUP(INDIRECT($C$5),Jornada!$C$8:$W$37,21,0),0),IF(HLOOKUP($F10,Jornada!$X$7:$AD$37,VLOOKUP(INDIRECT($C$5),Jornada!$C$8:$W$37,21,0),0)-M10&gt;0,HLOOKUP($F10,Jornada!$X$7:$AD$37,VLOOKUP(INDIRECT($C$5),Jornada!$C$8:$W$37,21,0),0)-M10,0)))</f>
        <v>0</v>
      </c>
      <c r="P10" s="193">
        <f ca="1">IF(HLOOKUP($F10,Jornada!$X$7:$AD$37,VLOOKUP(INDIRECT($C$5),Jornada!$C$8:$W$37,21,0),0)-M10&lt;0,ABS(HLOOKUP($F10,Jornada!$X$7:$AD$37,VLOOKUP(INDIRECT($C$5),Jornada!$C$8:$W$37,21,0),0)-M10),0)</f>
        <v>0</v>
      </c>
      <c r="Q10" s="95">
        <f t="shared" si="0"/>
        <v>0</v>
      </c>
      <c r="R10" s="2">
        <f t="shared" si="2"/>
        <v>0</v>
      </c>
      <c r="S10" s="294" t="s">
        <v>66</v>
      </c>
      <c r="T10" s="294"/>
      <c r="U10" s="295">
        <f ca="1">IF(M5="Horas devidas",ABS(-K5+F58-U14),ABS(K5+F58-U14))</f>
        <v>0</v>
      </c>
      <c r="W10" s="2" t="s">
        <v>93</v>
      </c>
      <c r="X10" s="156">
        <v>4</v>
      </c>
      <c r="AB10" s="177">
        <f t="shared" ref="AB10:AB34" si="9">AB9+1</f>
        <v>3</v>
      </c>
      <c r="AC10" s="2">
        <f t="shared" si="3"/>
        <v>3</v>
      </c>
      <c r="AE10" s="2">
        <v>3</v>
      </c>
      <c r="AF10" s="2" t="s">
        <v>53</v>
      </c>
      <c r="AG10" s="220">
        <f t="shared" si="4"/>
        <v>0</v>
      </c>
      <c r="AH10" s="220">
        <f ca="1">IF(HLOOKUP($F10,Jornada!$X$7:$AD$37,VLOOKUP(INDIRECT($C$5),Jornada!$C$8:$W$37,21,0),0)=0,0,VLOOKUP(INDIRECT($C$5),Jornada!$C$8:$H$37,4,0))</f>
        <v>0</v>
      </c>
      <c r="AI10" s="155">
        <f ca="1">IF(AND(I10=0,J10=0,OR(H10&lt;&gt;0,K10&lt;&gt;0),HLOOKUP($F10,Jornada!$X$7:$AD$37,VLOOKUP(INDIRECT($C$5),Jornada!$C$8:$W$37,21,0),0)&gt;$AK$5,M10&gt;$AK$5),VLOOKUP(INDIRECT($C$5),Jornada!$C$8:$H$37,6,0),IF(AG10&gt;VLOOKUP(INDIRECT($C$5),Jornada!$C$8:$H$37,6,0),IF(VLOOKUP(INDIRECT($C$5),Jornada!$C$8:$H$37,6,0)&lt;AG10,0,ABS(VLOOKUP(INDIRECT($C$5),Jornada!$C$8:$H$37,6,0))-AG10),0))</f>
        <v>0</v>
      </c>
      <c r="AJ10" s="155">
        <f>($AJ$7-K10)+H10</f>
        <v>1</v>
      </c>
      <c r="AK10" s="155">
        <f t="shared" si="5"/>
        <v>0</v>
      </c>
      <c r="AL10" s="155">
        <f ca="1">HLOOKUP($F10,Jornada!$I$5:$V$37,VLOOKUP(INDIRECT($C$5),Jornada!$C$8:$W$37,21,0)+2,0)</f>
        <v>0</v>
      </c>
      <c r="AM10" s="155">
        <f ca="1">HLOOKUP($F10,Jornada!$I$4:$V$37,VLOOKUP(INDIRECT($C$5),Jornada!$C$8:$W$37,21,0)+3,0)</f>
        <v>0</v>
      </c>
      <c r="AN10" s="155">
        <f t="shared" ca="1" si="6"/>
        <v>0</v>
      </c>
      <c r="AO10" s="155">
        <f t="shared" si="7"/>
        <v>0</v>
      </c>
      <c r="AP10" s="155">
        <f t="shared" si="8"/>
        <v>0</v>
      </c>
      <c r="BE10" s="14"/>
      <c r="BF10" s="14"/>
      <c r="BG10" s="14"/>
    </row>
    <row r="11" spans="1:59" s="2" customFormat="1" ht="30" customHeight="1" thickTop="1" thickBot="1" x14ac:dyDescent="0.25">
      <c r="A11" s="1"/>
      <c r="B11"/>
      <c r="C11" s="172" t="str">
        <f>IF(Funcionários!C10=0,"",Funcionários!C10)</f>
        <v/>
      </c>
      <c r="D11"/>
      <c r="E11" s="115">
        <f>Lanç!E11</f>
        <v>4</v>
      </c>
      <c r="F11" s="189" t="str">
        <f>Lanç!F11</f>
        <v>Qua</v>
      </c>
      <c r="G11" s="80"/>
      <c r="H11" s="94"/>
      <c r="I11" s="94"/>
      <c r="J11" s="94"/>
      <c r="K11" s="94"/>
      <c r="L11" s="197"/>
      <c r="M11" s="95">
        <f t="shared" si="1"/>
        <v>0</v>
      </c>
      <c r="N11" s="196"/>
      <c r="O11" s="95">
        <f ca="1">IF(OR(G11=0,G11="Férias",G11="Falta Justificada",G11="Feriado",G11="Folga (DSR)"),0,IF(G11="Falta Injustificada",HLOOKUP($F11,Jornada!$X$7:$AD$37,VLOOKUP(INDIRECT($C$5),Jornada!$C$8:$W$37,21,0),0),IF(HLOOKUP($F11,Jornada!$X$7:$AD$37,VLOOKUP(INDIRECT($C$5),Jornada!$C$8:$W$37,21,0),0)-M11&gt;0,HLOOKUP($F11,Jornada!$X$7:$AD$37,VLOOKUP(INDIRECT($C$5),Jornada!$C$8:$W$37,21,0),0)-M11,0)))</f>
        <v>0</v>
      </c>
      <c r="P11" s="193">
        <f ca="1">IF(HLOOKUP($F11,Jornada!$X$7:$AD$37,VLOOKUP(INDIRECT($C$5),Jornada!$C$8:$W$37,21,0),0)-M11&lt;0,ABS(HLOOKUP($F11,Jornada!$X$7:$AD$37,VLOOKUP(INDIRECT($C$5),Jornada!$C$8:$W$37,21,0),0)-M11),0)</f>
        <v>0</v>
      </c>
      <c r="Q11" s="95">
        <f t="shared" si="0"/>
        <v>0</v>
      </c>
      <c r="R11" s="2">
        <f t="shared" si="2"/>
        <v>0</v>
      </c>
      <c r="S11" s="294"/>
      <c r="T11" s="294"/>
      <c r="U11" s="295"/>
      <c r="V11" s="2">
        <f ca="1">IF(AND(K5&gt;U12,M5="Horas devidas"),"Negativo",IF(AND(U12&gt;K5,U14&gt;F58),"Negativo",0))</f>
        <v>0</v>
      </c>
      <c r="W11" s="2" t="s">
        <v>94</v>
      </c>
      <c r="X11" s="156">
        <v>5</v>
      </c>
      <c r="Z11" s="2" t="str">
        <f ca="1">IF(AND(M5="horas extras",Z13="positivo"),"positivo",IF(AND(M5="horas devidas",Z13="Negativo"),"Negativo",IF(AND(Z13="positivo",M5="horas devidas",U12&gt;K5),"Positivo","Negativo")))</f>
        <v>Negativo</v>
      </c>
      <c r="AB11" s="177">
        <f t="shared" si="9"/>
        <v>4</v>
      </c>
      <c r="AC11" s="2">
        <f t="shared" si="3"/>
        <v>4</v>
      </c>
      <c r="AE11" s="2">
        <v>4</v>
      </c>
      <c r="AF11" s="2" t="s">
        <v>54</v>
      </c>
      <c r="AG11" s="220">
        <f t="shared" si="4"/>
        <v>0</v>
      </c>
      <c r="AH11" s="220">
        <f ca="1">IF(HLOOKUP($F11,Jornada!$X$7:$AD$37,VLOOKUP(INDIRECT($C$5),Jornada!$C$8:$W$37,21,0),0)=0,0,VLOOKUP(INDIRECT($C$5),Jornada!$C$8:$H$37,4,0))</f>
        <v>0</v>
      </c>
      <c r="AI11" s="155">
        <f ca="1">IF(AND(I11=0,J11=0,OR(H11&lt;&gt;0,K11&lt;&gt;0),HLOOKUP($F11,Jornada!$X$7:$AD$37,VLOOKUP(INDIRECT($C$5),Jornada!$C$8:$W$37,21,0),0)&gt;$AK$5,M11&gt;$AK$5),VLOOKUP(INDIRECT($C$5),Jornada!$C$8:$H$37,6,0),IF(AG11&gt;VLOOKUP(INDIRECT($C$5),Jornada!$C$8:$H$37,6,0),IF(VLOOKUP(INDIRECT($C$5),Jornada!$C$8:$H$37,6,0)&lt;AG11,0,ABS(VLOOKUP(INDIRECT($C$5),Jornada!$C$8:$H$37,6,0))-AG11),0))</f>
        <v>0</v>
      </c>
      <c r="AJ11" s="155">
        <f t="shared" ref="AJ11:AJ38" si="10">($AJ$7-K11)+H11</f>
        <v>1</v>
      </c>
      <c r="AK11" s="155">
        <f t="shared" si="5"/>
        <v>0</v>
      </c>
      <c r="AL11" s="155">
        <f ca="1">HLOOKUP($F11,Jornada!$I$5:$V$37,VLOOKUP(INDIRECT($C$5),Jornada!$C$8:$W$37,21,0)+2,0)</f>
        <v>0</v>
      </c>
      <c r="AM11" s="155">
        <f ca="1">HLOOKUP($F11,Jornada!$I$4:$V$37,VLOOKUP(INDIRECT($C$5),Jornada!$C$8:$W$37,21,0)+3,0)</f>
        <v>0</v>
      </c>
      <c r="AN11" s="155">
        <f t="shared" ca="1" si="6"/>
        <v>0</v>
      </c>
      <c r="AO11" s="155">
        <f t="shared" si="7"/>
        <v>0</v>
      </c>
      <c r="AP11" s="155">
        <f t="shared" si="8"/>
        <v>0</v>
      </c>
      <c r="BE11" s="14"/>
      <c r="BF11" s="14"/>
      <c r="BG11" s="14"/>
    </row>
    <row r="12" spans="1:59" s="2" customFormat="1" ht="30" customHeight="1" thickTop="1" thickBot="1" x14ac:dyDescent="0.25">
      <c r="A12" s="1"/>
      <c r="B12"/>
      <c r="C12" s="172" t="str">
        <f>IF(Funcionários!C11=0,"",Funcionários!C11)</f>
        <v/>
      </c>
      <c r="D12"/>
      <c r="E12" s="115">
        <f>Lanç!E12</f>
        <v>5</v>
      </c>
      <c r="F12" s="189" t="str">
        <f>Lanç!F12</f>
        <v>Qui</v>
      </c>
      <c r="G12" s="80"/>
      <c r="H12" s="94"/>
      <c r="I12" s="94"/>
      <c r="J12" s="94"/>
      <c r="K12" s="94"/>
      <c r="L12" s="197"/>
      <c r="M12" s="95">
        <f t="shared" si="1"/>
        <v>0</v>
      </c>
      <c r="N12" s="196"/>
      <c r="O12" s="95">
        <f ca="1">IF(OR(G12=0,G12="Férias",G12="Falta Justificada",G12="Feriado",G12="Folga (DSR)"),0,IF(G12="Falta Injustificada",HLOOKUP($F12,Jornada!$X$7:$AD$37,VLOOKUP(INDIRECT($C$5),Jornada!$C$8:$W$37,21,0),0),IF(HLOOKUP($F12,Jornada!$X$7:$AD$37,VLOOKUP(INDIRECT($C$5),Jornada!$C$8:$W$37,21,0),0)-M12&gt;0,HLOOKUP($F12,Jornada!$X$7:$AD$37,VLOOKUP(INDIRECT($C$5),Jornada!$C$8:$W$37,21,0),0)-M12,0)))</f>
        <v>0</v>
      </c>
      <c r="P12" s="193">
        <f ca="1">IF(HLOOKUP($F12,Jornada!$X$7:$AD$37,VLOOKUP(INDIRECT($C$5),Jornada!$C$8:$W$37,21,0),0)-M12&lt;0,ABS(HLOOKUP($F12,Jornada!$X$7:$AD$37,VLOOKUP(INDIRECT($C$5),Jornada!$C$8:$W$37,21,0),0)-M12),0)</f>
        <v>0</v>
      </c>
      <c r="Q12" s="95">
        <f t="shared" si="0"/>
        <v>0</v>
      </c>
      <c r="R12" s="2">
        <f t="shared" si="2"/>
        <v>0</v>
      </c>
      <c r="S12" s="294" t="s">
        <v>175</v>
      </c>
      <c r="T12" s="294"/>
      <c r="U12" s="295">
        <f ca="1">IF(U14&gt;=F58,(U14)-F58,(F58-U14))</f>
        <v>0</v>
      </c>
      <c r="W12" s="2" t="s">
        <v>95</v>
      </c>
      <c r="X12" s="156">
        <v>6</v>
      </c>
      <c r="AB12" s="177">
        <f t="shared" si="9"/>
        <v>5</v>
      </c>
      <c r="AC12" s="2">
        <f t="shared" si="3"/>
        <v>5</v>
      </c>
      <c r="AE12" s="2">
        <v>5</v>
      </c>
      <c r="AF12" s="2" t="s">
        <v>55</v>
      </c>
      <c r="AG12" s="220">
        <f t="shared" si="4"/>
        <v>0</v>
      </c>
      <c r="AH12" s="220">
        <f ca="1">IF(HLOOKUP($F12,Jornada!$X$7:$AD$37,VLOOKUP(INDIRECT($C$5),Jornada!$C$8:$W$37,21,0),0)=0,0,VLOOKUP(INDIRECT($C$5),Jornada!$C$8:$H$37,4,0))</f>
        <v>0</v>
      </c>
      <c r="AI12" s="155">
        <f ca="1">IF(AND(I12=0,J12=0,OR(H12&lt;&gt;0,K12&lt;&gt;0),HLOOKUP($F12,Jornada!$X$7:$AD$37,VLOOKUP(INDIRECT($C$5),Jornada!$C$8:$W$37,21,0),0)&gt;$AK$5,M12&gt;$AK$5),VLOOKUP(INDIRECT($C$5),Jornada!$C$8:$H$37,6,0),IF(AG12&gt;VLOOKUP(INDIRECT($C$5),Jornada!$C$8:$H$37,6,0),IF(VLOOKUP(INDIRECT($C$5),Jornada!$C$8:$H$37,6,0)&lt;AG12,0,ABS(VLOOKUP(INDIRECT($C$5),Jornada!$C$8:$H$37,6,0))-AG12),0))</f>
        <v>0</v>
      </c>
      <c r="AJ12" s="155">
        <f t="shared" si="10"/>
        <v>1</v>
      </c>
      <c r="AK12" s="155">
        <f t="shared" si="5"/>
        <v>0</v>
      </c>
      <c r="AL12" s="155">
        <f ca="1">HLOOKUP($F12,Jornada!$I$5:$V$37,VLOOKUP(INDIRECT($C$5),Jornada!$C$8:$W$37,21,0)+2,0)</f>
        <v>0</v>
      </c>
      <c r="AM12" s="155">
        <f ca="1">HLOOKUP($F12,Jornada!$I$4:$V$37,VLOOKUP(INDIRECT($C$5),Jornada!$C$8:$W$37,21,0)+3,0)</f>
        <v>0</v>
      </c>
      <c r="AN12" s="155">
        <f t="shared" ca="1" si="6"/>
        <v>0</v>
      </c>
      <c r="AO12" s="155">
        <f t="shared" si="7"/>
        <v>0</v>
      </c>
      <c r="AP12" s="155">
        <f t="shared" si="8"/>
        <v>0</v>
      </c>
      <c r="BE12" s="14"/>
      <c r="BF12" s="14"/>
      <c r="BG12" s="14"/>
    </row>
    <row r="13" spans="1:59" s="2" customFormat="1" ht="30" customHeight="1" thickTop="1" thickBot="1" x14ac:dyDescent="0.25">
      <c r="A13" s="1"/>
      <c r="B13"/>
      <c r="C13" s="172" t="str">
        <f>IF(Funcionários!C12=0,"",Funcionários!C12)</f>
        <v/>
      </c>
      <c r="D13"/>
      <c r="E13" s="115">
        <f>Lanç!E13</f>
        <v>6</v>
      </c>
      <c r="F13" s="189" t="str">
        <f>Lanç!F13</f>
        <v>Sex</v>
      </c>
      <c r="G13" s="80"/>
      <c r="H13" s="94"/>
      <c r="I13" s="94"/>
      <c r="J13" s="94"/>
      <c r="K13" s="94"/>
      <c r="L13" s="197"/>
      <c r="M13" s="95">
        <f t="shared" si="1"/>
        <v>0</v>
      </c>
      <c r="N13" s="196"/>
      <c r="O13" s="95">
        <f ca="1">IF(OR(G13=0,G13="Férias",G13="Falta Justificada",G13="Feriado",G13="Folga (DSR)"),0,IF(G13="Falta Injustificada",HLOOKUP($F13,Jornada!$X$7:$AD$37,VLOOKUP(INDIRECT($C$5),Jornada!$C$8:$W$37,21,0),0),IF(HLOOKUP($F13,Jornada!$X$7:$AD$37,VLOOKUP(INDIRECT($C$5),Jornada!$C$8:$W$37,21,0),0)-M13&gt;0,HLOOKUP($F13,Jornada!$X$7:$AD$37,VLOOKUP(INDIRECT($C$5),Jornada!$C$8:$W$37,21,0),0)-M13,0)))</f>
        <v>0</v>
      </c>
      <c r="P13" s="193">
        <f ca="1">IF(HLOOKUP($F13,Jornada!$X$7:$AD$37,VLOOKUP(INDIRECT($C$5),Jornada!$C$8:$W$37,21,0),0)-M13&lt;0,ABS(HLOOKUP($F13,Jornada!$X$7:$AD$37,VLOOKUP(INDIRECT($C$5),Jornada!$C$8:$W$37,21,0),0)-M13),0)</f>
        <v>0</v>
      </c>
      <c r="Q13" s="95">
        <f t="shared" si="0"/>
        <v>0</v>
      </c>
      <c r="R13" s="2">
        <f t="shared" si="2"/>
        <v>0</v>
      </c>
      <c r="S13" s="294"/>
      <c r="T13" s="294"/>
      <c r="U13" s="295"/>
      <c r="W13" s="2" t="s">
        <v>96</v>
      </c>
      <c r="X13" s="156">
        <v>7</v>
      </c>
      <c r="Z13" s="2" t="str">
        <f ca="1">IF(U14&gt;F58,"Negativo","Positivo")</f>
        <v>Positivo</v>
      </c>
      <c r="AB13" s="177">
        <f t="shared" si="9"/>
        <v>6</v>
      </c>
      <c r="AC13" s="2">
        <f t="shared" si="3"/>
        <v>6</v>
      </c>
      <c r="AE13" s="2">
        <v>6</v>
      </c>
      <c r="AF13" s="2" t="s">
        <v>56</v>
      </c>
      <c r="AG13" s="220">
        <f t="shared" si="4"/>
        <v>0</v>
      </c>
      <c r="AH13" s="220">
        <f ca="1">IF(HLOOKUP($F13,Jornada!$X$7:$AD$37,VLOOKUP(INDIRECT($C$5),Jornada!$C$8:$W$37,21,0),0)=0,0,VLOOKUP(INDIRECT($C$5),Jornada!$C$8:$H$37,4,0))</f>
        <v>0</v>
      </c>
      <c r="AI13" s="155">
        <f ca="1">IF(AND(I13=0,J13=0,OR(H13&lt;&gt;0,K13&lt;&gt;0),HLOOKUP($F13,Jornada!$X$7:$AD$37,VLOOKUP(INDIRECT($C$5),Jornada!$C$8:$W$37,21,0),0)&gt;$AK$5,M13&gt;$AK$5),VLOOKUP(INDIRECT($C$5),Jornada!$C$8:$H$37,6,0),IF(AG13&gt;VLOOKUP(INDIRECT($C$5),Jornada!$C$8:$H$37,6,0),IF(VLOOKUP(INDIRECT($C$5),Jornada!$C$8:$H$37,6,0)&lt;AG13,0,ABS(VLOOKUP(INDIRECT($C$5),Jornada!$C$8:$H$37,6,0))-AG13),0))</f>
        <v>0</v>
      </c>
      <c r="AJ13" s="155">
        <f t="shared" si="10"/>
        <v>1</v>
      </c>
      <c r="AK13" s="155">
        <f t="shared" si="5"/>
        <v>0</v>
      </c>
      <c r="AL13" s="155">
        <f ca="1">HLOOKUP($F13,Jornada!$I$5:$V$37,VLOOKUP(INDIRECT($C$5),Jornada!$C$8:$W$37,21,0)+2,0)</f>
        <v>0</v>
      </c>
      <c r="AM13" s="155">
        <f ca="1">HLOOKUP($F13,Jornada!$I$4:$V$37,VLOOKUP(INDIRECT($C$5),Jornada!$C$8:$W$37,21,0)+3,0)</f>
        <v>0</v>
      </c>
      <c r="AN13" s="155">
        <f t="shared" ca="1" si="6"/>
        <v>0</v>
      </c>
      <c r="AO13" s="155">
        <f t="shared" si="7"/>
        <v>0</v>
      </c>
      <c r="AP13" s="155">
        <f t="shared" si="8"/>
        <v>0</v>
      </c>
      <c r="BE13" s="14"/>
      <c r="BF13" s="14"/>
      <c r="BG13" s="14"/>
    </row>
    <row r="14" spans="1:59" s="2" customFormat="1" ht="30" customHeight="1" thickTop="1" thickBot="1" x14ac:dyDescent="0.25">
      <c r="A14" s="1"/>
      <c r="B14"/>
      <c r="C14" s="172" t="str">
        <f>IF(Funcionários!C13=0,"",Funcionários!C13)</f>
        <v/>
      </c>
      <c r="D14"/>
      <c r="E14" s="115">
        <f>Lanç!E14</f>
        <v>7</v>
      </c>
      <c r="F14" s="189" t="str">
        <f>Lanç!F14</f>
        <v>Sáb</v>
      </c>
      <c r="G14" s="80"/>
      <c r="H14" s="94"/>
      <c r="I14" s="94"/>
      <c r="J14" s="94"/>
      <c r="K14" s="94"/>
      <c r="L14" s="197"/>
      <c r="M14" s="95">
        <f t="shared" si="1"/>
        <v>0</v>
      </c>
      <c r="N14" s="196"/>
      <c r="O14" s="95">
        <f ca="1">IF(OR(G14=0,G14="Férias",G14="Falta Justificada",G14="Feriado",G14="Folga (DSR)"),0,IF(G14="Falta Injustificada",HLOOKUP($F14,Jornada!$X$7:$AD$37,VLOOKUP(INDIRECT($C$5),Jornada!$C$8:$W$37,21,0),0),IF(HLOOKUP($F14,Jornada!$X$7:$AD$37,VLOOKUP(INDIRECT($C$5),Jornada!$C$8:$W$37,21,0),0)-M14&gt;0,HLOOKUP($F14,Jornada!$X$7:$AD$37,VLOOKUP(INDIRECT($C$5),Jornada!$C$8:$W$37,21,0),0)-M14,0)))</f>
        <v>0</v>
      </c>
      <c r="P14" s="193">
        <f ca="1">IF(HLOOKUP($F14,Jornada!$X$7:$AD$37,VLOOKUP(INDIRECT($C$5),Jornada!$C$8:$W$37,21,0),0)-M14&lt;0,ABS(HLOOKUP($F14,Jornada!$X$7:$AD$37,VLOOKUP(INDIRECT($C$5),Jornada!$C$8:$W$37,21,0),0)-M14),0)</f>
        <v>0</v>
      </c>
      <c r="Q14" s="95">
        <f t="shared" si="0"/>
        <v>0</v>
      </c>
      <c r="R14" s="2">
        <f t="shared" si="2"/>
        <v>0</v>
      </c>
      <c r="S14" s="294" t="s">
        <v>68</v>
      </c>
      <c r="T14" s="294"/>
      <c r="U14" s="295">
        <f ca="1">SUM(O8:O38)</f>
        <v>0</v>
      </c>
      <c r="W14" s="2" t="s">
        <v>97</v>
      </c>
      <c r="X14" s="156">
        <v>8</v>
      </c>
      <c r="AB14" s="177">
        <f t="shared" si="9"/>
        <v>7</v>
      </c>
      <c r="AC14" s="2">
        <f t="shared" si="3"/>
        <v>7</v>
      </c>
      <c r="AE14" s="2">
        <v>7</v>
      </c>
      <c r="AF14" s="2" t="s">
        <v>57</v>
      </c>
      <c r="AG14" s="220">
        <f t="shared" si="4"/>
        <v>0</v>
      </c>
      <c r="AH14" s="220">
        <f ca="1">IF(HLOOKUP($F14,Jornada!$X$7:$AD$37,VLOOKUP(INDIRECT($C$5),Jornada!$C$8:$W$37,21,0),0)=0,0,VLOOKUP(INDIRECT($C$5),Jornada!$C$8:$H$37,4,0))</f>
        <v>0</v>
      </c>
      <c r="AI14" s="155">
        <f ca="1">IF(AND(I14=0,J14=0,OR(H14&lt;&gt;0,K14&lt;&gt;0),HLOOKUP($F14,Jornada!$X$7:$AD$37,VLOOKUP(INDIRECT($C$5),Jornada!$C$8:$W$37,21,0),0)&gt;$AK$5,M14&gt;$AK$5),VLOOKUP(INDIRECT($C$5),Jornada!$C$8:$H$37,6,0),IF(AG14&gt;VLOOKUP(INDIRECT($C$5),Jornada!$C$8:$H$37,6,0),IF(VLOOKUP(INDIRECT($C$5),Jornada!$C$8:$H$37,6,0)&lt;AG14,0,ABS(VLOOKUP(INDIRECT($C$5),Jornada!$C$8:$H$37,6,0))-AG14),0))</f>
        <v>0</v>
      </c>
      <c r="AJ14" s="155">
        <f t="shared" si="10"/>
        <v>1</v>
      </c>
      <c r="AK14" s="155">
        <f t="shared" si="5"/>
        <v>0</v>
      </c>
      <c r="AL14" s="155">
        <f ca="1">HLOOKUP($F14,Jornada!$I$5:$V$37,VLOOKUP(INDIRECT($C$5),Jornada!$C$8:$W$37,21,0)+2,0)</f>
        <v>0</v>
      </c>
      <c r="AM14" s="155">
        <f ca="1">HLOOKUP($F14,Jornada!$I$4:$V$37,VLOOKUP(INDIRECT($C$5),Jornada!$C$8:$W$37,21,0)+3,0)</f>
        <v>0</v>
      </c>
      <c r="AN14" s="155">
        <f t="shared" ca="1" si="6"/>
        <v>0</v>
      </c>
      <c r="AO14" s="155">
        <f t="shared" si="7"/>
        <v>0</v>
      </c>
      <c r="AP14" s="155">
        <f t="shared" si="8"/>
        <v>0</v>
      </c>
      <c r="BE14" s="14"/>
      <c r="BF14" s="14"/>
      <c r="BG14" s="14"/>
    </row>
    <row r="15" spans="1:59" s="2" customFormat="1" ht="30" customHeight="1" thickTop="1" thickBot="1" x14ac:dyDescent="0.25">
      <c r="A15" s="1"/>
      <c r="B15"/>
      <c r="C15" s="171" t="str">
        <f>IF(Funcionários!C14=0,"",Funcionários!C14)</f>
        <v/>
      </c>
      <c r="D15"/>
      <c r="E15" s="115">
        <f>Lanç!E15</f>
        <v>8</v>
      </c>
      <c r="F15" s="189" t="str">
        <f>Lanç!F15</f>
        <v>Dom</v>
      </c>
      <c r="G15" s="80"/>
      <c r="H15" s="94"/>
      <c r="I15" s="94"/>
      <c r="J15" s="94"/>
      <c r="K15" s="94"/>
      <c r="L15" s="197"/>
      <c r="M15" s="95">
        <f t="shared" si="1"/>
        <v>0</v>
      </c>
      <c r="N15" s="196"/>
      <c r="O15" s="95">
        <f ca="1">IF(OR(G15=0,G15="Férias",G15="Falta Justificada",G15="Feriado",G15="Folga (DSR)"),0,IF(G15="Falta Injustificada",HLOOKUP($F15,Jornada!$X$7:$AD$37,VLOOKUP(INDIRECT($C$5),Jornada!$C$8:$W$37,21,0),0),IF(HLOOKUP($F15,Jornada!$X$7:$AD$37,VLOOKUP(INDIRECT($C$5),Jornada!$C$8:$W$37,21,0),0)-M15&gt;0,HLOOKUP($F15,Jornada!$X$7:$AD$37,VLOOKUP(INDIRECT($C$5),Jornada!$C$8:$W$37,21,0),0)-M15,0)))</f>
        <v>0</v>
      </c>
      <c r="P15" s="193">
        <f ca="1">IF(HLOOKUP($F15,Jornada!$X$7:$AD$37,VLOOKUP(INDIRECT($C$5),Jornada!$C$8:$W$37,21,0),0)-M15&lt;0,ABS(HLOOKUP($F15,Jornada!$X$7:$AD$37,VLOOKUP(INDIRECT($C$5),Jornada!$C$8:$W$37,21,0),0)-M15),0)</f>
        <v>0</v>
      </c>
      <c r="Q15" s="95">
        <f t="shared" si="0"/>
        <v>0</v>
      </c>
      <c r="R15" s="2">
        <f t="shared" si="2"/>
        <v>0</v>
      </c>
      <c r="S15" s="294"/>
      <c r="T15" s="294"/>
      <c r="U15" s="295"/>
      <c r="W15" s="2" t="s">
        <v>98</v>
      </c>
      <c r="X15" s="156">
        <v>9</v>
      </c>
      <c r="AB15" s="177">
        <f t="shared" si="9"/>
        <v>8</v>
      </c>
      <c r="AC15" s="2">
        <f t="shared" si="3"/>
        <v>1</v>
      </c>
      <c r="AG15" s="220">
        <f t="shared" si="4"/>
        <v>0</v>
      </c>
      <c r="AH15" s="220">
        <f ca="1">IF(HLOOKUP($F15,Jornada!$X$7:$AD$37,VLOOKUP(INDIRECT($C$5),Jornada!$C$8:$W$37,21,0),0)=0,0,VLOOKUP(INDIRECT($C$5),Jornada!$C$8:$H$37,4,0))</f>
        <v>0</v>
      </c>
      <c r="AI15" s="155">
        <f ca="1">IF(AND(I15=0,J15=0,OR(H15&lt;&gt;0,K15&lt;&gt;0),HLOOKUP($F15,Jornada!$X$7:$AD$37,VLOOKUP(INDIRECT($C$5),Jornada!$C$8:$W$37,21,0),0)&gt;$AK$5,M15&gt;$AK$5),VLOOKUP(INDIRECT($C$5),Jornada!$C$8:$H$37,6,0),IF(AG15&gt;VLOOKUP(INDIRECT($C$5),Jornada!$C$8:$H$37,6,0),IF(VLOOKUP(INDIRECT($C$5),Jornada!$C$8:$H$37,6,0)&lt;AG15,0,ABS(VLOOKUP(INDIRECT($C$5),Jornada!$C$8:$H$37,6,0))-AG15),0))</f>
        <v>0</v>
      </c>
      <c r="AJ15" s="155">
        <f t="shared" si="10"/>
        <v>1</v>
      </c>
      <c r="AK15" s="155">
        <f t="shared" si="5"/>
        <v>0</v>
      </c>
      <c r="AL15" s="155">
        <f ca="1">HLOOKUP($F15,Jornada!$I$5:$V$37,VLOOKUP(INDIRECT($C$5),Jornada!$C$8:$W$37,21,0)+2,0)</f>
        <v>0</v>
      </c>
      <c r="AM15" s="155">
        <f ca="1">HLOOKUP($F15,Jornada!$I$4:$V$37,VLOOKUP(INDIRECT($C$5),Jornada!$C$8:$W$37,21,0)+3,0)</f>
        <v>0</v>
      </c>
      <c r="AN15" s="155">
        <f t="shared" ca="1" si="6"/>
        <v>0</v>
      </c>
      <c r="AO15" s="155">
        <f t="shared" si="7"/>
        <v>0</v>
      </c>
      <c r="AP15" s="155">
        <f t="shared" si="8"/>
        <v>0</v>
      </c>
      <c r="BE15" s="14"/>
      <c r="BF15" s="14"/>
      <c r="BG15" s="14"/>
    </row>
    <row r="16" spans="1:59" s="2" customFormat="1" ht="30" customHeight="1" thickTop="1" thickBot="1" x14ac:dyDescent="0.25">
      <c r="A16" s="1"/>
      <c r="B16"/>
      <c r="C16" s="172" t="str">
        <f>IF(Funcionários!C15=0,"",Funcionários!C15)</f>
        <v/>
      </c>
      <c r="D16"/>
      <c r="E16" s="115">
        <f>Lanç!E16</f>
        <v>9</v>
      </c>
      <c r="F16" s="189" t="str">
        <f>Lanç!F16</f>
        <v>Seg</v>
      </c>
      <c r="G16" s="80"/>
      <c r="H16" s="94"/>
      <c r="I16" s="94"/>
      <c r="J16" s="94"/>
      <c r="K16" s="94"/>
      <c r="L16" s="197"/>
      <c r="M16" s="95">
        <f t="shared" si="1"/>
        <v>0</v>
      </c>
      <c r="N16" s="196"/>
      <c r="O16" s="95">
        <f ca="1">IF(OR(G16=0,G16="Férias",G16="Falta Justificada",G16="Feriado",G16="Folga (DSR)"),0,IF(G16="Falta Injustificada",HLOOKUP($F16,Jornada!$X$7:$AD$37,VLOOKUP(INDIRECT($C$5),Jornada!$C$8:$W$37,21,0),0),IF(HLOOKUP($F16,Jornada!$X$7:$AD$37,VLOOKUP(INDIRECT($C$5),Jornada!$C$8:$W$37,21,0),0)-M16&gt;0,HLOOKUP($F16,Jornada!$X$7:$AD$37,VLOOKUP(INDIRECT($C$5),Jornada!$C$8:$W$37,21,0),0)-M16,0)))</f>
        <v>0</v>
      </c>
      <c r="P16" s="193">
        <f ca="1">IF(HLOOKUP($F16,Jornada!$X$7:$AD$37,VLOOKUP(INDIRECT($C$5),Jornada!$C$8:$W$37,21,0),0)-M16&lt;0,ABS(HLOOKUP($F16,Jornada!$X$7:$AD$37,VLOOKUP(INDIRECT($C$5),Jornada!$C$8:$W$37,21,0),0)-M16),0)</f>
        <v>0</v>
      </c>
      <c r="Q16" s="95">
        <f t="shared" si="0"/>
        <v>0</v>
      </c>
      <c r="R16" s="2">
        <f t="shared" si="2"/>
        <v>0</v>
      </c>
      <c r="S16" s="294" t="s">
        <v>67</v>
      </c>
      <c r="T16" s="294"/>
      <c r="U16" s="295">
        <f>SUM(Q8:Q38)</f>
        <v>0</v>
      </c>
      <c r="W16" s="2" t="s">
        <v>99</v>
      </c>
      <c r="X16" s="156">
        <v>10</v>
      </c>
      <c r="AB16" s="177">
        <f t="shared" si="9"/>
        <v>9</v>
      </c>
      <c r="AC16" s="2">
        <f t="shared" si="3"/>
        <v>2</v>
      </c>
      <c r="AG16" s="220">
        <f t="shared" si="4"/>
        <v>0</v>
      </c>
      <c r="AH16" s="220">
        <f ca="1">IF(HLOOKUP($F16,Jornada!$X$7:$AD$37,VLOOKUP(INDIRECT($C$5),Jornada!$C$8:$W$37,21,0),0)=0,0,VLOOKUP(INDIRECT($C$5),Jornada!$C$8:$H$37,4,0))</f>
        <v>0</v>
      </c>
      <c r="AI16" s="155">
        <f ca="1">IF(AND(I16=0,J16=0,OR(H16&lt;&gt;0,K16&lt;&gt;0),HLOOKUP($F16,Jornada!$X$7:$AD$37,VLOOKUP(INDIRECT($C$5),Jornada!$C$8:$W$37,21,0),0)&gt;$AK$5,M16&gt;$AK$5),VLOOKUP(INDIRECT($C$5),Jornada!$C$8:$H$37,6,0),IF(AG16&gt;VLOOKUP(INDIRECT($C$5),Jornada!$C$8:$H$37,6,0),IF(VLOOKUP(INDIRECT($C$5),Jornada!$C$8:$H$37,6,0)&lt;AG16,0,ABS(VLOOKUP(INDIRECT($C$5),Jornada!$C$8:$H$37,6,0))-AG16),0))</f>
        <v>0</v>
      </c>
      <c r="AJ16" s="155">
        <f t="shared" si="10"/>
        <v>1</v>
      </c>
      <c r="AK16" s="155">
        <f t="shared" si="5"/>
        <v>0</v>
      </c>
      <c r="AL16" s="155">
        <f ca="1">HLOOKUP($F16,Jornada!$I$5:$V$37,VLOOKUP(INDIRECT($C$5),Jornada!$C$8:$W$37,21,0)+2,0)</f>
        <v>0</v>
      </c>
      <c r="AM16" s="155">
        <f ca="1">HLOOKUP($F16,Jornada!$I$4:$V$37,VLOOKUP(INDIRECT($C$5),Jornada!$C$8:$W$37,21,0)+3,0)</f>
        <v>0</v>
      </c>
      <c r="AN16" s="155">
        <f t="shared" ca="1" si="6"/>
        <v>0</v>
      </c>
      <c r="AO16" s="155">
        <f t="shared" si="7"/>
        <v>0</v>
      </c>
      <c r="AP16" s="155">
        <f t="shared" si="8"/>
        <v>0</v>
      </c>
      <c r="BE16" s="14"/>
      <c r="BF16" s="14"/>
      <c r="BG16" s="14"/>
    </row>
    <row r="17" spans="1:59" s="2" customFormat="1" ht="30" customHeight="1" thickTop="1" thickBot="1" x14ac:dyDescent="0.25">
      <c r="A17" s="1"/>
      <c r="B17"/>
      <c r="C17" s="172" t="str">
        <f>IF(Funcionários!C16=0,"",Funcionários!C16)</f>
        <v/>
      </c>
      <c r="D17"/>
      <c r="E17" s="115">
        <f>Lanç!E17</f>
        <v>10</v>
      </c>
      <c r="F17" s="189" t="str">
        <f>Lanç!F17</f>
        <v>Ter</v>
      </c>
      <c r="G17" s="80"/>
      <c r="H17" s="94"/>
      <c r="I17" s="94"/>
      <c r="J17" s="94"/>
      <c r="K17" s="94"/>
      <c r="L17" s="197"/>
      <c r="M17" s="95">
        <f t="shared" si="1"/>
        <v>0</v>
      </c>
      <c r="N17" s="196"/>
      <c r="O17" s="95">
        <f ca="1">IF(OR(G17=0,G17="Férias",G17="Falta Justificada",G17="Feriado",G17="Folga (DSR)"),0,IF(G17="Falta Injustificada",HLOOKUP($F17,Jornada!$X$7:$AD$37,VLOOKUP(INDIRECT($C$5),Jornada!$C$8:$W$37,21,0),0),IF(HLOOKUP($F17,Jornada!$X$7:$AD$37,VLOOKUP(INDIRECT($C$5),Jornada!$C$8:$W$37,21,0),0)-M17&gt;0,HLOOKUP($F17,Jornada!$X$7:$AD$37,VLOOKUP(INDIRECT($C$5),Jornada!$C$8:$W$37,21,0),0)-M17,0)))</f>
        <v>0</v>
      </c>
      <c r="P17" s="193">
        <f ca="1">IF(HLOOKUP($F17,Jornada!$X$7:$AD$37,VLOOKUP(INDIRECT($C$5),Jornada!$C$8:$W$37,21,0),0)-M17&lt;0,ABS(HLOOKUP($F17,Jornada!$X$7:$AD$37,VLOOKUP(INDIRECT($C$5),Jornada!$C$8:$W$37,21,0),0)-M17),0)</f>
        <v>0</v>
      </c>
      <c r="Q17" s="95">
        <f t="shared" si="0"/>
        <v>0</v>
      </c>
      <c r="R17" s="2">
        <f t="shared" si="2"/>
        <v>0</v>
      </c>
      <c r="S17" s="294"/>
      <c r="T17" s="294"/>
      <c r="U17" s="295"/>
      <c r="W17" s="2" t="s">
        <v>100</v>
      </c>
      <c r="X17" s="156">
        <v>11</v>
      </c>
      <c r="AB17" s="177">
        <f t="shared" si="9"/>
        <v>10</v>
      </c>
      <c r="AC17" s="2">
        <f t="shared" si="3"/>
        <v>3</v>
      </c>
      <c r="AG17" s="220">
        <f t="shared" si="4"/>
        <v>0</v>
      </c>
      <c r="AH17" s="220">
        <f ca="1">IF(HLOOKUP($F17,Jornada!$X$7:$AD$37,VLOOKUP(INDIRECT($C$5),Jornada!$C$8:$W$37,21,0),0)=0,0,VLOOKUP(INDIRECT($C$5),Jornada!$C$8:$H$37,4,0))</f>
        <v>0</v>
      </c>
      <c r="AI17" s="155">
        <f ca="1">IF(AND(I17=0,J17=0,OR(H17&lt;&gt;0,K17&lt;&gt;0),HLOOKUP($F17,Jornada!$X$7:$AD$37,VLOOKUP(INDIRECT($C$5),Jornada!$C$8:$W$37,21,0),0)&gt;$AK$5,M17&gt;$AK$5),VLOOKUP(INDIRECT($C$5),Jornada!$C$8:$H$37,6,0),IF(AG17&gt;VLOOKUP(INDIRECT($C$5),Jornada!$C$8:$H$37,6,0),IF(VLOOKUP(INDIRECT($C$5),Jornada!$C$8:$H$37,6,0)&lt;AG17,0,ABS(VLOOKUP(INDIRECT($C$5),Jornada!$C$8:$H$37,6,0))-AG17),0))</f>
        <v>0</v>
      </c>
      <c r="AJ17" s="155">
        <f t="shared" si="10"/>
        <v>1</v>
      </c>
      <c r="AK17" s="155">
        <f t="shared" si="5"/>
        <v>0</v>
      </c>
      <c r="AL17" s="155">
        <f ca="1">HLOOKUP($F17,Jornada!$I$5:$V$37,VLOOKUP(INDIRECT($C$5),Jornada!$C$8:$W$37,21,0)+2,0)</f>
        <v>0</v>
      </c>
      <c r="AM17" s="155">
        <f ca="1">HLOOKUP($F17,Jornada!$I$4:$V$37,VLOOKUP(INDIRECT($C$5),Jornada!$C$8:$W$37,21,0)+3,0)</f>
        <v>0</v>
      </c>
      <c r="AN17" s="155">
        <f t="shared" ca="1" si="6"/>
        <v>0</v>
      </c>
      <c r="AO17" s="155">
        <f t="shared" si="7"/>
        <v>0</v>
      </c>
      <c r="AP17" s="155">
        <f t="shared" si="8"/>
        <v>0</v>
      </c>
      <c r="BE17" s="14"/>
      <c r="BF17" s="14"/>
      <c r="BG17" s="14"/>
    </row>
    <row r="18" spans="1:59" s="2" customFormat="1" ht="30" customHeight="1" thickTop="1" thickBot="1" x14ac:dyDescent="0.25">
      <c r="A18" s="1"/>
      <c r="B18"/>
      <c r="C18" s="172" t="str">
        <f>IF(Funcionários!C17=0,"",Funcionários!C17)</f>
        <v/>
      </c>
      <c r="D18"/>
      <c r="E18" s="115">
        <f>Lanç!E18</f>
        <v>11</v>
      </c>
      <c r="F18" s="189" t="str">
        <f>Lanç!F18</f>
        <v>Qua</v>
      </c>
      <c r="G18" s="80"/>
      <c r="H18" s="94"/>
      <c r="I18" s="94"/>
      <c r="J18" s="94"/>
      <c r="K18" s="94"/>
      <c r="L18" s="197"/>
      <c r="M18" s="95">
        <f t="shared" si="1"/>
        <v>0</v>
      </c>
      <c r="N18" s="196"/>
      <c r="O18" s="95">
        <f ca="1">IF(OR(G18=0,G18="Férias",G18="Falta Justificada",G18="Feriado",G18="Folga (DSR)"),0,IF(G18="Falta Injustificada",HLOOKUP($F18,Jornada!$X$7:$AD$37,VLOOKUP(INDIRECT($C$5),Jornada!$C$8:$W$37,21,0),0),IF(HLOOKUP($F18,Jornada!$X$7:$AD$37,VLOOKUP(INDIRECT($C$5),Jornada!$C$8:$W$37,21,0),0)-M18&gt;0,HLOOKUP($F18,Jornada!$X$7:$AD$37,VLOOKUP(INDIRECT($C$5),Jornada!$C$8:$W$37,21,0),0)-M18,0)))</f>
        <v>0</v>
      </c>
      <c r="P18" s="193">
        <f ca="1">IF(HLOOKUP($F18,Jornada!$X$7:$AD$37,VLOOKUP(INDIRECT($C$5),Jornada!$C$8:$W$37,21,0),0)-M18&lt;0,ABS(HLOOKUP($F18,Jornada!$X$7:$AD$37,VLOOKUP(INDIRECT($C$5),Jornada!$C$8:$W$37,21,0),0)-M18),0)</f>
        <v>0</v>
      </c>
      <c r="Q18" s="95">
        <f t="shared" si="0"/>
        <v>0</v>
      </c>
      <c r="R18" s="2">
        <f t="shared" si="2"/>
        <v>0</v>
      </c>
      <c r="S18" s="294" t="s">
        <v>69</v>
      </c>
      <c r="T18" s="294"/>
      <c r="U18" s="299">
        <f ca="1">F54</f>
        <v>0</v>
      </c>
      <c r="W18" s="2" t="s">
        <v>101</v>
      </c>
      <c r="X18" s="156">
        <v>12</v>
      </c>
      <c r="AB18" s="177">
        <f t="shared" si="9"/>
        <v>11</v>
      </c>
      <c r="AC18" s="2">
        <f t="shared" si="3"/>
        <v>4</v>
      </c>
      <c r="AG18" s="220">
        <f t="shared" si="4"/>
        <v>0</v>
      </c>
      <c r="AH18" s="220">
        <f ca="1">IF(HLOOKUP($F18,Jornada!$X$7:$AD$37,VLOOKUP(INDIRECT($C$5),Jornada!$C$8:$W$37,21,0),0)=0,0,VLOOKUP(INDIRECT($C$5),Jornada!$C$8:$H$37,4,0))</f>
        <v>0</v>
      </c>
      <c r="AI18" s="155">
        <f ca="1">IF(AND(I18=0,J18=0,OR(H18&lt;&gt;0,K18&lt;&gt;0),HLOOKUP($F18,Jornada!$X$7:$AD$37,VLOOKUP(INDIRECT($C$5),Jornada!$C$8:$W$37,21,0),0)&gt;$AK$5,M18&gt;$AK$5),VLOOKUP(INDIRECT($C$5),Jornada!$C$8:$H$37,6,0),IF(AG18&gt;VLOOKUP(INDIRECT($C$5),Jornada!$C$8:$H$37,6,0),IF(VLOOKUP(INDIRECT($C$5),Jornada!$C$8:$H$37,6,0)&lt;AG18,0,ABS(VLOOKUP(INDIRECT($C$5),Jornada!$C$8:$H$37,6,0))-AG18),0))</f>
        <v>0</v>
      </c>
      <c r="AJ18" s="155">
        <f t="shared" si="10"/>
        <v>1</v>
      </c>
      <c r="AK18" s="155">
        <f t="shared" si="5"/>
        <v>0</v>
      </c>
      <c r="AL18" s="155">
        <f ca="1">HLOOKUP($F18,Jornada!$I$5:$V$37,VLOOKUP(INDIRECT($C$5),Jornada!$C$8:$W$37,21,0)+2,0)</f>
        <v>0</v>
      </c>
      <c r="AM18" s="155">
        <f ca="1">HLOOKUP($F18,Jornada!$I$4:$V$37,VLOOKUP(INDIRECT($C$5),Jornada!$C$8:$W$37,21,0)+3,0)</f>
        <v>0</v>
      </c>
      <c r="AN18" s="155">
        <f t="shared" ca="1" si="6"/>
        <v>0</v>
      </c>
      <c r="AO18" s="155">
        <f t="shared" si="7"/>
        <v>0</v>
      </c>
      <c r="AP18" s="155">
        <f t="shared" si="8"/>
        <v>0</v>
      </c>
      <c r="BE18" s="14"/>
      <c r="BF18" s="14"/>
      <c r="BG18" s="14"/>
    </row>
    <row r="19" spans="1:59" s="2" customFormat="1" ht="30" customHeight="1" thickTop="1" thickBot="1" x14ac:dyDescent="0.25">
      <c r="A19" s="1"/>
      <c r="B19"/>
      <c r="C19" s="172" t="str">
        <f>IF(Funcionários!C18=0,"",Funcionários!C18)</f>
        <v/>
      </c>
      <c r="D19"/>
      <c r="E19" s="115">
        <f>Lanç!E19</f>
        <v>12</v>
      </c>
      <c r="F19" s="189" t="str">
        <f>Lanç!F19</f>
        <v>Qui</v>
      </c>
      <c r="G19" s="80"/>
      <c r="H19" s="94"/>
      <c r="I19" s="94"/>
      <c r="J19" s="94"/>
      <c r="K19" s="94"/>
      <c r="L19" s="197"/>
      <c r="M19" s="95">
        <f t="shared" si="1"/>
        <v>0</v>
      </c>
      <c r="N19" s="196"/>
      <c r="O19" s="95">
        <f ca="1">IF(OR(G19=0,G19="Férias",G19="Falta Justificada",G19="Feriado",G19="Folga (DSR)"),0,IF(G19="Falta Injustificada",HLOOKUP($F19,Jornada!$X$7:$AD$37,VLOOKUP(INDIRECT($C$5),Jornada!$C$8:$W$37,21,0),0),IF(HLOOKUP($F19,Jornada!$X$7:$AD$37,VLOOKUP(INDIRECT($C$5),Jornada!$C$8:$W$37,21,0),0)-M19&gt;0,HLOOKUP($F19,Jornada!$X$7:$AD$37,VLOOKUP(INDIRECT($C$5),Jornada!$C$8:$W$37,21,0),0)-M19,0)))</f>
        <v>0</v>
      </c>
      <c r="P19" s="193">
        <f ca="1">IF(HLOOKUP($F19,Jornada!$X$7:$AD$37,VLOOKUP(INDIRECT($C$5),Jornada!$C$8:$W$37,21,0),0)-M19&lt;0,ABS(HLOOKUP($F19,Jornada!$X$7:$AD$37,VLOOKUP(INDIRECT($C$5),Jornada!$C$8:$W$37,21,0),0)-M19),0)</f>
        <v>0</v>
      </c>
      <c r="Q19" s="95">
        <f t="shared" si="0"/>
        <v>0</v>
      </c>
      <c r="R19" s="2">
        <f t="shared" si="2"/>
        <v>0</v>
      </c>
      <c r="S19" s="294"/>
      <c r="T19" s="294"/>
      <c r="U19" s="299"/>
      <c r="X19" s="177"/>
      <c r="AB19" s="177">
        <f t="shared" si="9"/>
        <v>12</v>
      </c>
      <c r="AC19" s="2">
        <f t="shared" si="3"/>
        <v>5</v>
      </c>
      <c r="AG19" s="220">
        <f t="shared" si="4"/>
        <v>0</v>
      </c>
      <c r="AH19" s="220">
        <f ca="1">IF(HLOOKUP($F19,Jornada!$X$7:$AD$37,VLOOKUP(INDIRECT($C$5),Jornada!$C$8:$W$37,21,0),0)=0,0,VLOOKUP(INDIRECT($C$5),Jornada!$C$8:$H$37,4,0))</f>
        <v>0</v>
      </c>
      <c r="AI19" s="155">
        <f ca="1">IF(AND(I19=0,J19=0,OR(H19&lt;&gt;0,K19&lt;&gt;0),HLOOKUP($F19,Jornada!$X$7:$AD$37,VLOOKUP(INDIRECT($C$5),Jornada!$C$8:$W$37,21,0),0)&gt;$AK$5,M19&gt;$AK$5),VLOOKUP(INDIRECT($C$5),Jornada!$C$8:$H$37,6,0),IF(AG19&gt;VLOOKUP(INDIRECT($C$5),Jornada!$C$8:$H$37,6,0),IF(VLOOKUP(INDIRECT($C$5),Jornada!$C$8:$H$37,6,0)&lt;AG19,0,ABS(VLOOKUP(INDIRECT($C$5),Jornada!$C$8:$H$37,6,0))-AG19),0))</f>
        <v>0</v>
      </c>
      <c r="AJ19" s="155">
        <f t="shared" si="10"/>
        <v>1</v>
      </c>
      <c r="AK19" s="155">
        <f t="shared" si="5"/>
        <v>0</v>
      </c>
      <c r="AL19" s="155">
        <f ca="1">HLOOKUP($F19,Jornada!$I$5:$V$37,VLOOKUP(INDIRECT($C$5),Jornada!$C$8:$W$37,21,0)+2,0)</f>
        <v>0</v>
      </c>
      <c r="AM19" s="155">
        <f ca="1">HLOOKUP($F19,Jornada!$I$4:$V$37,VLOOKUP(INDIRECT($C$5),Jornada!$C$8:$W$37,21,0)+3,0)</f>
        <v>0</v>
      </c>
      <c r="AN19" s="155">
        <f t="shared" ca="1" si="6"/>
        <v>0</v>
      </c>
      <c r="AO19" s="155">
        <f t="shared" si="7"/>
        <v>0</v>
      </c>
      <c r="AP19" s="155">
        <f t="shared" si="8"/>
        <v>0</v>
      </c>
      <c r="BE19" s="14"/>
      <c r="BF19" s="14"/>
      <c r="BG19" s="14"/>
    </row>
    <row r="20" spans="1:59" s="2" customFormat="1" ht="30" customHeight="1" thickTop="1" thickBot="1" x14ac:dyDescent="0.25">
      <c r="A20" s="1"/>
      <c r="B20"/>
      <c r="C20" s="172" t="str">
        <f>IF(Funcionários!C19=0,"",Funcionários!C19)</f>
        <v/>
      </c>
      <c r="D20"/>
      <c r="E20" s="115">
        <f>Lanç!E20</f>
        <v>13</v>
      </c>
      <c r="F20" s="189" t="str">
        <f>Lanç!F20</f>
        <v>Sex</v>
      </c>
      <c r="G20" s="80"/>
      <c r="H20" s="94"/>
      <c r="I20" s="94"/>
      <c r="J20" s="94"/>
      <c r="K20" s="94"/>
      <c r="L20" s="197"/>
      <c r="M20" s="95">
        <f t="shared" si="1"/>
        <v>0</v>
      </c>
      <c r="N20" s="196"/>
      <c r="O20" s="95">
        <f ca="1">IF(OR(G20=0,G20="Férias",G20="Falta Justificada",G20="Feriado",G20="Folga (DSR)"),0,IF(G20="Falta Injustificada",HLOOKUP($F20,Jornada!$X$7:$AD$37,VLOOKUP(INDIRECT($C$5),Jornada!$C$8:$W$37,21,0),0),IF(HLOOKUP($F20,Jornada!$X$7:$AD$37,VLOOKUP(INDIRECT($C$5),Jornada!$C$8:$W$37,21,0),0)-M20&gt;0,HLOOKUP($F20,Jornada!$X$7:$AD$37,VLOOKUP(INDIRECT($C$5),Jornada!$C$8:$W$37,21,0),0)-M20,0)))</f>
        <v>0</v>
      </c>
      <c r="P20" s="193">
        <f ca="1">IF(HLOOKUP($F20,Jornada!$X$7:$AD$37,VLOOKUP(INDIRECT($C$5),Jornada!$C$8:$W$37,21,0),0)-M20&lt;0,ABS(HLOOKUP($F20,Jornada!$X$7:$AD$37,VLOOKUP(INDIRECT($C$5),Jornada!$C$8:$W$37,21,0),0)-M20),0)</f>
        <v>0</v>
      </c>
      <c r="Q20" s="95">
        <f t="shared" si="0"/>
        <v>0</v>
      </c>
      <c r="R20" s="2">
        <f t="shared" si="2"/>
        <v>0</v>
      </c>
      <c r="S20"/>
      <c r="T20"/>
      <c r="U20"/>
      <c r="X20" s="177"/>
      <c r="AB20" s="177">
        <f t="shared" si="9"/>
        <v>13</v>
      </c>
      <c r="AC20" s="2">
        <f t="shared" si="3"/>
        <v>6</v>
      </c>
      <c r="AG20" s="220">
        <f t="shared" si="4"/>
        <v>0</v>
      </c>
      <c r="AH20" s="220">
        <f ca="1">IF(HLOOKUP($F20,Jornada!$X$7:$AD$37,VLOOKUP(INDIRECT($C$5),Jornada!$C$8:$W$37,21,0),0)=0,0,VLOOKUP(INDIRECT($C$5),Jornada!$C$8:$H$37,4,0))</f>
        <v>0</v>
      </c>
      <c r="AI20" s="155">
        <f ca="1">IF(AND(I20=0,J20=0,OR(H20&lt;&gt;0,K20&lt;&gt;0),HLOOKUP($F20,Jornada!$X$7:$AD$37,VLOOKUP(INDIRECT($C$5),Jornada!$C$8:$W$37,21,0),0)&gt;$AK$5,M20&gt;$AK$5),VLOOKUP(INDIRECT($C$5),Jornada!$C$8:$H$37,6,0),IF(AG20&gt;VLOOKUP(INDIRECT($C$5),Jornada!$C$8:$H$37,6,0),IF(VLOOKUP(INDIRECT($C$5),Jornada!$C$8:$H$37,6,0)&lt;AG20,0,ABS(VLOOKUP(INDIRECT($C$5),Jornada!$C$8:$H$37,6,0))-AG20),0))</f>
        <v>0</v>
      </c>
      <c r="AJ20" s="155">
        <f t="shared" si="10"/>
        <v>1</v>
      </c>
      <c r="AK20" s="155">
        <f t="shared" si="5"/>
        <v>0</v>
      </c>
      <c r="AL20" s="155">
        <f ca="1">HLOOKUP($F20,Jornada!$I$5:$V$37,VLOOKUP(INDIRECT($C$5),Jornada!$C$8:$W$37,21,0)+2,0)</f>
        <v>0</v>
      </c>
      <c r="AM20" s="155">
        <f ca="1">HLOOKUP($F20,Jornada!$I$4:$V$37,VLOOKUP(INDIRECT($C$5),Jornada!$C$8:$W$37,21,0)+3,0)</f>
        <v>0</v>
      </c>
      <c r="AN20" s="155">
        <f t="shared" ca="1" si="6"/>
        <v>0</v>
      </c>
      <c r="AO20" s="155">
        <f t="shared" si="7"/>
        <v>0</v>
      </c>
      <c r="AP20" s="155">
        <f t="shared" si="8"/>
        <v>0</v>
      </c>
      <c r="BE20" s="14"/>
      <c r="BF20" s="14"/>
      <c r="BG20" s="14"/>
    </row>
    <row r="21" spans="1:59" s="2" customFormat="1" ht="30" customHeight="1" thickTop="1" thickBot="1" x14ac:dyDescent="0.25">
      <c r="A21" s="1"/>
      <c r="B21"/>
      <c r="C21" s="172" t="str">
        <f>IF(Funcionários!C20=0,"",Funcionários!C20)</f>
        <v/>
      </c>
      <c r="D21"/>
      <c r="E21" s="115">
        <f>Lanç!E21</f>
        <v>14</v>
      </c>
      <c r="F21" s="189" t="str">
        <f>Lanç!F21</f>
        <v>Sáb</v>
      </c>
      <c r="G21" s="80"/>
      <c r="H21" s="94"/>
      <c r="I21" s="94"/>
      <c r="J21" s="94"/>
      <c r="K21" s="94"/>
      <c r="L21" s="197"/>
      <c r="M21" s="95">
        <f t="shared" si="1"/>
        <v>0</v>
      </c>
      <c r="N21" s="196"/>
      <c r="O21" s="95">
        <f ca="1">IF(OR(G21=0,G21="Férias",G21="Falta Justificada",G21="Feriado",G21="Folga (DSR)"),0,IF(G21="Falta Injustificada",HLOOKUP($F21,Jornada!$X$7:$AD$37,VLOOKUP(INDIRECT($C$5),Jornada!$C$8:$W$37,21,0),0),IF(HLOOKUP($F21,Jornada!$X$7:$AD$37,VLOOKUP(INDIRECT($C$5),Jornada!$C$8:$W$37,21,0),0)-M21&gt;0,HLOOKUP($F21,Jornada!$X$7:$AD$37,VLOOKUP(INDIRECT($C$5),Jornada!$C$8:$W$37,21,0),0)-M21,0)))</f>
        <v>0</v>
      </c>
      <c r="P21" s="193">
        <f ca="1">IF(HLOOKUP($F21,Jornada!$X$7:$AD$37,VLOOKUP(INDIRECT($C$5),Jornada!$C$8:$W$37,21,0),0)-M21&lt;0,ABS(HLOOKUP($F21,Jornada!$X$7:$AD$37,VLOOKUP(INDIRECT($C$5),Jornada!$C$8:$W$37,21,0),0)-M21),0)</f>
        <v>0</v>
      </c>
      <c r="Q21" s="95">
        <f t="shared" si="0"/>
        <v>0</v>
      </c>
      <c r="R21" s="2">
        <f t="shared" si="2"/>
        <v>0</v>
      </c>
      <c r="S21"/>
      <c r="T21"/>
      <c r="U21"/>
      <c r="X21" s="177"/>
      <c r="AB21" s="177">
        <f t="shared" si="9"/>
        <v>14</v>
      </c>
      <c r="AC21" s="2">
        <f t="shared" si="3"/>
        <v>7</v>
      </c>
      <c r="AG21" s="220">
        <f t="shared" si="4"/>
        <v>0</v>
      </c>
      <c r="AH21" s="220">
        <f ca="1">IF(HLOOKUP($F21,Jornada!$X$7:$AD$37,VLOOKUP(INDIRECT($C$5),Jornada!$C$8:$W$37,21,0),0)=0,0,VLOOKUP(INDIRECT($C$5),Jornada!$C$8:$H$37,4,0))</f>
        <v>0</v>
      </c>
      <c r="AI21" s="155">
        <f ca="1">IF(AND(I21=0,J21=0,OR(H21&lt;&gt;0,K21&lt;&gt;0),HLOOKUP($F21,Jornada!$X$7:$AD$37,VLOOKUP(INDIRECT($C$5),Jornada!$C$8:$W$37,21,0),0)&gt;$AK$5,M21&gt;$AK$5),VLOOKUP(INDIRECT($C$5),Jornada!$C$8:$H$37,6,0),IF(AG21&gt;VLOOKUP(INDIRECT($C$5),Jornada!$C$8:$H$37,6,0),IF(VLOOKUP(INDIRECT($C$5),Jornada!$C$8:$H$37,6,0)&lt;AG21,0,ABS(VLOOKUP(INDIRECT($C$5),Jornada!$C$8:$H$37,6,0))-AG21),0))</f>
        <v>0</v>
      </c>
      <c r="AJ21" s="155">
        <f t="shared" si="10"/>
        <v>1</v>
      </c>
      <c r="AK21" s="155">
        <f t="shared" si="5"/>
        <v>0</v>
      </c>
      <c r="AL21" s="155">
        <f ca="1">HLOOKUP($F21,Jornada!$I$5:$V$37,VLOOKUP(INDIRECT($C$5),Jornada!$C$8:$W$37,21,0)+2,0)</f>
        <v>0</v>
      </c>
      <c r="AM21" s="155">
        <f ca="1">HLOOKUP($F21,Jornada!$I$4:$V$37,VLOOKUP(INDIRECT($C$5),Jornada!$C$8:$W$37,21,0)+3,0)</f>
        <v>0</v>
      </c>
      <c r="AN21" s="155">
        <f t="shared" ca="1" si="6"/>
        <v>0</v>
      </c>
      <c r="AO21" s="155">
        <f t="shared" si="7"/>
        <v>0</v>
      </c>
      <c r="AP21" s="155">
        <f t="shared" si="8"/>
        <v>0</v>
      </c>
      <c r="BE21" s="14"/>
      <c r="BF21" s="14"/>
      <c r="BG21" s="14"/>
    </row>
    <row r="22" spans="1:59" s="2" customFormat="1" ht="30" customHeight="1" thickTop="1" thickBot="1" x14ac:dyDescent="0.25">
      <c r="A22" s="1"/>
      <c r="B22"/>
      <c r="C22" s="172" t="str">
        <f>IF(Funcionários!C21=0,"",Funcionários!C21)</f>
        <v/>
      </c>
      <c r="D22"/>
      <c r="E22" s="115">
        <f>Lanç!E22</f>
        <v>15</v>
      </c>
      <c r="F22" s="189" t="str">
        <f>Lanç!F22</f>
        <v>Dom</v>
      </c>
      <c r="G22" s="80"/>
      <c r="H22" s="94"/>
      <c r="I22" s="94"/>
      <c r="J22" s="94"/>
      <c r="K22" s="94"/>
      <c r="L22" s="197"/>
      <c r="M22" s="95">
        <f t="shared" si="1"/>
        <v>0</v>
      </c>
      <c r="N22" s="196"/>
      <c r="O22" s="95">
        <f ca="1">IF(OR(G22=0,G22="Férias",G22="Falta Justificada",G22="Feriado",G22="Folga (DSR)"),0,IF(G22="Falta Injustificada",HLOOKUP($F22,Jornada!$X$7:$AD$37,VLOOKUP(INDIRECT($C$5),Jornada!$C$8:$W$37,21,0),0),IF(HLOOKUP($F22,Jornada!$X$7:$AD$37,VLOOKUP(INDIRECT($C$5),Jornada!$C$8:$W$37,21,0),0)-M22&gt;0,HLOOKUP($F22,Jornada!$X$7:$AD$37,VLOOKUP(INDIRECT($C$5),Jornada!$C$8:$W$37,21,0),0)-M22,0)))</f>
        <v>0</v>
      </c>
      <c r="P22" s="193">
        <f ca="1">IF(HLOOKUP($F22,Jornada!$X$7:$AD$37,VLOOKUP(INDIRECT($C$5),Jornada!$C$8:$W$37,21,0),0)-M22&lt;0,ABS(HLOOKUP($F22,Jornada!$X$7:$AD$37,VLOOKUP(INDIRECT($C$5),Jornada!$C$8:$W$37,21,0),0)-M22),0)</f>
        <v>0</v>
      </c>
      <c r="Q22" s="95">
        <f t="shared" si="0"/>
        <v>0</v>
      </c>
      <c r="R22" s="2">
        <f t="shared" si="2"/>
        <v>0</v>
      </c>
      <c r="S22" s="300" t="s">
        <v>63</v>
      </c>
      <c r="T22" s="301"/>
      <c r="U22" s="302"/>
      <c r="X22" s="177"/>
      <c r="AB22" s="177">
        <f t="shared" si="9"/>
        <v>15</v>
      </c>
      <c r="AC22" s="2">
        <f t="shared" si="3"/>
        <v>1</v>
      </c>
      <c r="AG22" s="220">
        <f t="shared" si="4"/>
        <v>0</v>
      </c>
      <c r="AH22" s="220">
        <f ca="1">IF(HLOOKUP($F22,Jornada!$X$7:$AD$37,VLOOKUP(INDIRECT($C$5),Jornada!$C$8:$W$37,21,0),0)=0,0,VLOOKUP(INDIRECT($C$5),Jornada!$C$8:$H$37,4,0))</f>
        <v>0</v>
      </c>
      <c r="AI22" s="155">
        <f ca="1">IF(AND(I22=0,J22=0,OR(H22&lt;&gt;0,K22&lt;&gt;0),HLOOKUP($F22,Jornada!$X$7:$AD$37,VLOOKUP(INDIRECT($C$5),Jornada!$C$8:$W$37,21,0),0)&gt;$AK$5,M22&gt;$AK$5),VLOOKUP(INDIRECT($C$5),Jornada!$C$8:$H$37,6,0),IF(AG22&gt;VLOOKUP(INDIRECT($C$5),Jornada!$C$8:$H$37,6,0),IF(VLOOKUP(INDIRECT($C$5),Jornada!$C$8:$H$37,6,0)&lt;AG22,0,ABS(VLOOKUP(INDIRECT($C$5),Jornada!$C$8:$H$37,6,0))-AG22),0))</f>
        <v>0</v>
      </c>
      <c r="AJ22" s="155">
        <f t="shared" si="10"/>
        <v>1</v>
      </c>
      <c r="AK22" s="155">
        <f t="shared" si="5"/>
        <v>0</v>
      </c>
      <c r="AL22" s="155">
        <f ca="1">HLOOKUP($F22,Jornada!$I$5:$V$37,VLOOKUP(INDIRECT($C$5),Jornada!$C$8:$W$37,21,0)+2,0)</f>
        <v>0</v>
      </c>
      <c r="AM22" s="155">
        <f ca="1">HLOOKUP($F22,Jornada!$I$4:$V$37,VLOOKUP(INDIRECT($C$5),Jornada!$C$8:$W$37,21,0)+3,0)</f>
        <v>0</v>
      </c>
      <c r="AN22" s="155">
        <f t="shared" ca="1" si="6"/>
        <v>0</v>
      </c>
      <c r="AO22" s="155">
        <f t="shared" si="7"/>
        <v>0</v>
      </c>
      <c r="AP22" s="155">
        <f t="shared" si="8"/>
        <v>0</v>
      </c>
      <c r="BE22" s="14"/>
      <c r="BF22" s="14"/>
      <c r="BG22" s="14"/>
    </row>
    <row r="23" spans="1:59" s="2" customFormat="1" ht="30" customHeight="1" thickTop="1" thickBot="1" x14ac:dyDescent="0.25">
      <c r="A23" s="1"/>
      <c r="B23"/>
      <c r="C23" s="172" t="str">
        <f>IF(Funcionários!C22=0,"",Funcionários!C22)</f>
        <v/>
      </c>
      <c r="D23"/>
      <c r="E23" s="115">
        <f>Lanç!E23</f>
        <v>16</v>
      </c>
      <c r="F23" s="189" t="str">
        <f>Lanç!F23</f>
        <v>Seg</v>
      </c>
      <c r="G23" s="80"/>
      <c r="H23" s="94"/>
      <c r="I23" s="94"/>
      <c r="J23" s="94"/>
      <c r="K23" s="94"/>
      <c r="L23" s="197"/>
      <c r="M23" s="95">
        <f t="shared" si="1"/>
        <v>0</v>
      </c>
      <c r="N23" s="196"/>
      <c r="O23" s="95">
        <f ca="1">IF(OR(G23=0,G23="Férias",G23="Falta Justificada",G23="Feriado",G23="Folga (DSR)"),0,IF(G23="Falta Injustificada",HLOOKUP($F23,Jornada!$X$7:$AD$37,VLOOKUP(INDIRECT($C$5),Jornada!$C$8:$W$37,21,0),0),IF(HLOOKUP($F23,Jornada!$X$7:$AD$37,VLOOKUP(INDIRECT($C$5),Jornada!$C$8:$W$37,21,0),0)-M23&gt;0,HLOOKUP($F23,Jornada!$X$7:$AD$37,VLOOKUP(INDIRECT($C$5),Jornada!$C$8:$W$37,21,0),0)-M23,0)))</f>
        <v>0</v>
      </c>
      <c r="P23" s="193">
        <f ca="1">IF(HLOOKUP($F23,Jornada!$X$7:$AD$37,VLOOKUP(INDIRECT($C$5),Jornada!$C$8:$W$37,21,0),0)-M23&lt;0,ABS(HLOOKUP($F23,Jornada!$X$7:$AD$37,VLOOKUP(INDIRECT($C$5),Jornada!$C$8:$W$37,21,0),0)-M23),0)</f>
        <v>0</v>
      </c>
      <c r="Q23" s="95">
        <f t="shared" si="0"/>
        <v>0</v>
      </c>
      <c r="R23" s="2">
        <f t="shared" si="2"/>
        <v>0</v>
      </c>
      <c r="S23" s="296" t="str">
        <f>IF(SUM(R8:R38)&gt;0,"Segundo o art 59 da CLT, o máximo de horas extras permitidas por dia são 2 horas.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T23" s="297"/>
      <c r="U23" s="298"/>
      <c r="X23" s="177"/>
      <c r="AB23" s="177">
        <f t="shared" si="9"/>
        <v>16</v>
      </c>
      <c r="AC23" s="2">
        <f t="shared" si="3"/>
        <v>2</v>
      </c>
      <c r="AG23" s="220">
        <f t="shared" si="4"/>
        <v>0</v>
      </c>
      <c r="AH23" s="220">
        <f ca="1">IF(HLOOKUP($F23,Jornada!$X$7:$AD$37,VLOOKUP(INDIRECT($C$5),Jornada!$C$8:$W$37,21,0),0)=0,0,VLOOKUP(INDIRECT($C$5),Jornada!$C$8:$H$37,4,0))</f>
        <v>0</v>
      </c>
      <c r="AI23" s="155">
        <f ca="1">IF(AND(I23=0,J23=0,OR(H23&lt;&gt;0,K23&lt;&gt;0),HLOOKUP($F23,Jornada!$X$7:$AD$37,VLOOKUP(INDIRECT($C$5),Jornada!$C$8:$W$37,21,0),0)&gt;$AK$5,M23&gt;$AK$5),VLOOKUP(INDIRECT($C$5),Jornada!$C$8:$H$37,6,0),IF(AG23&gt;VLOOKUP(INDIRECT($C$5),Jornada!$C$8:$H$37,6,0),IF(VLOOKUP(INDIRECT($C$5),Jornada!$C$8:$H$37,6,0)&lt;AG23,0,ABS(VLOOKUP(INDIRECT($C$5),Jornada!$C$8:$H$37,6,0))-AG23),0))</f>
        <v>0</v>
      </c>
      <c r="AJ23" s="155">
        <f t="shared" si="10"/>
        <v>1</v>
      </c>
      <c r="AK23" s="155">
        <f t="shared" si="5"/>
        <v>0</v>
      </c>
      <c r="AL23" s="155">
        <f ca="1">HLOOKUP($F23,Jornada!$I$5:$V$37,VLOOKUP(INDIRECT($C$5),Jornada!$C$8:$W$37,21,0)+2,0)</f>
        <v>0</v>
      </c>
      <c r="AM23" s="155">
        <f ca="1">HLOOKUP($F23,Jornada!$I$4:$V$37,VLOOKUP(INDIRECT($C$5),Jornada!$C$8:$W$37,21,0)+3,0)</f>
        <v>0</v>
      </c>
      <c r="AN23" s="155">
        <f t="shared" ca="1" si="6"/>
        <v>0</v>
      </c>
      <c r="AO23" s="155">
        <f t="shared" si="7"/>
        <v>0</v>
      </c>
      <c r="AP23" s="155">
        <f t="shared" si="8"/>
        <v>0</v>
      </c>
      <c r="BE23" s="14"/>
      <c r="BF23" s="14"/>
      <c r="BG23" s="14"/>
    </row>
    <row r="24" spans="1:59" s="2" customFormat="1" ht="30" customHeight="1" thickTop="1" thickBot="1" x14ac:dyDescent="0.25">
      <c r="A24" s="1"/>
      <c r="B24"/>
      <c r="C24" s="172" t="str">
        <f>IF(Funcionários!C23=0,"",Funcionários!C23)</f>
        <v/>
      </c>
      <c r="D24"/>
      <c r="E24" s="115">
        <f>Lanç!E24</f>
        <v>17</v>
      </c>
      <c r="F24" s="189" t="str">
        <f>Lanç!F24</f>
        <v>Ter</v>
      </c>
      <c r="G24" s="80"/>
      <c r="H24" s="94"/>
      <c r="I24" s="94"/>
      <c r="J24" s="94"/>
      <c r="K24" s="94"/>
      <c r="L24" s="197"/>
      <c r="M24" s="95">
        <f t="shared" si="1"/>
        <v>0</v>
      </c>
      <c r="N24" s="196"/>
      <c r="O24" s="95">
        <f ca="1">IF(OR(G24=0,G24="Férias",G24="Falta Justificada",G24="Feriado",G24="Folga (DSR)"),0,IF(G24="Falta Injustificada",HLOOKUP($F24,Jornada!$X$7:$AD$37,VLOOKUP(INDIRECT($C$5),Jornada!$C$8:$W$37,21,0),0),IF(HLOOKUP($F24,Jornada!$X$7:$AD$37,VLOOKUP(INDIRECT($C$5),Jornada!$C$8:$W$37,21,0),0)-M24&gt;0,HLOOKUP($F24,Jornada!$X$7:$AD$37,VLOOKUP(INDIRECT($C$5),Jornada!$C$8:$W$37,21,0),0)-M24,0)))</f>
        <v>0</v>
      </c>
      <c r="P24" s="193">
        <f ca="1">IF(HLOOKUP($F24,Jornada!$X$7:$AD$37,VLOOKUP(INDIRECT($C$5),Jornada!$C$8:$W$37,21,0),0)-M24&lt;0,ABS(HLOOKUP($F24,Jornada!$X$7:$AD$37,VLOOKUP(INDIRECT($C$5),Jornada!$C$8:$W$37,21,0),0)-M24),0)</f>
        <v>0</v>
      </c>
      <c r="Q24" s="95">
        <f t="shared" si="0"/>
        <v>0</v>
      </c>
      <c r="R24" s="2">
        <f t="shared" si="2"/>
        <v>0</v>
      </c>
      <c r="S24" s="296"/>
      <c r="T24" s="297"/>
      <c r="U24" s="298"/>
      <c r="X24" s="177"/>
      <c r="AB24" s="177">
        <f t="shared" si="9"/>
        <v>17</v>
      </c>
      <c r="AC24" s="2">
        <f t="shared" si="3"/>
        <v>3</v>
      </c>
      <c r="AG24" s="220">
        <f t="shared" si="4"/>
        <v>0</v>
      </c>
      <c r="AH24" s="220">
        <f ca="1">IF(HLOOKUP($F24,Jornada!$X$7:$AD$37,VLOOKUP(INDIRECT($C$5),Jornada!$C$8:$W$37,21,0),0)=0,0,VLOOKUP(INDIRECT($C$5),Jornada!$C$8:$H$37,4,0))</f>
        <v>0</v>
      </c>
      <c r="AI24" s="155">
        <f ca="1">IF(AND(I24=0,J24=0,OR(H24&lt;&gt;0,K24&lt;&gt;0),HLOOKUP($F24,Jornada!$X$7:$AD$37,VLOOKUP(INDIRECT($C$5),Jornada!$C$8:$W$37,21,0),0)&gt;$AK$5,M24&gt;$AK$5),VLOOKUP(INDIRECT($C$5),Jornada!$C$8:$H$37,6,0),IF(AG24&gt;VLOOKUP(INDIRECT($C$5),Jornada!$C$8:$H$37,6,0),IF(VLOOKUP(INDIRECT($C$5),Jornada!$C$8:$H$37,6,0)&lt;AG24,0,ABS(VLOOKUP(INDIRECT($C$5),Jornada!$C$8:$H$37,6,0))-AG24),0))</f>
        <v>0</v>
      </c>
      <c r="AJ24" s="155">
        <f t="shared" si="10"/>
        <v>1</v>
      </c>
      <c r="AK24" s="155">
        <f t="shared" si="5"/>
        <v>0</v>
      </c>
      <c r="AL24" s="155">
        <f ca="1">HLOOKUP($F24,Jornada!$I$5:$V$37,VLOOKUP(INDIRECT($C$5),Jornada!$C$8:$W$37,21,0)+2,0)</f>
        <v>0</v>
      </c>
      <c r="AM24" s="155">
        <f ca="1">HLOOKUP($F24,Jornada!$I$4:$V$37,VLOOKUP(INDIRECT($C$5),Jornada!$C$8:$W$37,21,0)+3,0)</f>
        <v>0</v>
      </c>
      <c r="AN24" s="155">
        <f t="shared" ca="1" si="6"/>
        <v>0</v>
      </c>
      <c r="AO24" s="155">
        <f t="shared" si="7"/>
        <v>0</v>
      </c>
      <c r="AP24" s="155">
        <f t="shared" si="8"/>
        <v>0</v>
      </c>
      <c r="BE24" s="14"/>
      <c r="BF24" s="14"/>
      <c r="BG24" s="14"/>
    </row>
    <row r="25" spans="1:59" s="2" customFormat="1" ht="30" customHeight="1" thickTop="1" thickBot="1" x14ac:dyDescent="0.25">
      <c r="A25" s="1"/>
      <c r="B25"/>
      <c r="C25" s="172" t="str">
        <f>IF(Funcionários!C24=0,"",Funcionários!C24)</f>
        <v/>
      </c>
      <c r="D25"/>
      <c r="E25" s="115">
        <f>Lanç!E25</f>
        <v>18</v>
      </c>
      <c r="F25" s="189" t="str">
        <f>Lanç!F25</f>
        <v>Qua</v>
      </c>
      <c r="G25" s="80"/>
      <c r="H25" s="94"/>
      <c r="I25" s="94"/>
      <c r="J25" s="94"/>
      <c r="K25" s="94"/>
      <c r="L25" s="197"/>
      <c r="M25" s="95">
        <f t="shared" si="1"/>
        <v>0</v>
      </c>
      <c r="N25" s="196"/>
      <c r="O25" s="95">
        <f ca="1">IF(OR(G25=0,G25="Férias",G25="Falta Justificada",G25="Feriado",G25="Folga (DSR)"),0,IF(G25="Falta Injustificada",HLOOKUP($F25,Jornada!$X$7:$AD$37,VLOOKUP(INDIRECT($C$5),Jornada!$C$8:$W$37,21,0),0),IF(HLOOKUP($F25,Jornada!$X$7:$AD$37,VLOOKUP(INDIRECT($C$5),Jornada!$C$8:$W$37,21,0),0)-M25&gt;0,HLOOKUP($F25,Jornada!$X$7:$AD$37,VLOOKUP(INDIRECT($C$5),Jornada!$C$8:$W$37,21,0),0)-M25,0)))</f>
        <v>0</v>
      </c>
      <c r="P25" s="193">
        <f ca="1">IF(HLOOKUP($F25,Jornada!$X$7:$AD$37,VLOOKUP(INDIRECT($C$5),Jornada!$C$8:$W$37,21,0),0)-M25&lt;0,ABS(HLOOKUP($F25,Jornada!$X$7:$AD$37,VLOOKUP(INDIRECT($C$5),Jornada!$C$8:$W$37,21,0),0)-M25),0)</f>
        <v>0</v>
      </c>
      <c r="Q25" s="95">
        <f t="shared" si="0"/>
        <v>0</v>
      </c>
      <c r="R25" s="2">
        <f t="shared" si="2"/>
        <v>0</v>
      </c>
      <c r="S25" s="296"/>
      <c r="T25" s="297"/>
      <c r="U25" s="298"/>
      <c r="X25" s="177"/>
      <c r="Z25" s="2">
        <f>IF(SUM(R8:R38)&gt;0,1,0)</f>
        <v>0</v>
      </c>
      <c r="AB25" s="177">
        <f t="shared" si="9"/>
        <v>18</v>
      </c>
      <c r="AC25" s="2">
        <f t="shared" si="3"/>
        <v>4</v>
      </c>
      <c r="AG25" s="220">
        <f t="shared" si="4"/>
        <v>0</v>
      </c>
      <c r="AH25" s="220">
        <f ca="1">IF(HLOOKUP($F25,Jornada!$X$7:$AD$37,VLOOKUP(INDIRECT($C$5),Jornada!$C$8:$W$37,21,0),0)=0,0,VLOOKUP(INDIRECT($C$5),Jornada!$C$8:$H$37,4,0))</f>
        <v>0</v>
      </c>
      <c r="AI25" s="155">
        <f ca="1">IF(AND(I25=0,J25=0,OR(H25&lt;&gt;0,K25&lt;&gt;0),HLOOKUP($F25,Jornada!$X$7:$AD$37,VLOOKUP(INDIRECT($C$5),Jornada!$C$8:$W$37,21,0),0)&gt;$AK$5,M25&gt;$AK$5),VLOOKUP(INDIRECT($C$5),Jornada!$C$8:$H$37,6,0),IF(AG25&gt;VLOOKUP(INDIRECT($C$5),Jornada!$C$8:$H$37,6,0),IF(VLOOKUP(INDIRECT($C$5),Jornada!$C$8:$H$37,6,0)&lt;AG25,0,ABS(VLOOKUP(INDIRECT($C$5),Jornada!$C$8:$H$37,6,0))-AG25),0))</f>
        <v>0</v>
      </c>
      <c r="AJ25" s="155">
        <f t="shared" si="10"/>
        <v>1</v>
      </c>
      <c r="AK25" s="155">
        <f t="shared" si="5"/>
        <v>0</v>
      </c>
      <c r="AL25" s="155">
        <f ca="1">HLOOKUP($F25,Jornada!$I$5:$V$37,VLOOKUP(INDIRECT($C$5),Jornada!$C$8:$W$37,21,0)+2,0)</f>
        <v>0</v>
      </c>
      <c r="AM25" s="155">
        <f ca="1">HLOOKUP($F25,Jornada!$I$4:$V$37,VLOOKUP(INDIRECT($C$5),Jornada!$C$8:$W$37,21,0)+3,0)</f>
        <v>0</v>
      </c>
      <c r="AN25" s="155">
        <f t="shared" ca="1" si="6"/>
        <v>0</v>
      </c>
      <c r="AO25" s="155">
        <f t="shared" si="7"/>
        <v>0</v>
      </c>
      <c r="AP25" s="155">
        <f t="shared" si="8"/>
        <v>0</v>
      </c>
      <c r="BE25" s="14"/>
      <c r="BF25" s="14"/>
      <c r="BG25" s="14"/>
    </row>
    <row r="26" spans="1:59" s="2" customFormat="1" ht="30" customHeight="1" thickTop="1" thickBot="1" x14ac:dyDescent="0.25">
      <c r="A26" s="1"/>
      <c r="B26"/>
      <c r="C26" s="172" t="str">
        <f>IF(Funcionários!C25=0,"",Funcionários!C25)</f>
        <v/>
      </c>
      <c r="D26"/>
      <c r="E26" s="115">
        <f>Lanç!E26</f>
        <v>19</v>
      </c>
      <c r="F26" s="189" t="str">
        <f>Lanç!F26</f>
        <v>Qui</v>
      </c>
      <c r="G26" s="80"/>
      <c r="H26" s="94"/>
      <c r="I26" s="94"/>
      <c r="J26" s="94"/>
      <c r="K26" s="94"/>
      <c r="L26" s="197"/>
      <c r="M26" s="95">
        <f t="shared" si="1"/>
        <v>0</v>
      </c>
      <c r="N26" s="196"/>
      <c r="O26" s="95">
        <f ca="1">IF(OR(G26=0,G26="Férias",G26="Falta Justificada",G26="Feriado",G26="Folga (DSR)"),0,IF(G26="Falta Injustificada",HLOOKUP($F26,Jornada!$X$7:$AD$37,VLOOKUP(INDIRECT($C$5),Jornada!$C$8:$W$37,21,0),0),IF(HLOOKUP($F26,Jornada!$X$7:$AD$37,VLOOKUP(INDIRECT($C$5),Jornada!$C$8:$W$37,21,0),0)-M26&gt;0,HLOOKUP($F26,Jornada!$X$7:$AD$37,VLOOKUP(INDIRECT($C$5),Jornada!$C$8:$W$37,21,0),0)-M26,0)))</f>
        <v>0</v>
      </c>
      <c r="P26" s="193">
        <f ca="1">IF(HLOOKUP($F26,Jornada!$X$7:$AD$37,VLOOKUP(INDIRECT($C$5),Jornada!$C$8:$W$37,21,0),0)-M26&lt;0,ABS(HLOOKUP($F26,Jornada!$X$7:$AD$37,VLOOKUP(INDIRECT($C$5),Jornada!$C$8:$W$37,21,0),0)-M26),0)</f>
        <v>0</v>
      </c>
      <c r="Q26" s="95">
        <f t="shared" si="0"/>
        <v>0</v>
      </c>
      <c r="R26" s="2">
        <f t="shared" si="2"/>
        <v>0</v>
      </c>
      <c r="S26" s="296" t="str">
        <f>IF(COUNTIF(G8:G38,"Folga (DSR)")&lt;DAY(E39)/8,"O mês não está contemplando um DSR (Descanso Semanal Remunerado) por semana. Isso pode configurar uma irregularidade segundo as leis trabalhistas.","Parabéns!! Sua folha de pagamento contempla uma DSR por semana conforme a lei trabalhista.")</f>
        <v>O mês não está contemplando um DSR (Descanso Semanal Remunerado) por semana. Isso pode configurar uma irregularidade segundo as leis trabalhistas.</v>
      </c>
      <c r="T26" s="297"/>
      <c r="U26" s="298"/>
      <c r="X26" s="177"/>
      <c r="AB26" s="177">
        <f t="shared" si="9"/>
        <v>19</v>
      </c>
      <c r="AC26" s="2">
        <f t="shared" si="3"/>
        <v>5</v>
      </c>
      <c r="AG26" s="220">
        <f t="shared" si="4"/>
        <v>0</v>
      </c>
      <c r="AH26" s="220">
        <f ca="1">IF(HLOOKUP($F26,Jornada!$X$7:$AD$37,VLOOKUP(INDIRECT($C$5),Jornada!$C$8:$W$37,21,0),0)=0,0,VLOOKUP(INDIRECT($C$5),Jornada!$C$8:$H$37,4,0))</f>
        <v>0</v>
      </c>
      <c r="AI26" s="155">
        <f ca="1">IF(AND(I26=0,J26=0,OR(H26&lt;&gt;0,K26&lt;&gt;0),HLOOKUP($F26,Jornada!$X$7:$AD$37,VLOOKUP(INDIRECT($C$5),Jornada!$C$8:$W$37,21,0),0)&gt;$AK$5,M26&gt;$AK$5),VLOOKUP(INDIRECT($C$5),Jornada!$C$8:$H$37,6,0),IF(AG26&gt;VLOOKUP(INDIRECT($C$5),Jornada!$C$8:$H$37,6,0),IF(VLOOKUP(INDIRECT($C$5),Jornada!$C$8:$H$37,6,0)&lt;AG26,0,ABS(VLOOKUP(INDIRECT($C$5),Jornada!$C$8:$H$37,6,0))-AG26),0))</f>
        <v>0</v>
      </c>
      <c r="AJ26" s="155">
        <f t="shared" si="10"/>
        <v>1</v>
      </c>
      <c r="AK26" s="155">
        <f t="shared" si="5"/>
        <v>0</v>
      </c>
      <c r="AL26" s="155">
        <f ca="1">HLOOKUP($F26,Jornada!$I$5:$V$37,VLOOKUP(INDIRECT($C$5),Jornada!$C$8:$W$37,21,0)+2,0)</f>
        <v>0</v>
      </c>
      <c r="AM26" s="155">
        <f ca="1">HLOOKUP($F26,Jornada!$I$4:$V$37,VLOOKUP(INDIRECT($C$5),Jornada!$C$8:$W$37,21,0)+3,0)</f>
        <v>0</v>
      </c>
      <c r="AN26" s="155">
        <f t="shared" ca="1" si="6"/>
        <v>0</v>
      </c>
      <c r="AO26" s="155">
        <f t="shared" si="7"/>
        <v>0</v>
      </c>
      <c r="AP26" s="155">
        <f t="shared" si="8"/>
        <v>0</v>
      </c>
      <c r="BE26" s="14"/>
      <c r="BF26" s="14"/>
      <c r="BG26" s="14"/>
    </row>
    <row r="27" spans="1:59" s="2" customFormat="1" ht="30" customHeight="1" thickTop="1" thickBot="1" x14ac:dyDescent="0.25">
      <c r="A27" s="1"/>
      <c r="B27"/>
      <c r="C27" s="172" t="str">
        <f>IF(Funcionários!C26=0,"",Funcionários!C26)</f>
        <v/>
      </c>
      <c r="D27"/>
      <c r="E27" s="115">
        <f>Lanç!E27</f>
        <v>20</v>
      </c>
      <c r="F27" s="189" t="str">
        <f>Lanç!F27</f>
        <v>Sex</v>
      </c>
      <c r="G27" s="80"/>
      <c r="H27" s="94"/>
      <c r="I27" s="94"/>
      <c r="J27" s="94"/>
      <c r="K27" s="94"/>
      <c r="L27" s="197"/>
      <c r="M27" s="95">
        <f t="shared" si="1"/>
        <v>0</v>
      </c>
      <c r="N27" s="196"/>
      <c r="O27" s="95">
        <f ca="1">IF(OR(G27=0,G27="Férias",G27="Falta Justificada",G27="Feriado",G27="Folga (DSR)"),0,IF(G27="Falta Injustificada",HLOOKUP($F27,Jornada!$X$7:$AD$37,VLOOKUP(INDIRECT($C$5),Jornada!$C$8:$W$37,21,0),0),IF(HLOOKUP($F27,Jornada!$X$7:$AD$37,VLOOKUP(INDIRECT($C$5),Jornada!$C$8:$W$37,21,0),0)-M27&gt;0,HLOOKUP($F27,Jornada!$X$7:$AD$37,VLOOKUP(INDIRECT($C$5),Jornada!$C$8:$W$37,21,0),0)-M27,0)))</f>
        <v>0</v>
      </c>
      <c r="P27" s="193">
        <f ca="1">IF(HLOOKUP($F27,Jornada!$X$7:$AD$37,VLOOKUP(INDIRECT($C$5),Jornada!$C$8:$W$37,21,0),0)-M27&lt;0,ABS(HLOOKUP($F27,Jornada!$X$7:$AD$37,VLOOKUP(INDIRECT($C$5),Jornada!$C$8:$W$37,21,0),0)-M27),0)</f>
        <v>0</v>
      </c>
      <c r="Q27" s="95">
        <f t="shared" si="0"/>
        <v>0</v>
      </c>
      <c r="R27" s="2">
        <f t="shared" si="2"/>
        <v>0</v>
      </c>
      <c r="S27" s="296"/>
      <c r="T27" s="297"/>
      <c r="U27" s="298"/>
      <c r="X27" s="177"/>
      <c r="AB27" s="177">
        <f t="shared" si="9"/>
        <v>20</v>
      </c>
      <c r="AC27" s="2">
        <f t="shared" si="3"/>
        <v>6</v>
      </c>
      <c r="AG27" s="220">
        <f t="shared" si="4"/>
        <v>0</v>
      </c>
      <c r="AH27" s="220">
        <f ca="1">IF(HLOOKUP($F27,Jornada!$X$7:$AD$37,VLOOKUP(INDIRECT($C$5),Jornada!$C$8:$W$37,21,0),0)=0,0,VLOOKUP(INDIRECT($C$5),Jornada!$C$8:$H$37,4,0))</f>
        <v>0</v>
      </c>
      <c r="AI27" s="155">
        <f ca="1">IF(AND(I27=0,J27=0,OR(H27&lt;&gt;0,K27&lt;&gt;0),HLOOKUP($F27,Jornada!$X$7:$AD$37,VLOOKUP(INDIRECT($C$5),Jornada!$C$8:$W$37,21,0),0)&gt;$AK$5,M27&gt;$AK$5),VLOOKUP(INDIRECT($C$5),Jornada!$C$8:$H$37,6,0),IF(AG27&gt;VLOOKUP(INDIRECT($C$5),Jornada!$C$8:$H$37,6,0),IF(VLOOKUP(INDIRECT($C$5),Jornada!$C$8:$H$37,6,0)&lt;AG27,0,ABS(VLOOKUP(INDIRECT($C$5),Jornada!$C$8:$H$37,6,0))-AG27),0))</f>
        <v>0</v>
      </c>
      <c r="AJ27" s="155">
        <f t="shared" si="10"/>
        <v>1</v>
      </c>
      <c r="AK27" s="155">
        <f t="shared" si="5"/>
        <v>0</v>
      </c>
      <c r="AL27" s="155">
        <f ca="1">HLOOKUP($F27,Jornada!$I$5:$V$37,VLOOKUP(INDIRECT($C$5),Jornada!$C$8:$W$37,21,0)+2,0)</f>
        <v>0</v>
      </c>
      <c r="AM27" s="155">
        <f ca="1">HLOOKUP($F27,Jornada!$I$4:$V$37,VLOOKUP(INDIRECT($C$5),Jornada!$C$8:$W$37,21,0)+3,0)</f>
        <v>0</v>
      </c>
      <c r="AN27" s="155">
        <f t="shared" ca="1" si="6"/>
        <v>0</v>
      </c>
      <c r="AO27" s="155">
        <f t="shared" si="7"/>
        <v>0</v>
      </c>
      <c r="AP27" s="155">
        <f t="shared" si="8"/>
        <v>0</v>
      </c>
    </row>
    <row r="28" spans="1:59" s="2" customFormat="1" ht="30" customHeight="1" thickTop="1" thickBot="1" x14ac:dyDescent="0.25">
      <c r="A28" s="1"/>
      <c r="B28"/>
      <c r="C28" s="172" t="str">
        <f>IF(Funcionários!C27=0,"",Funcionários!C27)</f>
        <v/>
      </c>
      <c r="D28"/>
      <c r="E28" s="115">
        <f>Lanç!E28</f>
        <v>21</v>
      </c>
      <c r="F28" s="189" t="str">
        <f>Lanç!F28</f>
        <v>Sáb</v>
      </c>
      <c r="G28" s="80"/>
      <c r="H28" s="94"/>
      <c r="I28" s="94"/>
      <c r="J28" s="94"/>
      <c r="K28" s="94"/>
      <c r="L28" s="197"/>
      <c r="M28" s="95">
        <f t="shared" si="1"/>
        <v>0</v>
      </c>
      <c r="N28" s="196"/>
      <c r="O28" s="95">
        <f ca="1">IF(OR(G28=0,G28="Férias",G28="Falta Justificada",G28="Feriado",G28="Folga (DSR)"),0,IF(G28="Falta Injustificada",HLOOKUP($F28,Jornada!$X$7:$AD$37,VLOOKUP(INDIRECT($C$5),Jornada!$C$8:$W$37,21,0),0),IF(HLOOKUP($F28,Jornada!$X$7:$AD$37,VLOOKUP(INDIRECT($C$5),Jornada!$C$8:$W$37,21,0),0)-M28&gt;0,HLOOKUP($F28,Jornada!$X$7:$AD$37,VLOOKUP(INDIRECT($C$5),Jornada!$C$8:$W$37,21,0),0)-M28,0)))</f>
        <v>0</v>
      </c>
      <c r="P28" s="193">
        <f ca="1">IF(HLOOKUP($F28,Jornada!$X$7:$AD$37,VLOOKUP(INDIRECT($C$5),Jornada!$C$8:$W$37,21,0),0)-M28&lt;0,ABS(HLOOKUP($F28,Jornada!$X$7:$AD$37,VLOOKUP(INDIRECT($C$5),Jornada!$C$8:$W$37,21,0),0)-M28),0)</f>
        <v>0</v>
      </c>
      <c r="Q28" s="95">
        <f t="shared" si="0"/>
        <v>0</v>
      </c>
      <c r="R28" s="2">
        <f t="shared" si="2"/>
        <v>0</v>
      </c>
      <c r="S28" s="296"/>
      <c r="T28" s="297"/>
      <c r="U28" s="298"/>
      <c r="X28" s="177"/>
      <c r="AB28" s="177">
        <f t="shared" si="9"/>
        <v>21</v>
      </c>
      <c r="AC28" s="2">
        <f t="shared" si="3"/>
        <v>7</v>
      </c>
      <c r="AG28" s="220">
        <f t="shared" si="4"/>
        <v>0</v>
      </c>
      <c r="AH28" s="220">
        <f ca="1">IF(HLOOKUP($F28,Jornada!$X$7:$AD$37,VLOOKUP(INDIRECT($C$5),Jornada!$C$8:$W$37,21,0),0)=0,0,VLOOKUP(INDIRECT($C$5),Jornada!$C$8:$H$37,4,0))</f>
        <v>0</v>
      </c>
      <c r="AI28" s="155">
        <f ca="1">IF(AND(I28=0,J28=0,OR(H28&lt;&gt;0,K28&lt;&gt;0),HLOOKUP($F28,Jornada!$X$7:$AD$37,VLOOKUP(INDIRECT($C$5),Jornada!$C$8:$W$37,21,0),0)&gt;$AK$5,M28&gt;$AK$5),VLOOKUP(INDIRECT($C$5),Jornada!$C$8:$H$37,6,0),IF(AG28&gt;VLOOKUP(INDIRECT($C$5),Jornada!$C$8:$H$37,6,0),IF(VLOOKUP(INDIRECT($C$5),Jornada!$C$8:$H$37,6,0)&lt;AG28,0,ABS(VLOOKUP(INDIRECT($C$5),Jornada!$C$8:$H$37,6,0))-AG28),0))</f>
        <v>0</v>
      </c>
      <c r="AJ28" s="155">
        <f t="shared" si="10"/>
        <v>1</v>
      </c>
      <c r="AK28" s="155">
        <f t="shared" si="5"/>
        <v>0</v>
      </c>
      <c r="AL28" s="155">
        <f ca="1">HLOOKUP($F28,Jornada!$I$5:$V$37,VLOOKUP(INDIRECT($C$5),Jornada!$C$8:$W$37,21,0)+2,0)</f>
        <v>0</v>
      </c>
      <c r="AM28" s="155">
        <f ca="1">HLOOKUP($F28,Jornada!$I$4:$V$37,VLOOKUP(INDIRECT($C$5),Jornada!$C$8:$W$37,21,0)+3,0)</f>
        <v>0</v>
      </c>
      <c r="AN28" s="155">
        <f t="shared" ca="1" si="6"/>
        <v>0</v>
      </c>
      <c r="AO28" s="155">
        <f t="shared" si="7"/>
        <v>0</v>
      </c>
      <c r="AP28" s="155">
        <f t="shared" si="8"/>
        <v>0</v>
      </c>
    </row>
    <row r="29" spans="1:59" s="2" customFormat="1" ht="30" customHeight="1" thickTop="1" thickBot="1" x14ac:dyDescent="0.25">
      <c r="A29" s="1"/>
      <c r="B29"/>
      <c r="C29" s="172" t="str">
        <f>IF(Funcionários!C28=0,"",Funcionários!C28)</f>
        <v/>
      </c>
      <c r="D29"/>
      <c r="E29" s="115">
        <f>Lanç!E29</f>
        <v>22</v>
      </c>
      <c r="F29" s="189" t="str">
        <f>Lanç!F29</f>
        <v>Dom</v>
      </c>
      <c r="G29" s="80"/>
      <c r="H29" s="94"/>
      <c r="I29" s="94"/>
      <c r="J29" s="94"/>
      <c r="K29" s="94"/>
      <c r="L29" s="197"/>
      <c r="M29" s="95">
        <f t="shared" si="1"/>
        <v>0</v>
      </c>
      <c r="N29" s="196"/>
      <c r="O29" s="95">
        <f ca="1">IF(OR(G29=0,G29="Férias",G29="Falta Justificada",G29="Feriado",G29="Folga (DSR)"),0,IF(G29="Falta Injustificada",HLOOKUP($F29,Jornada!$X$7:$AD$37,VLOOKUP(INDIRECT($C$5),Jornada!$C$8:$W$37,21,0),0),IF(HLOOKUP($F29,Jornada!$X$7:$AD$37,VLOOKUP(INDIRECT($C$5),Jornada!$C$8:$W$37,21,0),0)-M29&gt;0,HLOOKUP($F29,Jornada!$X$7:$AD$37,VLOOKUP(INDIRECT($C$5),Jornada!$C$8:$W$37,21,0),0)-M29,0)))</f>
        <v>0</v>
      </c>
      <c r="P29" s="193">
        <f ca="1">IF(HLOOKUP($F29,Jornada!$X$7:$AD$37,VLOOKUP(INDIRECT($C$5),Jornada!$C$8:$W$37,21,0),0)-M29&lt;0,ABS(HLOOKUP($F29,Jornada!$X$7:$AD$37,VLOOKUP(INDIRECT($C$5),Jornada!$C$8:$W$37,21,0),0)-M29),0)</f>
        <v>0</v>
      </c>
      <c r="Q29" s="95">
        <f t="shared" si="0"/>
        <v>0</v>
      </c>
      <c r="R29" s="2">
        <f t="shared" si="2"/>
        <v>0</v>
      </c>
      <c r="S29" s="13"/>
      <c r="T29" s="74"/>
      <c r="U29" s="74"/>
      <c r="X29" s="177"/>
      <c r="AB29" s="177">
        <f t="shared" si="9"/>
        <v>22</v>
      </c>
      <c r="AC29" s="2">
        <f t="shared" si="3"/>
        <v>1</v>
      </c>
      <c r="AG29" s="220">
        <f t="shared" si="4"/>
        <v>0</v>
      </c>
      <c r="AH29" s="220">
        <f ca="1">IF(HLOOKUP($F29,Jornada!$X$7:$AD$37,VLOOKUP(INDIRECT($C$5),Jornada!$C$8:$W$37,21,0),0)=0,0,VLOOKUP(INDIRECT($C$5),Jornada!$C$8:$H$37,4,0))</f>
        <v>0</v>
      </c>
      <c r="AI29" s="155">
        <f ca="1">IF(AND(I29=0,J29=0,OR(H29&lt;&gt;0,K29&lt;&gt;0),HLOOKUP($F29,Jornada!$X$7:$AD$37,VLOOKUP(INDIRECT($C$5),Jornada!$C$8:$W$37,21,0),0)&gt;$AK$5,M29&gt;$AK$5),VLOOKUP(INDIRECT($C$5),Jornada!$C$8:$H$37,6,0),IF(AG29&gt;VLOOKUP(INDIRECT($C$5),Jornada!$C$8:$H$37,6,0),IF(VLOOKUP(INDIRECT($C$5),Jornada!$C$8:$H$37,6,0)&lt;AG29,0,ABS(VLOOKUP(INDIRECT($C$5),Jornada!$C$8:$H$37,6,0))-AG29),0))</f>
        <v>0</v>
      </c>
      <c r="AJ29" s="155">
        <f t="shared" si="10"/>
        <v>1</v>
      </c>
      <c r="AK29" s="155">
        <f t="shared" si="5"/>
        <v>0</v>
      </c>
      <c r="AL29" s="155">
        <f ca="1">HLOOKUP($F29,Jornada!$I$5:$V$37,VLOOKUP(INDIRECT($C$5),Jornada!$C$8:$W$37,21,0)+2,0)</f>
        <v>0</v>
      </c>
      <c r="AM29" s="155">
        <f ca="1">HLOOKUP($F29,Jornada!$I$4:$V$37,VLOOKUP(INDIRECT($C$5),Jornada!$C$8:$W$37,21,0)+3,0)</f>
        <v>0</v>
      </c>
      <c r="AN29" s="155">
        <f t="shared" ca="1" si="6"/>
        <v>0</v>
      </c>
      <c r="AO29" s="155">
        <f t="shared" si="7"/>
        <v>0</v>
      </c>
      <c r="AP29" s="155">
        <f t="shared" si="8"/>
        <v>0</v>
      </c>
    </row>
    <row r="30" spans="1:59" s="2" customFormat="1" ht="30" customHeight="1" thickTop="1" thickBot="1" x14ac:dyDescent="0.25">
      <c r="A30" s="1"/>
      <c r="B30"/>
      <c r="C30" s="172" t="str">
        <f>IF(Funcionários!C29=0,"",Funcionários!C29)</f>
        <v/>
      </c>
      <c r="D30"/>
      <c r="E30" s="173">
        <f>Lanç!E30</f>
        <v>23</v>
      </c>
      <c r="F30" s="189" t="str">
        <f>Lanç!F30</f>
        <v>Seg</v>
      </c>
      <c r="G30" s="80"/>
      <c r="H30" s="94"/>
      <c r="I30" s="94"/>
      <c r="J30" s="94"/>
      <c r="K30" s="94"/>
      <c r="L30" s="197"/>
      <c r="M30" s="95">
        <f t="shared" si="1"/>
        <v>0</v>
      </c>
      <c r="N30" s="196"/>
      <c r="O30" s="95">
        <f ca="1">IF(OR(G30=0,G30="Férias",G30="Falta Justificada",G30="Feriado",G30="Folga (DSR)"),0,IF(G30="Falta Injustificada",HLOOKUP($F30,Jornada!$X$7:$AD$37,VLOOKUP(INDIRECT($C$5),Jornada!$C$8:$W$37,21,0),0),IF(HLOOKUP($F30,Jornada!$X$7:$AD$37,VLOOKUP(INDIRECT($C$5),Jornada!$C$8:$W$37,21,0),0)-M30&gt;0,HLOOKUP($F30,Jornada!$X$7:$AD$37,VLOOKUP(INDIRECT($C$5),Jornada!$C$8:$W$37,21,0),0)-M30,0)))</f>
        <v>0</v>
      </c>
      <c r="P30" s="193">
        <f ca="1">IF(HLOOKUP($F30,Jornada!$X$7:$AD$37,VLOOKUP(INDIRECT($C$5),Jornada!$C$8:$W$37,21,0),0)-M30&lt;0,ABS(HLOOKUP($F30,Jornada!$X$7:$AD$37,VLOOKUP(INDIRECT($C$5),Jornada!$C$8:$W$37,21,0),0)-M30),0)</f>
        <v>0</v>
      </c>
      <c r="Q30" s="95">
        <f t="shared" si="0"/>
        <v>0</v>
      </c>
      <c r="R30" s="2">
        <f>IF(Q30&gt;$R$7,1,0)</f>
        <v>0</v>
      </c>
      <c r="S30" s="13"/>
      <c r="T30" s="74"/>
      <c r="U30" s="74"/>
      <c r="X30" s="177"/>
      <c r="AB30" s="177">
        <f t="shared" si="9"/>
        <v>23</v>
      </c>
      <c r="AC30" s="2">
        <f>WEEKDAY(AB30)</f>
        <v>2</v>
      </c>
      <c r="AG30" s="220">
        <f t="shared" si="4"/>
        <v>0</v>
      </c>
      <c r="AH30" s="220">
        <f ca="1">IF(HLOOKUP($F30,Jornada!$X$7:$AD$37,VLOOKUP(INDIRECT($C$5),Jornada!$C$8:$W$37,21,0),0)=0,0,VLOOKUP(INDIRECT($C$5),Jornada!$C$8:$H$37,4,0))</f>
        <v>0</v>
      </c>
      <c r="AI30" s="155">
        <f ca="1">IF(AND(I30=0,J30=0,OR(H30&lt;&gt;0,K30&lt;&gt;0),HLOOKUP($F30,Jornada!$X$7:$AD$37,VLOOKUP(INDIRECT($C$5),Jornada!$C$8:$W$37,21,0),0)&gt;$AK$5,M30&gt;$AK$5),VLOOKUP(INDIRECT($C$5),Jornada!$C$8:$H$37,6,0),IF(AG30&gt;VLOOKUP(INDIRECT($C$5),Jornada!$C$8:$H$37,6,0),IF(VLOOKUP(INDIRECT($C$5),Jornada!$C$8:$H$37,6,0)&lt;AG30,0,ABS(VLOOKUP(INDIRECT($C$5),Jornada!$C$8:$H$37,6,0))-AG30),0))</f>
        <v>0</v>
      </c>
      <c r="AJ30" s="155">
        <f>($AJ$7-K30)+H30</f>
        <v>1</v>
      </c>
      <c r="AK30" s="155">
        <f>IF(AJ30&lt;$AK$7,$AK$7-AJ30,$AI$7)</f>
        <v>0</v>
      </c>
      <c r="AL30" s="155">
        <f ca="1">HLOOKUP($F30,Jornada!$I$5:$V$37,VLOOKUP(INDIRECT($C$5),Jornada!$C$8:$W$37,21,0)+2,0)</f>
        <v>0</v>
      </c>
      <c r="AM30" s="155">
        <f ca="1">HLOOKUP($F30,Jornada!$I$4:$V$37,VLOOKUP(INDIRECT($C$5),Jornada!$C$8:$W$37,21,0)+3,0)</f>
        <v>0</v>
      </c>
      <c r="AN30" s="155">
        <f t="shared" ca="1" si="6"/>
        <v>0</v>
      </c>
      <c r="AO30" s="155">
        <f t="shared" si="7"/>
        <v>0</v>
      </c>
      <c r="AP30" s="155">
        <f t="shared" si="8"/>
        <v>0</v>
      </c>
    </row>
    <row r="31" spans="1:59" s="2" customFormat="1" ht="30" customHeight="1" thickTop="1" thickBot="1" x14ac:dyDescent="0.25">
      <c r="A31" s="1"/>
      <c r="B31"/>
      <c r="C31" s="172" t="str">
        <f>IF(Funcionários!C30=0,"",Funcionários!C30)</f>
        <v/>
      </c>
      <c r="D31"/>
      <c r="E31" s="173">
        <f>Lanç!E31</f>
        <v>24</v>
      </c>
      <c r="F31" s="189" t="str">
        <f>Lanç!F31</f>
        <v>Ter</v>
      </c>
      <c r="G31" s="80"/>
      <c r="H31" s="94"/>
      <c r="I31" s="94"/>
      <c r="J31" s="94"/>
      <c r="K31" s="94"/>
      <c r="L31" s="197"/>
      <c r="M31" s="95">
        <f t="shared" si="1"/>
        <v>0</v>
      </c>
      <c r="N31" s="196"/>
      <c r="O31" s="95">
        <f ca="1">IF(OR(G31=0,G31="Férias",G31="Falta Justificada",G31="Feriado",G31="Folga (DSR)"),0,IF(G31="Falta Injustificada",HLOOKUP($F31,Jornada!$X$7:$AD$37,VLOOKUP(INDIRECT($C$5),Jornada!$C$8:$W$37,21,0),0),IF(HLOOKUP($F31,Jornada!$X$7:$AD$37,VLOOKUP(INDIRECT($C$5),Jornada!$C$8:$W$37,21,0),0)-M31&gt;0,HLOOKUP($F31,Jornada!$X$7:$AD$37,VLOOKUP(INDIRECT($C$5),Jornada!$C$8:$W$37,21,0),0)-M31,0)))</f>
        <v>0</v>
      </c>
      <c r="P31" s="193">
        <f ca="1">IF(HLOOKUP($F31,Jornada!$X$7:$AD$37,VLOOKUP(INDIRECT($C$5),Jornada!$C$8:$W$37,21,0),0)-M31&lt;0,ABS(HLOOKUP($F31,Jornada!$X$7:$AD$37,VLOOKUP(INDIRECT($C$5),Jornada!$C$8:$W$37,21,0),0)-M31),0)</f>
        <v>0</v>
      </c>
      <c r="Q31" s="95">
        <f t="shared" si="0"/>
        <v>0</v>
      </c>
      <c r="R31" s="2">
        <f>IF(Q31&gt;$R$7,1,0)</f>
        <v>0</v>
      </c>
      <c r="S31" s="13"/>
      <c r="T31" s="74"/>
      <c r="U31" s="74"/>
      <c r="X31" s="177"/>
      <c r="AB31" s="177">
        <f t="shared" si="9"/>
        <v>24</v>
      </c>
      <c r="AC31" s="2">
        <f>WEEKDAY(AB31)</f>
        <v>3</v>
      </c>
      <c r="AG31" s="220">
        <f t="shared" si="4"/>
        <v>0</v>
      </c>
      <c r="AH31" s="220">
        <f ca="1">IF(HLOOKUP($F31,Jornada!$X$7:$AD$37,VLOOKUP(INDIRECT($C$5),Jornada!$C$8:$W$37,21,0),0)=0,0,VLOOKUP(INDIRECT($C$5),Jornada!$C$8:$H$37,4,0))</f>
        <v>0</v>
      </c>
      <c r="AI31" s="155">
        <f ca="1">IF(AND(I31=0,J31=0,OR(H31&lt;&gt;0,K31&lt;&gt;0),HLOOKUP($F31,Jornada!$X$7:$AD$37,VLOOKUP(INDIRECT($C$5),Jornada!$C$8:$W$37,21,0),0)&gt;$AK$5,M31&gt;$AK$5),VLOOKUP(INDIRECT($C$5),Jornada!$C$8:$H$37,6,0),IF(AG31&gt;VLOOKUP(INDIRECT($C$5),Jornada!$C$8:$H$37,6,0),IF(VLOOKUP(INDIRECT($C$5),Jornada!$C$8:$H$37,6,0)&lt;AG31,0,ABS(VLOOKUP(INDIRECT($C$5),Jornada!$C$8:$H$37,6,0))-AG31),0))</f>
        <v>0</v>
      </c>
      <c r="AJ31" s="155">
        <f>($AJ$7-K31)+H31</f>
        <v>1</v>
      </c>
      <c r="AK31" s="155">
        <f>IF(AJ31&lt;$AK$7,$AK$7-AJ31,$AI$7)</f>
        <v>0</v>
      </c>
      <c r="AL31" s="155">
        <f ca="1">HLOOKUP($F31,Jornada!$I$5:$V$37,VLOOKUP(INDIRECT($C$5),Jornada!$C$8:$W$37,21,0)+2,0)</f>
        <v>0</v>
      </c>
      <c r="AM31" s="155">
        <f ca="1">HLOOKUP($F31,Jornada!$I$4:$V$37,VLOOKUP(INDIRECT($C$5),Jornada!$C$8:$W$37,21,0)+3,0)</f>
        <v>0</v>
      </c>
      <c r="AN31" s="155">
        <f t="shared" ca="1" si="6"/>
        <v>0</v>
      </c>
      <c r="AO31" s="155">
        <f t="shared" si="7"/>
        <v>0</v>
      </c>
      <c r="AP31" s="155">
        <f t="shared" si="8"/>
        <v>0</v>
      </c>
    </row>
    <row r="32" spans="1:59" s="2" customFormat="1" ht="30" customHeight="1" thickTop="1" thickBot="1" x14ac:dyDescent="0.25">
      <c r="A32" s="1"/>
      <c r="B32"/>
      <c r="C32" s="172" t="str">
        <f>IF(Funcionários!C31=0,"",Funcionários!C31)</f>
        <v/>
      </c>
      <c r="D32"/>
      <c r="E32" s="115">
        <f>Lanç!E32</f>
        <v>25</v>
      </c>
      <c r="F32" s="189" t="str">
        <f>Lanç!F32</f>
        <v>Qua</v>
      </c>
      <c r="G32" s="202"/>
      <c r="H32" s="94"/>
      <c r="I32" s="94"/>
      <c r="J32" s="94"/>
      <c r="K32" s="94"/>
      <c r="L32" s="197"/>
      <c r="M32" s="95">
        <f t="shared" si="1"/>
        <v>0</v>
      </c>
      <c r="N32" s="196"/>
      <c r="O32" s="95">
        <f ca="1">IF(OR(G32=0,G32="Férias",G32="Falta Justificada",G32="Feriado",G32="Folga (DSR)"),0,IF(G32="Falta Injustificada",HLOOKUP($F32,Jornada!$X$7:$AD$37,VLOOKUP(INDIRECT($C$5),Jornada!$C$8:$W$37,21,0),0),IF(HLOOKUP($F32,Jornada!$X$7:$AD$37,VLOOKUP(INDIRECT($C$5),Jornada!$C$8:$W$37,21,0),0)-M32&gt;0,HLOOKUP($F32,Jornada!$X$7:$AD$37,VLOOKUP(INDIRECT($C$5),Jornada!$C$8:$W$37,21,0),0)-M32,0)))</f>
        <v>0</v>
      </c>
      <c r="P32" s="193">
        <f ca="1">IF(HLOOKUP($F32,Jornada!$X$7:$AD$37,VLOOKUP(INDIRECT($C$5),Jornada!$C$8:$W$37,21,0),0)-M32&lt;0,ABS(HLOOKUP($F32,Jornada!$X$7:$AD$37,VLOOKUP(INDIRECT($C$5),Jornada!$C$8:$W$37,21,0),0)-M32),0)</f>
        <v>0</v>
      </c>
      <c r="Q32" s="95">
        <f t="shared" si="0"/>
        <v>0</v>
      </c>
      <c r="R32" s="2">
        <f t="shared" si="2"/>
        <v>0</v>
      </c>
      <c r="S32" s="74"/>
      <c r="T32" s="74"/>
      <c r="U32" s="74"/>
      <c r="X32" s="177"/>
      <c r="AB32" s="177">
        <f t="shared" si="9"/>
        <v>25</v>
      </c>
      <c r="AC32" s="2">
        <f t="shared" si="3"/>
        <v>4</v>
      </c>
      <c r="AG32" s="220">
        <f t="shared" si="4"/>
        <v>0</v>
      </c>
      <c r="AH32" s="220">
        <f ca="1">IF(HLOOKUP($F32,Jornada!$X$7:$AD$37,VLOOKUP(INDIRECT($C$5),Jornada!$C$8:$W$37,21,0),0)=0,0,VLOOKUP(INDIRECT($C$5),Jornada!$C$8:$H$37,4,0))</f>
        <v>0</v>
      </c>
      <c r="AI32" s="155">
        <f ca="1">IF(AND(I32=0,J32=0,OR(H32&lt;&gt;0,K32&lt;&gt;0),HLOOKUP($F32,Jornada!$X$7:$AD$37,VLOOKUP(INDIRECT($C$5),Jornada!$C$8:$W$37,21,0),0)&gt;$AK$5,M32&gt;$AK$5),VLOOKUP(INDIRECT($C$5),Jornada!$C$8:$H$37,6,0),IF(AG32&gt;VLOOKUP(INDIRECT($C$5),Jornada!$C$8:$H$37,6,0),IF(VLOOKUP(INDIRECT($C$5),Jornada!$C$8:$H$37,6,0)&lt;AG32,0,ABS(VLOOKUP(INDIRECT($C$5),Jornada!$C$8:$H$37,6,0))-AG32),0))</f>
        <v>0</v>
      </c>
      <c r="AJ32" s="155">
        <f t="shared" si="10"/>
        <v>1</v>
      </c>
      <c r="AK32" s="155">
        <f t="shared" si="5"/>
        <v>0</v>
      </c>
      <c r="AL32" s="155">
        <f ca="1">HLOOKUP($F32,Jornada!$I$5:$V$37,VLOOKUP(INDIRECT($C$5),Jornada!$C$8:$W$37,21,0)+2,0)</f>
        <v>0</v>
      </c>
      <c r="AM32" s="155">
        <f ca="1">HLOOKUP($F32,Jornada!$I$4:$V$37,VLOOKUP(INDIRECT($C$5),Jornada!$C$8:$W$37,21,0)+3,0)</f>
        <v>0</v>
      </c>
      <c r="AN32" s="155">
        <f t="shared" ca="1" si="6"/>
        <v>0</v>
      </c>
      <c r="AO32" s="155">
        <f t="shared" si="7"/>
        <v>0</v>
      </c>
      <c r="AP32" s="155">
        <f t="shared" si="8"/>
        <v>0</v>
      </c>
    </row>
    <row r="33" spans="1:42" s="2" customFormat="1" ht="30" customHeight="1" thickTop="1" thickBot="1" x14ac:dyDescent="0.25">
      <c r="A33" s="1"/>
      <c r="B33"/>
      <c r="C33" s="172" t="str">
        <f>IF(Funcionários!C32=0,"",Funcionários!C32)</f>
        <v/>
      </c>
      <c r="D33"/>
      <c r="E33" s="115">
        <f>Lanç!E33</f>
        <v>26</v>
      </c>
      <c r="F33" s="189" t="str">
        <f>Lanç!F33</f>
        <v>Qui</v>
      </c>
      <c r="G33" s="80"/>
      <c r="H33" s="94"/>
      <c r="I33" s="94"/>
      <c r="J33" s="94"/>
      <c r="K33" s="94"/>
      <c r="L33" s="197"/>
      <c r="M33" s="95">
        <f t="shared" si="1"/>
        <v>0</v>
      </c>
      <c r="N33" s="196"/>
      <c r="O33" s="95">
        <f ca="1">IF(OR(G33=0,G33="Férias",G33="Falta Justificada",G33="Feriado",G33="Folga (DSR)"),0,IF(G33="Falta Injustificada",HLOOKUP($F33,Jornada!$X$7:$AD$37,VLOOKUP(INDIRECT($C$5),Jornada!$C$8:$W$37,21,0),0),IF(HLOOKUP($F33,Jornada!$X$7:$AD$37,VLOOKUP(INDIRECT($C$5),Jornada!$C$8:$W$37,21,0),0)-M33&gt;0,HLOOKUP($F33,Jornada!$X$7:$AD$37,VLOOKUP(INDIRECT($C$5),Jornada!$C$8:$W$37,21,0),0)-M33,0)))</f>
        <v>0</v>
      </c>
      <c r="P33" s="193">
        <f ca="1">IF(HLOOKUP($F33,Jornada!$X$7:$AD$37,VLOOKUP(INDIRECT($C$5),Jornada!$C$8:$W$37,21,0),0)-M33&lt;0,ABS(HLOOKUP($F33,Jornada!$X$7:$AD$37,VLOOKUP(INDIRECT($C$5),Jornada!$C$8:$W$37,21,0),0)-M33),0)</f>
        <v>0</v>
      </c>
      <c r="Q33" s="95">
        <f t="shared" si="0"/>
        <v>0</v>
      </c>
      <c r="R33" s="2">
        <f t="shared" si="2"/>
        <v>0</v>
      </c>
      <c r="S33" s="74"/>
      <c r="T33" s="74"/>
      <c r="U33" s="74"/>
      <c r="X33" s="177"/>
      <c r="AB33" s="177">
        <f t="shared" si="9"/>
        <v>26</v>
      </c>
      <c r="AC33" s="2">
        <f t="shared" si="3"/>
        <v>5</v>
      </c>
      <c r="AG33" s="220">
        <f t="shared" si="4"/>
        <v>0</v>
      </c>
      <c r="AH33" s="220">
        <f ca="1">IF(HLOOKUP($F33,Jornada!$X$7:$AD$37,VLOOKUP(INDIRECT($C$5),Jornada!$C$8:$W$37,21,0),0)=0,0,VLOOKUP(INDIRECT($C$5),Jornada!$C$8:$H$37,4,0))</f>
        <v>0</v>
      </c>
      <c r="AI33" s="155">
        <f ca="1">IF(AND(I33=0,J33=0,OR(H33&lt;&gt;0,K33&lt;&gt;0),HLOOKUP($F33,Jornada!$X$7:$AD$37,VLOOKUP(INDIRECT($C$5),Jornada!$C$8:$W$37,21,0),0)&gt;$AK$5,M33&gt;$AK$5),VLOOKUP(INDIRECT($C$5),Jornada!$C$8:$H$37,6,0),IF(AG33&gt;VLOOKUP(INDIRECT($C$5),Jornada!$C$8:$H$37,6,0),IF(VLOOKUP(INDIRECT($C$5),Jornada!$C$8:$H$37,6,0)&lt;AG33,0,ABS(VLOOKUP(INDIRECT($C$5),Jornada!$C$8:$H$37,6,0))-AG33),0))</f>
        <v>0</v>
      </c>
      <c r="AJ33" s="155">
        <f t="shared" si="10"/>
        <v>1</v>
      </c>
      <c r="AK33" s="155">
        <f t="shared" si="5"/>
        <v>0</v>
      </c>
      <c r="AL33" s="155">
        <f ca="1">HLOOKUP($F33,Jornada!$I$5:$V$37,VLOOKUP(INDIRECT($C$5),Jornada!$C$8:$W$37,21,0)+2,0)</f>
        <v>0</v>
      </c>
      <c r="AM33" s="155">
        <f ca="1">HLOOKUP($F33,Jornada!$I$4:$V$37,VLOOKUP(INDIRECT($C$5),Jornada!$C$8:$W$37,21,0)+3,0)</f>
        <v>0</v>
      </c>
      <c r="AN33" s="155">
        <f t="shared" ca="1" si="6"/>
        <v>0</v>
      </c>
      <c r="AO33" s="155">
        <f t="shared" si="7"/>
        <v>0</v>
      </c>
      <c r="AP33" s="155">
        <f t="shared" si="8"/>
        <v>0</v>
      </c>
    </row>
    <row r="34" spans="1:42" s="2" customFormat="1" ht="30" customHeight="1" thickTop="1" thickBot="1" x14ac:dyDescent="0.25">
      <c r="A34" s="1"/>
      <c r="B34"/>
      <c r="C34" s="172" t="str">
        <f>IF(Funcionários!C33=0,"",Funcionários!C33)</f>
        <v/>
      </c>
      <c r="D34"/>
      <c r="E34" s="115">
        <f>Lanç!E34</f>
        <v>27</v>
      </c>
      <c r="F34" s="189" t="str">
        <f>Lanç!F34</f>
        <v>Sex</v>
      </c>
      <c r="G34" s="80"/>
      <c r="H34" s="94"/>
      <c r="I34" s="94"/>
      <c r="J34" s="94"/>
      <c r="K34" s="94"/>
      <c r="L34" s="197"/>
      <c r="M34" s="95">
        <f t="shared" si="1"/>
        <v>0</v>
      </c>
      <c r="N34" s="196"/>
      <c r="O34" s="95">
        <f ca="1">IF(OR(G34=0,G34="Férias",G34="Falta Justificada",G34="Feriado",G34="Folga (DSR)"),0,IF(G34="Falta Injustificada",HLOOKUP($F34,Jornada!$X$7:$AD$37,VLOOKUP(INDIRECT($C$5),Jornada!$C$8:$W$37,21,0),0),IF(HLOOKUP($F34,Jornada!$X$7:$AD$37,VLOOKUP(INDIRECT($C$5),Jornada!$C$8:$W$37,21,0),0)-M34&gt;0,HLOOKUP($F34,Jornada!$X$7:$AD$37,VLOOKUP(INDIRECT($C$5),Jornada!$C$8:$W$37,21,0),0)-M34,0)))</f>
        <v>0</v>
      </c>
      <c r="P34" s="193">
        <f ca="1">IF(HLOOKUP($F34,Jornada!$X$7:$AD$37,VLOOKUP(INDIRECT($C$5),Jornada!$C$8:$W$37,21,0),0)-M34&lt;0,ABS(HLOOKUP($F34,Jornada!$X$7:$AD$37,VLOOKUP(INDIRECT($C$5),Jornada!$C$8:$W$37,21,0),0)-M34),0)</f>
        <v>0</v>
      </c>
      <c r="Q34" s="95">
        <f t="shared" si="0"/>
        <v>0</v>
      </c>
      <c r="R34" s="2">
        <f t="shared" si="2"/>
        <v>0</v>
      </c>
      <c r="S34" s="74"/>
      <c r="T34" s="74"/>
      <c r="U34" s="74"/>
      <c r="X34" s="177"/>
      <c r="AB34" s="177">
        <f t="shared" si="9"/>
        <v>27</v>
      </c>
      <c r="AC34" s="2">
        <f t="shared" si="3"/>
        <v>6</v>
      </c>
      <c r="AG34" s="220">
        <f t="shared" si="4"/>
        <v>0</v>
      </c>
      <c r="AH34" s="220">
        <f ca="1">IF(HLOOKUP($F34,Jornada!$X$7:$AD$37,VLOOKUP(INDIRECT($C$5),Jornada!$C$8:$W$37,21,0),0)=0,0,VLOOKUP(INDIRECT($C$5),Jornada!$C$8:$H$37,4,0))</f>
        <v>0</v>
      </c>
      <c r="AI34" s="155">
        <f ca="1">IF(AND(I34=0,J34=0,OR(H34&lt;&gt;0,K34&lt;&gt;0),HLOOKUP($F34,Jornada!$X$7:$AD$37,VLOOKUP(INDIRECT($C$5),Jornada!$C$8:$W$37,21,0),0)&gt;$AK$5,M34&gt;$AK$5),VLOOKUP(INDIRECT($C$5),Jornada!$C$8:$H$37,6,0),IF(AG34&gt;VLOOKUP(INDIRECT($C$5),Jornada!$C$8:$H$37,6,0),IF(VLOOKUP(INDIRECT($C$5),Jornada!$C$8:$H$37,6,0)&lt;AG34,0,ABS(VLOOKUP(INDIRECT($C$5),Jornada!$C$8:$H$37,6,0))-AG34),0))</f>
        <v>0</v>
      </c>
      <c r="AJ34" s="155">
        <f t="shared" si="10"/>
        <v>1</v>
      </c>
      <c r="AK34" s="155">
        <f t="shared" si="5"/>
        <v>0</v>
      </c>
      <c r="AL34" s="155">
        <f ca="1">HLOOKUP($F34,Jornada!$I$5:$V$37,VLOOKUP(INDIRECT($C$5),Jornada!$C$8:$W$37,21,0)+2,0)</f>
        <v>0</v>
      </c>
      <c r="AM34" s="155">
        <f ca="1">HLOOKUP($F34,Jornada!$I$4:$V$37,VLOOKUP(INDIRECT($C$5),Jornada!$C$8:$W$37,21,0)+3,0)</f>
        <v>0</v>
      </c>
      <c r="AN34" s="155">
        <f t="shared" ca="1" si="6"/>
        <v>0</v>
      </c>
      <c r="AO34" s="155">
        <f t="shared" si="7"/>
        <v>0</v>
      </c>
      <c r="AP34" s="155">
        <f t="shared" si="8"/>
        <v>0</v>
      </c>
    </row>
    <row r="35" spans="1:42" s="2" customFormat="1" ht="30" customHeight="1" thickTop="1" thickBot="1" x14ac:dyDescent="0.25">
      <c r="A35" s="1"/>
      <c r="B35"/>
      <c r="C35" s="172" t="str">
        <f>IF(Funcionários!C34=0,"",Funcionários!C34)</f>
        <v/>
      </c>
      <c r="D35"/>
      <c r="E35" s="115">
        <f>Lanç!E35</f>
        <v>28</v>
      </c>
      <c r="F35" s="189" t="str">
        <f>Lanç!F35</f>
        <v>Sáb</v>
      </c>
      <c r="G35" s="80"/>
      <c r="H35" s="94"/>
      <c r="I35" s="94"/>
      <c r="J35" s="94"/>
      <c r="K35" s="94"/>
      <c r="L35" s="197"/>
      <c r="M35" s="95">
        <f t="shared" si="1"/>
        <v>0</v>
      </c>
      <c r="N35" s="196"/>
      <c r="O35" s="95">
        <f ca="1">IF(OR(G35=0,G35="Férias",G35="Falta Justificada",G35="Feriado",G35="Folga (DSR)"),0,IF(G35="Falta Injustificada",HLOOKUP($F35,Jornada!$X$7:$AD$37,VLOOKUP(INDIRECT($C$5),Jornada!$C$8:$W$37,21,0),0),IF(HLOOKUP($F35,Jornada!$X$7:$AD$37,VLOOKUP(INDIRECT($C$5),Jornada!$C$8:$W$37,21,0),0)-M35&gt;0,HLOOKUP($F35,Jornada!$X$7:$AD$37,VLOOKUP(INDIRECT($C$5),Jornada!$C$8:$W$37,21,0),0)-M35,0)))</f>
        <v>0</v>
      </c>
      <c r="P35" s="193">
        <f ca="1">IF(HLOOKUP($F35,Jornada!$X$7:$AD$37,VLOOKUP(INDIRECT($C$5),Jornada!$C$8:$W$37,21,0),0)-M35&lt;0,ABS(HLOOKUP($F35,Jornada!$X$7:$AD$37,VLOOKUP(INDIRECT($C$5),Jornada!$C$8:$W$37,21,0),0)-M35),0)</f>
        <v>0</v>
      </c>
      <c r="Q35" s="95">
        <f t="shared" si="0"/>
        <v>0</v>
      </c>
      <c r="R35" s="2">
        <f t="shared" si="2"/>
        <v>0</v>
      </c>
      <c r="S35"/>
      <c r="T35"/>
      <c r="U35"/>
      <c r="X35" s="177"/>
      <c r="AB35" s="177">
        <f>IF(MONTH(AB34+1)&lt;&gt;MONTH(AB34),"",AB34+1)</f>
        <v>28</v>
      </c>
      <c r="AC35" s="2">
        <f t="shared" si="3"/>
        <v>7</v>
      </c>
      <c r="AG35" s="220">
        <f t="shared" si="4"/>
        <v>0</v>
      </c>
      <c r="AH35" s="220">
        <f ca="1">IF(HLOOKUP($F35,Jornada!$X$7:$AD$37,VLOOKUP(INDIRECT($C$5),Jornada!$C$8:$W$37,21,0),0)=0,0,VLOOKUP(INDIRECT($C$5),Jornada!$C$8:$H$37,4,0))</f>
        <v>0</v>
      </c>
      <c r="AI35" s="155">
        <f ca="1">IF(AND(I35=0,J35=0,OR(H35&lt;&gt;0,K35&lt;&gt;0),HLOOKUP($F35,Jornada!$X$7:$AD$37,VLOOKUP(INDIRECT($C$5),Jornada!$C$8:$W$37,21,0),0)&gt;$AK$5,M35&gt;$AK$5),VLOOKUP(INDIRECT($C$5),Jornada!$C$8:$H$37,6,0),IF(AG35&gt;VLOOKUP(INDIRECT($C$5),Jornada!$C$8:$H$37,6,0),IF(VLOOKUP(INDIRECT($C$5),Jornada!$C$8:$H$37,6,0)&lt;AG35,0,ABS(VLOOKUP(INDIRECT($C$5),Jornada!$C$8:$H$37,6,0))-AG35),0))</f>
        <v>0</v>
      </c>
      <c r="AJ35" s="155">
        <f t="shared" si="10"/>
        <v>1</v>
      </c>
      <c r="AK35" s="155">
        <f t="shared" si="5"/>
        <v>0</v>
      </c>
      <c r="AL35" s="155">
        <f ca="1">HLOOKUP($F35,Jornada!$I$5:$V$37,VLOOKUP(INDIRECT($C$5),Jornada!$C$8:$W$37,21,0)+2,0)</f>
        <v>0</v>
      </c>
      <c r="AM35" s="155">
        <f ca="1">HLOOKUP($F35,Jornada!$I$4:$V$37,VLOOKUP(INDIRECT($C$5),Jornada!$C$8:$W$37,21,0)+3,0)</f>
        <v>0</v>
      </c>
      <c r="AN35" s="155">
        <f t="shared" ca="1" si="6"/>
        <v>0</v>
      </c>
      <c r="AO35" s="155">
        <f t="shared" si="7"/>
        <v>0</v>
      </c>
      <c r="AP35" s="155">
        <f t="shared" si="8"/>
        <v>0</v>
      </c>
    </row>
    <row r="36" spans="1:42" s="2" customFormat="1" ht="30" customHeight="1" thickTop="1" thickBot="1" x14ac:dyDescent="0.25">
      <c r="A36" s="1"/>
      <c r="B36"/>
      <c r="C36" s="172" t="str">
        <f>IF(Funcionários!C35=0,"",Funcionários!C35)</f>
        <v/>
      </c>
      <c r="D36"/>
      <c r="E36" s="115">
        <f>Lanç!E36</f>
        <v>29</v>
      </c>
      <c r="F36" s="189" t="str">
        <f>Lanç!F36</f>
        <v>Dom</v>
      </c>
      <c r="G36" s="80"/>
      <c r="H36" s="94"/>
      <c r="I36" s="94"/>
      <c r="J36" s="94"/>
      <c r="K36" s="94"/>
      <c r="L36" s="197"/>
      <c r="M36" s="95">
        <f t="shared" si="1"/>
        <v>0</v>
      </c>
      <c r="N36" s="196"/>
      <c r="O36" s="95">
        <f ca="1">IF(OR(G36=0,G36="Férias",G36="Falta Justificada",G36="Feriado",G36="Folga (DSR)"),0,IF(G36="Falta Injustificada",HLOOKUP($F36,Jornada!$X$7:$AD$37,VLOOKUP(INDIRECT($C$5),Jornada!$C$8:$W$37,21,0),0),IF(HLOOKUP($F36,Jornada!$X$7:$AD$37,VLOOKUP(INDIRECT($C$5),Jornada!$C$8:$W$37,21,0),0)-M36&gt;0,HLOOKUP($F36,Jornada!$X$7:$AD$37,VLOOKUP(INDIRECT($C$5),Jornada!$C$8:$W$37,21,0),0)-M36,0)))</f>
        <v>0</v>
      </c>
      <c r="P36" s="193">
        <f ca="1">IF(HLOOKUP($F36,Jornada!$X$7:$AD$37,VLOOKUP(INDIRECT($C$5),Jornada!$C$8:$W$37,21,0),0)-M36&lt;0,ABS(HLOOKUP($F36,Jornada!$X$7:$AD$37,VLOOKUP(INDIRECT($C$5),Jornada!$C$8:$W$37,21,0),0)-M36),0)</f>
        <v>0</v>
      </c>
      <c r="Q36" s="95">
        <f t="shared" si="0"/>
        <v>0</v>
      </c>
      <c r="R36" s="2">
        <f t="shared" si="2"/>
        <v>0</v>
      </c>
      <c r="S36"/>
      <c r="T36"/>
      <c r="U36"/>
      <c r="X36" s="177"/>
      <c r="AB36" s="177">
        <f>IF(MONTH(AB35+1)&lt;&gt;MONTH(AB35),"",IF(AB35="","",AB35+1))</f>
        <v>29</v>
      </c>
      <c r="AC36" s="2">
        <f>IF(ISERROR(WEEKDAY(AB36)),"",WEEKDAY(AB36))</f>
        <v>1</v>
      </c>
      <c r="AG36" s="220">
        <f t="shared" si="4"/>
        <v>0</v>
      </c>
      <c r="AH36" s="220">
        <f ca="1">IF(HLOOKUP($F36,Jornada!$X$7:$AD$37,VLOOKUP(INDIRECT($C$5),Jornada!$C$8:$W$37,21,0),0)=0,0,VLOOKUP(INDIRECT($C$5),Jornada!$C$8:$H$37,4,0))</f>
        <v>0</v>
      </c>
      <c r="AI36" s="155">
        <f ca="1">IF(AND(I36=0,J36=0,OR(H36&lt;&gt;0,K36&lt;&gt;0),HLOOKUP($F36,Jornada!$X$7:$AD$37,VLOOKUP(INDIRECT($C$5),Jornada!$C$8:$W$37,21,0),0)&gt;$AK$5,M36&gt;$AK$5),VLOOKUP(INDIRECT($C$5),Jornada!$C$8:$H$37,6,0),IF(AG36&gt;VLOOKUP(INDIRECT($C$5),Jornada!$C$8:$H$37,6,0),IF(VLOOKUP(INDIRECT($C$5),Jornada!$C$8:$H$37,6,0)&lt;AG36,0,ABS(VLOOKUP(INDIRECT($C$5),Jornada!$C$8:$H$37,6,0))-AG36),0))</f>
        <v>0</v>
      </c>
      <c r="AJ36" s="155">
        <f t="shared" si="10"/>
        <v>1</v>
      </c>
      <c r="AK36" s="155">
        <f t="shared" si="5"/>
        <v>0</v>
      </c>
      <c r="AL36" s="155">
        <f ca="1">HLOOKUP($F36,Jornada!$I$5:$V$37,VLOOKUP(INDIRECT($C$5),Jornada!$C$8:$W$37,21,0)+2,0)</f>
        <v>0</v>
      </c>
      <c r="AM36" s="155">
        <f ca="1">HLOOKUP($F36,Jornada!$I$4:$V$37,VLOOKUP(INDIRECT($C$5),Jornada!$C$8:$W$37,21,0)+3,0)</f>
        <v>0</v>
      </c>
      <c r="AN36" s="155">
        <f t="shared" ca="1" si="6"/>
        <v>0</v>
      </c>
      <c r="AO36" s="155">
        <f t="shared" si="7"/>
        <v>0</v>
      </c>
      <c r="AP36" s="155">
        <f t="shared" si="8"/>
        <v>0</v>
      </c>
    </row>
    <row r="37" spans="1:42" s="2" customFormat="1" ht="30" customHeight="1" thickTop="1" thickBot="1" x14ac:dyDescent="0.25">
      <c r="A37" s="1"/>
      <c r="B37"/>
      <c r="C37" s="172" t="str">
        <f>IF(Funcionários!C36=0,"",Funcionários!C36)</f>
        <v/>
      </c>
      <c r="D37"/>
      <c r="E37" s="115">
        <f>Lanç!E37</f>
        <v>30</v>
      </c>
      <c r="F37" s="189" t="str">
        <f>Lanç!F37</f>
        <v>Seg</v>
      </c>
      <c r="G37" s="80"/>
      <c r="H37" s="94"/>
      <c r="I37" s="94"/>
      <c r="J37" s="94"/>
      <c r="K37" s="94"/>
      <c r="L37" s="197"/>
      <c r="M37" s="95">
        <f t="shared" si="1"/>
        <v>0</v>
      </c>
      <c r="N37" s="196"/>
      <c r="O37" s="95">
        <f ca="1">IF(OR(G37=0,G37="Férias",G37="Falta Justificada",G37="Feriado",G37="Folga (DSR)"),0,IF(G37="Falta Injustificada",HLOOKUP($F37,Jornada!$X$7:$AD$37,VLOOKUP(INDIRECT($C$5),Jornada!$C$8:$W$37,21,0),0),IF(HLOOKUP($F37,Jornada!$X$7:$AD$37,VLOOKUP(INDIRECT($C$5),Jornada!$C$8:$W$37,21,0),0)-M37&gt;0,HLOOKUP($F37,Jornada!$X$7:$AD$37,VLOOKUP(INDIRECT($C$5),Jornada!$C$8:$W$37,21,0),0)-M37,0)))</f>
        <v>0</v>
      </c>
      <c r="P37" s="193">
        <f ca="1">IF(HLOOKUP($F37,Jornada!$X$7:$AD$37,VLOOKUP(INDIRECT($C$5),Jornada!$C$8:$W$37,21,0),0)-M37&lt;0,ABS(HLOOKUP($F37,Jornada!$X$7:$AD$37,VLOOKUP(INDIRECT($C$5),Jornada!$C$8:$W$37,21,0),0)-M37),0)</f>
        <v>0</v>
      </c>
      <c r="Q37" s="95">
        <f t="shared" si="0"/>
        <v>0</v>
      </c>
      <c r="R37" s="2">
        <f t="shared" si="2"/>
        <v>0</v>
      </c>
      <c r="S37"/>
      <c r="T37"/>
      <c r="U37"/>
      <c r="X37" s="177"/>
      <c r="AB37" s="177">
        <f>IF(AB36="","",IF(MONTH(AB36+1)&lt;&gt;MONTH(AB36),"",AB36+1))</f>
        <v>30</v>
      </c>
      <c r="AC37" s="2">
        <f>IF(ISERROR(WEEKDAY(AB37)),"",WEEKDAY(AB37))</f>
        <v>2</v>
      </c>
      <c r="AG37" s="220">
        <f t="shared" si="4"/>
        <v>0</v>
      </c>
      <c r="AH37" s="220">
        <f ca="1">IF(HLOOKUP($F37,Jornada!$X$7:$AD$37,VLOOKUP(INDIRECT($C$5),Jornada!$C$8:$W$37,21,0),0)=0,0,VLOOKUP(INDIRECT($C$5),Jornada!$C$8:$H$37,4,0))</f>
        <v>0</v>
      </c>
      <c r="AI37" s="155">
        <f ca="1">IF(AND(I37=0,J37=0,OR(H37&lt;&gt;0,K37&lt;&gt;0),HLOOKUP($F37,Jornada!$X$7:$AD$37,VLOOKUP(INDIRECT($C$5),Jornada!$C$8:$W$37,21,0),0)&gt;$AK$5,M37&gt;$AK$5),VLOOKUP(INDIRECT($C$5),Jornada!$C$8:$H$37,6,0),IF(AG37&gt;VLOOKUP(INDIRECT($C$5),Jornada!$C$8:$H$37,6,0),IF(VLOOKUP(INDIRECT($C$5),Jornada!$C$8:$H$37,6,0)&lt;AG37,0,ABS(VLOOKUP(INDIRECT($C$5),Jornada!$C$8:$H$37,6,0))-AG37),0))</f>
        <v>0</v>
      </c>
      <c r="AJ37" s="155">
        <f t="shared" si="10"/>
        <v>1</v>
      </c>
      <c r="AK37" s="155">
        <f t="shared" si="5"/>
        <v>0</v>
      </c>
      <c r="AL37" s="155">
        <f ca="1">HLOOKUP($F37,Jornada!$I$5:$V$37,VLOOKUP(INDIRECT($C$5),Jornada!$C$8:$W$37,21,0)+2,0)</f>
        <v>0</v>
      </c>
      <c r="AM37" s="155">
        <f ca="1">HLOOKUP($F37,Jornada!$I$4:$V$37,VLOOKUP(INDIRECT($C$5),Jornada!$C$8:$W$37,21,0)+3,0)</f>
        <v>0</v>
      </c>
      <c r="AN37" s="155">
        <f t="shared" ca="1" si="6"/>
        <v>0</v>
      </c>
      <c r="AO37" s="155">
        <f t="shared" si="7"/>
        <v>0</v>
      </c>
      <c r="AP37" s="155">
        <f t="shared" si="8"/>
        <v>0</v>
      </c>
    </row>
    <row r="38" spans="1:42" s="2" customFormat="1" ht="30" customHeight="1" thickTop="1" thickBot="1" x14ac:dyDescent="0.25">
      <c r="A38" s="1"/>
      <c r="B38"/>
      <c r="C38"/>
      <c r="D38" s="2">
        <f t="shared" ref="D38" si="11">IF(D37=7,1,D37+1)</f>
        <v>1</v>
      </c>
      <c r="E38" s="210">
        <f>Lanç!E38</f>
        <v>31</v>
      </c>
      <c r="F38" s="210" t="str">
        <f>Lanç!F38</f>
        <v>Ter</v>
      </c>
      <c r="G38" s="81"/>
      <c r="H38" s="94"/>
      <c r="I38" s="94"/>
      <c r="J38" s="94"/>
      <c r="K38" s="94"/>
      <c r="L38" s="197"/>
      <c r="M38" s="95">
        <f t="shared" si="1"/>
        <v>0</v>
      </c>
      <c r="N38" s="196"/>
      <c r="O38" s="95">
        <f ca="1">IF(OR(G38=0,G38="Férias",G38="Falta Justificada",G38="Feriado",G38="Folga (DSR)"),0,IF(G38="Falta Injustificada",HLOOKUP($F38,Jornada!$X$7:$AD$37,VLOOKUP(INDIRECT($C$5),Jornada!$C$8:$W$37,21,0),0),IF(HLOOKUP($F38,Jornada!$X$7:$AD$37,VLOOKUP(INDIRECT($C$5),Jornada!$C$8:$W$37,21,0),0)-M38&gt;0,HLOOKUP($F38,Jornada!$X$7:$AD$37,VLOOKUP(INDIRECT($C$5),Jornada!$C$8:$W$37,21,0),0)-M38,0)))</f>
        <v>0</v>
      </c>
      <c r="P38" s="201">
        <f ca="1">IF(HLOOKUP($F38,Jornada!$X$7:$AD$37,VLOOKUP(INDIRECT($C$5),Jornada!$C$8:$W$37,21,0),0)-M38&lt;0,ABS(HLOOKUP($F38,Jornada!$X$7:$AD$37,VLOOKUP(INDIRECT($C$5),Jornada!$C$8:$W$37,21,0),0)-M38),0)</f>
        <v>0</v>
      </c>
      <c r="Q38" s="95">
        <f t="shared" si="0"/>
        <v>0</v>
      </c>
      <c r="R38" s="2">
        <f t="shared" si="2"/>
        <v>0</v>
      </c>
      <c r="X38" s="177"/>
      <c r="AB38" s="177">
        <f>IF(AB37="","",IF(MONTH(AB37+1)&lt;&gt;MONTH(AB37),"",AB37+1))</f>
        <v>31</v>
      </c>
      <c r="AC38" s="2">
        <f>IF(ISERROR(WEEKDAY(AB38)),"",WEEKDAY(AB38))</f>
        <v>3</v>
      </c>
      <c r="AG38" s="220">
        <f t="shared" si="4"/>
        <v>0</v>
      </c>
      <c r="AH38" s="220">
        <f ca="1">IF(HLOOKUP($F38,Jornada!$X$7:$AD$37,VLOOKUP(INDIRECT($C$5),Jornada!$C$8:$W$37,21,0),0)=0,0,VLOOKUP(INDIRECT($C$5),Jornada!$C$8:$H$37,4,0))</f>
        <v>0</v>
      </c>
      <c r="AI38" s="155">
        <f ca="1">IF(AND(I38=0,J38=0,OR(H38&lt;&gt;0,K38&lt;&gt;0),HLOOKUP($F38,Jornada!$X$7:$AD$37,VLOOKUP(INDIRECT($C$5),Jornada!$C$8:$W$37,21,0),0)&gt;$AK$5,M38&gt;$AK$5),VLOOKUP(INDIRECT($C$5),Jornada!$C$8:$H$37,6,0),IF(AG38&gt;VLOOKUP(INDIRECT($C$5),Jornada!$C$8:$H$37,6,0),IF(VLOOKUP(INDIRECT($C$5),Jornada!$C$8:$H$37,6,0)&lt;AG38,0,ABS(VLOOKUP(INDIRECT($C$5),Jornada!$C$8:$H$37,6,0))-AG38),0))</f>
        <v>0</v>
      </c>
      <c r="AJ38" s="155">
        <f t="shared" si="10"/>
        <v>1</v>
      </c>
      <c r="AK38" s="155">
        <f t="shared" si="5"/>
        <v>0</v>
      </c>
      <c r="AL38" s="155">
        <f ca="1">HLOOKUP($F38,Jornada!$I$5:$V$37,VLOOKUP(INDIRECT($C$5),Jornada!$C$8:$W$37,21,0)+2,0)</f>
        <v>0</v>
      </c>
      <c r="AM38" s="155">
        <f ca="1">HLOOKUP($F38,Jornada!$I$4:$V$37,VLOOKUP(INDIRECT($C$5),Jornada!$C$8:$W$37,21,0)+3,0)</f>
        <v>0</v>
      </c>
      <c r="AN38" s="155">
        <f t="shared" ca="1" si="6"/>
        <v>0</v>
      </c>
      <c r="AO38" s="155">
        <f t="shared" si="7"/>
        <v>0</v>
      </c>
      <c r="AP38" s="155">
        <f t="shared" si="8"/>
        <v>0</v>
      </c>
    </row>
    <row r="39" spans="1:42" s="2" customFormat="1" ht="30" customHeight="1" thickTop="1" x14ac:dyDescent="0.2">
      <c r="A39" s="9"/>
      <c r="B39" s="234"/>
      <c r="C39" s="234"/>
      <c r="D39" s="234"/>
      <c r="E39" s="236">
        <f>EOMONTH(AB8,0)</f>
        <v>31</v>
      </c>
      <c r="F39" s="234">
        <f>DAY(E39)</f>
        <v>31</v>
      </c>
      <c r="G39" s="237">
        <f>COUNTIF(F8:F38,"Dom")+COUNTIF(G8:G38,"Feriado")</f>
        <v>5</v>
      </c>
      <c r="H39" s="238">
        <f>(SUM(Q8:Q38)/(F39-G39))*G39</f>
        <v>0</v>
      </c>
      <c r="I39" s="234"/>
      <c r="J39" s="234"/>
      <c r="K39" s="234"/>
      <c r="L39" s="234"/>
      <c r="M39" s="234"/>
      <c r="Z39" s="219"/>
    </row>
    <row r="40" spans="1:42" s="2" customFormat="1" ht="30" customHeight="1" x14ac:dyDescent="0.2">
      <c r="A40" s="9"/>
      <c r="B40" s="234"/>
      <c r="C40" s="239"/>
      <c r="D40" s="239"/>
      <c r="E40" s="239"/>
      <c r="F40" s="240"/>
      <c r="G40" s="241"/>
      <c r="H40" s="234">
        <f ca="1">IF(INDIRECT($C$5)="",0,VLOOKUP(INDIRECT($C$5),Funcionários!$C$7:$E$36,3,0)+IF(VLOOKUP(INDIRECT($C$5),Jornada!$C$8:$E$37,2,0)="Sim",IF('P Gerais'!$I$8&lt;&gt;0,VLOOKUP(INDIRECT($C$5),Funcionários!$C$7:$E$36,3,0)*'P Gerais'!$L$14,'P Gerais'!$I$8*'P Gerais'!$L$14),0)+IF(VLOOKUP(INDIRECT($C$5),Jornada!$C$8:$E$37,3,0)="Sim",VLOOKUP(INDIRECT($C$5),Funcionários!$C$7:$E$36,3,0)*'P Gerais'!$K$14,0))</f>
        <v>0</v>
      </c>
      <c r="I40" s="234">
        <f ca="1">VLOOKUP(INDIRECT($C$5),Jornada!$C$8:$AF$37,30,0)</f>
        <v>0</v>
      </c>
      <c r="J40" s="234" t="s">
        <v>298</v>
      </c>
      <c r="K40" s="242">
        <f ca="1">IF(I40=0,0,H40/I40)</f>
        <v>0</v>
      </c>
      <c r="L40" s="234"/>
      <c r="M40" s="234"/>
      <c r="Z40" s="219"/>
    </row>
    <row r="41" spans="1:42" s="2" customFormat="1" ht="30" customHeight="1" x14ac:dyDescent="0.2">
      <c r="A41" s="9"/>
      <c r="B41" s="234" t="s">
        <v>52</v>
      </c>
      <c r="C41" s="292" t="s">
        <v>75</v>
      </c>
      <c r="D41" s="292"/>
      <c r="E41" s="292"/>
      <c r="F41" s="243">
        <f t="shared" ref="F41:F47" si="12">SUMIFS($Q$8:$Q$38,$F$8:$F$38,$B41,$G$8:$G$38,"Normal")</f>
        <v>0</v>
      </c>
      <c r="G41" s="244">
        <f>IF($M$41="Sistema de banco de horas",0,'P Gerais'!$C$14)</f>
        <v>0.5</v>
      </c>
      <c r="H41" s="245">
        <f t="shared" ref="H41:H48" ca="1" si="13">IF($M$41="Sistema de banco de horas",0,$K$40*(1+G41)*(F41*24))</f>
        <v>0</v>
      </c>
      <c r="I41" s="243">
        <f t="shared" ref="I41:I47" ca="1" si="14">IF(SUMIF($F$8:$F$38,$B41,$Q$8:$Q$38)-SUMIFS($M$8:$M$38,$F$8:$F$38,$B41,$G$8:$G$38,"Feriado")-SUMIFS($M$8:$M$38,$F$8:$F$38,$B41,$G$8:$G$38,"Folga (DSR)")-SUMIFS($M$8:$M$38,$F$8:$F$38,$B41,$G$8:$G$38,"Férias")-SUMIF($F$8:$F$38,$B41,$AN$8:$AN$38)-SUMIF($F$8:$F$38,$B41,$AO$8:$AO$38)&lt;0,0,SUMIF($F$8:$F$38,$B41,$Q$8:$Q$38)-SUMIFS($M$8:$M$38,$F$8:$F$38,$B41,$G$8:$G$38,"Feriado")-SUMIFS($M$8:$M$38,$F$8:$F$38,$B41,$G$8:$G$38,"Folga (DSR)")-SUMIFS($M$8:$M$38,$F$8:$F$38,$B41,$G$8:$G$38,"Férias")-SUMIF($F$8:$F$38,$B41,$AN$8:$AN$38)-SUMIF($F$8:$F$38,$B41,$AO$8:$AO$38))</f>
        <v>0</v>
      </c>
      <c r="J41" s="245">
        <f ca="1">H41</f>
        <v>0</v>
      </c>
      <c r="K41" s="234"/>
      <c r="L41" s="234"/>
      <c r="M41" s="234">
        <f>'P Gerais'!I10</f>
        <v>0</v>
      </c>
      <c r="Z41" s="219"/>
    </row>
    <row r="42" spans="1:42" s="2" customFormat="1" ht="30" customHeight="1" x14ac:dyDescent="0.2">
      <c r="A42" s="9"/>
      <c r="B42" s="234" t="s">
        <v>53</v>
      </c>
      <c r="C42" s="292" t="s">
        <v>76</v>
      </c>
      <c r="D42" s="292"/>
      <c r="E42" s="292"/>
      <c r="F42" s="243">
        <f t="shared" si="12"/>
        <v>0</v>
      </c>
      <c r="G42" s="244">
        <f>IF($M$41="Sistema de banco de horas",0,'P Gerais'!$C$14)</f>
        <v>0.5</v>
      </c>
      <c r="H42" s="245">
        <f t="shared" ca="1" si="13"/>
        <v>0</v>
      </c>
      <c r="I42" s="243">
        <f t="shared" ca="1" si="14"/>
        <v>0</v>
      </c>
      <c r="J42" s="245">
        <f t="shared" ref="J42:J51" ca="1" si="15">H42</f>
        <v>0</v>
      </c>
      <c r="K42" s="234"/>
      <c r="L42" s="234"/>
      <c r="M42" s="234"/>
      <c r="Z42" s="219"/>
    </row>
    <row r="43" spans="1:42" s="2" customFormat="1" ht="30" customHeight="1" x14ac:dyDescent="0.2">
      <c r="A43" s="9"/>
      <c r="B43" s="234" t="s">
        <v>54</v>
      </c>
      <c r="C43" s="292" t="s">
        <v>77</v>
      </c>
      <c r="D43" s="292"/>
      <c r="E43" s="292"/>
      <c r="F43" s="243">
        <f t="shared" si="12"/>
        <v>0</v>
      </c>
      <c r="G43" s="244">
        <f>IF($M$41="Sistema de banco de horas",0,'P Gerais'!$C$14)</f>
        <v>0.5</v>
      </c>
      <c r="H43" s="245">
        <f t="shared" ca="1" si="13"/>
        <v>0</v>
      </c>
      <c r="I43" s="243">
        <f t="shared" ca="1" si="14"/>
        <v>0</v>
      </c>
      <c r="J43" s="245">
        <f t="shared" ca="1" si="15"/>
        <v>0</v>
      </c>
      <c r="K43" s="234"/>
      <c r="L43" s="234"/>
      <c r="M43" s="234"/>
      <c r="Z43" s="219"/>
    </row>
    <row r="44" spans="1:42" s="2" customFormat="1" ht="30" customHeight="1" x14ac:dyDescent="0.2">
      <c r="A44" s="9"/>
      <c r="B44" s="234" t="s">
        <v>55</v>
      </c>
      <c r="C44" s="292" t="s">
        <v>78</v>
      </c>
      <c r="D44" s="292"/>
      <c r="E44" s="292"/>
      <c r="F44" s="243">
        <f t="shared" si="12"/>
        <v>0</v>
      </c>
      <c r="G44" s="244">
        <f>IF($M$41="Sistema de banco de horas",0,'P Gerais'!$C$14)</f>
        <v>0.5</v>
      </c>
      <c r="H44" s="245">
        <f t="shared" ca="1" si="13"/>
        <v>0</v>
      </c>
      <c r="I44" s="243">
        <f t="shared" ca="1" si="14"/>
        <v>0</v>
      </c>
      <c r="J44" s="245">
        <f t="shared" ca="1" si="15"/>
        <v>0</v>
      </c>
      <c r="K44" s="234"/>
      <c r="L44" s="234"/>
      <c r="M44" s="234"/>
      <c r="Z44" s="219"/>
    </row>
    <row r="45" spans="1:42" s="2" customFormat="1" ht="30" customHeight="1" x14ac:dyDescent="0.2">
      <c r="A45" s="9"/>
      <c r="B45" s="234" t="s">
        <v>56</v>
      </c>
      <c r="C45" s="292" t="s">
        <v>79</v>
      </c>
      <c r="D45" s="292"/>
      <c r="E45" s="292"/>
      <c r="F45" s="243">
        <f t="shared" si="12"/>
        <v>0</v>
      </c>
      <c r="G45" s="244">
        <f>IF($M$41="Sistema de banco de horas",0,'P Gerais'!$C$14)</f>
        <v>0.5</v>
      </c>
      <c r="H45" s="245">
        <f t="shared" ca="1" si="13"/>
        <v>0</v>
      </c>
      <c r="I45" s="243">
        <f t="shared" ca="1" si="14"/>
        <v>0</v>
      </c>
      <c r="J45" s="245">
        <f t="shared" ca="1" si="15"/>
        <v>0</v>
      </c>
      <c r="K45" s="234"/>
      <c r="L45" s="234"/>
      <c r="M45" s="234"/>
      <c r="Z45" s="219"/>
    </row>
    <row r="46" spans="1:42" s="2" customFormat="1" ht="30" customHeight="1" x14ac:dyDescent="0.2">
      <c r="A46" s="9"/>
      <c r="B46" s="234" t="s">
        <v>57</v>
      </c>
      <c r="C46" s="292" t="s">
        <v>82</v>
      </c>
      <c r="D46" s="292"/>
      <c r="E46" s="292"/>
      <c r="F46" s="243">
        <f t="shared" si="12"/>
        <v>0</v>
      </c>
      <c r="G46" s="244">
        <f>IF($M$41="Sistema de banco de horas",0,'P Gerais'!$E$14)</f>
        <v>0.5</v>
      </c>
      <c r="H46" s="245">
        <f t="shared" ca="1" si="13"/>
        <v>0</v>
      </c>
      <c r="I46" s="243">
        <f t="shared" ca="1" si="14"/>
        <v>0</v>
      </c>
      <c r="J46" s="245">
        <f t="shared" ca="1" si="15"/>
        <v>0</v>
      </c>
      <c r="K46" s="234"/>
      <c r="L46" s="234"/>
      <c r="M46" s="234"/>
      <c r="Z46" s="219"/>
    </row>
    <row r="47" spans="1:42" s="2" customFormat="1" ht="30" customHeight="1" x14ac:dyDescent="0.2">
      <c r="A47" s="9"/>
      <c r="B47" s="234" t="s">
        <v>51</v>
      </c>
      <c r="C47" s="292" t="s">
        <v>81</v>
      </c>
      <c r="D47" s="292"/>
      <c r="E47" s="292"/>
      <c r="F47" s="243">
        <f t="shared" si="12"/>
        <v>0</v>
      </c>
      <c r="G47" s="244">
        <f>IF($M$41="Sistema de banco de horas",0,'P Gerais'!$F$14)</f>
        <v>1</v>
      </c>
      <c r="H47" s="245">
        <f t="shared" ca="1" si="13"/>
        <v>0</v>
      </c>
      <c r="I47" s="243">
        <f t="shared" ca="1" si="14"/>
        <v>0</v>
      </c>
      <c r="J47" s="245">
        <f t="shared" ca="1" si="15"/>
        <v>0</v>
      </c>
      <c r="K47" s="234"/>
      <c r="L47" s="234"/>
      <c r="M47" s="234"/>
      <c r="Z47" s="219"/>
    </row>
    <row r="48" spans="1:42" s="2" customFormat="1" ht="30" customHeight="1" x14ac:dyDescent="0.2">
      <c r="A48" s="9"/>
      <c r="B48" s="234"/>
      <c r="C48" s="292" t="s">
        <v>80</v>
      </c>
      <c r="D48" s="292"/>
      <c r="E48" s="292"/>
      <c r="F48" s="243">
        <f>SUMIFS($Q$8:$Q$38,$G$8:$G$38,"Feriado")</f>
        <v>0</v>
      </c>
      <c r="G48" s="244">
        <f>IF($M$41="Sistema de banco de horas",0,'P Gerais'!$I$14)</f>
        <v>1</v>
      </c>
      <c r="H48" s="245">
        <f t="shared" ca="1" si="13"/>
        <v>0</v>
      </c>
      <c r="I48" s="243"/>
      <c r="J48" s="245">
        <f t="shared" ca="1" si="15"/>
        <v>0</v>
      </c>
      <c r="K48" s="234"/>
      <c r="L48" s="234"/>
      <c r="M48" s="234"/>
      <c r="Z48" s="219"/>
    </row>
    <row r="49" spans="1:26" s="2" customFormat="1" ht="15" x14ac:dyDescent="0.2">
      <c r="A49" s="9"/>
      <c r="B49" s="234"/>
      <c r="C49" s="292" t="s">
        <v>146</v>
      </c>
      <c r="D49" s="292"/>
      <c r="E49" s="292"/>
      <c r="F49" s="243">
        <f>SUMIFS($Q$8:$Q$38,$G$8:$G$38,"Folga (DSR)")</f>
        <v>0</v>
      </c>
      <c r="G49" s="244">
        <f>IF($M$41="Sistema de banco de horas",0,'P Gerais'!H14)</f>
        <v>1</v>
      </c>
      <c r="H49" s="245">
        <f ca="1">((F53/(F39-G39))*G39)</f>
        <v>0</v>
      </c>
      <c r="I49" s="243"/>
      <c r="J49" s="245">
        <f t="shared" ca="1" si="15"/>
        <v>0</v>
      </c>
      <c r="K49" s="234"/>
      <c r="L49" s="234"/>
      <c r="M49" s="234"/>
      <c r="Z49" s="219"/>
    </row>
    <row r="50" spans="1:26" s="2" customFormat="1" ht="15" x14ac:dyDescent="0.2">
      <c r="A50" s="9"/>
      <c r="B50" s="234"/>
      <c r="C50" s="292" t="s">
        <v>84</v>
      </c>
      <c r="D50" s="292"/>
      <c r="E50" s="292"/>
      <c r="F50" s="243">
        <f ca="1">IF($M$41="Sistema de banco de horas",(SUM(AI$8:AI$38)*(1+G50)),SUM(AI$8:AI$38))</f>
        <v>0</v>
      </c>
      <c r="G50" s="244">
        <f>IF($M$41="Sistema de banco de horas",0,'P Gerais'!$I$17)</f>
        <v>0.5</v>
      </c>
      <c r="H50" s="245">
        <f ca="1">IF($M$41="Sistema de banco de horas",0,$K$40*(1+G50)*(F50*24))</f>
        <v>0</v>
      </c>
      <c r="I50" s="243">
        <f ca="1">IF(SUM($AN$8:$AO$38)&gt;SUM(AI$8:AI$38),0,SUM(AI$8:AI$38)-SUM($AN$8:$AO$38))</f>
        <v>0</v>
      </c>
      <c r="J50" s="245">
        <f t="shared" ca="1" si="15"/>
        <v>0</v>
      </c>
      <c r="K50" s="234"/>
      <c r="L50" s="234"/>
      <c r="M50" s="234"/>
      <c r="Z50" s="219"/>
    </row>
    <row r="51" spans="1:26" s="2" customFormat="1" ht="15" x14ac:dyDescent="0.2">
      <c r="A51" s="9"/>
      <c r="B51" s="234"/>
      <c r="C51" s="292" t="s">
        <v>85</v>
      </c>
      <c r="D51" s="292"/>
      <c r="E51" s="292"/>
      <c r="F51" s="243">
        <f>IF($M$41="Sistema de banco de horas",(SUM(AK$8:AK$38)*(1+G51)),SUM(AK$8:AK$38))</f>
        <v>0</v>
      </c>
      <c r="G51" s="244">
        <f>IF($M$41="Sistema de banco de horas",0,'P Gerais'!$C$17)</f>
        <v>1</v>
      </c>
      <c r="H51" s="245">
        <f ca="1">IF($M$41="Sistema de banco de horas",0,$K$40*(1+G51)*(F51*24))</f>
        <v>0</v>
      </c>
      <c r="I51" s="243"/>
      <c r="J51" s="245">
        <f t="shared" ca="1" si="15"/>
        <v>0</v>
      </c>
      <c r="K51" s="234"/>
      <c r="L51" s="234"/>
      <c r="M51" s="234"/>
      <c r="Z51" s="219"/>
    </row>
    <row r="52" spans="1:26" s="2" customFormat="1" ht="15" customHeight="1" x14ac:dyDescent="0.2">
      <c r="A52" s="9"/>
      <c r="B52" s="234"/>
      <c r="C52" s="292" t="s">
        <v>87</v>
      </c>
      <c r="D52" s="292"/>
      <c r="E52" s="292"/>
      <c r="F52" s="243">
        <f ca="1">U12</f>
        <v>0</v>
      </c>
      <c r="G52" s="246"/>
      <c r="H52" s="234"/>
      <c r="I52" s="234"/>
      <c r="J52" s="234"/>
      <c r="K52" s="234"/>
      <c r="L52" s="234"/>
      <c r="M52" s="234"/>
      <c r="Z52" s="219"/>
    </row>
    <row r="53" spans="1:26" s="2" customFormat="1" ht="15" x14ac:dyDescent="0.2">
      <c r="A53" s="9"/>
      <c r="B53" s="234"/>
      <c r="C53" s="292" t="s">
        <v>299</v>
      </c>
      <c r="D53" s="292"/>
      <c r="E53" s="292"/>
      <c r="F53" s="247">
        <f ca="1">SUM(H48)+J50+H51+SUM(J41:J47)</f>
        <v>0</v>
      </c>
      <c r="G53" s="248"/>
      <c r="H53" s="234"/>
      <c r="I53" s="234"/>
      <c r="J53" s="234"/>
      <c r="K53" s="234"/>
      <c r="L53" s="234"/>
      <c r="M53" s="234"/>
      <c r="Z53" s="219"/>
    </row>
    <row r="54" spans="1:26" s="2" customFormat="1" ht="15" x14ac:dyDescent="0.2">
      <c r="A54" s="9"/>
      <c r="B54" s="234"/>
      <c r="C54" s="292" t="s">
        <v>88</v>
      </c>
      <c r="D54" s="292"/>
      <c r="E54" s="292"/>
      <c r="F54" s="247">
        <f ca="1">F53+(H49*(1+G49))</f>
        <v>0</v>
      </c>
      <c r="G54" s="248"/>
      <c r="H54" s="249"/>
      <c r="I54" s="234"/>
      <c r="J54" s="234"/>
      <c r="K54" s="234"/>
      <c r="L54" s="234"/>
      <c r="M54" s="234"/>
      <c r="Z54" s="219"/>
    </row>
    <row r="55" spans="1:26" s="2" customFormat="1" ht="15" x14ac:dyDescent="0.2">
      <c r="A55" s="9"/>
      <c r="B55" s="234"/>
      <c r="C55" s="292" t="s">
        <v>89</v>
      </c>
      <c r="D55" s="292"/>
      <c r="E55" s="292"/>
      <c r="F55" s="247">
        <f ca="1">H40+F54</f>
        <v>0</v>
      </c>
      <c r="G55" s="246"/>
      <c r="H55" s="234"/>
      <c r="I55" s="234"/>
      <c r="J55" s="234"/>
      <c r="K55" s="234"/>
      <c r="L55" s="234"/>
      <c r="M55" s="234"/>
      <c r="Z55" s="219"/>
    </row>
    <row r="56" spans="1:26" s="2" customFormat="1" ht="15" x14ac:dyDescent="0.2">
      <c r="A56" s="9"/>
      <c r="B56" s="234"/>
      <c r="C56" s="292" t="s">
        <v>178</v>
      </c>
      <c r="D56" s="292"/>
      <c r="E56" s="292"/>
      <c r="F56" s="243">
        <f>IF($M$41="Sistema de banco de horas",(SUMIF($G$8:$G$38,"Férias",Q8:Q38))*(1+G48),SUMIF($G$8:$G$38,"Férias",Q8:Q38))</f>
        <v>0</v>
      </c>
      <c r="G56" s="246"/>
      <c r="H56" s="234"/>
      <c r="I56" s="234"/>
      <c r="J56" s="234"/>
      <c r="K56" s="234"/>
      <c r="L56" s="234"/>
      <c r="M56" s="234"/>
      <c r="Z56" s="219"/>
    </row>
    <row r="57" spans="1:26" s="2" customFormat="1" ht="15" x14ac:dyDescent="0.2">
      <c r="A57" s="9"/>
      <c r="B57" s="234"/>
      <c r="C57" s="239"/>
      <c r="D57" s="239"/>
      <c r="E57" s="239"/>
      <c r="F57" s="250">
        <f ca="1">U14</f>
        <v>0</v>
      </c>
      <c r="G57" s="246"/>
      <c r="H57" s="234"/>
      <c r="I57" s="234"/>
      <c r="J57" s="234"/>
      <c r="K57" s="234"/>
      <c r="L57" s="234"/>
      <c r="M57" s="234"/>
      <c r="Z57" s="219"/>
    </row>
    <row r="58" spans="1:26" s="2" customFormat="1" ht="15" x14ac:dyDescent="0.2">
      <c r="A58" s="9"/>
      <c r="B58" s="234"/>
      <c r="C58" s="239"/>
      <c r="D58" s="239"/>
      <c r="E58" s="239"/>
      <c r="F58" s="243">
        <f ca="1">SUM(F41:F51)</f>
        <v>0</v>
      </c>
      <c r="G58" s="246"/>
      <c r="H58" s="234"/>
      <c r="I58" s="234"/>
      <c r="J58" s="234"/>
      <c r="K58" s="234"/>
      <c r="L58" s="234"/>
      <c r="M58" s="234"/>
      <c r="Z58" s="219"/>
    </row>
    <row r="59" spans="1:26" s="2" customFormat="1" ht="15" x14ac:dyDescent="0.2">
      <c r="A59" s="9"/>
      <c r="Z59" s="219"/>
    </row>
    <row r="60" spans="1:26" s="2" customFormat="1" ht="15" x14ac:dyDescent="0.2">
      <c r="A60" s="9"/>
      <c r="G60" s="178"/>
      <c r="Z60" s="219"/>
    </row>
    <row r="61" spans="1:26" ht="15" x14ac:dyDescent="0.2"/>
    <row r="62" spans="1:26" ht="15" x14ac:dyDescent="0.2"/>
    <row r="63" spans="1:26" ht="15" x14ac:dyDescent="0.2"/>
    <row r="64" spans="1:26" ht="15" x14ac:dyDescent="0.2"/>
    <row r="65" ht="15" x14ac:dyDescent="0.2"/>
    <row r="66" ht="15" x14ac:dyDescent="0.2"/>
    <row r="67" ht="15" x14ac:dyDescent="0.2"/>
    <row r="68" ht="15" x14ac:dyDescent="0.2"/>
    <row r="69" ht="15" x14ac:dyDescent="0.2"/>
    <row r="70" ht="15" x14ac:dyDescent="0.2"/>
    <row r="71" ht="15" x14ac:dyDescent="0.2"/>
    <row r="72" ht="15" x14ac:dyDescent="0.2"/>
    <row r="73" ht="15" x14ac:dyDescent="0.2"/>
    <row r="74" ht="15" x14ac:dyDescent="0.2"/>
    <row r="75" ht="15" x14ac:dyDescent="0.2"/>
    <row r="76" ht="15" x14ac:dyDescent="0.2"/>
    <row r="77" ht="15" x14ac:dyDescent="0.2"/>
    <row r="78" ht="15" x14ac:dyDescent="0.2"/>
    <row r="79" ht="15" x14ac:dyDescent="0.2"/>
    <row r="80" ht="15" x14ac:dyDescent="0.2"/>
    <row r="81" ht="15" x14ac:dyDescent="0.2"/>
    <row r="82" ht="15" x14ac:dyDescent="0.2"/>
    <row r="83" ht="15" x14ac:dyDescent="0.2"/>
    <row r="84" ht="15" x14ac:dyDescent="0.2"/>
    <row r="85" ht="15" x14ac:dyDescent="0.2"/>
    <row r="86" ht="15" x14ac:dyDescent="0.2"/>
    <row r="87" ht="15" x14ac:dyDescent="0.2"/>
    <row r="88" ht="15" x14ac:dyDescent="0.2"/>
    <row r="89" ht="15" x14ac:dyDescent="0.2"/>
    <row r="90" ht="15" x14ac:dyDescent="0.2"/>
    <row r="91" ht="15" x14ac:dyDescent="0.2"/>
    <row r="92" ht="15" x14ac:dyDescent="0.2"/>
    <row r="93" ht="15" x14ac:dyDescent="0.2"/>
    <row r="94" ht="15" x14ac:dyDescent="0.2"/>
    <row r="95" ht="15" x14ac:dyDescent="0.2"/>
    <row r="96" ht="15" x14ac:dyDescent="0.2"/>
    <row r="97" ht="15" x14ac:dyDescent="0.2"/>
    <row r="98" ht="15" x14ac:dyDescent="0.2"/>
    <row r="99" ht="15" x14ac:dyDescent="0.2"/>
    <row r="100" ht="15" x14ac:dyDescent="0.2"/>
    <row r="101" ht="15" x14ac:dyDescent="0.2"/>
    <row r="102" ht="15" x14ac:dyDescent="0.2"/>
    <row r="103" ht="15" x14ac:dyDescent="0.2"/>
  </sheetData>
  <sheetProtection sheet="1" objects="1" scenarios="1" selectLockedCells="1"/>
  <mergeCells count="34">
    <mergeCell ref="C56:E56"/>
    <mergeCell ref="C48:E48"/>
    <mergeCell ref="C49:E49"/>
    <mergeCell ref="C50:E50"/>
    <mergeCell ref="C52:E52"/>
    <mergeCell ref="C53:E53"/>
    <mergeCell ref="C54:E54"/>
    <mergeCell ref="C51:E51"/>
    <mergeCell ref="C44:E44"/>
    <mergeCell ref="C55:E55"/>
    <mergeCell ref="C45:E45"/>
    <mergeCell ref="C46:E46"/>
    <mergeCell ref="C47:E47"/>
    <mergeCell ref="S22:U22"/>
    <mergeCell ref="C41:E41"/>
    <mergeCell ref="C42:E42"/>
    <mergeCell ref="C43:E43"/>
    <mergeCell ref="S26:U28"/>
    <mergeCell ref="S23:U25"/>
    <mergeCell ref="E7:F7"/>
    <mergeCell ref="I7:J7"/>
    <mergeCell ref="S7:U7"/>
    <mergeCell ref="S8:T9"/>
    <mergeCell ref="U8:U9"/>
    <mergeCell ref="S16:T17"/>
    <mergeCell ref="U16:U17"/>
    <mergeCell ref="S18:T19"/>
    <mergeCell ref="S10:T11"/>
    <mergeCell ref="U10:U11"/>
    <mergeCell ref="S12:T13"/>
    <mergeCell ref="U12:U13"/>
    <mergeCell ref="S14:T15"/>
    <mergeCell ref="U14:U15"/>
    <mergeCell ref="U18:U19"/>
  </mergeCells>
  <phoneticPr fontId="50" type="noConversion"/>
  <conditionalFormatting sqref="M8:M37">
    <cfRule type="cellIs" dxfId="1128" priority="237" operator="greaterThan">
      <formula>0</formula>
    </cfRule>
  </conditionalFormatting>
  <conditionalFormatting sqref="N36:N37 L36:L37">
    <cfRule type="expression" dxfId="1127" priority="204">
      <formula>AND($E36&lt;$E$35,$E$8=1)</formula>
    </cfRule>
    <cfRule type="expression" dxfId="1126" priority="205">
      <formula>AND($E36&gt;=$E$8,$E$8&lt;&gt;1)</formula>
    </cfRule>
  </conditionalFormatting>
  <conditionalFormatting sqref="E36:E38">
    <cfRule type="expression" dxfId="1125" priority="202">
      <formula>AND($E36&lt;$E$35,$E$8=1)</formula>
    </cfRule>
    <cfRule type="expression" dxfId="1124" priority="203">
      <formula>AND($E36&gt;=$E$8,$E$8&lt;&gt;1)</formula>
    </cfRule>
  </conditionalFormatting>
  <conditionalFormatting sqref="O8:O37">
    <cfRule type="cellIs" dxfId="1123" priority="197" operator="greaterThan">
      <formula>0.000001</formula>
    </cfRule>
  </conditionalFormatting>
  <conditionalFormatting sqref="O36:O37">
    <cfRule type="expression" dxfId="1122" priority="195">
      <formula>AND($E36&lt;$E$35,$E$8=1)</formula>
    </cfRule>
    <cfRule type="expression" dxfId="1121" priority="196">
      <formula>AND($E36&gt;=$E$8,$E$8&lt;&gt;1)</formula>
    </cfRule>
  </conditionalFormatting>
  <conditionalFormatting sqref="F8:F38">
    <cfRule type="containsText" dxfId="1120" priority="155" operator="containsText" text="Dom">
      <formula>NOT(ISERROR(SEARCH("Dom",F8)))</formula>
    </cfRule>
    <cfRule type="containsText" dxfId="1119" priority="156" operator="containsText" text="Sáb">
      <formula>NOT(ISERROR(SEARCH("Sáb",F8)))</formula>
    </cfRule>
  </conditionalFormatting>
  <conditionalFormatting sqref="Q8:Q37">
    <cfRule type="cellIs" dxfId="1118" priority="154" operator="greaterThan">
      <formula>0.000001</formula>
    </cfRule>
  </conditionalFormatting>
  <conditionalFormatting sqref="O38">
    <cfRule type="cellIs" dxfId="1117" priority="76" operator="greaterThan">
      <formula>0.000001</formula>
    </cfRule>
  </conditionalFormatting>
  <conditionalFormatting sqref="M38">
    <cfRule type="cellIs" dxfId="1116" priority="77" operator="greaterThan">
      <formula>0</formula>
    </cfRule>
  </conditionalFormatting>
  <conditionalFormatting sqref="L38:O38">
    <cfRule type="expression" dxfId="1115" priority="75">
      <formula>AND($E38&gt;=$E$8,$E$8&lt;&gt;1)</formula>
    </cfRule>
  </conditionalFormatting>
  <conditionalFormatting sqref="G38:K38">
    <cfRule type="expression" dxfId="1114" priority="62">
      <formula>OR($G38="Férias",$G38="Falta Injustificada")</formula>
    </cfRule>
    <cfRule type="expression" dxfId="1113" priority="63">
      <formula>$G38="Folga (DSR)"</formula>
    </cfRule>
    <cfRule type="expression" dxfId="1112" priority="64">
      <formula>$G38="Feriado"</formula>
    </cfRule>
    <cfRule type="expression" dxfId="1111" priority="65">
      <formula>$F38="Dom"</formula>
    </cfRule>
  </conditionalFormatting>
  <conditionalFormatting sqref="H38:K38">
    <cfRule type="expression" dxfId="1110" priority="61">
      <formula>OR($G38="Falta Justificada",$G38="Falta Injustificada")</formula>
    </cfRule>
  </conditionalFormatting>
  <conditionalFormatting sqref="Q38">
    <cfRule type="cellIs" dxfId="1109" priority="58" operator="greaterThan">
      <formula>0.000001</formula>
    </cfRule>
  </conditionalFormatting>
  <conditionalFormatting sqref="L38:Q38">
    <cfRule type="expression" dxfId="1108" priority="74">
      <formula>AND($E38&lt;$E$35,$E$8=1)</formula>
    </cfRule>
  </conditionalFormatting>
  <conditionalFormatting sqref="G38:Q38">
    <cfRule type="expression" dxfId="1107" priority="59">
      <formula>AND($E38&lt;$E$35,$E$8=1)</formula>
    </cfRule>
    <cfRule type="expression" dxfId="1106" priority="60">
      <formula>AND($E38&gt;=$E$8,$E$8&lt;&gt;1)</formula>
    </cfRule>
  </conditionalFormatting>
  <conditionalFormatting sqref="H37:K37">
    <cfRule type="expression" dxfId="1105" priority="32">
      <formula>OR($G37="Férias",$G37="Falta Injustificada")</formula>
    </cfRule>
    <cfRule type="expression" dxfId="1104" priority="33">
      <formula>$G37="Folga (DSR)"</formula>
    </cfRule>
    <cfRule type="expression" dxfId="1103" priority="34">
      <formula>$G37="Feriado"</formula>
    </cfRule>
    <cfRule type="expression" dxfId="1102" priority="35">
      <formula>$F37="Dom"</formula>
    </cfRule>
  </conditionalFormatting>
  <conditionalFormatting sqref="H37:K37">
    <cfRule type="expression" dxfId="1101" priority="29">
      <formula>AND($E37&lt;$E$35,$E$8=1)</formula>
    </cfRule>
    <cfRule type="expression" dxfId="1100" priority="30">
      <formula>AND($E37&gt;=$E$8,$E$8&lt;&gt;1)</formula>
    </cfRule>
  </conditionalFormatting>
  <conditionalFormatting sqref="H37:K37">
    <cfRule type="expression" dxfId="1099" priority="31">
      <formula>OR($G37="Falta Justificada",$G37="Falta Injustificada")</formula>
    </cfRule>
  </conditionalFormatting>
  <conditionalFormatting sqref="G8:K8 H9:K35 G9:G37">
    <cfRule type="expression" dxfId="1098" priority="25">
      <formula>OR($G8="Férias",$G8="Falta Injustificada")</formula>
    </cfRule>
    <cfRule type="expression" dxfId="1097" priority="26">
      <formula>$G8="Folga (DSR)"</formula>
    </cfRule>
    <cfRule type="expression" dxfId="1096" priority="27">
      <formula>$G8="Feriado"</formula>
    </cfRule>
    <cfRule type="expression" dxfId="1095" priority="28">
      <formula>$F8="Dom"</formula>
    </cfRule>
  </conditionalFormatting>
  <conditionalFormatting sqref="H8:K35">
    <cfRule type="expression" dxfId="1094" priority="24">
      <formula>OR($G8="Falta Justificada",$G8="Falta Injustificada")</formula>
    </cfRule>
  </conditionalFormatting>
  <conditionalFormatting sqref="H36:K36">
    <cfRule type="expression" dxfId="1093" priority="20">
      <formula>OR($G36="Férias",$G36="Falta Injustificada")</formula>
    </cfRule>
    <cfRule type="expression" dxfId="1092" priority="21">
      <formula>$G36="Folga (DSR)"</formula>
    </cfRule>
    <cfRule type="expression" dxfId="1091" priority="22">
      <formula>$G36="Feriado"</formula>
    </cfRule>
    <cfRule type="expression" dxfId="1090" priority="23">
      <formula>$F36="Dom"</formula>
    </cfRule>
  </conditionalFormatting>
  <conditionalFormatting sqref="H36:K36">
    <cfRule type="expression" dxfId="1089" priority="17">
      <formula>AND($E36&lt;$E$35,$E$8=1)</formula>
    </cfRule>
    <cfRule type="expression" dxfId="1088" priority="18">
      <formula>AND($E36&gt;=$E$8,$E$8&lt;&gt;1)</formula>
    </cfRule>
  </conditionalFormatting>
  <conditionalFormatting sqref="H36:K36">
    <cfRule type="expression" dxfId="1087" priority="19">
      <formula>OR($G36="Falta Justificada",$G36="Falta Injustificada")</formula>
    </cfRule>
  </conditionalFormatting>
  <conditionalFormatting sqref="U10:U11">
    <cfRule type="expression" dxfId="1086" priority="8">
      <formula>$V$11="Negativo"</formula>
    </cfRule>
  </conditionalFormatting>
  <conditionalFormatting sqref="U12:U13">
    <cfRule type="expression" dxfId="1085" priority="572">
      <formula>$U$14&gt;$F$58</formula>
    </cfRule>
  </conditionalFormatting>
  <conditionalFormatting sqref="F40">
    <cfRule type="expression" dxfId="1084" priority="573">
      <formula>$E40="Folga(DSR)"</formula>
    </cfRule>
    <cfRule type="expression" dxfId="1083" priority="574">
      <formula>$E40="Feriado"</formula>
    </cfRule>
    <cfRule type="expression" dxfId="1082" priority="575">
      <formula>$D40="Dom"</formula>
    </cfRule>
  </conditionalFormatting>
  <dataValidations count="3">
    <dataValidation type="time" allowBlank="1" showInputMessage="1" showErrorMessage="1" sqref="H8:K38">
      <formula1>0</formula1>
      <formula2>0.999988425925926</formula2>
    </dataValidation>
    <dataValidation type="list" allowBlank="1" showInputMessage="1" showErrorMessage="1" sqref="G8:G38">
      <formula1>"Normal,Feriado,Folga (DSR),Falta Justificada,Férias,Falta Injustificada"</formula1>
    </dataValidation>
    <dataValidation type="list" allowBlank="1" showInputMessage="1" showErrorMessage="1" sqref="E9:E35">
      <formula1>"1,5,10,16"</formula1>
    </dataValidation>
  </dataValidations>
  <hyperlinks>
    <hyperlink ref="C8" location="Lanç!A1" display="Lanç!A1"/>
    <hyperlink ref="C9" location="'Lanç (2)'!A1" display="'Lanç (2)'!A1"/>
    <hyperlink ref="C10" location="'Lanç (3)'!A1" display="'Lanç (3)'!A1"/>
    <hyperlink ref="C11" location="'Lanç (4)'!A1" display="'Lanç (4)'!A1"/>
    <hyperlink ref="C12" location="'Lanç (5)'!A1" display="'Lanç (5)'!A1"/>
    <hyperlink ref="C13" location="'Lanç (6)'!A1" display="'Lanç (6)'!A1"/>
    <hyperlink ref="C14" location="'Lanç (7)'!A1" display="'Lanç (7)'!A1"/>
    <hyperlink ref="C15" location="'Lanç (8)'!A1" display="'Lanç (8)'!A1"/>
    <hyperlink ref="C16" location="'Lanç (9)'!A1" display="'Lanç (9)'!A1"/>
    <hyperlink ref="C17" location="'Lanç (10)'!A1" display="'Lanç (10)'!A1"/>
    <hyperlink ref="C18" location="'Lanç (11)'!A1" display="'Lanç (11)'!A1"/>
    <hyperlink ref="C19" location="'Lanç (12)'!A1" display="'Lanç (12)'!A1"/>
    <hyperlink ref="C20" location="'Lanç (13)'!A1" display="'Lanç (13)'!A1"/>
    <hyperlink ref="C21" location="'Lanç (14)'!A1" display="'Lanç (14)'!A1"/>
    <hyperlink ref="C22" location="'Lanç (15)'!A1" display="'Lanç (15)'!A1"/>
    <hyperlink ref="C23" location="'Lanç (16)'!A1" display="'Lanç (16)'!A1"/>
    <hyperlink ref="C24" location="'Lanç (17)'!A1" display="'Lanç (17)'!A1"/>
    <hyperlink ref="C25" location="'Lanç (18)'!A1" display="'Lanç (18)'!A1"/>
    <hyperlink ref="C26" location="'Lanç (19)'!A1" display="'Lanç (19)'!A1"/>
    <hyperlink ref="C27" location="'Lanç (20)'!A1" display="'Lanç (20)'!A1"/>
    <hyperlink ref="C28" location="'Lanç (21)'!A1" display="'Lanç (21)'!A1"/>
    <hyperlink ref="C29" location="'Lanç (22)'!A1" display="'Lanç (22)'!A1"/>
    <hyperlink ref="C30" location="'Lanç (23)'!A1" display="'Lanç (23)'!A1"/>
    <hyperlink ref="C31" location="'Lanç (24)'!A1" display="'Lanç (24)'!A1"/>
    <hyperlink ref="C32" location="'Lanç (25)'!A1" display="'Lanç (25)'!A1"/>
    <hyperlink ref="C33" location="'Lanç (26)'!A1" display="'Lanç (26)'!A1"/>
    <hyperlink ref="C34" location="'Lanç (27)'!A1" display="'Lanç (27)'!A1"/>
    <hyperlink ref="C35" location="'Lanç (28)'!A1" display="'Lanç (28)'!A1"/>
    <hyperlink ref="C36" location="'Lanç (29)'!A1" display="'Lanç (29)'!A1"/>
    <hyperlink ref="C37" location="'Lanç (30)'!A1" display="'Lanç (30)'!A1"/>
  </hyperlinks>
  <printOptions horizontalCentered="1"/>
  <pageMargins left="0.23622047244094502" right="0.23622047244094502" top="0.74803149606299202" bottom="0.74803149606299202" header="0.31496062992126" footer="0.31496062992126"/>
  <pageSetup paperSize="9" scale="53" orientation="portrait" cellComments="atEnd"/>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134" id="{23C7D232-47D0-1244-A695-4A2A128E509E}">
            <xm:f>'P Gerais'!$I$10:$M$10="Pagas em Dinheiro"</xm:f>
            <x14:dxf>
              <font>
                <color theme="0"/>
              </font>
              <fill>
                <patternFill>
                  <bgColor theme="0"/>
                </patternFill>
              </fill>
              <border>
                <left/>
                <right/>
                <top/>
                <bottom/>
              </border>
            </x14:dxf>
          </x14:cfRule>
          <xm:sqref>S10:T13</xm:sqref>
        </x14:conditionalFormatting>
        <x14:conditionalFormatting xmlns:xm="http://schemas.microsoft.com/office/excel/2006/main">
          <x14:cfRule type="expression" priority="133" id="{2405C612-03DD-0D47-A59E-3C870185318A}">
            <xm:f>'P Gerais'!$I$10:$M$10="Sistema de banco de horas"</xm:f>
            <x14:dxf>
              <font>
                <color theme="0"/>
              </font>
              <fill>
                <patternFill>
                  <bgColor theme="0"/>
                </patternFill>
              </fill>
              <border>
                <left/>
                <right/>
                <top/>
                <bottom/>
              </border>
            </x14:dxf>
          </x14:cfRule>
          <xm:sqref>S18:T19</xm:sqref>
        </x14:conditionalFormatting>
        <x14:conditionalFormatting xmlns:xm="http://schemas.microsoft.com/office/excel/2006/main">
          <x14:cfRule type="expression" priority="10" id="{8CC77FF8-3439-B545-A5F2-4CDAB09ED004}">
            <xm:f>'P Gerais'!$I$10:$M$10="Sistema de banco de horas"</xm:f>
            <x14:dxf>
              <font>
                <color theme="0"/>
              </font>
              <fill>
                <patternFill>
                  <bgColor theme="0"/>
                </patternFill>
              </fill>
              <border>
                <left/>
                <right/>
                <top/>
                <bottom/>
              </border>
            </x14:dxf>
          </x14:cfRule>
          <xm:sqref>U18:U19</xm:sqref>
        </x14:conditionalFormatting>
        <x14:conditionalFormatting xmlns:xm="http://schemas.microsoft.com/office/excel/2006/main">
          <x14:cfRule type="expression" priority="7" id="{29E519D4-0E0E-9F4F-B325-594A53FDD353}">
            <xm:f>'P Gerais'!$I$10:$M$10="Pagas em Dinheiro"</xm:f>
            <x14:dxf>
              <font>
                <color theme="0"/>
              </font>
              <fill>
                <patternFill>
                  <bgColor theme="0"/>
                </patternFill>
              </fill>
              <border>
                <left/>
                <right/>
                <top/>
                <bottom/>
              </border>
            </x14:dxf>
          </x14:cfRule>
          <xm:sqref>U10:U13</xm:sqref>
        </x14:conditionalFormatting>
      </x14:conditionalFormatting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11" enableFormatConditionsCalculation="0"/>
  <dimension ref="A1:BG103"/>
  <sheetViews>
    <sheetView showGridLines="0" zoomScale="90" zoomScaleNormal="90" zoomScalePageLayoutView="90" workbookViewId="0">
      <selection activeCell="G8" sqref="G8"/>
    </sheetView>
  </sheetViews>
  <sheetFormatPr baseColWidth="10" defaultColWidth="9.1640625" defaultRowHeight="0" customHeight="1" zeroHeight="1" x14ac:dyDescent="0.2"/>
  <cols>
    <col min="1" max="1" width="27.83203125" style="194" customWidth="1"/>
    <col min="2" max="2" width="3.83203125" style="14" customWidth="1"/>
    <col min="3" max="3" width="33.33203125" style="14" customWidth="1"/>
    <col min="4" max="4" width="2.83203125" style="14" customWidth="1"/>
    <col min="5" max="5" width="5.83203125" style="14" customWidth="1"/>
    <col min="6" max="6" width="11.83203125" style="14" customWidth="1"/>
    <col min="7" max="7" width="14.33203125" style="195" customWidth="1"/>
    <col min="8" max="11" width="9.83203125" style="14" customWidth="1"/>
    <col min="12" max="12" width="1.83203125" style="14" customWidth="1"/>
    <col min="13" max="13" width="13.33203125" style="14" customWidth="1"/>
    <col min="14" max="14" width="1.83203125" style="14" customWidth="1"/>
    <col min="15" max="15" width="13.33203125" style="14" customWidth="1"/>
    <col min="16" max="16" width="1.83203125" style="14" customWidth="1"/>
    <col min="17" max="17" width="13.33203125" style="14" customWidth="1"/>
    <col min="18" max="18" width="4.83203125" style="2" bestFit="1" customWidth="1"/>
    <col min="19" max="21" width="11.83203125" style="14" customWidth="1"/>
    <col min="22" max="23" width="8.83203125" style="2" customWidth="1"/>
    <col min="24" max="24" width="11.33203125" style="2" bestFit="1" customWidth="1"/>
    <col min="25" max="25" width="8.83203125" style="2" customWidth="1"/>
    <col min="26" max="26" width="8.1640625" style="219" bestFit="1" customWidth="1"/>
    <col min="27" max="27" width="8.83203125" style="2" customWidth="1"/>
    <col min="28" max="28" width="11.33203125" style="2" bestFit="1" customWidth="1"/>
    <col min="29" max="43" width="8.83203125" style="2" customWidth="1"/>
    <col min="44" max="50" width="11.33203125" style="2" customWidth="1"/>
    <col min="51" max="57" width="11.33203125" style="14" customWidth="1"/>
    <col min="58" max="16384" width="9.1640625" style="14"/>
  </cols>
  <sheetData>
    <row r="1" spans="1:59" s="15" customFormat="1" ht="33.75" customHeight="1" x14ac:dyDescent="0.3">
      <c r="A1" s="56"/>
      <c r="B1" s="3"/>
      <c r="C1" s="4" t="s">
        <v>30</v>
      </c>
      <c r="D1" s="3"/>
      <c r="E1" s="3"/>
      <c r="F1" s="3"/>
      <c r="G1" s="77"/>
      <c r="H1" s="3"/>
      <c r="I1" s="3"/>
      <c r="J1" s="3"/>
      <c r="K1" s="3"/>
      <c r="M1" s="3"/>
      <c r="O1" s="3"/>
      <c r="Q1" s="3"/>
      <c r="S1" s="3"/>
      <c r="T1" s="3"/>
      <c r="U1" s="3"/>
      <c r="Z1" s="174"/>
    </row>
    <row r="2" spans="1:59" s="15" customFormat="1" ht="21.5" customHeight="1" x14ac:dyDescent="0.2">
      <c r="A2" s="1"/>
      <c r="B2" s="3"/>
      <c r="C2" s="3"/>
      <c r="D2" s="3"/>
      <c r="E2" s="3"/>
      <c r="F2" s="3"/>
      <c r="G2" s="77"/>
      <c r="H2" s="3"/>
      <c r="I2" s="3"/>
      <c r="J2" s="3"/>
      <c r="K2" s="3"/>
      <c r="M2" s="3"/>
      <c r="O2" s="3"/>
      <c r="Q2" s="3"/>
      <c r="S2" s="3"/>
      <c r="T2" s="3"/>
      <c r="U2" s="3"/>
      <c r="Z2" s="174"/>
    </row>
    <row r="3" spans="1:59" s="15" customFormat="1" ht="21.5" customHeight="1" x14ac:dyDescent="0.2">
      <c r="A3" s="1"/>
      <c r="B3" s="3"/>
      <c r="C3" s="3"/>
      <c r="D3" s="3"/>
      <c r="E3" s="3"/>
      <c r="F3" s="3"/>
      <c r="G3" s="77"/>
      <c r="H3" s="3"/>
      <c r="I3" s="3"/>
      <c r="J3" s="3"/>
      <c r="K3" s="3"/>
      <c r="M3" s="3"/>
      <c r="O3" s="3"/>
      <c r="Q3" s="3"/>
      <c r="S3" s="3"/>
      <c r="T3" s="3"/>
      <c r="U3" s="3"/>
      <c r="Z3" s="174"/>
    </row>
    <row r="4" spans="1:59" s="2" customFormat="1" ht="30" customHeight="1" x14ac:dyDescent="0.2">
      <c r="A4" s="1"/>
      <c r="B4"/>
      <c r="C4"/>
      <c r="D4"/>
      <c r="E4"/>
      <c r="F4"/>
      <c r="G4" s="78"/>
      <c r="H4"/>
      <c r="I4"/>
      <c r="J4"/>
      <c r="K4"/>
      <c r="M4"/>
      <c r="O4" s="13"/>
      <c r="Q4"/>
      <c r="S4"/>
      <c r="T4"/>
      <c r="U4"/>
      <c r="Z4" s="219"/>
      <c r="AN4" s="175"/>
    </row>
    <row r="5" spans="1:59" s="2" customFormat="1" ht="30" customHeight="1" x14ac:dyDescent="0.2">
      <c r="A5" s="9"/>
      <c r="C5" s="160" t="s">
        <v>192</v>
      </c>
      <c r="K5" s="157">
        <f ca="1">IF(ISERROR(VLOOKUP(INDIRECT($C$5),Jornada!$C$8:$F$37,4,0)),0,VLOOKUP(INDIRECT($C$5),Jornada!$C$8:$F$37,4,0))</f>
        <v>0</v>
      </c>
      <c r="L5" s="158"/>
      <c r="M5" s="157">
        <f ca="1">IF(ISERROR(VLOOKUP(INDIRECT($C$5),Jornada!$C$8:$G$37,5,0)),0,VLOOKUP(INDIRECT($C$5),Jornada!$C$8:$G$37,5,0))</f>
        <v>0</v>
      </c>
      <c r="O5" s="12"/>
      <c r="U5" s="12"/>
      <c r="Z5" s="219"/>
      <c r="AC5" s="12"/>
      <c r="AK5" s="179">
        <v>0.25</v>
      </c>
      <c r="AL5" s="155">
        <v>0.91666666666666663</v>
      </c>
      <c r="AM5" s="155">
        <v>0.20833333333333334</v>
      </c>
      <c r="AN5" s="155">
        <v>1</v>
      </c>
      <c r="AO5" s="155">
        <v>0.70833333333333337</v>
      </c>
    </row>
    <row r="6" spans="1:59" s="2" customFormat="1" ht="8" customHeight="1" thickBot="1" x14ac:dyDescent="0.25">
      <c r="A6" s="9"/>
      <c r="C6" s="198"/>
      <c r="G6" s="178"/>
      <c r="M6" s="220">
        <v>1</v>
      </c>
      <c r="O6" s="156"/>
      <c r="Q6" s="156"/>
      <c r="Z6" s="176"/>
    </row>
    <row r="7" spans="1:59" s="2" customFormat="1" ht="30" customHeight="1" thickTop="1" thickBot="1" x14ac:dyDescent="0.25">
      <c r="A7" s="1"/>
      <c r="B7"/>
      <c r="C7" s="76" t="s">
        <v>176</v>
      </c>
      <c r="D7"/>
      <c r="E7" s="281" t="str">
        <f>Lanç!E7</f>
        <v>Janeiro</v>
      </c>
      <c r="F7" s="283"/>
      <c r="G7" s="79" t="s">
        <v>58</v>
      </c>
      <c r="H7" s="82" t="s">
        <v>0</v>
      </c>
      <c r="I7" s="293" t="s">
        <v>59</v>
      </c>
      <c r="J7" s="293"/>
      <c r="K7" s="82" t="s">
        <v>60</v>
      </c>
      <c r="M7" s="73" t="s">
        <v>61</v>
      </c>
      <c r="O7" s="73" t="s">
        <v>62</v>
      </c>
      <c r="Q7" s="73" t="s">
        <v>63</v>
      </c>
      <c r="R7" s="155">
        <v>8.3333333333333329E-2</v>
      </c>
      <c r="S7" s="293" t="s">
        <v>64</v>
      </c>
      <c r="T7" s="293"/>
      <c r="U7" s="293"/>
      <c r="W7" s="2" t="s">
        <v>90</v>
      </c>
      <c r="X7" s="156">
        <v>1</v>
      </c>
      <c r="AB7" s="2">
        <f>VLOOKUP($E$7,$W$7:$X$18,2,0)</f>
        <v>1</v>
      </c>
      <c r="AG7" s="176" t="s">
        <v>167</v>
      </c>
      <c r="AH7" s="176" t="s">
        <v>168</v>
      </c>
      <c r="AI7" s="155">
        <v>0</v>
      </c>
      <c r="AJ7" s="155">
        <v>1</v>
      </c>
      <c r="AK7" s="155">
        <v>0.45833333333333331</v>
      </c>
      <c r="AL7" s="2" t="s">
        <v>0</v>
      </c>
      <c r="AM7" s="2" t="s">
        <v>162</v>
      </c>
      <c r="AN7" s="2" t="s">
        <v>184</v>
      </c>
      <c r="BE7" s="14"/>
      <c r="BF7" s="14"/>
      <c r="BG7" s="14"/>
    </row>
    <row r="8" spans="1:59" s="2" customFormat="1" ht="30" customHeight="1" thickTop="1" thickBot="1" x14ac:dyDescent="0.25">
      <c r="A8" s="1"/>
      <c r="B8"/>
      <c r="C8" s="172" t="str">
        <f>IF(Funcionários!C7=0,"",Funcionários!C7)</f>
        <v/>
      </c>
      <c r="D8"/>
      <c r="E8" s="115">
        <f>Lanç!E8</f>
        <v>1</v>
      </c>
      <c r="F8" s="189" t="str">
        <f>Lanç!F8</f>
        <v>Dom</v>
      </c>
      <c r="G8" s="80"/>
      <c r="H8" s="93"/>
      <c r="I8" s="93"/>
      <c r="J8" s="93"/>
      <c r="K8" s="93"/>
      <c r="L8" s="197"/>
      <c r="M8" s="95">
        <f>IF(AND(H8=K8,H8&lt;&gt;0),$M$6-IF(J8&lt;I8,$AJ$7+J8-I8,J8-I8),IF(H8&gt;K8,(K8+1-H8)-IF(J8&lt;I8,$AJ$7+J8-I8,J8-I8),(K8-H8)-IF(J8&lt;I8,$AJ$7+J8-I8,J8-I8)))</f>
        <v>0</v>
      </c>
      <c r="N8" s="196"/>
      <c r="O8" s="95">
        <f ca="1">IF(OR(G8=0,G8="Férias",G8="Falta Justificada",G8="Feriado",G8="Folga (DSR)"),0,IF(G8="Falta Injustificada",HLOOKUP($F8,Jornada!$X$7:$AD$37,VLOOKUP(INDIRECT($C$5),Jornada!$C$8:$W$37,21,0),0),IF(HLOOKUP($F8,Jornada!$X$7:$AD$37,VLOOKUP(INDIRECT($C$5),Jornada!$C$8:$W$37,21,0),0)-M8&gt;0,HLOOKUP($F8,Jornada!$X$7:$AD$37,VLOOKUP(INDIRECT($C$5),Jornada!$C$8:$W$37,21,0),0)-M8,0)))</f>
        <v>0</v>
      </c>
      <c r="P8" s="193">
        <f ca="1">IF(HLOOKUP($F8,Jornada!$X$7:$AD$37,VLOOKUP(INDIRECT($C$5),Jornada!$C$8:$W$37,21,0),0)-M8&lt;0,ABS(HLOOKUP($F8,Jornada!$X$7:$AD$37,VLOOKUP(INDIRECT($C$5),Jornada!$C$8:$W$37,21,0),0)-M8),0)</f>
        <v>0</v>
      </c>
      <c r="Q8" s="95">
        <f t="shared" ref="Q8:Q38" si="0">IF(G8="Normal",P8,IF(G8=0,0,IF(OR(G8="Feriado",G8="Férias"),IF(H8&gt;K8,(K8+1-H8)-IF(J8&lt;I8,$AJ$7+J8-I8,J8-I8),(K8-H8)-IF(J8&lt;I8,$AJ$7+J8-I8,J8-I8)),IF(G8="Folga (DSR)",IF(H8&gt;K8,(K8+1-H8)-IF(J8&lt;I8,$AJ$7+J8-I8,J8-I8),(K8-H8)-IF(J8&lt;I8,$AJ$7+J8-I8,J8-I8)),IF(G8="Falta Justificada",IF(H8&gt;K8,(K8+1-H8)-IF(J8&lt;I8,$AJ$7+J8-I8,J8-I8),(K8-H8)-IF(J8&lt;I8,$AJ$7+J8-I8,J8-I8)),0)))))</f>
        <v>0</v>
      </c>
      <c r="R8" s="2">
        <f>IF(Q8&gt;$R$7,1,0)</f>
        <v>0</v>
      </c>
      <c r="S8" s="294" t="s">
        <v>65</v>
      </c>
      <c r="T8" s="294"/>
      <c r="U8" s="295">
        <f>SUM(M8:M38)</f>
        <v>0</v>
      </c>
      <c r="W8" s="2" t="s">
        <v>91</v>
      </c>
      <c r="X8" s="156">
        <v>2</v>
      </c>
      <c r="AB8" s="177">
        <f>DATE('P Gerais'!$D$6,AB7,1)</f>
        <v>1</v>
      </c>
      <c r="AC8" s="2">
        <f>WEEKDAY(AB8)</f>
        <v>1</v>
      </c>
      <c r="AE8" s="2">
        <v>1</v>
      </c>
      <c r="AF8" s="2" t="s">
        <v>51</v>
      </c>
      <c r="AG8" s="220">
        <f>IF(J8&lt;I8,$AJ$7+J8-I8,J8-I8)</f>
        <v>0</v>
      </c>
      <c r="AH8" s="220">
        <f ca="1">IF(HLOOKUP($F8,Jornada!$X$7:$AD$37,VLOOKUP(INDIRECT($C$5),Jornada!$C$8:$W$37,21,0),0)=0,0,VLOOKUP(INDIRECT($C$5),Jornada!$C$8:$H$37,4,0))</f>
        <v>0</v>
      </c>
      <c r="AI8" s="155">
        <f ca="1">IF(AND(I8=0,J8=0,OR(H8&lt;&gt;0,K8&lt;&gt;0),HLOOKUP($F8,Jornada!$X$7:$AD$37,VLOOKUP(INDIRECT($C$5),Jornada!$C$8:$W$37,21,0),0)&gt;$AK$5,M8&gt;$AK$5),VLOOKUP(INDIRECT($C$5),Jornada!$C$8:$H$37,6,0),IF(AG8&gt;VLOOKUP(INDIRECT($C$5),Jornada!$C$8:$H$37,6,0),IF(VLOOKUP(INDIRECT($C$5),Jornada!$C$8:$H$37,6,0)&lt;AG8,0,ABS(VLOOKUP(INDIRECT($C$5),Jornada!$C$8:$H$37,6,0))-AG8),0))</f>
        <v>0</v>
      </c>
      <c r="AJ8" s="155">
        <f>($AJ$7-K8)+H8</f>
        <v>1</v>
      </c>
      <c r="AK8" s="155">
        <f>IF(AJ8&lt;$AK$7,$AK$7-AJ8,$AI$7)</f>
        <v>0</v>
      </c>
      <c r="AL8" s="155">
        <f ca="1">HLOOKUP($F8,Jornada!$I$5:$V$37,VLOOKUP(INDIRECT($C$5),Jornada!$C$8:$W$37,21,0)+2,0)</f>
        <v>0</v>
      </c>
      <c r="AM8" s="155">
        <f ca="1">HLOOKUP($F8,Jornada!$I$4:$V$37,VLOOKUP(INDIRECT($C$5),Jornada!$C$8:$W$37,21,0)+3,0)</f>
        <v>0</v>
      </c>
      <c r="AN8" s="155">
        <f ca="1">IF(AND(AL8&gt;=$AL$5,AL8&lt;$AN$5,H8&gt;=$AL$5,H8&lt;AL8),AL8-H8,IF(AND(AL8&gt;$AI$7,AL8&lt;=$AM$5,H8&gt;=$AL$5,H8&lt;=$AN$5),$AN$5-H8+AL8,IF(AND(AL8&gt;=$AI$7,AL8&lt;=$AM$5,H8&gt;=$AI$7,H8&lt;=$AM$5,H8&lt;AL8),H8-AL8,0)))</f>
        <v>0</v>
      </c>
      <c r="AO8" s="155">
        <f>IF(AP8&gt;Q8,0,AP8)</f>
        <v>0</v>
      </c>
      <c r="AP8" s="155">
        <f>IF(Q8=0,0,IF(AND(AM8&gt;=$AL$5,AM8&lt;$AN$5,K8&gt;=$AL$5,K8&lt;$AM$5,K8&gt;AM8),K8-AM8,IF(AND(AM8&gt;=$AL$5,AM8&lt;$AN$5,K8&lt;$AN$5,K8&gt;AM8),K8-$AL$5,IF(AND(AM8&gt;=$AI$7,AM8&lt;$AM$5,K8&lt;$AM$5),K8-AM8,IF(AND(AM8&lt;&gt;AI7,AM8&gt;=$AI$7,AM8&lt;=$AM$5,K8&gt;$AM$5,K8&gt;AM8),$AM$5-AM8,IF(AND(K8&gt;$AL$5,K8&lt;$AN$5),K8-$AL$5,IF(AND(K8&gt;$AI$7,K8&lt;$AM$5),$AN$5-$AL$5+K8,IF(AND(OR(K8&gt;$AL$5,H8&gt;$AO$5),AM8&gt;=$AI$7,AM8&lt;$AM$5,K8&gt;$AM$5),(1+$AM$5-$AL$5)-AG8,0))))))))</f>
        <v>0</v>
      </c>
      <c r="BE8" s="14"/>
      <c r="BF8" s="14"/>
      <c r="BG8" s="14"/>
    </row>
    <row r="9" spans="1:59" s="2" customFormat="1" ht="30" customHeight="1" thickTop="1" thickBot="1" x14ac:dyDescent="0.25">
      <c r="A9" s="1"/>
      <c r="B9"/>
      <c r="C9" s="172" t="str">
        <f>IF(Funcionários!C8=0,"",Funcionários!C8)</f>
        <v/>
      </c>
      <c r="D9"/>
      <c r="E9" s="115">
        <f>Lanç!E9</f>
        <v>2</v>
      </c>
      <c r="F9" s="189" t="str">
        <f>Lanç!F9</f>
        <v>Seg</v>
      </c>
      <c r="G9" s="80"/>
      <c r="H9" s="94"/>
      <c r="I9" s="94"/>
      <c r="J9" s="94"/>
      <c r="K9" s="94"/>
      <c r="L9" s="197"/>
      <c r="M9" s="95">
        <f t="shared" ref="M9:M38" si="1">IF(AND(H9=K9,H9&lt;&gt;0),$M$6-IF(J9&lt;I9,$AJ$7+J9-I9,J9-I9),IF(H9&gt;K9,(K9+1-H9)-IF(J9&lt;I9,$AJ$7+J9-I9,J9-I9),(K9-H9)-IF(J9&lt;I9,$AJ$7+J9-I9,J9-I9)))</f>
        <v>0</v>
      </c>
      <c r="N9" s="196"/>
      <c r="O9" s="95">
        <f ca="1">IF(OR(G9=0,G9="Férias",G9="Falta Justificada",G9="Feriado",G9="Folga (DSR)"),0,IF(G9="Falta Injustificada",HLOOKUP($F9,Jornada!$X$7:$AD$37,VLOOKUP(INDIRECT($C$5),Jornada!$C$8:$W$37,21,0),0),IF(HLOOKUP($F9,Jornada!$X$7:$AD$37,VLOOKUP(INDIRECT($C$5),Jornada!$C$8:$W$37,21,0),0)-M9&gt;0,HLOOKUP($F9,Jornada!$X$7:$AD$37,VLOOKUP(INDIRECT($C$5),Jornada!$C$8:$W$37,21,0),0)-M9,0)))</f>
        <v>0</v>
      </c>
      <c r="P9" s="193">
        <f ca="1">IF(HLOOKUP($F9,Jornada!$X$7:$AD$37,VLOOKUP(INDIRECT($C$5),Jornada!$C$8:$W$37,21,0),0)-M9&lt;0,ABS(HLOOKUP($F9,Jornada!$X$7:$AD$37,VLOOKUP(INDIRECT($C$5),Jornada!$C$8:$W$37,21,0),0)-M9),0)</f>
        <v>0</v>
      </c>
      <c r="Q9" s="95">
        <f t="shared" si="0"/>
        <v>0</v>
      </c>
      <c r="R9" s="2">
        <f t="shared" ref="R9:R38" si="2">IF(Q9&gt;$R$7,1,0)</f>
        <v>0</v>
      </c>
      <c r="S9" s="294"/>
      <c r="T9" s="294"/>
      <c r="U9" s="295"/>
      <c r="W9" s="2" t="s">
        <v>92</v>
      </c>
      <c r="X9" s="156">
        <v>3</v>
      </c>
      <c r="AB9" s="177">
        <f>AB8+1</f>
        <v>2</v>
      </c>
      <c r="AC9" s="2">
        <f t="shared" ref="AC9:AC35" si="3">WEEKDAY(AB9)</f>
        <v>2</v>
      </c>
      <c r="AE9" s="2">
        <v>2</v>
      </c>
      <c r="AF9" s="2" t="s">
        <v>52</v>
      </c>
      <c r="AG9" s="220">
        <f>IF(J9&lt;I9,$AJ$7+J9-I9,J9-I9)</f>
        <v>0</v>
      </c>
      <c r="AH9" s="220">
        <f ca="1">IF(HLOOKUP($F9,Jornada!$X$7:$AD$37,VLOOKUP(INDIRECT($C$5),Jornada!$C$8:$W$37,21,0),0)=0,0,VLOOKUP(INDIRECT($C$5),Jornada!$C$8:$H$37,4,0))</f>
        <v>0</v>
      </c>
      <c r="AI9" s="155">
        <f ca="1">IF(AND(I9=0,J9=0,OR(H9&lt;&gt;0,K9&lt;&gt;0),HLOOKUP($F9,Jornada!$X$7:$AD$37,VLOOKUP(INDIRECT($C$5),Jornada!$C$8:$W$37,21,0),0)&gt;$AK$5,M9&gt;$AK$5),VLOOKUP(INDIRECT($C$5),Jornada!$C$8:$H$37,6,0),IF(AG9&gt;VLOOKUP(INDIRECT($C$5),Jornada!$C$8:$H$37,6,0),IF(VLOOKUP(INDIRECT($C$5),Jornada!$C$8:$H$37,6,0)&lt;AG9,0,ABS(VLOOKUP(INDIRECT($C$5),Jornada!$C$8:$H$37,6,0))-AG9),0))</f>
        <v>0</v>
      </c>
      <c r="AJ9" s="155">
        <f>($AJ$7-K9)+H9</f>
        <v>1</v>
      </c>
      <c r="AK9" s="155">
        <f>IF(AJ9&lt;$AK$7,$AK$7-AJ9,$AI$7)</f>
        <v>0</v>
      </c>
      <c r="AL9" s="155">
        <f ca="1">HLOOKUP($F9,Jornada!$I$5:$V$37,VLOOKUP(INDIRECT($C$5),Jornada!$C$8:$W$37,21,0)+2,0)</f>
        <v>0</v>
      </c>
      <c r="AM9" s="155">
        <f ca="1">HLOOKUP($F9,Jornada!$I$4:$V$37,VLOOKUP(INDIRECT($C$5),Jornada!$C$8:$W$37,21,0)+3,0)</f>
        <v>0</v>
      </c>
      <c r="AN9" s="155">
        <f ca="1">IF(AND(AL9&gt;=$AL$5,AL9&lt;$AN$5,H9&gt;=$AL$5,H9&lt;AL9),AL9-H9,IF(AND(AL9&gt;$AI$7,AL9&lt;=$AM$5,H9&gt;=$AL$5,H9&lt;=$AN$5),$AN$5-H9+AL9,IF(AND(AL9&gt;=$AI$7,AL9&lt;=$AM$5,H9&gt;=$AI$7,H9&lt;=$AM$5,H9&lt;AL9),H9-AL9,0)))</f>
        <v>0</v>
      </c>
      <c r="AO9" s="155">
        <f>IF(AP9&gt;Q9,0,AP9)</f>
        <v>0</v>
      </c>
      <c r="AP9" s="155">
        <f t="shared" ref="AP9:AP38" si="4">IF(Q9=0,0,IF(AND(AM9&gt;=$AL$5,AM9&lt;$AN$5,K9&gt;=$AL$5,K9&lt;$AM$5,K9&gt;AM9),K9-AM9,IF(AND(AM9&gt;=$AL$5,AM9&lt;$AN$5,K9&lt;$AN$5,K9&gt;AM9),K9-$AL$5,IF(AND(AM9&gt;=$AI$7,AM9&lt;$AM$5,K9&lt;$AM$5),K9-AM9,IF(AND(AM9&lt;&gt;AI8,AM9&gt;=$AI$7,AM9&lt;=$AM$5,K9&gt;$AM$5,K9&gt;AM9),$AM$5-AM9,IF(AND(K9&gt;$AL$5,K9&lt;$AN$5),K9-$AL$5,IF(AND(K9&gt;$AI$7,K9&lt;$AM$5),$AN$5-$AL$5+K9,IF(AND(OR(K9&gt;$AL$5,H9&gt;$AO$5),AM9&gt;=$AI$7,AM9&lt;$AM$5,K9&gt;$AM$5),(1+$AM$5-$AL$5)-AG9,0))))))))</f>
        <v>0</v>
      </c>
      <c r="BE9" s="14"/>
      <c r="BF9" s="14"/>
      <c r="BG9" s="14"/>
    </row>
    <row r="10" spans="1:59" s="2" customFormat="1" ht="30" customHeight="1" thickTop="1" thickBot="1" x14ac:dyDescent="0.25">
      <c r="A10" s="1"/>
      <c r="B10"/>
      <c r="C10" s="172" t="str">
        <f>IF(Funcionários!C9=0,"",Funcionários!C9)</f>
        <v/>
      </c>
      <c r="D10"/>
      <c r="E10" s="115">
        <f>Lanç!E10</f>
        <v>3</v>
      </c>
      <c r="F10" s="189" t="str">
        <f>Lanç!F10</f>
        <v>Ter</v>
      </c>
      <c r="G10" s="80"/>
      <c r="H10" s="94"/>
      <c r="I10" s="94"/>
      <c r="J10" s="94"/>
      <c r="K10" s="94"/>
      <c r="L10" s="197"/>
      <c r="M10" s="95">
        <f t="shared" si="1"/>
        <v>0</v>
      </c>
      <c r="N10" s="196"/>
      <c r="O10" s="95">
        <f ca="1">IF(OR(G10=0,G10="Férias",G10="Falta Justificada",G10="Feriado",G10="Folga (DSR)"),0,IF(G10="Falta Injustificada",HLOOKUP($F10,Jornada!$X$7:$AD$37,VLOOKUP(INDIRECT($C$5),Jornada!$C$8:$W$37,21,0),0),IF(HLOOKUP($F10,Jornada!$X$7:$AD$37,VLOOKUP(INDIRECT($C$5),Jornada!$C$8:$W$37,21,0),0)-M10&gt;0,HLOOKUP($F10,Jornada!$X$7:$AD$37,VLOOKUP(INDIRECT($C$5),Jornada!$C$8:$W$37,21,0),0)-M10,0)))</f>
        <v>0</v>
      </c>
      <c r="P10" s="193">
        <f ca="1">IF(HLOOKUP($F10,Jornada!$X$7:$AD$37,VLOOKUP(INDIRECT($C$5),Jornada!$C$8:$W$37,21,0),0)-M10&lt;0,ABS(HLOOKUP($F10,Jornada!$X$7:$AD$37,VLOOKUP(INDIRECT($C$5),Jornada!$C$8:$W$37,21,0),0)-M10),0)</f>
        <v>0</v>
      </c>
      <c r="Q10" s="95">
        <f t="shared" si="0"/>
        <v>0</v>
      </c>
      <c r="R10" s="2">
        <f t="shared" si="2"/>
        <v>0</v>
      </c>
      <c r="S10" s="294" t="s">
        <v>66</v>
      </c>
      <c r="T10" s="294"/>
      <c r="U10" s="295">
        <f ca="1">IF(M5="Horas devidas",ABS(-K5+F58-U14),ABS(K5+F58-U14))</f>
        <v>0</v>
      </c>
      <c r="W10" s="2" t="s">
        <v>93</v>
      </c>
      <c r="X10" s="156">
        <v>4</v>
      </c>
      <c r="AB10" s="177">
        <f t="shared" ref="AB10:AB34" si="5">AB9+1</f>
        <v>3</v>
      </c>
      <c r="AC10" s="2">
        <f t="shared" si="3"/>
        <v>3</v>
      </c>
      <c r="AE10" s="2">
        <v>3</v>
      </c>
      <c r="AF10" s="2" t="s">
        <v>53</v>
      </c>
      <c r="AG10" s="220">
        <f>IF(J10&lt;I10,$AJ$7+J10-I10,J10-I10)</f>
        <v>0</v>
      </c>
      <c r="AH10" s="220">
        <f ca="1">IF(HLOOKUP($F10,Jornada!$X$7:$AD$37,VLOOKUP(INDIRECT($C$5),Jornada!$C$8:$W$37,21,0),0)=0,0,VLOOKUP(INDIRECT($C$5),Jornada!$C$8:$H$37,4,0))</f>
        <v>0</v>
      </c>
      <c r="AI10" s="155">
        <f ca="1">IF(AND(I10=0,J10=0,OR(H10&lt;&gt;0,K10&lt;&gt;0),HLOOKUP($F10,Jornada!$X$7:$AD$37,VLOOKUP(INDIRECT($C$5),Jornada!$C$8:$W$37,21,0),0)&gt;$AK$5,M10&gt;$AK$5),VLOOKUP(INDIRECT($C$5),Jornada!$C$8:$H$37,6,0),IF(AG10&gt;VLOOKUP(INDIRECT($C$5),Jornada!$C$8:$H$37,6,0),IF(VLOOKUP(INDIRECT($C$5),Jornada!$C$8:$H$37,6,0)&lt;AG10,0,ABS(VLOOKUP(INDIRECT($C$5),Jornada!$C$8:$H$37,6,0))-AG10),0))</f>
        <v>0</v>
      </c>
      <c r="AJ10" s="155">
        <f>($AJ$7-K10)+H10</f>
        <v>1</v>
      </c>
      <c r="AK10" s="155">
        <f>IF(AJ10&lt;$AK$7,$AK$7-AJ10,$AI$7)</f>
        <v>0</v>
      </c>
      <c r="AL10" s="155">
        <f ca="1">HLOOKUP($F10,Jornada!$I$5:$V$37,VLOOKUP(INDIRECT($C$5),Jornada!$C$8:$W$37,21,0)+2,0)</f>
        <v>0</v>
      </c>
      <c r="AM10" s="155">
        <f ca="1">HLOOKUP($F10,Jornada!$I$4:$V$37,VLOOKUP(INDIRECT($C$5),Jornada!$C$8:$W$37,21,0)+3,0)</f>
        <v>0</v>
      </c>
      <c r="AN10" s="155">
        <f ca="1">IF(AND(AL10&gt;=$AL$5,AL10&lt;$AN$5,H10&gt;=$AL$5,H10&lt;AL10),AL10-H10,IF(AND(AL10&gt;$AI$7,AL10&lt;=$AM$5,H10&gt;=$AL$5,H10&lt;=$AN$5),$AN$5-H10+AL10,IF(AND(AL10&gt;=$AI$7,AL10&lt;=$AM$5,H10&gt;=$AI$7,H10&lt;=$AM$5,H10&lt;AL10),H10-AL10,0)))</f>
        <v>0</v>
      </c>
      <c r="AO10" s="155">
        <f>IF(AP10&gt;Q10,0,AP10)</f>
        <v>0</v>
      </c>
      <c r="AP10" s="155">
        <f t="shared" si="4"/>
        <v>0</v>
      </c>
      <c r="BE10" s="14"/>
      <c r="BF10" s="14"/>
      <c r="BG10" s="14"/>
    </row>
    <row r="11" spans="1:59" s="2" customFormat="1" ht="30" customHeight="1" thickTop="1" thickBot="1" x14ac:dyDescent="0.25">
      <c r="A11" s="1"/>
      <c r="B11"/>
      <c r="C11" s="172" t="str">
        <f>IF(Funcionários!C10=0,"",Funcionários!C10)</f>
        <v/>
      </c>
      <c r="D11"/>
      <c r="E11" s="115">
        <f>Lanç!E11</f>
        <v>4</v>
      </c>
      <c r="F11" s="189" t="str">
        <f>Lanç!F11</f>
        <v>Qua</v>
      </c>
      <c r="G11" s="80"/>
      <c r="H11" s="94"/>
      <c r="I11" s="94"/>
      <c r="J11" s="94"/>
      <c r="K11" s="94"/>
      <c r="L11" s="197"/>
      <c r="M11" s="95">
        <f t="shared" si="1"/>
        <v>0</v>
      </c>
      <c r="N11" s="196"/>
      <c r="O11" s="95">
        <f ca="1">IF(OR(G11=0,G11="Férias",G11="Falta Justificada",G11="Feriado",G11="Folga (DSR)"),0,IF(G11="Falta Injustificada",HLOOKUP($F11,Jornada!$X$7:$AD$37,VLOOKUP(INDIRECT($C$5),Jornada!$C$8:$W$37,21,0),0),IF(HLOOKUP($F11,Jornada!$X$7:$AD$37,VLOOKUP(INDIRECT($C$5),Jornada!$C$8:$W$37,21,0),0)-M11&gt;0,HLOOKUP($F11,Jornada!$X$7:$AD$37,VLOOKUP(INDIRECT($C$5),Jornada!$C$8:$W$37,21,0),0)-M11,0)))</f>
        <v>0</v>
      </c>
      <c r="P11" s="193">
        <f ca="1">IF(HLOOKUP($F11,Jornada!$X$7:$AD$37,VLOOKUP(INDIRECT($C$5),Jornada!$C$8:$W$37,21,0),0)-M11&lt;0,ABS(HLOOKUP($F11,Jornada!$X$7:$AD$37,VLOOKUP(INDIRECT($C$5),Jornada!$C$8:$W$37,21,0),0)-M11),0)</f>
        <v>0</v>
      </c>
      <c r="Q11" s="95">
        <f t="shared" si="0"/>
        <v>0</v>
      </c>
      <c r="R11" s="2">
        <f t="shared" si="2"/>
        <v>0</v>
      </c>
      <c r="S11" s="294"/>
      <c r="T11" s="294"/>
      <c r="U11" s="295"/>
      <c r="V11" s="2">
        <f ca="1">IF(AND(K5&gt;U12,M5="Horas devidas"),"Negativo",IF(AND(U12&gt;K5,U14&gt;F58),"Negativo",0))</f>
        <v>0</v>
      </c>
      <c r="W11" s="2" t="s">
        <v>94</v>
      </c>
      <c r="X11" s="156">
        <v>5</v>
      </c>
      <c r="Z11" s="2" t="str">
        <f ca="1">IF(AND(M5="horas extras",Z13="positivo"),"positivo",IF(AND(M5="horas devidas",Z13="Negativo"),"Negativo",IF(AND(Z13="positivo",M5="horas devidas",U12&gt;K5),"Positivo","Negativo")))</f>
        <v>Negativo</v>
      </c>
      <c r="AB11" s="177">
        <f t="shared" si="5"/>
        <v>4</v>
      </c>
      <c r="AC11" s="2">
        <f t="shared" si="3"/>
        <v>4</v>
      </c>
      <c r="AE11" s="2">
        <v>4</v>
      </c>
      <c r="AF11" s="2" t="s">
        <v>54</v>
      </c>
      <c r="AG11" s="220">
        <f t="shared" ref="AG11:AG28" si="6">IF(J11&lt;I11,$AJ$7+J11-I11,J11-I11)</f>
        <v>0</v>
      </c>
      <c r="AH11" s="220">
        <f ca="1">IF(HLOOKUP($F11,Jornada!$X$7:$AD$37,VLOOKUP(INDIRECT($C$5),Jornada!$C$8:$W$37,21,0),0)=0,0,VLOOKUP(INDIRECT($C$5),Jornada!$C$8:$H$37,4,0))</f>
        <v>0</v>
      </c>
      <c r="AI11" s="155">
        <f ca="1">IF(AND(I11=0,J11=0,OR(H11&lt;&gt;0,K11&lt;&gt;0),HLOOKUP($F11,Jornada!$X$7:$AD$37,VLOOKUP(INDIRECT($C$5),Jornada!$C$8:$W$37,21,0),0)&gt;$AK$5,M11&gt;$AK$5),VLOOKUP(INDIRECT($C$5),Jornada!$C$8:$H$37,6,0),IF(AG11&gt;VLOOKUP(INDIRECT($C$5),Jornada!$C$8:$H$37,6,0),IF(VLOOKUP(INDIRECT($C$5),Jornada!$C$8:$H$37,6,0)&lt;AG11,0,ABS(VLOOKUP(INDIRECT($C$5),Jornada!$C$8:$H$37,6,0))-AG11),0))</f>
        <v>0</v>
      </c>
      <c r="AJ11" s="155">
        <f t="shared" ref="AJ11:AJ28" si="7">($AJ$7-K11)+H11</f>
        <v>1</v>
      </c>
      <c r="AK11" s="155">
        <f t="shared" ref="AK11:AK28" si="8">IF(AJ11&lt;$AK$7,$AK$7-AJ11,$AI$7)</f>
        <v>0</v>
      </c>
      <c r="AL11" s="155">
        <f ca="1">HLOOKUP($F11,Jornada!$I$5:$V$37,VLOOKUP(INDIRECT($C$5),Jornada!$C$8:$W$37,21,0)+2,0)</f>
        <v>0</v>
      </c>
      <c r="AM11" s="155">
        <f ca="1">HLOOKUP($F11,Jornada!$I$4:$V$37,VLOOKUP(INDIRECT($C$5),Jornada!$C$8:$W$37,21,0)+3,0)</f>
        <v>0</v>
      </c>
      <c r="AN11" s="155">
        <f t="shared" ref="AN11:AN28" ca="1" si="9">IF(AND(AL11&gt;=$AL$5,AL11&lt;$AN$5,H11&gt;=$AL$5,H11&lt;AL11),AL11-H11,IF(AND(AL11&gt;$AI$7,AL11&lt;=$AM$5,H11&gt;=$AL$5,H11&lt;=$AN$5),$AN$5-H11+AL11,IF(AND(AL11&gt;=$AI$7,AL11&lt;=$AM$5,H11&gt;=$AI$7,H11&lt;=$AM$5,H11&lt;AL11),H11-AL11,0)))</f>
        <v>0</v>
      </c>
      <c r="AO11" s="155">
        <f t="shared" ref="AO11:AO28" si="10">IF(AP11&gt;Q11,0,AP11)</f>
        <v>0</v>
      </c>
      <c r="AP11" s="155">
        <f t="shared" si="4"/>
        <v>0</v>
      </c>
      <c r="BE11" s="14"/>
      <c r="BF11" s="14"/>
      <c r="BG11" s="14"/>
    </row>
    <row r="12" spans="1:59" s="2" customFormat="1" ht="30" customHeight="1" thickTop="1" thickBot="1" x14ac:dyDescent="0.25">
      <c r="A12" s="1"/>
      <c r="B12"/>
      <c r="C12" s="172" t="str">
        <f>IF(Funcionários!C11=0,"",Funcionários!C11)</f>
        <v/>
      </c>
      <c r="D12"/>
      <c r="E12" s="115">
        <f>Lanç!E12</f>
        <v>5</v>
      </c>
      <c r="F12" s="189" t="str">
        <f>Lanç!F12</f>
        <v>Qui</v>
      </c>
      <c r="G12" s="80"/>
      <c r="H12" s="94"/>
      <c r="I12" s="94"/>
      <c r="J12" s="94"/>
      <c r="K12" s="94"/>
      <c r="L12" s="197"/>
      <c r="M12" s="95">
        <f t="shared" si="1"/>
        <v>0</v>
      </c>
      <c r="N12" s="196"/>
      <c r="O12" s="95">
        <f ca="1">IF(OR(G12=0,G12="Férias",G12="Falta Justificada",G12="Feriado",G12="Folga (DSR)"),0,IF(G12="Falta Injustificada",HLOOKUP($F12,Jornada!$X$7:$AD$37,VLOOKUP(INDIRECT($C$5),Jornada!$C$8:$W$37,21,0),0),IF(HLOOKUP($F12,Jornada!$X$7:$AD$37,VLOOKUP(INDIRECT($C$5),Jornada!$C$8:$W$37,21,0),0)-M12&gt;0,HLOOKUP($F12,Jornada!$X$7:$AD$37,VLOOKUP(INDIRECT($C$5),Jornada!$C$8:$W$37,21,0),0)-M12,0)))</f>
        <v>0</v>
      </c>
      <c r="P12" s="193">
        <f ca="1">IF(HLOOKUP($F12,Jornada!$X$7:$AD$37,VLOOKUP(INDIRECT($C$5),Jornada!$C$8:$W$37,21,0),0)-M12&lt;0,ABS(HLOOKUP($F12,Jornada!$X$7:$AD$37,VLOOKUP(INDIRECT($C$5),Jornada!$C$8:$W$37,21,0),0)-M12),0)</f>
        <v>0</v>
      </c>
      <c r="Q12" s="95">
        <f t="shared" si="0"/>
        <v>0</v>
      </c>
      <c r="R12" s="2">
        <f t="shared" si="2"/>
        <v>0</v>
      </c>
      <c r="S12" s="294" t="s">
        <v>175</v>
      </c>
      <c r="T12" s="294"/>
      <c r="U12" s="295">
        <f ca="1">IF(U14&gt;=F58,(U14)-F58,(F58-U14))</f>
        <v>0</v>
      </c>
      <c r="W12" s="2" t="s">
        <v>95</v>
      </c>
      <c r="X12" s="156">
        <v>6</v>
      </c>
      <c r="AB12" s="177">
        <f t="shared" si="5"/>
        <v>5</v>
      </c>
      <c r="AC12" s="2">
        <f t="shared" si="3"/>
        <v>5</v>
      </c>
      <c r="AE12" s="2">
        <v>5</v>
      </c>
      <c r="AF12" s="2" t="s">
        <v>55</v>
      </c>
      <c r="AG12" s="220">
        <f t="shared" si="6"/>
        <v>0</v>
      </c>
      <c r="AH12" s="220">
        <f ca="1">IF(HLOOKUP($F12,Jornada!$X$7:$AD$37,VLOOKUP(INDIRECT($C$5),Jornada!$C$8:$W$37,21,0),0)=0,0,VLOOKUP(INDIRECT($C$5),Jornada!$C$8:$H$37,4,0))</f>
        <v>0</v>
      </c>
      <c r="AI12" s="155">
        <f ca="1">IF(AND(I12=0,J12=0,OR(H12&lt;&gt;0,K12&lt;&gt;0),HLOOKUP($F12,Jornada!$X$7:$AD$37,VLOOKUP(INDIRECT($C$5),Jornada!$C$8:$W$37,21,0),0)&gt;$AK$5,M12&gt;$AK$5),VLOOKUP(INDIRECT($C$5),Jornada!$C$8:$H$37,6,0),IF(AG12&gt;VLOOKUP(INDIRECT($C$5),Jornada!$C$8:$H$37,6,0),IF(VLOOKUP(INDIRECT($C$5),Jornada!$C$8:$H$37,6,0)&lt;AG12,0,ABS(VLOOKUP(INDIRECT($C$5),Jornada!$C$8:$H$37,6,0))-AG12),0))</f>
        <v>0</v>
      </c>
      <c r="AJ12" s="155">
        <f t="shared" si="7"/>
        <v>1</v>
      </c>
      <c r="AK12" s="155">
        <f t="shared" si="8"/>
        <v>0</v>
      </c>
      <c r="AL12" s="155">
        <f ca="1">HLOOKUP($F12,Jornada!$I$5:$V$37,VLOOKUP(INDIRECT($C$5),Jornada!$C$8:$W$37,21,0)+2,0)</f>
        <v>0</v>
      </c>
      <c r="AM12" s="155">
        <f ca="1">HLOOKUP($F12,Jornada!$I$4:$V$37,VLOOKUP(INDIRECT($C$5),Jornada!$C$8:$W$37,21,0)+3,0)</f>
        <v>0</v>
      </c>
      <c r="AN12" s="155">
        <f t="shared" ca="1" si="9"/>
        <v>0</v>
      </c>
      <c r="AO12" s="155">
        <f t="shared" si="10"/>
        <v>0</v>
      </c>
      <c r="AP12" s="155">
        <f t="shared" si="4"/>
        <v>0</v>
      </c>
      <c r="BE12" s="14"/>
      <c r="BF12" s="14"/>
      <c r="BG12" s="14"/>
    </row>
    <row r="13" spans="1:59" s="2" customFormat="1" ht="30" customHeight="1" thickTop="1" thickBot="1" x14ac:dyDescent="0.25">
      <c r="A13" s="1"/>
      <c r="B13"/>
      <c r="C13" s="172" t="str">
        <f>IF(Funcionários!C12=0,"",Funcionários!C12)</f>
        <v/>
      </c>
      <c r="D13"/>
      <c r="E13" s="115">
        <f>Lanç!E13</f>
        <v>6</v>
      </c>
      <c r="F13" s="189" t="str">
        <f>Lanç!F13</f>
        <v>Sex</v>
      </c>
      <c r="G13" s="80"/>
      <c r="H13" s="94"/>
      <c r="I13" s="94"/>
      <c r="J13" s="94"/>
      <c r="K13" s="94"/>
      <c r="L13" s="197"/>
      <c r="M13" s="95">
        <f t="shared" si="1"/>
        <v>0</v>
      </c>
      <c r="N13" s="196"/>
      <c r="O13" s="95">
        <f ca="1">IF(OR(G13=0,G13="Férias",G13="Falta Justificada",G13="Feriado",G13="Folga (DSR)"),0,IF(G13="Falta Injustificada",HLOOKUP($F13,Jornada!$X$7:$AD$37,VLOOKUP(INDIRECT($C$5),Jornada!$C$8:$W$37,21,0),0),IF(HLOOKUP($F13,Jornada!$X$7:$AD$37,VLOOKUP(INDIRECT($C$5),Jornada!$C$8:$W$37,21,0),0)-M13&gt;0,HLOOKUP($F13,Jornada!$X$7:$AD$37,VLOOKUP(INDIRECT($C$5),Jornada!$C$8:$W$37,21,0),0)-M13,0)))</f>
        <v>0</v>
      </c>
      <c r="P13" s="193">
        <f ca="1">IF(HLOOKUP($F13,Jornada!$X$7:$AD$37,VLOOKUP(INDIRECT($C$5),Jornada!$C$8:$W$37,21,0),0)-M13&lt;0,ABS(HLOOKUP($F13,Jornada!$X$7:$AD$37,VLOOKUP(INDIRECT($C$5),Jornada!$C$8:$W$37,21,0),0)-M13),0)</f>
        <v>0</v>
      </c>
      <c r="Q13" s="95">
        <f t="shared" si="0"/>
        <v>0</v>
      </c>
      <c r="R13" s="2">
        <f t="shared" si="2"/>
        <v>0</v>
      </c>
      <c r="S13" s="294"/>
      <c r="T13" s="294"/>
      <c r="U13" s="295"/>
      <c r="W13" s="2" t="s">
        <v>96</v>
      </c>
      <c r="X13" s="156">
        <v>7</v>
      </c>
      <c r="Z13" s="2" t="str">
        <f ca="1">IF(U14&gt;F58,"Negativo","Positivo")</f>
        <v>Positivo</v>
      </c>
      <c r="AB13" s="177">
        <f t="shared" si="5"/>
        <v>6</v>
      </c>
      <c r="AC13" s="2">
        <f t="shared" si="3"/>
        <v>6</v>
      </c>
      <c r="AE13" s="2">
        <v>6</v>
      </c>
      <c r="AF13" s="2" t="s">
        <v>56</v>
      </c>
      <c r="AG13" s="220">
        <f t="shared" si="6"/>
        <v>0</v>
      </c>
      <c r="AH13" s="220">
        <f ca="1">IF(HLOOKUP($F13,Jornada!$X$7:$AD$37,VLOOKUP(INDIRECT($C$5),Jornada!$C$8:$W$37,21,0),0)=0,0,VLOOKUP(INDIRECT($C$5),Jornada!$C$8:$H$37,4,0))</f>
        <v>0</v>
      </c>
      <c r="AI13" s="155">
        <f ca="1">IF(AND(I13=0,J13=0,OR(H13&lt;&gt;0,K13&lt;&gt;0),HLOOKUP($F13,Jornada!$X$7:$AD$37,VLOOKUP(INDIRECT($C$5),Jornada!$C$8:$W$37,21,0),0)&gt;$AK$5,M13&gt;$AK$5),VLOOKUP(INDIRECT($C$5),Jornada!$C$8:$H$37,6,0),IF(AG13&gt;VLOOKUP(INDIRECT($C$5),Jornada!$C$8:$H$37,6,0),IF(VLOOKUP(INDIRECT($C$5),Jornada!$C$8:$H$37,6,0)&lt;AG13,0,ABS(VLOOKUP(INDIRECT($C$5),Jornada!$C$8:$H$37,6,0))-AG13),0))</f>
        <v>0</v>
      </c>
      <c r="AJ13" s="155">
        <f t="shared" si="7"/>
        <v>1</v>
      </c>
      <c r="AK13" s="155">
        <f t="shared" si="8"/>
        <v>0</v>
      </c>
      <c r="AL13" s="155">
        <f ca="1">HLOOKUP($F13,Jornada!$I$5:$V$37,VLOOKUP(INDIRECT($C$5),Jornada!$C$8:$W$37,21,0)+2,0)</f>
        <v>0</v>
      </c>
      <c r="AM13" s="155">
        <f ca="1">HLOOKUP($F13,Jornada!$I$4:$V$37,VLOOKUP(INDIRECT($C$5),Jornada!$C$8:$W$37,21,0)+3,0)</f>
        <v>0</v>
      </c>
      <c r="AN13" s="155">
        <f t="shared" ca="1" si="9"/>
        <v>0</v>
      </c>
      <c r="AO13" s="155">
        <f t="shared" si="10"/>
        <v>0</v>
      </c>
      <c r="AP13" s="155">
        <f t="shared" si="4"/>
        <v>0</v>
      </c>
      <c r="BE13" s="14"/>
      <c r="BF13" s="14"/>
      <c r="BG13" s="14"/>
    </row>
    <row r="14" spans="1:59" s="2" customFormat="1" ht="30" customHeight="1" thickTop="1" thickBot="1" x14ac:dyDescent="0.25">
      <c r="A14" s="1"/>
      <c r="B14"/>
      <c r="C14" s="172" t="str">
        <f>IF(Funcionários!C13=0,"",Funcionários!C13)</f>
        <v/>
      </c>
      <c r="D14"/>
      <c r="E14" s="115">
        <f>Lanç!E14</f>
        <v>7</v>
      </c>
      <c r="F14" s="189" t="str">
        <f>Lanç!F14</f>
        <v>Sáb</v>
      </c>
      <c r="G14" s="80"/>
      <c r="H14" s="94"/>
      <c r="I14" s="94"/>
      <c r="J14" s="94"/>
      <c r="K14" s="94"/>
      <c r="L14" s="197"/>
      <c r="M14" s="95">
        <f t="shared" si="1"/>
        <v>0</v>
      </c>
      <c r="N14" s="196"/>
      <c r="O14" s="95">
        <f ca="1">IF(OR(G14=0,G14="Férias",G14="Falta Justificada",G14="Feriado",G14="Folga (DSR)"),0,IF(G14="Falta Injustificada",HLOOKUP($F14,Jornada!$X$7:$AD$37,VLOOKUP(INDIRECT($C$5),Jornada!$C$8:$W$37,21,0),0),IF(HLOOKUP($F14,Jornada!$X$7:$AD$37,VLOOKUP(INDIRECT($C$5),Jornada!$C$8:$W$37,21,0),0)-M14&gt;0,HLOOKUP($F14,Jornada!$X$7:$AD$37,VLOOKUP(INDIRECT($C$5),Jornada!$C$8:$W$37,21,0),0)-M14,0)))</f>
        <v>0</v>
      </c>
      <c r="P14" s="193">
        <f ca="1">IF(HLOOKUP($F14,Jornada!$X$7:$AD$37,VLOOKUP(INDIRECT($C$5),Jornada!$C$8:$W$37,21,0),0)-M14&lt;0,ABS(HLOOKUP($F14,Jornada!$X$7:$AD$37,VLOOKUP(INDIRECT($C$5),Jornada!$C$8:$W$37,21,0),0)-M14),0)</f>
        <v>0</v>
      </c>
      <c r="Q14" s="95">
        <f t="shared" si="0"/>
        <v>0</v>
      </c>
      <c r="R14" s="2">
        <f t="shared" si="2"/>
        <v>0</v>
      </c>
      <c r="S14" s="294" t="s">
        <v>68</v>
      </c>
      <c r="T14" s="294"/>
      <c r="U14" s="295">
        <f ca="1">SUM(O8:O38)</f>
        <v>0</v>
      </c>
      <c r="W14" s="2" t="s">
        <v>97</v>
      </c>
      <c r="X14" s="156">
        <v>8</v>
      </c>
      <c r="AB14" s="177">
        <f t="shared" si="5"/>
        <v>7</v>
      </c>
      <c r="AC14" s="2">
        <f t="shared" si="3"/>
        <v>7</v>
      </c>
      <c r="AE14" s="2">
        <v>7</v>
      </c>
      <c r="AF14" s="2" t="s">
        <v>57</v>
      </c>
      <c r="AG14" s="220">
        <f t="shared" si="6"/>
        <v>0</v>
      </c>
      <c r="AH14" s="220">
        <f ca="1">IF(HLOOKUP($F14,Jornada!$X$7:$AD$37,VLOOKUP(INDIRECT($C$5),Jornada!$C$8:$W$37,21,0),0)=0,0,VLOOKUP(INDIRECT($C$5),Jornada!$C$8:$H$37,4,0))</f>
        <v>0</v>
      </c>
      <c r="AI14" s="155">
        <f ca="1">IF(AND(I14=0,J14=0,OR(H14&lt;&gt;0,K14&lt;&gt;0),HLOOKUP($F14,Jornada!$X$7:$AD$37,VLOOKUP(INDIRECT($C$5),Jornada!$C$8:$W$37,21,0),0)&gt;$AK$5,M14&gt;$AK$5),VLOOKUP(INDIRECT($C$5),Jornada!$C$8:$H$37,6,0),IF(AG14&gt;VLOOKUP(INDIRECT($C$5),Jornada!$C$8:$H$37,6,0),IF(VLOOKUP(INDIRECT($C$5),Jornada!$C$8:$H$37,6,0)&lt;AG14,0,ABS(VLOOKUP(INDIRECT($C$5),Jornada!$C$8:$H$37,6,0))-AG14),0))</f>
        <v>0</v>
      </c>
      <c r="AJ14" s="155">
        <f t="shared" si="7"/>
        <v>1</v>
      </c>
      <c r="AK14" s="155">
        <f t="shared" si="8"/>
        <v>0</v>
      </c>
      <c r="AL14" s="155">
        <f ca="1">HLOOKUP($F14,Jornada!$I$5:$V$37,VLOOKUP(INDIRECT($C$5),Jornada!$C$8:$W$37,21,0)+2,0)</f>
        <v>0</v>
      </c>
      <c r="AM14" s="155">
        <f ca="1">HLOOKUP($F14,Jornada!$I$4:$V$37,VLOOKUP(INDIRECT($C$5),Jornada!$C$8:$W$37,21,0)+3,0)</f>
        <v>0</v>
      </c>
      <c r="AN14" s="155">
        <f t="shared" ca="1" si="9"/>
        <v>0</v>
      </c>
      <c r="AO14" s="155">
        <f t="shared" si="10"/>
        <v>0</v>
      </c>
      <c r="AP14" s="155">
        <f t="shared" si="4"/>
        <v>0</v>
      </c>
      <c r="BE14" s="14"/>
      <c r="BF14" s="14"/>
      <c r="BG14" s="14"/>
    </row>
    <row r="15" spans="1:59" s="2" customFormat="1" ht="30" customHeight="1" thickTop="1" thickBot="1" x14ac:dyDescent="0.25">
      <c r="A15" s="1"/>
      <c r="B15"/>
      <c r="C15" s="172" t="str">
        <f>IF(Funcionários!C14=0,"",Funcionários!C14)</f>
        <v/>
      </c>
      <c r="D15"/>
      <c r="E15" s="115">
        <f>Lanç!E15</f>
        <v>8</v>
      </c>
      <c r="F15" s="189" t="str">
        <f>Lanç!F15</f>
        <v>Dom</v>
      </c>
      <c r="G15" s="80"/>
      <c r="H15" s="94"/>
      <c r="I15" s="94"/>
      <c r="J15" s="94"/>
      <c r="K15" s="94"/>
      <c r="L15" s="197"/>
      <c r="M15" s="95">
        <f t="shared" si="1"/>
        <v>0</v>
      </c>
      <c r="N15" s="196"/>
      <c r="O15" s="95">
        <f ca="1">IF(OR(G15=0,G15="Férias",G15="Falta Justificada",G15="Feriado",G15="Folga (DSR)"),0,IF(G15="Falta Injustificada",HLOOKUP($F15,Jornada!$X$7:$AD$37,VLOOKUP(INDIRECT($C$5),Jornada!$C$8:$W$37,21,0),0),IF(HLOOKUP($F15,Jornada!$X$7:$AD$37,VLOOKUP(INDIRECT($C$5),Jornada!$C$8:$W$37,21,0),0)-M15&gt;0,HLOOKUP($F15,Jornada!$X$7:$AD$37,VLOOKUP(INDIRECT($C$5),Jornada!$C$8:$W$37,21,0),0)-M15,0)))</f>
        <v>0</v>
      </c>
      <c r="P15" s="193">
        <f ca="1">IF(HLOOKUP($F15,Jornada!$X$7:$AD$37,VLOOKUP(INDIRECT($C$5),Jornada!$C$8:$W$37,21,0),0)-M15&lt;0,ABS(HLOOKUP($F15,Jornada!$X$7:$AD$37,VLOOKUP(INDIRECT($C$5),Jornada!$C$8:$W$37,21,0),0)-M15),0)</f>
        <v>0</v>
      </c>
      <c r="Q15" s="95">
        <f t="shared" si="0"/>
        <v>0</v>
      </c>
      <c r="R15" s="2">
        <f t="shared" si="2"/>
        <v>0</v>
      </c>
      <c r="S15" s="294"/>
      <c r="T15" s="294"/>
      <c r="U15" s="295"/>
      <c r="W15" s="2" t="s">
        <v>98</v>
      </c>
      <c r="X15" s="156">
        <v>9</v>
      </c>
      <c r="AB15" s="177">
        <f t="shared" si="5"/>
        <v>8</v>
      </c>
      <c r="AC15" s="2">
        <f t="shared" si="3"/>
        <v>1</v>
      </c>
      <c r="AG15" s="220">
        <f t="shared" si="6"/>
        <v>0</v>
      </c>
      <c r="AH15" s="220">
        <f ca="1">IF(HLOOKUP($F15,Jornada!$X$7:$AD$37,VLOOKUP(INDIRECT($C$5),Jornada!$C$8:$W$37,21,0),0)=0,0,VLOOKUP(INDIRECT($C$5),Jornada!$C$8:$H$37,4,0))</f>
        <v>0</v>
      </c>
      <c r="AI15" s="155">
        <f ca="1">IF(AND(I15=0,J15=0,OR(H15&lt;&gt;0,K15&lt;&gt;0),HLOOKUP($F15,Jornada!$X$7:$AD$37,VLOOKUP(INDIRECT($C$5),Jornada!$C$8:$W$37,21,0),0)&gt;$AK$5,M15&gt;$AK$5),VLOOKUP(INDIRECT($C$5),Jornada!$C$8:$H$37,6,0),IF(AG15&gt;VLOOKUP(INDIRECT($C$5),Jornada!$C$8:$H$37,6,0),IF(VLOOKUP(INDIRECT($C$5),Jornada!$C$8:$H$37,6,0)&lt;AG15,0,ABS(VLOOKUP(INDIRECT($C$5),Jornada!$C$8:$H$37,6,0))-AG15),0))</f>
        <v>0</v>
      </c>
      <c r="AJ15" s="155">
        <f t="shared" si="7"/>
        <v>1</v>
      </c>
      <c r="AK15" s="155">
        <f t="shared" si="8"/>
        <v>0</v>
      </c>
      <c r="AL15" s="155">
        <f ca="1">HLOOKUP($F15,Jornada!$I$5:$V$37,VLOOKUP(INDIRECT($C$5),Jornada!$C$8:$W$37,21,0)+2,0)</f>
        <v>0</v>
      </c>
      <c r="AM15" s="155">
        <f ca="1">HLOOKUP($F15,Jornada!$I$4:$V$37,VLOOKUP(INDIRECT($C$5),Jornada!$C$8:$W$37,21,0)+3,0)</f>
        <v>0</v>
      </c>
      <c r="AN15" s="155">
        <f t="shared" ca="1" si="9"/>
        <v>0</v>
      </c>
      <c r="AO15" s="155">
        <f t="shared" si="10"/>
        <v>0</v>
      </c>
      <c r="AP15" s="155">
        <f t="shared" si="4"/>
        <v>0</v>
      </c>
      <c r="BE15" s="14"/>
      <c r="BF15" s="14"/>
      <c r="BG15" s="14"/>
    </row>
    <row r="16" spans="1:59" s="2" customFormat="1" ht="30" customHeight="1" thickTop="1" thickBot="1" x14ac:dyDescent="0.25">
      <c r="A16" s="1"/>
      <c r="B16"/>
      <c r="C16" s="171" t="str">
        <f>IF(Funcionários!C15=0,"",Funcionários!C15)</f>
        <v/>
      </c>
      <c r="D16"/>
      <c r="E16" s="115">
        <f>Lanç!E16</f>
        <v>9</v>
      </c>
      <c r="F16" s="189" t="str">
        <f>Lanç!F16</f>
        <v>Seg</v>
      </c>
      <c r="G16" s="80"/>
      <c r="H16" s="94"/>
      <c r="I16" s="94"/>
      <c r="J16" s="94"/>
      <c r="K16" s="94"/>
      <c r="L16" s="197"/>
      <c r="M16" s="95">
        <f t="shared" si="1"/>
        <v>0</v>
      </c>
      <c r="N16" s="196"/>
      <c r="O16" s="95">
        <f ca="1">IF(OR(G16=0,G16="Férias",G16="Falta Justificada",G16="Feriado",G16="Folga (DSR)"),0,IF(G16="Falta Injustificada",HLOOKUP($F16,Jornada!$X$7:$AD$37,VLOOKUP(INDIRECT($C$5),Jornada!$C$8:$W$37,21,0),0),IF(HLOOKUP($F16,Jornada!$X$7:$AD$37,VLOOKUP(INDIRECT($C$5),Jornada!$C$8:$W$37,21,0),0)-M16&gt;0,HLOOKUP($F16,Jornada!$X$7:$AD$37,VLOOKUP(INDIRECT($C$5),Jornada!$C$8:$W$37,21,0),0)-M16,0)))</f>
        <v>0</v>
      </c>
      <c r="P16" s="193">
        <f ca="1">IF(HLOOKUP($F16,Jornada!$X$7:$AD$37,VLOOKUP(INDIRECT($C$5),Jornada!$C$8:$W$37,21,0),0)-M16&lt;0,ABS(HLOOKUP($F16,Jornada!$X$7:$AD$37,VLOOKUP(INDIRECT($C$5),Jornada!$C$8:$W$37,21,0),0)-M16),0)</f>
        <v>0</v>
      </c>
      <c r="Q16" s="95">
        <f t="shared" si="0"/>
        <v>0</v>
      </c>
      <c r="R16" s="2">
        <f t="shared" si="2"/>
        <v>0</v>
      </c>
      <c r="S16" s="294" t="s">
        <v>67</v>
      </c>
      <c r="T16" s="294"/>
      <c r="U16" s="295">
        <f>SUM(Q8:Q38)</f>
        <v>0</v>
      </c>
      <c r="W16" s="2" t="s">
        <v>99</v>
      </c>
      <c r="X16" s="156">
        <v>10</v>
      </c>
      <c r="AB16" s="177">
        <f t="shared" si="5"/>
        <v>9</v>
      </c>
      <c r="AC16" s="2">
        <f t="shared" si="3"/>
        <v>2</v>
      </c>
      <c r="AG16" s="220">
        <f t="shared" si="6"/>
        <v>0</v>
      </c>
      <c r="AH16" s="220">
        <f ca="1">IF(HLOOKUP($F16,Jornada!$X$7:$AD$37,VLOOKUP(INDIRECT($C$5),Jornada!$C$8:$W$37,21,0),0)=0,0,VLOOKUP(INDIRECT($C$5),Jornada!$C$8:$H$37,4,0))</f>
        <v>0</v>
      </c>
      <c r="AI16" s="155">
        <f ca="1">IF(AND(I16=0,J16=0,OR(H16&lt;&gt;0,K16&lt;&gt;0),HLOOKUP($F16,Jornada!$X$7:$AD$37,VLOOKUP(INDIRECT($C$5),Jornada!$C$8:$W$37,21,0),0)&gt;$AK$5,M16&gt;$AK$5),VLOOKUP(INDIRECT($C$5),Jornada!$C$8:$H$37,6,0),IF(AG16&gt;VLOOKUP(INDIRECT($C$5),Jornada!$C$8:$H$37,6,0),IF(VLOOKUP(INDIRECT($C$5),Jornada!$C$8:$H$37,6,0)&lt;AG16,0,ABS(VLOOKUP(INDIRECT($C$5),Jornada!$C$8:$H$37,6,0))-AG16),0))</f>
        <v>0</v>
      </c>
      <c r="AJ16" s="155">
        <f t="shared" si="7"/>
        <v>1</v>
      </c>
      <c r="AK16" s="155">
        <f t="shared" si="8"/>
        <v>0</v>
      </c>
      <c r="AL16" s="155">
        <f ca="1">HLOOKUP($F16,Jornada!$I$5:$V$37,VLOOKUP(INDIRECT($C$5),Jornada!$C$8:$W$37,21,0)+2,0)</f>
        <v>0</v>
      </c>
      <c r="AM16" s="155">
        <f ca="1">HLOOKUP($F16,Jornada!$I$4:$V$37,VLOOKUP(INDIRECT($C$5),Jornada!$C$8:$W$37,21,0)+3,0)</f>
        <v>0</v>
      </c>
      <c r="AN16" s="155">
        <f t="shared" ca="1" si="9"/>
        <v>0</v>
      </c>
      <c r="AO16" s="155">
        <f t="shared" si="10"/>
        <v>0</v>
      </c>
      <c r="AP16" s="155">
        <f t="shared" si="4"/>
        <v>0</v>
      </c>
      <c r="BE16" s="14"/>
      <c r="BF16" s="14"/>
      <c r="BG16" s="14"/>
    </row>
    <row r="17" spans="1:59" s="2" customFormat="1" ht="30" customHeight="1" thickTop="1" thickBot="1" x14ac:dyDescent="0.25">
      <c r="A17" s="1"/>
      <c r="B17"/>
      <c r="C17" s="172" t="str">
        <f>IF(Funcionários!C16=0,"",Funcionários!C16)</f>
        <v/>
      </c>
      <c r="D17"/>
      <c r="E17" s="115">
        <f>Lanç!E17</f>
        <v>10</v>
      </c>
      <c r="F17" s="189" t="str">
        <f>Lanç!F17</f>
        <v>Ter</v>
      </c>
      <c r="G17" s="80"/>
      <c r="H17" s="94"/>
      <c r="I17" s="94"/>
      <c r="J17" s="94"/>
      <c r="K17" s="94"/>
      <c r="L17" s="197"/>
      <c r="M17" s="95">
        <f t="shared" si="1"/>
        <v>0</v>
      </c>
      <c r="N17" s="196"/>
      <c r="O17" s="95">
        <f ca="1">IF(OR(G17=0,G17="Férias",G17="Falta Justificada",G17="Feriado",G17="Folga (DSR)"),0,IF(G17="Falta Injustificada",HLOOKUP($F17,Jornada!$X$7:$AD$37,VLOOKUP(INDIRECT($C$5),Jornada!$C$8:$W$37,21,0),0),IF(HLOOKUP($F17,Jornada!$X$7:$AD$37,VLOOKUP(INDIRECT($C$5),Jornada!$C$8:$W$37,21,0),0)-M17&gt;0,HLOOKUP($F17,Jornada!$X$7:$AD$37,VLOOKUP(INDIRECT($C$5),Jornada!$C$8:$W$37,21,0),0)-M17,0)))</f>
        <v>0</v>
      </c>
      <c r="P17" s="193">
        <f ca="1">IF(HLOOKUP($F17,Jornada!$X$7:$AD$37,VLOOKUP(INDIRECT($C$5),Jornada!$C$8:$W$37,21,0),0)-M17&lt;0,ABS(HLOOKUP($F17,Jornada!$X$7:$AD$37,VLOOKUP(INDIRECT($C$5),Jornada!$C$8:$W$37,21,0),0)-M17),0)</f>
        <v>0</v>
      </c>
      <c r="Q17" s="95">
        <f t="shared" si="0"/>
        <v>0</v>
      </c>
      <c r="R17" s="2">
        <f t="shared" si="2"/>
        <v>0</v>
      </c>
      <c r="S17" s="294"/>
      <c r="T17" s="294"/>
      <c r="U17" s="295"/>
      <c r="W17" s="2" t="s">
        <v>100</v>
      </c>
      <c r="X17" s="156">
        <v>11</v>
      </c>
      <c r="AB17" s="177">
        <f t="shared" si="5"/>
        <v>10</v>
      </c>
      <c r="AC17" s="2">
        <f t="shared" si="3"/>
        <v>3</v>
      </c>
      <c r="AG17" s="220">
        <f t="shared" si="6"/>
        <v>0</v>
      </c>
      <c r="AH17" s="220">
        <f ca="1">IF(HLOOKUP($F17,Jornada!$X$7:$AD$37,VLOOKUP(INDIRECT($C$5),Jornada!$C$8:$W$37,21,0),0)=0,0,VLOOKUP(INDIRECT($C$5),Jornada!$C$8:$H$37,4,0))</f>
        <v>0</v>
      </c>
      <c r="AI17" s="155">
        <f ca="1">IF(AND(I17=0,J17=0,OR(H17&lt;&gt;0,K17&lt;&gt;0),HLOOKUP($F17,Jornada!$X$7:$AD$37,VLOOKUP(INDIRECT($C$5),Jornada!$C$8:$W$37,21,0),0)&gt;$AK$5,M17&gt;$AK$5),VLOOKUP(INDIRECT($C$5),Jornada!$C$8:$H$37,6,0),IF(AG17&gt;VLOOKUP(INDIRECT($C$5),Jornada!$C$8:$H$37,6,0),IF(VLOOKUP(INDIRECT($C$5),Jornada!$C$8:$H$37,6,0)&lt;AG17,0,ABS(VLOOKUP(INDIRECT($C$5),Jornada!$C$8:$H$37,6,0))-AG17),0))</f>
        <v>0</v>
      </c>
      <c r="AJ17" s="155">
        <f t="shared" si="7"/>
        <v>1</v>
      </c>
      <c r="AK17" s="155">
        <f t="shared" si="8"/>
        <v>0</v>
      </c>
      <c r="AL17" s="155">
        <f ca="1">HLOOKUP($F17,Jornada!$I$5:$V$37,VLOOKUP(INDIRECT($C$5),Jornada!$C$8:$W$37,21,0)+2,0)</f>
        <v>0</v>
      </c>
      <c r="AM17" s="155">
        <f ca="1">HLOOKUP($F17,Jornada!$I$4:$V$37,VLOOKUP(INDIRECT($C$5),Jornada!$C$8:$W$37,21,0)+3,0)</f>
        <v>0</v>
      </c>
      <c r="AN17" s="155">
        <f t="shared" ca="1" si="9"/>
        <v>0</v>
      </c>
      <c r="AO17" s="155">
        <f t="shared" si="10"/>
        <v>0</v>
      </c>
      <c r="AP17" s="155">
        <f t="shared" si="4"/>
        <v>0</v>
      </c>
      <c r="BE17" s="14"/>
      <c r="BF17" s="14"/>
      <c r="BG17" s="14"/>
    </row>
    <row r="18" spans="1:59" s="2" customFormat="1" ht="30" customHeight="1" thickTop="1" thickBot="1" x14ac:dyDescent="0.25">
      <c r="A18" s="1"/>
      <c r="B18"/>
      <c r="C18" s="172" t="str">
        <f>IF(Funcionários!C17=0,"",Funcionários!C17)</f>
        <v/>
      </c>
      <c r="D18"/>
      <c r="E18" s="115">
        <f>Lanç!E18</f>
        <v>11</v>
      </c>
      <c r="F18" s="189" t="str">
        <f>Lanç!F18</f>
        <v>Qua</v>
      </c>
      <c r="G18" s="80"/>
      <c r="H18" s="94"/>
      <c r="I18" s="94"/>
      <c r="J18" s="94"/>
      <c r="K18" s="94"/>
      <c r="L18" s="197"/>
      <c r="M18" s="95">
        <f t="shared" si="1"/>
        <v>0</v>
      </c>
      <c r="N18" s="196"/>
      <c r="O18" s="95">
        <f ca="1">IF(OR(G18=0,G18="Férias",G18="Falta Justificada",G18="Feriado",G18="Folga (DSR)"),0,IF(G18="Falta Injustificada",HLOOKUP($F18,Jornada!$X$7:$AD$37,VLOOKUP(INDIRECT($C$5),Jornada!$C$8:$W$37,21,0),0),IF(HLOOKUP($F18,Jornada!$X$7:$AD$37,VLOOKUP(INDIRECT($C$5),Jornada!$C$8:$W$37,21,0),0)-M18&gt;0,HLOOKUP($F18,Jornada!$X$7:$AD$37,VLOOKUP(INDIRECT($C$5),Jornada!$C$8:$W$37,21,0),0)-M18,0)))</f>
        <v>0</v>
      </c>
      <c r="P18" s="193">
        <f ca="1">IF(HLOOKUP($F18,Jornada!$X$7:$AD$37,VLOOKUP(INDIRECT($C$5),Jornada!$C$8:$W$37,21,0),0)-M18&lt;0,ABS(HLOOKUP($F18,Jornada!$X$7:$AD$37,VLOOKUP(INDIRECT($C$5),Jornada!$C$8:$W$37,21,0),0)-M18),0)</f>
        <v>0</v>
      </c>
      <c r="Q18" s="95">
        <f t="shared" si="0"/>
        <v>0</v>
      </c>
      <c r="R18" s="2">
        <f t="shared" si="2"/>
        <v>0</v>
      </c>
      <c r="S18" s="294" t="s">
        <v>69</v>
      </c>
      <c r="T18" s="294"/>
      <c r="U18" s="299">
        <f ca="1">F54</f>
        <v>0</v>
      </c>
      <c r="W18" s="2" t="s">
        <v>101</v>
      </c>
      <c r="X18" s="156">
        <v>12</v>
      </c>
      <c r="AB18" s="177">
        <f t="shared" si="5"/>
        <v>11</v>
      </c>
      <c r="AC18" s="2">
        <f t="shared" si="3"/>
        <v>4</v>
      </c>
      <c r="AG18" s="220">
        <f t="shared" si="6"/>
        <v>0</v>
      </c>
      <c r="AH18" s="220">
        <f ca="1">IF(HLOOKUP($F18,Jornada!$X$7:$AD$37,VLOOKUP(INDIRECT($C$5),Jornada!$C$8:$W$37,21,0),0)=0,0,VLOOKUP(INDIRECT($C$5),Jornada!$C$8:$H$37,4,0))</f>
        <v>0</v>
      </c>
      <c r="AI18" s="155">
        <f ca="1">IF(AND(I18=0,J18=0,OR(H18&lt;&gt;0,K18&lt;&gt;0),HLOOKUP($F18,Jornada!$X$7:$AD$37,VLOOKUP(INDIRECT($C$5),Jornada!$C$8:$W$37,21,0),0)&gt;$AK$5,M18&gt;$AK$5),VLOOKUP(INDIRECT($C$5),Jornada!$C$8:$H$37,6,0),IF(AG18&gt;VLOOKUP(INDIRECT($C$5),Jornada!$C$8:$H$37,6,0),IF(VLOOKUP(INDIRECT($C$5),Jornada!$C$8:$H$37,6,0)&lt;AG18,0,ABS(VLOOKUP(INDIRECT($C$5),Jornada!$C$8:$H$37,6,0))-AG18),0))</f>
        <v>0</v>
      </c>
      <c r="AJ18" s="155">
        <f t="shared" si="7"/>
        <v>1</v>
      </c>
      <c r="AK18" s="155">
        <f t="shared" si="8"/>
        <v>0</v>
      </c>
      <c r="AL18" s="155">
        <f ca="1">HLOOKUP($F18,Jornada!$I$5:$V$37,VLOOKUP(INDIRECT($C$5),Jornada!$C$8:$W$37,21,0)+2,0)</f>
        <v>0</v>
      </c>
      <c r="AM18" s="155">
        <f ca="1">HLOOKUP($F18,Jornada!$I$4:$V$37,VLOOKUP(INDIRECT($C$5),Jornada!$C$8:$W$37,21,0)+3,0)</f>
        <v>0</v>
      </c>
      <c r="AN18" s="155">
        <f t="shared" ca="1" si="9"/>
        <v>0</v>
      </c>
      <c r="AO18" s="155">
        <f t="shared" si="10"/>
        <v>0</v>
      </c>
      <c r="AP18" s="155">
        <f t="shared" si="4"/>
        <v>0</v>
      </c>
      <c r="BE18" s="14"/>
      <c r="BF18" s="14"/>
      <c r="BG18" s="14"/>
    </row>
    <row r="19" spans="1:59" s="2" customFormat="1" ht="30" customHeight="1" thickTop="1" thickBot="1" x14ac:dyDescent="0.25">
      <c r="A19" s="1"/>
      <c r="B19"/>
      <c r="C19" s="172" t="str">
        <f>IF(Funcionários!C18=0,"",Funcionários!C18)</f>
        <v/>
      </c>
      <c r="D19"/>
      <c r="E19" s="115">
        <f>Lanç!E19</f>
        <v>12</v>
      </c>
      <c r="F19" s="189" t="str">
        <f>Lanç!F19</f>
        <v>Qui</v>
      </c>
      <c r="G19" s="80"/>
      <c r="H19" s="94"/>
      <c r="I19" s="94"/>
      <c r="J19" s="94"/>
      <c r="K19" s="94"/>
      <c r="L19" s="197"/>
      <c r="M19" s="95">
        <f t="shared" si="1"/>
        <v>0</v>
      </c>
      <c r="N19" s="196"/>
      <c r="O19" s="95">
        <f ca="1">IF(OR(G19=0,G19="Férias",G19="Falta Justificada",G19="Feriado",G19="Folga (DSR)"),0,IF(G19="Falta Injustificada",HLOOKUP($F19,Jornada!$X$7:$AD$37,VLOOKUP(INDIRECT($C$5),Jornada!$C$8:$W$37,21,0),0),IF(HLOOKUP($F19,Jornada!$X$7:$AD$37,VLOOKUP(INDIRECT($C$5),Jornada!$C$8:$W$37,21,0),0)-M19&gt;0,HLOOKUP($F19,Jornada!$X$7:$AD$37,VLOOKUP(INDIRECT($C$5),Jornada!$C$8:$W$37,21,0),0)-M19,0)))</f>
        <v>0</v>
      </c>
      <c r="P19" s="193">
        <f ca="1">IF(HLOOKUP($F19,Jornada!$X$7:$AD$37,VLOOKUP(INDIRECT($C$5),Jornada!$C$8:$W$37,21,0),0)-M19&lt;0,ABS(HLOOKUP($F19,Jornada!$X$7:$AD$37,VLOOKUP(INDIRECT($C$5),Jornada!$C$8:$W$37,21,0),0)-M19),0)</f>
        <v>0</v>
      </c>
      <c r="Q19" s="95">
        <f t="shared" si="0"/>
        <v>0</v>
      </c>
      <c r="R19" s="2">
        <f t="shared" si="2"/>
        <v>0</v>
      </c>
      <c r="S19" s="294"/>
      <c r="T19" s="294"/>
      <c r="U19" s="299"/>
      <c r="X19" s="177"/>
      <c r="AB19" s="177">
        <f t="shared" si="5"/>
        <v>12</v>
      </c>
      <c r="AC19" s="2">
        <f t="shared" si="3"/>
        <v>5</v>
      </c>
      <c r="AG19" s="220">
        <f t="shared" si="6"/>
        <v>0</v>
      </c>
      <c r="AH19" s="220">
        <f ca="1">IF(HLOOKUP($F19,Jornada!$X$7:$AD$37,VLOOKUP(INDIRECT($C$5),Jornada!$C$8:$W$37,21,0),0)=0,0,VLOOKUP(INDIRECT($C$5),Jornada!$C$8:$H$37,4,0))</f>
        <v>0</v>
      </c>
      <c r="AI19" s="155">
        <f ca="1">IF(AND(I19=0,J19=0,OR(H19&lt;&gt;0,K19&lt;&gt;0),HLOOKUP($F19,Jornada!$X$7:$AD$37,VLOOKUP(INDIRECT($C$5),Jornada!$C$8:$W$37,21,0),0)&gt;$AK$5,M19&gt;$AK$5),VLOOKUP(INDIRECT($C$5),Jornada!$C$8:$H$37,6,0),IF(AG19&gt;VLOOKUP(INDIRECT($C$5),Jornada!$C$8:$H$37,6,0),IF(VLOOKUP(INDIRECT($C$5),Jornada!$C$8:$H$37,6,0)&lt;AG19,0,ABS(VLOOKUP(INDIRECT($C$5),Jornada!$C$8:$H$37,6,0))-AG19),0))</f>
        <v>0</v>
      </c>
      <c r="AJ19" s="155">
        <f t="shared" si="7"/>
        <v>1</v>
      </c>
      <c r="AK19" s="155">
        <f t="shared" si="8"/>
        <v>0</v>
      </c>
      <c r="AL19" s="155">
        <f ca="1">HLOOKUP($F19,Jornada!$I$5:$V$37,VLOOKUP(INDIRECT($C$5),Jornada!$C$8:$W$37,21,0)+2,0)</f>
        <v>0</v>
      </c>
      <c r="AM19" s="155">
        <f ca="1">HLOOKUP($F19,Jornada!$I$4:$V$37,VLOOKUP(INDIRECT($C$5),Jornada!$C$8:$W$37,21,0)+3,0)</f>
        <v>0</v>
      </c>
      <c r="AN19" s="155">
        <f t="shared" ca="1" si="9"/>
        <v>0</v>
      </c>
      <c r="AO19" s="155">
        <f t="shared" si="10"/>
        <v>0</v>
      </c>
      <c r="AP19" s="155">
        <f t="shared" si="4"/>
        <v>0</v>
      </c>
      <c r="BE19" s="14"/>
      <c r="BF19" s="14"/>
      <c r="BG19" s="14"/>
    </row>
    <row r="20" spans="1:59" s="2" customFormat="1" ht="30" customHeight="1" thickTop="1" thickBot="1" x14ac:dyDescent="0.25">
      <c r="A20" s="1"/>
      <c r="B20"/>
      <c r="C20" s="172" t="str">
        <f>IF(Funcionários!C19=0,"",Funcionários!C19)</f>
        <v/>
      </c>
      <c r="D20"/>
      <c r="E20" s="115">
        <f>Lanç!E20</f>
        <v>13</v>
      </c>
      <c r="F20" s="189" t="str">
        <f>Lanç!F20</f>
        <v>Sex</v>
      </c>
      <c r="G20" s="80"/>
      <c r="H20" s="94"/>
      <c r="I20" s="94"/>
      <c r="J20" s="94"/>
      <c r="K20" s="94"/>
      <c r="L20" s="197"/>
      <c r="M20" s="95">
        <f t="shared" si="1"/>
        <v>0</v>
      </c>
      <c r="N20" s="196"/>
      <c r="O20" s="95">
        <f ca="1">IF(OR(G20=0,G20="Férias",G20="Falta Justificada",G20="Feriado",G20="Folga (DSR)"),0,IF(G20="Falta Injustificada",HLOOKUP($F20,Jornada!$X$7:$AD$37,VLOOKUP(INDIRECT($C$5),Jornada!$C$8:$W$37,21,0),0),IF(HLOOKUP($F20,Jornada!$X$7:$AD$37,VLOOKUP(INDIRECT($C$5),Jornada!$C$8:$W$37,21,0),0)-M20&gt;0,HLOOKUP($F20,Jornada!$X$7:$AD$37,VLOOKUP(INDIRECT($C$5),Jornada!$C$8:$W$37,21,0),0)-M20,0)))</f>
        <v>0</v>
      </c>
      <c r="P20" s="193">
        <f ca="1">IF(HLOOKUP($F20,Jornada!$X$7:$AD$37,VLOOKUP(INDIRECT($C$5),Jornada!$C$8:$W$37,21,0),0)-M20&lt;0,ABS(HLOOKUP($F20,Jornada!$X$7:$AD$37,VLOOKUP(INDIRECT($C$5),Jornada!$C$8:$W$37,21,0),0)-M20),0)</f>
        <v>0</v>
      </c>
      <c r="Q20" s="95">
        <f t="shared" si="0"/>
        <v>0</v>
      </c>
      <c r="R20" s="2">
        <f t="shared" si="2"/>
        <v>0</v>
      </c>
      <c r="S20"/>
      <c r="T20"/>
      <c r="U20"/>
      <c r="X20" s="177"/>
      <c r="AB20" s="177">
        <f t="shared" si="5"/>
        <v>13</v>
      </c>
      <c r="AC20" s="2">
        <f t="shared" si="3"/>
        <v>6</v>
      </c>
      <c r="AG20" s="220">
        <f t="shared" si="6"/>
        <v>0</v>
      </c>
      <c r="AH20" s="220">
        <f ca="1">IF(HLOOKUP($F20,Jornada!$X$7:$AD$37,VLOOKUP(INDIRECT($C$5),Jornada!$C$8:$W$37,21,0),0)=0,0,VLOOKUP(INDIRECT($C$5),Jornada!$C$8:$H$37,4,0))</f>
        <v>0</v>
      </c>
      <c r="AI20" s="155">
        <f ca="1">IF(AND(I20=0,J20=0,OR(H20&lt;&gt;0,K20&lt;&gt;0),HLOOKUP($F20,Jornada!$X$7:$AD$37,VLOOKUP(INDIRECT($C$5),Jornada!$C$8:$W$37,21,0),0)&gt;$AK$5,M20&gt;$AK$5),VLOOKUP(INDIRECT($C$5),Jornada!$C$8:$H$37,6,0),IF(AG20&gt;VLOOKUP(INDIRECT($C$5),Jornada!$C$8:$H$37,6,0),IF(VLOOKUP(INDIRECT($C$5),Jornada!$C$8:$H$37,6,0)&lt;AG20,0,ABS(VLOOKUP(INDIRECT($C$5),Jornada!$C$8:$H$37,6,0))-AG20),0))</f>
        <v>0</v>
      </c>
      <c r="AJ20" s="155">
        <f t="shared" si="7"/>
        <v>1</v>
      </c>
      <c r="AK20" s="155">
        <f t="shared" si="8"/>
        <v>0</v>
      </c>
      <c r="AL20" s="155">
        <f ca="1">HLOOKUP($F20,Jornada!$I$5:$V$37,VLOOKUP(INDIRECT($C$5),Jornada!$C$8:$W$37,21,0)+2,0)</f>
        <v>0</v>
      </c>
      <c r="AM20" s="155">
        <f ca="1">HLOOKUP($F20,Jornada!$I$4:$V$37,VLOOKUP(INDIRECT($C$5),Jornada!$C$8:$W$37,21,0)+3,0)</f>
        <v>0</v>
      </c>
      <c r="AN20" s="155">
        <f t="shared" ca="1" si="9"/>
        <v>0</v>
      </c>
      <c r="AO20" s="155">
        <f t="shared" si="10"/>
        <v>0</v>
      </c>
      <c r="AP20" s="155">
        <f t="shared" si="4"/>
        <v>0</v>
      </c>
      <c r="BE20" s="14"/>
      <c r="BF20" s="14"/>
      <c r="BG20" s="14"/>
    </row>
    <row r="21" spans="1:59" s="2" customFormat="1" ht="30" customHeight="1" thickTop="1" thickBot="1" x14ac:dyDescent="0.25">
      <c r="A21" s="1"/>
      <c r="B21"/>
      <c r="C21" s="172" t="str">
        <f>IF(Funcionários!C20=0,"",Funcionários!C20)</f>
        <v/>
      </c>
      <c r="D21"/>
      <c r="E21" s="115">
        <f>Lanç!E21</f>
        <v>14</v>
      </c>
      <c r="F21" s="189" t="str">
        <f>Lanç!F21</f>
        <v>Sáb</v>
      </c>
      <c r="G21" s="80"/>
      <c r="H21" s="94"/>
      <c r="I21" s="94"/>
      <c r="J21" s="94"/>
      <c r="K21" s="94"/>
      <c r="L21" s="197"/>
      <c r="M21" s="95">
        <f t="shared" si="1"/>
        <v>0</v>
      </c>
      <c r="N21" s="196"/>
      <c r="O21" s="95">
        <f ca="1">IF(OR(G21=0,G21="Férias",G21="Falta Justificada",G21="Feriado",G21="Folga (DSR)"),0,IF(G21="Falta Injustificada",HLOOKUP($F21,Jornada!$X$7:$AD$37,VLOOKUP(INDIRECT($C$5),Jornada!$C$8:$W$37,21,0),0),IF(HLOOKUP($F21,Jornada!$X$7:$AD$37,VLOOKUP(INDIRECT($C$5),Jornada!$C$8:$W$37,21,0),0)-M21&gt;0,HLOOKUP($F21,Jornada!$X$7:$AD$37,VLOOKUP(INDIRECT($C$5),Jornada!$C$8:$W$37,21,0),0)-M21,0)))</f>
        <v>0</v>
      </c>
      <c r="P21" s="193">
        <f ca="1">IF(HLOOKUP($F21,Jornada!$X$7:$AD$37,VLOOKUP(INDIRECT($C$5),Jornada!$C$8:$W$37,21,0),0)-M21&lt;0,ABS(HLOOKUP($F21,Jornada!$X$7:$AD$37,VLOOKUP(INDIRECT($C$5),Jornada!$C$8:$W$37,21,0),0)-M21),0)</f>
        <v>0</v>
      </c>
      <c r="Q21" s="95">
        <f t="shared" si="0"/>
        <v>0</v>
      </c>
      <c r="R21" s="2">
        <f t="shared" si="2"/>
        <v>0</v>
      </c>
      <c r="S21"/>
      <c r="T21"/>
      <c r="U21"/>
      <c r="X21" s="177"/>
      <c r="AB21" s="177">
        <f t="shared" si="5"/>
        <v>14</v>
      </c>
      <c r="AC21" s="2">
        <f t="shared" si="3"/>
        <v>7</v>
      </c>
      <c r="AG21" s="220">
        <f t="shared" si="6"/>
        <v>0</v>
      </c>
      <c r="AH21" s="220">
        <f ca="1">IF(HLOOKUP($F21,Jornada!$X$7:$AD$37,VLOOKUP(INDIRECT($C$5),Jornada!$C$8:$W$37,21,0),0)=0,0,VLOOKUP(INDIRECT($C$5),Jornada!$C$8:$H$37,4,0))</f>
        <v>0</v>
      </c>
      <c r="AI21" s="155">
        <f ca="1">IF(AND(I21=0,J21=0,OR(H21&lt;&gt;0,K21&lt;&gt;0),HLOOKUP($F21,Jornada!$X$7:$AD$37,VLOOKUP(INDIRECT($C$5),Jornada!$C$8:$W$37,21,0),0)&gt;$AK$5,M21&gt;$AK$5),VLOOKUP(INDIRECT($C$5),Jornada!$C$8:$H$37,6,0),IF(AG21&gt;VLOOKUP(INDIRECT($C$5),Jornada!$C$8:$H$37,6,0),IF(VLOOKUP(INDIRECT($C$5),Jornada!$C$8:$H$37,6,0)&lt;AG21,0,ABS(VLOOKUP(INDIRECT($C$5),Jornada!$C$8:$H$37,6,0))-AG21),0))</f>
        <v>0</v>
      </c>
      <c r="AJ21" s="155">
        <f t="shared" si="7"/>
        <v>1</v>
      </c>
      <c r="AK21" s="155">
        <f t="shared" si="8"/>
        <v>0</v>
      </c>
      <c r="AL21" s="155">
        <f ca="1">HLOOKUP($F21,Jornada!$I$5:$V$37,VLOOKUP(INDIRECT($C$5),Jornada!$C$8:$W$37,21,0)+2,0)</f>
        <v>0</v>
      </c>
      <c r="AM21" s="155">
        <f ca="1">HLOOKUP($F21,Jornada!$I$4:$V$37,VLOOKUP(INDIRECT($C$5),Jornada!$C$8:$W$37,21,0)+3,0)</f>
        <v>0</v>
      </c>
      <c r="AN21" s="155">
        <f t="shared" ca="1" si="9"/>
        <v>0</v>
      </c>
      <c r="AO21" s="155">
        <f t="shared" si="10"/>
        <v>0</v>
      </c>
      <c r="AP21" s="155">
        <f t="shared" si="4"/>
        <v>0</v>
      </c>
      <c r="BE21" s="14"/>
      <c r="BF21" s="14"/>
      <c r="BG21" s="14"/>
    </row>
    <row r="22" spans="1:59" s="2" customFormat="1" ht="30" customHeight="1" thickTop="1" thickBot="1" x14ac:dyDescent="0.25">
      <c r="A22" s="1"/>
      <c r="B22"/>
      <c r="C22" s="172" t="str">
        <f>IF(Funcionários!C21=0,"",Funcionários!C21)</f>
        <v/>
      </c>
      <c r="D22"/>
      <c r="E22" s="115">
        <f>Lanç!E22</f>
        <v>15</v>
      </c>
      <c r="F22" s="189" t="str">
        <f>Lanç!F22</f>
        <v>Dom</v>
      </c>
      <c r="G22" s="80"/>
      <c r="H22" s="94"/>
      <c r="I22" s="94"/>
      <c r="J22" s="94"/>
      <c r="K22" s="94"/>
      <c r="L22" s="197"/>
      <c r="M22" s="95">
        <f t="shared" si="1"/>
        <v>0</v>
      </c>
      <c r="N22" s="196"/>
      <c r="O22" s="95">
        <f ca="1">IF(OR(G22=0,G22="Férias",G22="Falta Justificada",G22="Feriado",G22="Folga (DSR)"),0,IF(G22="Falta Injustificada",HLOOKUP($F22,Jornada!$X$7:$AD$37,VLOOKUP(INDIRECT($C$5),Jornada!$C$8:$W$37,21,0),0),IF(HLOOKUP($F22,Jornada!$X$7:$AD$37,VLOOKUP(INDIRECT($C$5),Jornada!$C$8:$W$37,21,0),0)-M22&gt;0,HLOOKUP($F22,Jornada!$X$7:$AD$37,VLOOKUP(INDIRECT($C$5),Jornada!$C$8:$W$37,21,0),0)-M22,0)))</f>
        <v>0</v>
      </c>
      <c r="P22" s="193">
        <f ca="1">IF(HLOOKUP($F22,Jornada!$X$7:$AD$37,VLOOKUP(INDIRECT($C$5),Jornada!$C$8:$W$37,21,0),0)-M22&lt;0,ABS(HLOOKUP($F22,Jornada!$X$7:$AD$37,VLOOKUP(INDIRECT($C$5),Jornada!$C$8:$W$37,21,0),0)-M22),0)</f>
        <v>0</v>
      </c>
      <c r="Q22" s="95">
        <f t="shared" si="0"/>
        <v>0</v>
      </c>
      <c r="R22" s="2">
        <f t="shared" si="2"/>
        <v>0</v>
      </c>
      <c r="S22" s="300" t="s">
        <v>63</v>
      </c>
      <c r="T22" s="301"/>
      <c r="U22" s="302"/>
      <c r="X22" s="177"/>
      <c r="AB22" s="177">
        <f t="shared" si="5"/>
        <v>15</v>
      </c>
      <c r="AC22" s="2">
        <f t="shared" si="3"/>
        <v>1</v>
      </c>
      <c r="AG22" s="220">
        <f t="shared" si="6"/>
        <v>0</v>
      </c>
      <c r="AH22" s="220">
        <f ca="1">IF(HLOOKUP($F22,Jornada!$X$7:$AD$37,VLOOKUP(INDIRECT($C$5),Jornada!$C$8:$W$37,21,0),0)=0,0,VLOOKUP(INDIRECT($C$5),Jornada!$C$8:$H$37,4,0))</f>
        <v>0</v>
      </c>
      <c r="AI22" s="155">
        <f ca="1">IF(AND(I22=0,J22=0,OR(H22&lt;&gt;0,K22&lt;&gt;0),HLOOKUP($F22,Jornada!$X$7:$AD$37,VLOOKUP(INDIRECT($C$5),Jornada!$C$8:$W$37,21,0),0)&gt;$AK$5,M22&gt;$AK$5),VLOOKUP(INDIRECT($C$5),Jornada!$C$8:$H$37,6,0),IF(AG22&gt;VLOOKUP(INDIRECT($C$5),Jornada!$C$8:$H$37,6,0),IF(VLOOKUP(INDIRECT($C$5),Jornada!$C$8:$H$37,6,0)&lt;AG22,0,ABS(VLOOKUP(INDIRECT($C$5),Jornada!$C$8:$H$37,6,0))-AG22),0))</f>
        <v>0</v>
      </c>
      <c r="AJ22" s="155">
        <f t="shared" si="7"/>
        <v>1</v>
      </c>
      <c r="AK22" s="155">
        <f t="shared" si="8"/>
        <v>0</v>
      </c>
      <c r="AL22" s="155">
        <f ca="1">HLOOKUP($F22,Jornada!$I$5:$V$37,VLOOKUP(INDIRECT($C$5),Jornada!$C$8:$W$37,21,0)+2,0)</f>
        <v>0</v>
      </c>
      <c r="AM22" s="155">
        <f ca="1">HLOOKUP($F22,Jornada!$I$4:$V$37,VLOOKUP(INDIRECT($C$5),Jornada!$C$8:$W$37,21,0)+3,0)</f>
        <v>0</v>
      </c>
      <c r="AN22" s="155">
        <f t="shared" ca="1" si="9"/>
        <v>0</v>
      </c>
      <c r="AO22" s="155">
        <f t="shared" si="10"/>
        <v>0</v>
      </c>
      <c r="AP22" s="155">
        <f t="shared" si="4"/>
        <v>0</v>
      </c>
      <c r="BE22" s="14"/>
      <c r="BF22" s="14"/>
      <c r="BG22" s="14"/>
    </row>
    <row r="23" spans="1:59" s="2" customFormat="1" ht="30" customHeight="1" thickTop="1" thickBot="1" x14ac:dyDescent="0.25">
      <c r="A23" s="1"/>
      <c r="B23"/>
      <c r="C23" s="172" t="str">
        <f>IF(Funcionários!C22=0,"",Funcionários!C22)</f>
        <v/>
      </c>
      <c r="D23"/>
      <c r="E23" s="115">
        <f>Lanç!E23</f>
        <v>16</v>
      </c>
      <c r="F23" s="189" t="str">
        <f>Lanç!F23</f>
        <v>Seg</v>
      </c>
      <c r="G23" s="80"/>
      <c r="H23" s="94"/>
      <c r="I23" s="94"/>
      <c r="J23" s="94"/>
      <c r="K23" s="94"/>
      <c r="L23" s="197"/>
      <c r="M23" s="95">
        <f t="shared" si="1"/>
        <v>0</v>
      </c>
      <c r="N23" s="196"/>
      <c r="O23" s="95">
        <f ca="1">IF(OR(G23=0,G23="Férias",G23="Falta Justificada",G23="Feriado",G23="Folga (DSR)"),0,IF(G23="Falta Injustificada",HLOOKUP($F23,Jornada!$X$7:$AD$37,VLOOKUP(INDIRECT($C$5),Jornada!$C$8:$W$37,21,0),0),IF(HLOOKUP($F23,Jornada!$X$7:$AD$37,VLOOKUP(INDIRECT($C$5),Jornada!$C$8:$W$37,21,0),0)-M23&gt;0,HLOOKUP($F23,Jornada!$X$7:$AD$37,VLOOKUP(INDIRECT($C$5),Jornada!$C$8:$W$37,21,0),0)-M23,0)))</f>
        <v>0</v>
      </c>
      <c r="P23" s="193">
        <f ca="1">IF(HLOOKUP($F23,Jornada!$X$7:$AD$37,VLOOKUP(INDIRECT($C$5),Jornada!$C$8:$W$37,21,0),0)-M23&lt;0,ABS(HLOOKUP($F23,Jornada!$X$7:$AD$37,VLOOKUP(INDIRECT($C$5),Jornada!$C$8:$W$37,21,0),0)-M23),0)</f>
        <v>0</v>
      </c>
      <c r="Q23" s="95">
        <f t="shared" si="0"/>
        <v>0</v>
      </c>
      <c r="R23" s="2">
        <f t="shared" si="2"/>
        <v>0</v>
      </c>
      <c r="S23" s="296" t="str">
        <f>IF(SUM(R8:R38)&gt;0,"Segundo o art 59 da CLT, o máximo de horas extras permitidas por dia são 2 horas.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T23" s="297"/>
      <c r="U23" s="298"/>
      <c r="X23" s="177"/>
      <c r="AB23" s="177">
        <f t="shared" si="5"/>
        <v>16</v>
      </c>
      <c r="AC23" s="2">
        <f t="shared" si="3"/>
        <v>2</v>
      </c>
      <c r="AG23" s="220">
        <f t="shared" si="6"/>
        <v>0</v>
      </c>
      <c r="AH23" s="220">
        <f ca="1">IF(HLOOKUP($F23,Jornada!$X$7:$AD$37,VLOOKUP(INDIRECT($C$5),Jornada!$C$8:$W$37,21,0),0)=0,0,VLOOKUP(INDIRECT($C$5),Jornada!$C$8:$H$37,4,0))</f>
        <v>0</v>
      </c>
      <c r="AI23" s="155">
        <f ca="1">IF(AND(I23=0,J23=0,OR(H23&lt;&gt;0,K23&lt;&gt;0),HLOOKUP($F23,Jornada!$X$7:$AD$37,VLOOKUP(INDIRECT($C$5),Jornada!$C$8:$W$37,21,0),0)&gt;$AK$5,M23&gt;$AK$5),VLOOKUP(INDIRECT($C$5),Jornada!$C$8:$H$37,6,0),IF(AG23&gt;VLOOKUP(INDIRECT($C$5),Jornada!$C$8:$H$37,6,0),IF(VLOOKUP(INDIRECT($C$5),Jornada!$C$8:$H$37,6,0)&lt;AG23,0,ABS(VLOOKUP(INDIRECT($C$5),Jornada!$C$8:$H$37,6,0))-AG23),0))</f>
        <v>0</v>
      </c>
      <c r="AJ23" s="155">
        <f t="shared" si="7"/>
        <v>1</v>
      </c>
      <c r="AK23" s="155">
        <f t="shared" si="8"/>
        <v>0</v>
      </c>
      <c r="AL23" s="155">
        <f ca="1">HLOOKUP($F23,Jornada!$I$5:$V$37,VLOOKUP(INDIRECT($C$5),Jornada!$C$8:$W$37,21,0)+2,0)</f>
        <v>0</v>
      </c>
      <c r="AM23" s="155">
        <f ca="1">HLOOKUP($F23,Jornada!$I$4:$V$37,VLOOKUP(INDIRECT($C$5),Jornada!$C$8:$W$37,21,0)+3,0)</f>
        <v>0</v>
      </c>
      <c r="AN23" s="155">
        <f t="shared" ca="1" si="9"/>
        <v>0</v>
      </c>
      <c r="AO23" s="155">
        <f t="shared" si="10"/>
        <v>0</v>
      </c>
      <c r="AP23" s="155">
        <f t="shared" si="4"/>
        <v>0</v>
      </c>
      <c r="BE23" s="14"/>
      <c r="BF23" s="14"/>
      <c r="BG23" s="14"/>
    </row>
    <row r="24" spans="1:59" s="2" customFormat="1" ht="30" customHeight="1" thickTop="1" thickBot="1" x14ac:dyDescent="0.25">
      <c r="A24" s="1"/>
      <c r="B24"/>
      <c r="C24" s="172" t="str">
        <f>IF(Funcionários!C23=0,"",Funcionários!C23)</f>
        <v/>
      </c>
      <c r="D24"/>
      <c r="E24" s="115">
        <f>Lanç!E24</f>
        <v>17</v>
      </c>
      <c r="F24" s="189" t="str">
        <f>Lanç!F24</f>
        <v>Ter</v>
      </c>
      <c r="G24" s="80"/>
      <c r="H24" s="94"/>
      <c r="I24" s="94"/>
      <c r="J24" s="94"/>
      <c r="K24" s="94"/>
      <c r="L24" s="197"/>
      <c r="M24" s="95">
        <f t="shared" si="1"/>
        <v>0</v>
      </c>
      <c r="N24" s="196"/>
      <c r="O24" s="95">
        <f ca="1">IF(OR(G24=0,G24="Férias",G24="Falta Justificada",G24="Feriado",G24="Folga (DSR)"),0,IF(G24="Falta Injustificada",HLOOKUP($F24,Jornada!$X$7:$AD$37,VLOOKUP(INDIRECT($C$5),Jornada!$C$8:$W$37,21,0),0),IF(HLOOKUP($F24,Jornada!$X$7:$AD$37,VLOOKUP(INDIRECT($C$5),Jornada!$C$8:$W$37,21,0),0)-M24&gt;0,HLOOKUP($F24,Jornada!$X$7:$AD$37,VLOOKUP(INDIRECT($C$5),Jornada!$C$8:$W$37,21,0),0)-M24,0)))</f>
        <v>0</v>
      </c>
      <c r="P24" s="193">
        <f ca="1">IF(HLOOKUP($F24,Jornada!$X$7:$AD$37,VLOOKUP(INDIRECT($C$5),Jornada!$C$8:$W$37,21,0),0)-M24&lt;0,ABS(HLOOKUP($F24,Jornada!$X$7:$AD$37,VLOOKUP(INDIRECT($C$5),Jornada!$C$8:$W$37,21,0),0)-M24),0)</f>
        <v>0</v>
      </c>
      <c r="Q24" s="95">
        <f t="shared" si="0"/>
        <v>0</v>
      </c>
      <c r="R24" s="2">
        <f t="shared" si="2"/>
        <v>0</v>
      </c>
      <c r="S24" s="296"/>
      <c r="T24" s="297"/>
      <c r="U24" s="298"/>
      <c r="X24" s="177"/>
      <c r="AB24" s="177">
        <f t="shared" si="5"/>
        <v>17</v>
      </c>
      <c r="AC24" s="2">
        <f t="shared" si="3"/>
        <v>3</v>
      </c>
      <c r="AG24" s="220">
        <f t="shared" si="6"/>
        <v>0</v>
      </c>
      <c r="AH24" s="220">
        <f ca="1">IF(HLOOKUP($F24,Jornada!$X$7:$AD$37,VLOOKUP(INDIRECT($C$5),Jornada!$C$8:$W$37,21,0),0)=0,0,VLOOKUP(INDIRECT($C$5),Jornada!$C$8:$H$37,4,0))</f>
        <v>0</v>
      </c>
      <c r="AI24" s="155">
        <f ca="1">IF(AND(I24=0,J24=0,OR(H24&lt;&gt;0,K24&lt;&gt;0),HLOOKUP($F24,Jornada!$X$7:$AD$37,VLOOKUP(INDIRECT($C$5),Jornada!$C$8:$W$37,21,0),0)&gt;$AK$5,M24&gt;$AK$5),VLOOKUP(INDIRECT($C$5),Jornada!$C$8:$H$37,6,0),IF(AG24&gt;VLOOKUP(INDIRECT($C$5),Jornada!$C$8:$H$37,6,0),IF(VLOOKUP(INDIRECT($C$5),Jornada!$C$8:$H$37,6,0)&lt;AG24,0,ABS(VLOOKUP(INDIRECT($C$5),Jornada!$C$8:$H$37,6,0))-AG24),0))</f>
        <v>0</v>
      </c>
      <c r="AJ24" s="155">
        <f t="shared" si="7"/>
        <v>1</v>
      </c>
      <c r="AK24" s="155">
        <f t="shared" si="8"/>
        <v>0</v>
      </c>
      <c r="AL24" s="155">
        <f ca="1">HLOOKUP($F24,Jornada!$I$5:$V$37,VLOOKUP(INDIRECT($C$5),Jornada!$C$8:$W$37,21,0)+2,0)</f>
        <v>0</v>
      </c>
      <c r="AM24" s="155">
        <f ca="1">HLOOKUP($F24,Jornada!$I$4:$V$37,VLOOKUP(INDIRECT($C$5),Jornada!$C$8:$W$37,21,0)+3,0)</f>
        <v>0</v>
      </c>
      <c r="AN24" s="155">
        <f t="shared" ca="1" si="9"/>
        <v>0</v>
      </c>
      <c r="AO24" s="155">
        <f t="shared" si="10"/>
        <v>0</v>
      </c>
      <c r="AP24" s="155">
        <f t="shared" si="4"/>
        <v>0</v>
      </c>
      <c r="BE24" s="14"/>
      <c r="BF24" s="14"/>
      <c r="BG24" s="14"/>
    </row>
    <row r="25" spans="1:59" s="2" customFormat="1" ht="30" customHeight="1" thickTop="1" thickBot="1" x14ac:dyDescent="0.25">
      <c r="A25" s="1"/>
      <c r="B25"/>
      <c r="C25" s="172" t="str">
        <f>IF(Funcionários!C24=0,"",Funcionários!C24)</f>
        <v/>
      </c>
      <c r="D25"/>
      <c r="E25" s="115">
        <f>Lanç!E25</f>
        <v>18</v>
      </c>
      <c r="F25" s="189" t="str">
        <f>Lanç!F25</f>
        <v>Qua</v>
      </c>
      <c r="G25" s="80"/>
      <c r="H25" s="94"/>
      <c r="I25" s="94"/>
      <c r="J25" s="94"/>
      <c r="K25" s="94"/>
      <c r="L25" s="197"/>
      <c r="M25" s="95">
        <f t="shared" si="1"/>
        <v>0</v>
      </c>
      <c r="N25" s="196"/>
      <c r="O25" s="95">
        <f ca="1">IF(OR(G25=0,G25="Férias",G25="Falta Justificada",G25="Feriado",G25="Folga (DSR)"),0,IF(G25="Falta Injustificada",HLOOKUP($F25,Jornada!$X$7:$AD$37,VLOOKUP(INDIRECT($C$5),Jornada!$C$8:$W$37,21,0),0),IF(HLOOKUP($F25,Jornada!$X$7:$AD$37,VLOOKUP(INDIRECT($C$5),Jornada!$C$8:$W$37,21,0),0)-M25&gt;0,HLOOKUP($F25,Jornada!$X$7:$AD$37,VLOOKUP(INDIRECT($C$5),Jornada!$C$8:$W$37,21,0),0)-M25,0)))</f>
        <v>0</v>
      </c>
      <c r="P25" s="193">
        <f ca="1">IF(HLOOKUP($F25,Jornada!$X$7:$AD$37,VLOOKUP(INDIRECT($C$5),Jornada!$C$8:$W$37,21,0),0)-M25&lt;0,ABS(HLOOKUP($F25,Jornada!$X$7:$AD$37,VLOOKUP(INDIRECT($C$5),Jornada!$C$8:$W$37,21,0),0)-M25),0)</f>
        <v>0</v>
      </c>
      <c r="Q25" s="95">
        <f t="shared" si="0"/>
        <v>0</v>
      </c>
      <c r="R25" s="2">
        <f t="shared" si="2"/>
        <v>0</v>
      </c>
      <c r="S25" s="296"/>
      <c r="T25" s="297"/>
      <c r="U25" s="298"/>
      <c r="X25" s="177"/>
      <c r="Z25" s="2">
        <f>IF(SUM(R8:R38)&gt;0,1,0)</f>
        <v>0</v>
      </c>
      <c r="AB25" s="177">
        <f t="shared" si="5"/>
        <v>18</v>
      </c>
      <c r="AC25" s="2">
        <f t="shared" si="3"/>
        <v>4</v>
      </c>
      <c r="AG25" s="220">
        <f t="shared" si="6"/>
        <v>0</v>
      </c>
      <c r="AH25" s="220">
        <f ca="1">IF(HLOOKUP($F25,Jornada!$X$7:$AD$37,VLOOKUP(INDIRECT($C$5),Jornada!$C$8:$W$37,21,0),0)=0,0,VLOOKUP(INDIRECT($C$5),Jornada!$C$8:$H$37,4,0))</f>
        <v>0</v>
      </c>
      <c r="AI25" s="155">
        <f ca="1">IF(AND(I25=0,J25=0,OR(H25&lt;&gt;0,K25&lt;&gt;0),HLOOKUP($F25,Jornada!$X$7:$AD$37,VLOOKUP(INDIRECT($C$5),Jornada!$C$8:$W$37,21,0),0)&gt;$AK$5,M25&gt;$AK$5),VLOOKUP(INDIRECT($C$5),Jornada!$C$8:$H$37,6,0),IF(AG25&gt;VLOOKUP(INDIRECT($C$5),Jornada!$C$8:$H$37,6,0),IF(VLOOKUP(INDIRECT($C$5),Jornada!$C$8:$H$37,6,0)&lt;AG25,0,ABS(VLOOKUP(INDIRECT($C$5),Jornada!$C$8:$H$37,6,0))-AG25),0))</f>
        <v>0</v>
      </c>
      <c r="AJ25" s="155">
        <f t="shared" si="7"/>
        <v>1</v>
      </c>
      <c r="AK25" s="155">
        <f t="shared" si="8"/>
        <v>0</v>
      </c>
      <c r="AL25" s="155">
        <f ca="1">HLOOKUP($F25,Jornada!$I$5:$V$37,VLOOKUP(INDIRECT($C$5),Jornada!$C$8:$W$37,21,0)+2,0)</f>
        <v>0</v>
      </c>
      <c r="AM25" s="155">
        <f ca="1">HLOOKUP($F25,Jornada!$I$4:$V$37,VLOOKUP(INDIRECT($C$5),Jornada!$C$8:$W$37,21,0)+3,0)</f>
        <v>0</v>
      </c>
      <c r="AN25" s="155">
        <f t="shared" ca="1" si="9"/>
        <v>0</v>
      </c>
      <c r="AO25" s="155">
        <f t="shared" si="10"/>
        <v>0</v>
      </c>
      <c r="AP25" s="155">
        <f t="shared" si="4"/>
        <v>0</v>
      </c>
      <c r="BE25" s="14"/>
      <c r="BF25" s="14"/>
      <c r="BG25" s="14"/>
    </row>
    <row r="26" spans="1:59" s="2" customFormat="1" ht="30" customHeight="1" thickTop="1" thickBot="1" x14ac:dyDescent="0.25">
      <c r="A26" s="1"/>
      <c r="B26"/>
      <c r="C26" s="172" t="str">
        <f>IF(Funcionários!C25=0,"",Funcionários!C25)</f>
        <v/>
      </c>
      <c r="D26"/>
      <c r="E26" s="115">
        <f>Lanç!E26</f>
        <v>19</v>
      </c>
      <c r="F26" s="189" t="str">
        <f>Lanç!F26</f>
        <v>Qui</v>
      </c>
      <c r="G26" s="80"/>
      <c r="H26" s="94"/>
      <c r="I26" s="94"/>
      <c r="J26" s="94"/>
      <c r="K26" s="94"/>
      <c r="L26" s="197"/>
      <c r="M26" s="95">
        <f t="shared" si="1"/>
        <v>0</v>
      </c>
      <c r="N26" s="196"/>
      <c r="O26" s="95">
        <f ca="1">IF(OR(G26=0,G26="Férias",G26="Falta Justificada",G26="Feriado",G26="Folga (DSR)"),0,IF(G26="Falta Injustificada",HLOOKUP($F26,Jornada!$X$7:$AD$37,VLOOKUP(INDIRECT($C$5),Jornada!$C$8:$W$37,21,0),0),IF(HLOOKUP($F26,Jornada!$X$7:$AD$37,VLOOKUP(INDIRECT($C$5),Jornada!$C$8:$W$37,21,0),0)-M26&gt;0,HLOOKUP($F26,Jornada!$X$7:$AD$37,VLOOKUP(INDIRECT($C$5),Jornada!$C$8:$W$37,21,0),0)-M26,0)))</f>
        <v>0</v>
      </c>
      <c r="P26" s="193">
        <f ca="1">IF(HLOOKUP($F26,Jornada!$X$7:$AD$37,VLOOKUP(INDIRECT($C$5),Jornada!$C$8:$W$37,21,0),0)-M26&lt;0,ABS(HLOOKUP($F26,Jornada!$X$7:$AD$37,VLOOKUP(INDIRECT($C$5),Jornada!$C$8:$W$37,21,0),0)-M26),0)</f>
        <v>0</v>
      </c>
      <c r="Q26" s="95">
        <f t="shared" si="0"/>
        <v>0</v>
      </c>
      <c r="R26" s="2">
        <f t="shared" si="2"/>
        <v>0</v>
      </c>
      <c r="S26" s="296" t="str">
        <f>IF(COUNTIF(G8:G38,"Folga (DSR)")&lt;DAY(E39)/8,"O mês não está contemplando um DSR (Descanso Semanal Remunerado) por semana. Isso pode configurar uma irregularidade segundo as leis trabalhistas.","Parabéns!! Sua folha de pagamento contempla uma DSR por semana conforme a lei trabalhista.")</f>
        <v>O mês não está contemplando um DSR (Descanso Semanal Remunerado) por semana. Isso pode configurar uma irregularidade segundo as leis trabalhistas.</v>
      </c>
      <c r="T26" s="297"/>
      <c r="U26" s="298"/>
      <c r="X26" s="177"/>
      <c r="AB26" s="177">
        <f t="shared" si="5"/>
        <v>19</v>
      </c>
      <c r="AC26" s="2">
        <f t="shared" si="3"/>
        <v>5</v>
      </c>
      <c r="AG26" s="220">
        <f t="shared" si="6"/>
        <v>0</v>
      </c>
      <c r="AH26" s="220">
        <f ca="1">IF(HLOOKUP($F26,Jornada!$X$7:$AD$37,VLOOKUP(INDIRECT($C$5),Jornada!$C$8:$W$37,21,0),0)=0,0,VLOOKUP(INDIRECT($C$5),Jornada!$C$8:$H$37,4,0))</f>
        <v>0</v>
      </c>
      <c r="AI26" s="155">
        <f ca="1">IF(AND(I26=0,J26=0,OR(H26&lt;&gt;0,K26&lt;&gt;0),HLOOKUP($F26,Jornada!$X$7:$AD$37,VLOOKUP(INDIRECT($C$5),Jornada!$C$8:$W$37,21,0),0)&gt;$AK$5,M26&gt;$AK$5),VLOOKUP(INDIRECT($C$5),Jornada!$C$8:$H$37,6,0),IF(AG26&gt;VLOOKUP(INDIRECT($C$5),Jornada!$C$8:$H$37,6,0),IF(VLOOKUP(INDIRECT($C$5),Jornada!$C$8:$H$37,6,0)&lt;AG26,0,ABS(VLOOKUP(INDIRECT($C$5),Jornada!$C$8:$H$37,6,0))-AG26),0))</f>
        <v>0</v>
      </c>
      <c r="AJ26" s="155">
        <f t="shared" si="7"/>
        <v>1</v>
      </c>
      <c r="AK26" s="155">
        <f t="shared" si="8"/>
        <v>0</v>
      </c>
      <c r="AL26" s="155">
        <f ca="1">HLOOKUP($F26,Jornada!$I$5:$V$37,VLOOKUP(INDIRECT($C$5),Jornada!$C$8:$W$37,21,0)+2,0)</f>
        <v>0</v>
      </c>
      <c r="AM26" s="155">
        <f ca="1">HLOOKUP($F26,Jornada!$I$4:$V$37,VLOOKUP(INDIRECT($C$5),Jornada!$C$8:$W$37,21,0)+3,0)</f>
        <v>0</v>
      </c>
      <c r="AN26" s="155">
        <f t="shared" ca="1" si="9"/>
        <v>0</v>
      </c>
      <c r="AO26" s="155">
        <f t="shared" si="10"/>
        <v>0</v>
      </c>
      <c r="AP26" s="155">
        <f t="shared" si="4"/>
        <v>0</v>
      </c>
      <c r="BE26" s="14"/>
      <c r="BF26" s="14"/>
      <c r="BG26" s="14"/>
    </row>
    <row r="27" spans="1:59" s="2" customFormat="1" ht="30" customHeight="1" thickTop="1" thickBot="1" x14ac:dyDescent="0.25">
      <c r="A27" s="1"/>
      <c r="B27"/>
      <c r="C27" s="172" t="str">
        <f>IF(Funcionários!C26=0,"",Funcionários!C26)</f>
        <v/>
      </c>
      <c r="D27"/>
      <c r="E27" s="115">
        <f>Lanç!E27</f>
        <v>20</v>
      </c>
      <c r="F27" s="189" t="str">
        <f>Lanç!F27</f>
        <v>Sex</v>
      </c>
      <c r="G27" s="80"/>
      <c r="H27" s="94"/>
      <c r="I27" s="94"/>
      <c r="J27" s="94"/>
      <c r="K27" s="94"/>
      <c r="L27" s="197"/>
      <c r="M27" s="95">
        <f>IF(AND(H27=K27,H27&lt;&gt;0),$M$6-IF(J27&lt;I27,$AJ$7+J27-I27,J27-I27),IF(H27&gt;K27,(K27+1-H27)-IF(J27&lt;I27,$AJ$7+J27-I27,J27-I27),(K27-H27)-IF(J27&lt;I27,$AJ$7+J27-I27,J27-I27)))</f>
        <v>0</v>
      </c>
      <c r="N27" s="196"/>
      <c r="O27" s="95">
        <f ca="1">IF(OR(G27=0,G27="Férias",G27="Falta Justificada",G27="Feriado",G27="Folga (DSR)"),0,IF(G27="Falta Injustificada",HLOOKUP($F27,Jornada!$X$7:$AD$37,VLOOKUP(INDIRECT($C$5),Jornada!$C$8:$W$37,21,0),0),IF(HLOOKUP($F27,Jornada!$X$7:$AD$37,VLOOKUP(INDIRECT($C$5),Jornada!$C$8:$W$37,21,0),0)-M27&gt;0,HLOOKUP($F27,Jornada!$X$7:$AD$37,VLOOKUP(INDIRECT($C$5),Jornada!$C$8:$W$37,21,0),0)-M27,0)))</f>
        <v>0</v>
      </c>
      <c r="P27" s="193">
        <f ca="1">IF(HLOOKUP($F27,Jornada!$X$7:$AD$37,VLOOKUP(INDIRECT($C$5),Jornada!$C$8:$W$37,21,0),0)-M27&lt;0,ABS(HLOOKUP($F27,Jornada!$X$7:$AD$37,VLOOKUP(INDIRECT($C$5),Jornada!$C$8:$W$37,21,0),0)-M27),0)</f>
        <v>0</v>
      </c>
      <c r="Q27" s="95">
        <f t="shared" si="0"/>
        <v>0</v>
      </c>
      <c r="R27" s="2">
        <f t="shared" si="2"/>
        <v>0</v>
      </c>
      <c r="S27" s="296"/>
      <c r="T27" s="297"/>
      <c r="U27" s="298"/>
      <c r="X27" s="177"/>
      <c r="AB27" s="177">
        <f t="shared" si="5"/>
        <v>20</v>
      </c>
      <c r="AC27" s="2">
        <f t="shared" si="3"/>
        <v>6</v>
      </c>
      <c r="AG27" s="220">
        <f t="shared" si="6"/>
        <v>0</v>
      </c>
      <c r="AH27" s="220">
        <f ca="1">IF(HLOOKUP($F27,Jornada!$X$7:$AD$37,VLOOKUP(INDIRECT($C$5),Jornada!$C$8:$W$37,21,0),0)=0,0,VLOOKUP(INDIRECT($C$5),Jornada!$C$8:$H$37,4,0))</f>
        <v>0</v>
      </c>
      <c r="AI27" s="155">
        <f ca="1">IF(AND(I27=0,J27=0,OR(H27&lt;&gt;0,K27&lt;&gt;0),HLOOKUP($F27,Jornada!$X$7:$AD$37,VLOOKUP(INDIRECT($C$5),Jornada!$C$8:$W$37,21,0),0)&gt;$AK$5,M27&gt;$AK$5),VLOOKUP(INDIRECT($C$5),Jornada!$C$8:$H$37,6,0),IF(AG27&gt;VLOOKUP(INDIRECT($C$5),Jornada!$C$8:$H$37,6,0),IF(VLOOKUP(INDIRECT($C$5),Jornada!$C$8:$H$37,6,0)&lt;AG27,0,ABS(VLOOKUP(INDIRECT($C$5),Jornada!$C$8:$H$37,6,0))-AG27),0))</f>
        <v>0</v>
      </c>
      <c r="AJ27" s="155">
        <f t="shared" si="7"/>
        <v>1</v>
      </c>
      <c r="AK27" s="155">
        <f t="shared" si="8"/>
        <v>0</v>
      </c>
      <c r="AL27" s="155">
        <f ca="1">HLOOKUP($F27,Jornada!$I$5:$V$37,VLOOKUP(INDIRECT($C$5),Jornada!$C$8:$W$37,21,0)+2,0)</f>
        <v>0</v>
      </c>
      <c r="AM27" s="155">
        <f ca="1">HLOOKUP($F27,Jornada!$I$4:$V$37,VLOOKUP(INDIRECT($C$5),Jornada!$C$8:$W$37,21,0)+3,0)</f>
        <v>0</v>
      </c>
      <c r="AN27" s="155">
        <f t="shared" ca="1" si="9"/>
        <v>0</v>
      </c>
      <c r="AO27" s="155">
        <f t="shared" si="10"/>
        <v>0</v>
      </c>
      <c r="AP27" s="155">
        <f t="shared" si="4"/>
        <v>0</v>
      </c>
    </row>
    <row r="28" spans="1:59" s="2" customFormat="1" ht="30" customHeight="1" thickTop="1" thickBot="1" x14ac:dyDescent="0.25">
      <c r="A28" s="1"/>
      <c r="B28"/>
      <c r="C28" s="172" t="str">
        <f>IF(Funcionários!C27=0,"",Funcionários!C27)</f>
        <v/>
      </c>
      <c r="D28"/>
      <c r="E28" s="115">
        <f>Lanç!E28</f>
        <v>21</v>
      </c>
      <c r="F28" s="189" t="str">
        <f>Lanç!F28</f>
        <v>Sáb</v>
      </c>
      <c r="G28" s="80"/>
      <c r="H28" s="94"/>
      <c r="I28" s="94"/>
      <c r="J28" s="94"/>
      <c r="K28" s="94"/>
      <c r="L28" s="197"/>
      <c r="M28" s="95">
        <f t="shared" si="1"/>
        <v>0</v>
      </c>
      <c r="N28" s="196"/>
      <c r="O28" s="95">
        <f ca="1">IF(OR(G28=0,G28="Férias",G28="Falta Justificada",G28="Feriado",G28="Folga (DSR)"),0,IF(G28="Falta Injustificada",HLOOKUP($F28,Jornada!$X$7:$AD$37,VLOOKUP(INDIRECT($C$5),Jornada!$C$8:$W$37,21,0),0),IF(HLOOKUP($F28,Jornada!$X$7:$AD$37,VLOOKUP(INDIRECT($C$5),Jornada!$C$8:$W$37,21,0),0)-M28&gt;0,HLOOKUP($F28,Jornada!$X$7:$AD$37,VLOOKUP(INDIRECT($C$5),Jornada!$C$8:$W$37,21,0),0)-M28,0)))</f>
        <v>0</v>
      </c>
      <c r="P28" s="193">
        <f ca="1">IF(HLOOKUP($F28,Jornada!$X$7:$AD$37,VLOOKUP(INDIRECT($C$5),Jornada!$C$8:$W$37,21,0),0)-M28&lt;0,ABS(HLOOKUP($F28,Jornada!$X$7:$AD$37,VLOOKUP(INDIRECT($C$5),Jornada!$C$8:$W$37,21,0),0)-M28),0)</f>
        <v>0</v>
      </c>
      <c r="Q28" s="95">
        <f t="shared" si="0"/>
        <v>0</v>
      </c>
      <c r="R28" s="2">
        <f t="shared" si="2"/>
        <v>0</v>
      </c>
      <c r="S28" s="296"/>
      <c r="T28" s="297"/>
      <c r="U28" s="298"/>
      <c r="X28" s="177"/>
      <c r="AB28" s="177">
        <f t="shared" si="5"/>
        <v>21</v>
      </c>
      <c r="AC28" s="2">
        <f t="shared" si="3"/>
        <v>7</v>
      </c>
      <c r="AG28" s="220">
        <f t="shared" si="6"/>
        <v>0</v>
      </c>
      <c r="AH28" s="220">
        <f ca="1">IF(HLOOKUP($F28,Jornada!$X$7:$AD$37,VLOOKUP(INDIRECT($C$5),Jornada!$C$8:$W$37,21,0),0)=0,0,VLOOKUP(INDIRECT($C$5),Jornada!$C$8:$H$37,4,0))</f>
        <v>0</v>
      </c>
      <c r="AI28" s="155">
        <f ca="1">IF(AND(I28=0,J28=0,OR(H28&lt;&gt;0,K28&lt;&gt;0),HLOOKUP($F28,Jornada!$X$7:$AD$37,VLOOKUP(INDIRECT($C$5),Jornada!$C$8:$W$37,21,0),0)&gt;$AK$5,M28&gt;$AK$5),VLOOKUP(INDIRECT($C$5),Jornada!$C$8:$H$37,6,0),IF(AG28&gt;VLOOKUP(INDIRECT($C$5),Jornada!$C$8:$H$37,6,0),IF(VLOOKUP(INDIRECT($C$5),Jornada!$C$8:$H$37,6,0)&lt;AG28,0,ABS(VLOOKUP(INDIRECT($C$5),Jornada!$C$8:$H$37,6,0))-AG28),0))</f>
        <v>0</v>
      </c>
      <c r="AJ28" s="155">
        <f t="shared" si="7"/>
        <v>1</v>
      </c>
      <c r="AK28" s="155">
        <f t="shared" si="8"/>
        <v>0</v>
      </c>
      <c r="AL28" s="155">
        <f ca="1">HLOOKUP($F28,Jornada!$I$5:$V$37,VLOOKUP(INDIRECT($C$5),Jornada!$C$8:$W$37,21,0)+2,0)</f>
        <v>0</v>
      </c>
      <c r="AM28" s="155">
        <f ca="1">HLOOKUP($F28,Jornada!$I$4:$V$37,VLOOKUP(INDIRECT($C$5),Jornada!$C$8:$W$37,21,0)+3,0)</f>
        <v>0</v>
      </c>
      <c r="AN28" s="155">
        <f t="shared" ca="1" si="9"/>
        <v>0</v>
      </c>
      <c r="AO28" s="155">
        <f t="shared" si="10"/>
        <v>0</v>
      </c>
      <c r="AP28" s="155">
        <f t="shared" si="4"/>
        <v>0</v>
      </c>
    </row>
    <row r="29" spans="1:59" s="2" customFormat="1" ht="30" customHeight="1" thickTop="1" thickBot="1" x14ac:dyDescent="0.25">
      <c r="A29" s="1"/>
      <c r="B29"/>
      <c r="C29" s="172" t="str">
        <f>IF(Funcionários!C28=0,"",Funcionários!C28)</f>
        <v/>
      </c>
      <c r="D29"/>
      <c r="E29" s="115">
        <f>Lanç!E29</f>
        <v>22</v>
      </c>
      <c r="F29" s="189" t="str">
        <f>Lanç!F29</f>
        <v>Dom</v>
      </c>
      <c r="G29" s="80"/>
      <c r="H29" s="94"/>
      <c r="I29" s="94"/>
      <c r="J29" s="94"/>
      <c r="K29" s="94"/>
      <c r="L29" s="197"/>
      <c r="M29" s="95">
        <f t="shared" si="1"/>
        <v>0</v>
      </c>
      <c r="N29" s="196"/>
      <c r="O29" s="95">
        <f ca="1">IF(OR(G29=0,G29="Férias",G29="Falta Justificada",G29="Feriado",G29="Folga (DSR)"),0,IF(G29="Falta Injustificada",HLOOKUP($F29,Jornada!$X$7:$AD$37,VLOOKUP(INDIRECT($C$5),Jornada!$C$8:$W$37,21,0),0),IF(HLOOKUP($F29,Jornada!$X$7:$AD$37,VLOOKUP(INDIRECT($C$5),Jornada!$C$8:$W$37,21,0),0)-M29&gt;0,HLOOKUP($F29,Jornada!$X$7:$AD$37,VLOOKUP(INDIRECT($C$5),Jornada!$C$8:$W$37,21,0),0)-M29,0)))</f>
        <v>0</v>
      </c>
      <c r="P29" s="193">
        <f ca="1">IF(HLOOKUP($F29,Jornada!$X$7:$AD$37,VLOOKUP(INDIRECT($C$5),Jornada!$C$8:$W$37,21,0),0)-M29&lt;0,ABS(HLOOKUP($F29,Jornada!$X$7:$AD$37,VLOOKUP(INDIRECT($C$5),Jornada!$C$8:$W$37,21,0),0)-M29),0)</f>
        <v>0</v>
      </c>
      <c r="Q29" s="95">
        <f t="shared" si="0"/>
        <v>0</v>
      </c>
      <c r="R29" s="2">
        <f t="shared" si="2"/>
        <v>0</v>
      </c>
      <c r="S29" s="13"/>
      <c r="T29" s="74"/>
      <c r="U29" s="74"/>
      <c r="X29" s="177"/>
      <c r="AB29" s="177">
        <f t="shared" si="5"/>
        <v>22</v>
      </c>
      <c r="AC29" s="2">
        <f t="shared" si="3"/>
        <v>1</v>
      </c>
      <c r="AG29" s="220">
        <f t="shared" ref="AG29:AG38" si="11">IF(J29&lt;I29,$AJ$7+J29-I29,J29-I29)</f>
        <v>0</v>
      </c>
      <c r="AH29" s="220">
        <f ca="1">IF(HLOOKUP($F29,Jornada!$X$7:$AD$37,VLOOKUP(INDIRECT($C$5),Jornada!$C$8:$W$37,21,0),0)=0,0,VLOOKUP(INDIRECT($C$5),Jornada!$C$8:$H$37,4,0))</f>
        <v>0</v>
      </c>
      <c r="AI29" s="155">
        <f ca="1">IF(AND(I29=0,J29=0,OR(H29&lt;&gt;0,K29&lt;&gt;0),HLOOKUP($F29,Jornada!$X$7:$AD$37,VLOOKUP(INDIRECT($C$5),Jornada!$C$8:$W$37,21,0),0)&gt;$AK$5,M29&gt;$AK$5),VLOOKUP(INDIRECT($C$5),Jornada!$C$8:$H$37,6,0),IF(AG29&gt;VLOOKUP(INDIRECT($C$5),Jornada!$C$8:$H$37,6,0),IF(VLOOKUP(INDIRECT($C$5),Jornada!$C$8:$H$37,6,0)&lt;AG29,0,ABS(VLOOKUP(INDIRECT($C$5),Jornada!$C$8:$H$37,6,0))-AG29),0))</f>
        <v>0</v>
      </c>
      <c r="AJ29" s="155">
        <f t="shared" ref="AJ29:AJ38" si="12">($AJ$7-K29)+H29</f>
        <v>1</v>
      </c>
      <c r="AK29" s="155">
        <f t="shared" ref="AK29:AK38" si="13">IF(AJ29&lt;$AK$7,$AK$7-AJ29,$AI$7)</f>
        <v>0</v>
      </c>
      <c r="AL29" s="155">
        <f ca="1">HLOOKUP($F29,Jornada!$I$5:$V$37,VLOOKUP(INDIRECT($C$5),Jornada!$C$8:$W$37,21,0)+2,0)</f>
        <v>0</v>
      </c>
      <c r="AM29" s="155">
        <f ca="1">HLOOKUP($F29,Jornada!$I$4:$V$37,VLOOKUP(INDIRECT($C$5),Jornada!$C$8:$W$37,21,0)+3,0)</f>
        <v>0</v>
      </c>
      <c r="AN29" s="155">
        <f t="shared" ref="AN29:AN38" ca="1" si="14">IF(AND(AL29&gt;=$AL$5,AL29&lt;$AN$5,H29&gt;=$AL$5,H29&lt;AL29),AL29-H29,IF(AND(AL29&gt;$AI$7,AL29&lt;=$AM$5,H29&gt;=$AL$5,H29&lt;=$AN$5),$AN$5-H29+AL29,IF(AND(AL29&gt;=$AI$7,AL29&lt;=$AM$5,H29&gt;=$AI$7,H29&lt;=$AM$5,H29&lt;AL29),H29-AL29,0)))</f>
        <v>0</v>
      </c>
      <c r="AO29" s="155">
        <f t="shared" ref="AO29:AO38" si="15">IF(AP29&gt;Q29,0,AP29)</f>
        <v>0</v>
      </c>
      <c r="AP29" s="155">
        <f t="shared" si="4"/>
        <v>0</v>
      </c>
    </row>
    <row r="30" spans="1:59" s="2" customFormat="1" ht="30" customHeight="1" thickTop="1" thickBot="1" x14ac:dyDescent="0.25">
      <c r="A30" s="1"/>
      <c r="B30"/>
      <c r="C30" s="172" t="str">
        <f>IF(Funcionários!C29=0,"",Funcionários!C29)</f>
        <v/>
      </c>
      <c r="D30"/>
      <c r="E30" s="173">
        <f>Lanç!E30</f>
        <v>23</v>
      </c>
      <c r="F30" s="189" t="str">
        <f>Lanç!F30</f>
        <v>Seg</v>
      </c>
      <c r="G30" s="80"/>
      <c r="H30" s="94"/>
      <c r="I30" s="94"/>
      <c r="J30" s="94"/>
      <c r="K30" s="94"/>
      <c r="L30" s="197"/>
      <c r="M30" s="95">
        <f t="shared" si="1"/>
        <v>0</v>
      </c>
      <c r="N30" s="196"/>
      <c r="O30" s="95">
        <f ca="1">IF(OR(G30=0,G30="Férias",G30="Falta Justificada",G30="Feriado",G30="Folga (DSR)"),0,IF(G30="Falta Injustificada",HLOOKUP($F30,Jornada!$X$7:$AD$37,VLOOKUP(INDIRECT($C$5),Jornada!$C$8:$W$37,21,0),0),IF(HLOOKUP($F30,Jornada!$X$7:$AD$37,VLOOKUP(INDIRECT($C$5),Jornada!$C$8:$W$37,21,0),0)-M30&gt;0,HLOOKUP($F30,Jornada!$X$7:$AD$37,VLOOKUP(INDIRECT($C$5),Jornada!$C$8:$W$37,21,0),0)-M30,0)))</f>
        <v>0</v>
      </c>
      <c r="P30" s="193">
        <f ca="1">IF(HLOOKUP($F30,Jornada!$X$7:$AD$37,VLOOKUP(INDIRECT($C$5),Jornada!$C$8:$W$37,21,0),0)-M30&lt;0,ABS(HLOOKUP($F30,Jornada!$X$7:$AD$37,VLOOKUP(INDIRECT($C$5),Jornada!$C$8:$W$37,21,0),0)-M30),0)</f>
        <v>0</v>
      </c>
      <c r="Q30" s="95">
        <f t="shared" si="0"/>
        <v>0</v>
      </c>
      <c r="R30" s="2">
        <f>IF(Q30&gt;$R$7,1,0)</f>
        <v>0</v>
      </c>
      <c r="S30" s="13"/>
      <c r="T30" s="74"/>
      <c r="U30" s="74"/>
      <c r="X30" s="177"/>
      <c r="AB30" s="177">
        <f t="shared" si="5"/>
        <v>23</v>
      </c>
      <c r="AC30" s="2">
        <f>WEEKDAY(AB30)</f>
        <v>2</v>
      </c>
      <c r="AG30" s="220">
        <f t="shared" si="11"/>
        <v>0</v>
      </c>
      <c r="AH30" s="220">
        <f ca="1">IF(HLOOKUP($F30,Jornada!$X$7:$AD$37,VLOOKUP(INDIRECT($C$5),Jornada!$C$8:$W$37,21,0),0)=0,0,VLOOKUP(INDIRECT($C$5),Jornada!$C$8:$H$37,4,0))</f>
        <v>0</v>
      </c>
      <c r="AI30" s="155">
        <f ca="1">IF(AND(I30=0,J30=0,OR(H30&lt;&gt;0,K30&lt;&gt;0),HLOOKUP($F30,Jornada!$X$7:$AD$37,VLOOKUP(INDIRECT($C$5),Jornada!$C$8:$W$37,21,0),0)&gt;$AK$5,M30&gt;$AK$5),VLOOKUP(INDIRECT($C$5),Jornada!$C$8:$H$37,6,0),IF(AG30&gt;VLOOKUP(INDIRECT($C$5),Jornada!$C$8:$H$37,6,0),IF(VLOOKUP(INDIRECT($C$5),Jornada!$C$8:$H$37,6,0)&lt;AG30,0,ABS(VLOOKUP(INDIRECT($C$5),Jornada!$C$8:$H$37,6,0))-AG30),0))</f>
        <v>0</v>
      </c>
      <c r="AJ30" s="155">
        <f t="shared" si="12"/>
        <v>1</v>
      </c>
      <c r="AK30" s="155">
        <f t="shared" si="13"/>
        <v>0</v>
      </c>
      <c r="AL30" s="155">
        <f ca="1">HLOOKUP($F30,Jornada!$I$5:$V$37,VLOOKUP(INDIRECT($C$5),Jornada!$C$8:$W$37,21,0)+2,0)</f>
        <v>0</v>
      </c>
      <c r="AM30" s="155">
        <f ca="1">HLOOKUP($F30,Jornada!$I$4:$V$37,VLOOKUP(INDIRECT($C$5),Jornada!$C$8:$W$37,21,0)+3,0)</f>
        <v>0</v>
      </c>
      <c r="AN30" s="155">
        <f t="shared" ca="1" si="14"/>
        <v>0</v>
      </c>
      <c r="AO30" s="155">
        <f t="shared" si="15"/>
        <v>0</v>
      </c>
      <c r="AP30" s="155">
        <f t="shared" si="4"/>
        <v>0</v>
      </c>
    </row>
    <row r="31" spans="1:59" s="2" customFormat="1" ht="30" customHeight="1" thickTop="1" thickBot="1" x14ac:dyDescent="0.25">
      <c r="A31" s="1"/>
      <c r="B31"/>
      <c r="C31" s="172" t="str">
        <f>IF(Funcionários!C30=0,"",Funcionários!C30)</f>
        <v/>
      </c>
      <c r="D31"/>
      <c r="E31" s="173">
        <f>Lanç!E31</f>
        <v>24</v>
      </c>
      <c r="F31" s="189" t="str">
        <f>Lanç!F31</f>
        <v>Ter</v>
      </c>
      <c r="G31" s="80"/>
      <c r="H31" s="94"/>
      <c r="I31" s="94"/>
      <c r="J31" s="94"/>
      <c r="K31" s="94"/>
      <c r="L31" s="197"/>
      <c r="M31" s="95">
        <f t="shared" si="1"/>
        <v>0</v>
      </c>
      <c r="N31" s="196"/>
      <c r="O31" s="95">
        <f ca="1">IF(OR(G31=0,G31="Férias",G31="Falta Justificada",G31="Feriado",G31="Folga (DSR)"),0,IF(G31="Falta Injustificada",HLOOKUP($F31,Jornada!$X$7:$AD$37,VLOOKUP(INDIRECT($C$5),Jornada!$C$8:$W$37,21,0),0),IF(HLOOKUP($F31,Jornada!$X$7:$AD$37,VLOOKUP(INDIRECT($C$5),Jornada!$C$8:$W$37,21,0),0)-M31&gt;0,HLOOKUP($F31,Jornada!$X$7:$AD$37,VLOOKUP(INDIRECT($C$5),Jornada!$C$8:$W$37,21,0),0)-M31,0)))</f>
        <v>0</v>
      </c>
      <c r="P31" s="193">
        <f ca="1">IF(HLOOKUP($F31,Jornada!$X$7:$AD$37,VLOOKUP(INDIRECT($C$5),Jornada!$C$8:$W$37,21,0),0)-M31&lt;0,ABS(HLOOKUP($F31,Jornada!$X$7:$AD$37,VLOOKUP(INDIRECT($C$5),Jornada!$C$8:$W$37,21,0),0)-M31),0)</f>
        <v>0</v>
      </c>
      <c r="Q31" s="95">
        <f t="shared" si="0"/>
        <v>0</v>
      </c>
      <c r="R31" s="2">
        <f>IF(Q31&gt;$R$7,1,0)</f>
        <v>0</v>
      </c>
      <c r="S31" s="13"/>
      <c r="T31" s="74"/>
      <c r="U31" s="74"/>
      <c r="X31" s="177"/>
      <c r="AB31" s="177">
        <f t="shared" si="5"/>
        <v>24</v>
      </c>
      <c r="AC31" s="2">
        <f>WEEKDAY(AB31)</f>
        <v>3</v>
      </c>
      <c r="AG31" s="220">
        <f t="shared" si="11"/>
        <v>0</v>
      </c>
      <c r="AH31" s="220">
        <f ca="1">IF(HLOOKUP($F31,Jornada!$X$7:$AD$37,VLOOKUP(INDIRECT($C$5),Jornada!$C$8:$W$37,21,0),0)=0,0,VLOOKUP(INDIRECT($C$5),Jornada!$C$8:$H$37,4,0))</f>
        <v>0</v>
      </c>
      <c r="AI31" s="155">
        <f ca="1">IF(AND(I31=0,J31=0,OR(H31&lt;&gt;0,K31&lt;&gt;0),HLOOKUP($F31,Jornada!$X$7:$AD$37,VLOOKUP(INDIRECT($C$5),Jornada!$C$8:$W$37,21,0),0)&gt;$AK$5,M31&gt;$AK$5),VLOOKUP(INDIRECT($C$5),Jornada!$C$8:$H$37,6,0),IF(AG31&gt;VLOOKUP(INDIRECT($C$5),Jornada!$C$8:$H$37,6,0),IF(VLOOKUP(INDIRECT($C$5),Jornada!$C$8:$H$37,6,0)&lt;AG31,0,ABS(VLOOKUP(INDIRECT($C$5),Jornada!$C$8:$H$37,6,0))-AG31),0))</f>
        <v>0</v>
      </c>
      <c r="AJ31" s="155">
        <f t="shared" si="12"/>
        <v>1</v>
      </c>
      <c r="AK31" s="155">
        <f t="shared" si="13"/>
        <v>0</v>
      </c>
      <c r="AL31" s="155">
        <f ca="1">HLOOKUP($F31,Jornada!$I$5:$V$37,VLOOKUP(INDIRECT($C$5),Jornada!$C$8:$W$37,21,0)+2,0)</f>
        <v>0</v>
      </c>
      <c r="AM31" s="155">
        <f ca="1">HLOOKUP($F31,Jornada!$I$4:$V$37,VLOOKUP(INDIRECT($C$5),Jornada!$C$8:$W$37,21,0)+3,0)</f>
        <v>0</v>
      </c>
      <c r="AN31" s="155">
        <f t="shared" ca="1" si="14"/>
        <v>0</v>
      </c>
      <c r="AO31" s="155">
        <f t="shared" si="15"/>
        <v>0</v>
      </c>
      <c r="AP31" s="155">
        <f t="shared" si="4"/>
        <v>0</v>
      </c>
    </row>
    <row r="32" spans="1:59" s="2" customFormat="1" ht="30" customHeight="1" thickTop="1" thickBot="1" x14ac:dyDescent="0.25">
      <c r="A32" s="1"/>
      <c r="B32"/>
      <c r="C32" s="172" t="str">
        <f>IF(Funcionários!C31=0,"",Funcionários!C31)</f>
        <v/>
      </c>
      <c r="D32"/>
      <c r="E32" s="115">
        <f>Lanç!E32</f>
        <v>25</v>
      </c>
      <c r="F32" s="189" t="str">
        <f>Lanç!F32</f>
        <v>Qua</v>
      </c>
      <c r="G32" s="202"/>
      <c r="H32" s="94"/>
      <c r="I32" s="94"/>
      <c r="J32" s="94"/>
      <c r="K32" s="94"/>
      <c r="L32" s="197"/>
      <c r="M32" s="95">
        <f t="shared" si="1"/>
        <v>0</v>
      </c>
      <c r="N32" s="196"/>
      <c r="O32" s="95">
        <f ca="1">IF(OR(G32=0,G32="Férias",G32="Falta Justificada",G32="Feriado",G32="Folga (DSR)"),0,IF(G32="Falta Injustificada",HLOOKUP($F32,Jornada!$X$7:$AD$37,VLOOKUP(INDIRECT($C$5),Jornada!$C$8:$W$37,21,0),0),IF(HLOOKUP($F32,Jornada!$X$7:$AD$37,VLOOKUP(INDIRECT($C$5),Jornada!$C$8:$W$37,21,0),0)-M32&gt;0,HLOOKUP($F32,Jornada!$X$7:$AD$37,VLOOKUP(INDIRECT($C$5),Jornada!$C$8:$W$37,21,0),0)-M32,0)))</f>
        <v>0</v>
      </c>
      <c r="P32" s="193">
        <f ca="1">IF(HLOOKUP($F32,Jornada!$X$7:$AD$37,VLOOKUP(INDIRECT($C$5),Jornada!$C$8:$W$37,21,0),0)-M32&lt;0,ABS(HLOOKUP($F32,Jornada!$X$7:$AD$37,VLOOKUP(INDIRECT($C$5),Jornada!$C$8:$W$37,21,0),0)-M32),0)</f>
        <v>0</v>
      </c>
      <c r="Q32" s="95">
        <f t="shared" si="0"/>
        <v>0</v>
      </c>
      <c r="R32" s="2">
        <f t="shared" si="2"/>
        <v>0</v>
      </c>
      <c r="S32" s="74"/>
      <c r="T32" s="74"/>
      <c r="U32" s="74"/>
      <c r="X32" s="177"/>
      <c r="AB32" s="177">
        <f t="shared" si="5"/>
        <v>25</v>
      </c>
      <c r="AC32" s="2">
        <f t="shared" si="3"/>
        <v>4</v>
      </c>
      <c r="AG32" s="220">
        <f t="shared" si="11"/>
        <v>0</v>
      </c>
      <c r="AH32" s="220">
        <f ca="1">IF(HLOOKUP($F32,Jornada!$X$7:$AD$37,VLOOKUP(INDIRECT($C$5),Jornada!$C$8:$W$37,21,0),0)=0,0,VLOOKUP(INDIRECT($C$5),Jornada!$C$8:$H$37,4,0))</f>
        <v>0</v>
      </c>
      <c r="AI32" s="155">
        <f ca="1">IF(AND(I32=0,J32=0,OR(H32&lt;&gt;0,K32&lt;&gt;0),HLOOKUP($F32,Jornada!$X$7:$AD$37,VLOOKUP(INDIRECT($C$5),Jornada!$C$8:$W$37,21,0),0)&gt;$AK$5,M32&gt;$AK$5),VLOOKUP(INDIRECT($C$5),Jornada!$C$8:$H$37,6,0),IF(AG32&gt;VLOOKUP(INDIRECT($C$5),Jornada!$C$8:$H$37,6,0),IF(VLOOKUP(INDIRECT($C$5),Jornada!$C$8:$H$37,6,0)&lt;AG32,0,ABS(VLOOKUP(INDIRECT($C$5),Jornada!$C$8:$H$37,6,0))-AG32),0))</f>
        <v>0</v>
      </c>
      <c r="AJ32" s="155">
        <f t="shared" si="12"/>
        <v>1</v>
      </c>
      <c r="AK32" s="155">
        <f t="shared" si="13"/>
        <v>0</v>
      </c>
      <c r="AL32" s="155">
        <f ca="1">HLOOKUP($F32,Jornada!$I$5:$V$37,VLOOKUP(INDIRECT($C$5),Jornada!$C$8:$W$37,21,0)+2,0)</f>
        <v>0</v>
      </c>
      <c r="AM32" s="155">
        <f ca="1">HLOOKUP($F32,Jornada!$I$4:$V$37,VLOOKUP(INDIRECT($C$5),Jornada!$C$8:$W$37,21,0)+3,0)</f>
        <v>0</v>
      </c>
      <c r="AN32" s="155">
        <f t="shared" ca="1" si="14"/>
        <v>0</v>
      </c>
      <c r="AO32" s="155">
        <f t="shared" si="15"/>
        <v>0</v>
      </c>
      <c r="AP32" s="155">
        <f t="shared" si="4"/>
        <v>0</v>
      </c>
    </row>
    <row r="33" spans="1:42" s="2" customFormat="1" ht="30" customHeight="1" thickTop="1" thickBot="1" x14ac:dyDescent="0.25">
      <c r="A33" s="1"/>
      <c r="B33"/>
      <c r="C33" s="172" t="str">
        <f>IF(Funcionários!C32=0,"",Funcionários!C32)</f>
        <v/>
      </c>
      <c r="D33"/>
      <c r="E33" s="115">
        <f>Lanç!E33</f>
        <v>26</v>
      </c>
      <c r="F33" s="189" t="str">
        <f>Lanç!F33</f>
        <v>Qui</v>
      </c>
      <c r="G33" s="80"/>
      <c r="H33" s="94"/>
      <c r="I33" s="94"/>
      <c r="J33" s="94"/>
      <c r="K33" s="94"/>
      <c r="L33" s="197"/>
      <c r="M33" s="95">
        <f t="shared" si="1"/>
        <v>0</v>
      </c>
      <c r="N33" s="196"/>
      <c r="O33" s="95">
        <f ca="1">IF(OR(G33=0,G33="Férias",G33="Falta Justificada",G33="Feriado",G33="Folga (DSR)"),0,IF(G33="Falta Injustificada",HLOOKUP($F33,Jornada!$X$7:$AD$37,VLOOKUP(INDIRECT($C$5),Jornada!$C$8:$W$37,21,0),0),IF(HLOOKUP($F33,Jornada!$X$7:$AD$37,VLOOKUP(INDIRECT($C$5),Jornada!$C$8:$W$37,21,0),0)-M33&gt;0,HLOOKUP($F33,Jornada!$X$7:$AD$37,VLOOKUP(INDIRECT($C$5),Jornada!$C$8:$W$37,21,0),0)-M33,0)))</f>
        <v>0</v>
      </c>
      <c r="P33" s="193">
        <f ca="1">IF(HLOOKUP($F33,Jornada!$X$7:$AD$37,VLOOKUP(INDIRECT($C$5),Jornada!$C$8:$W$37,21,0),0)-M33&lt;0,ABS(HLOOKUP($F33,Jornada!$X$7:$AD$37,VLOOKUP(INDIRECT($C$5),Jornada!$C$8:$W$37,21,0),0)-M33),0)</f>
        <v>0</v>
      </c>
      <c r="Q33" s="95">
        <f t="shared" si="0"/>
        <v>0</v>
      </c>
      <c r="R33" s="2">
        <f t="shared" si="2"/>
        <v>0</v>
      </c>
      <c r="S33" s="74"/>
      <c r="T33" s="74"/>
      <c r="U33" s="74"/>
      <c r="X33" s="177"/>
      <c r="AB33" s="177">
        <f t="shared" si="5"/>
        <v>26</v>
      </c>
      <c r="AC33" s="2">
        <f t="shared" si="3"/>
        <v>5</v>
      </c>
      <c r="AG33" s="220">
        <f t="shared" si="11"/>
        <v>0</v>
      </c>
      <c r="AH33" s="220">
        <f ca="1">IF(HLOOKUP($F33,Jornada!$X$7:$AD$37,VLOOKUP(INDIRECT($C$5),Jornada!$C$8:$W$37,21,0),0)=0,0,VLOOKUP(INDIRECT($C$5),Jornada!$C$8:$H$37,4,0))</f>
        <v>0</v>
      </c>
      <c r="AI33" s="155">
        <f ca="1">IF(AND(I33=0,J33=0,OR(H33&lt;&gt;0,K33&lt;&gt;0),HLOOKUP($F33,Jornada!$X$7:$AD$37,VLOOKUP(INDIRECT($C$5),Jornada!$C$8:$W$37,21,0),0)&gt;$AK$5,M33&gt;$AK$5),VLOOKUP(INDIRECT($C$5),Jornada!$C$8:$H$37,6,0),IF(AG33&gt;VLOOKUP(INDIRECT($C$5),Jornada!$C$8:$H$37,6,0),IF(VLOOKUP(INDIRECT($C$5),Jornada!$C$8:$H$37,6,0)&lt;AG33,0,ABS(VLOOKUP(INDIRECT($C$5),Jornada!$C$8:$H$37,6,0))-AG33),0))</f>
        <v>0</v>
      </c>
      <c r="AJ33" s="155">
        <f t="shared" si="12"/>
        <v>1</v>
      </c>
      <c r="AK33" s="155">
        <f t="shared" si="13"/>
        <v>0</v>
      </c>
      <c r="AL33" s="155">
        <f ca="1">HLOOKUP($F33,Jornada!$I$5:$V$37,VLOOKUP(INDIRECT($C$5),Jornada!$C$8:$W$37,21,0)+2,0)</f>
        <v>0</v>
      </c>
      <c r="AM33" s="155">
        <f ca="1">HLOOKUP($F33,Jornada!$I$4:$V$37,VLOOKUP(INDIRECT($C$5),Jornada!$C$8:$W$37,21,0)+3,0)</f>
        <v>0</v>
      </c>
      <c r="AN33" s="155">
        <f t="shared" ca="1" si="14"/>
        <v>0</v>
      </c>
      <c r="AO33" s="155">
        <f t="shared" si="15"/>
        <v>0</v>
      </c>
      <c r="AP33" s="155">
        <f t="shared" si="4"/>
        <v>0</v>
      </c>
    </row>
    <row r="34" spans="1:42" s="2" customFormat="1" ht="30" customHeight="1" thickTop="1" thickBot="1" x14ac:dyDescent="0.25">
      <c r="A34" s="1"/>
      <c r="B34"/>
      <c r="C34" s="172" t="str">
        <f>IF(Funcionários!C33=0,"",Funcionários!C33)</f>
        <v/>
      </c>
      <c r="D34"/>
      <c r="E34" s="115">
        <f>Lanç!E34</f>
        <v>27</v>
      </c>
      <c r="F34" s="189" t="str">
        <f>Lanç!F34</f>
        <v>Sex</v>
      </c>
      <c r="G34" s="80"/>
      <c r="H34" s="94"/>
      <c r="I34" s="94"/>
      <c r="J34" s="94"/>
      <c r="K34" s="94"/>
      <c r="L34" s="197"/>
      <c r="M34" s="95">
        <f t="shared" si="1"/>
        <v>0</v>
      </c>
      <c r="N34" s="196"/>
      <c r="O34" s="95">
        <f ca="1">IF(OR(G34=0,G34="Férias",G34="Falta Justificada",G34="Feriado",G34="Folga (DSR)"),0,IF(G34="Falta Injustificada",HLOOKUP($F34,Jornada!$X$7:$AD$37,VLOOKUP(INDIRECT($C$5),Jornada!$C$8:$W$37,21,0),0),IF(HLOOKUP($F34,Jornada!$X$7:$AD$37,VLOOKUP(INDIRECT($C$5),Jornada!$C$8:$W$37,21,0),0)-M34&gt;0,HLOOKUP($F34,Jornada!$X$7:$AD$37,VLOOKUP(INDIRECT($C$5),Jornada!$C$8:$W$37,21,0),0)-M34,0)))</f>
        <v>0</v>
      </c>
      <c r="P34" s="193">
        <f ca="1">IF(HLOOKUP($F34,Jornada!$X$7:$AD$37,VLOOKUP(INDIRECT($C$5),Jornada!$C$8:$W$37,21,0),0)-M34&lt;0,ABS(HLOOKUP($F34,Jornada!$X$7:$AD$37,VLOOKUP(INDIRECT($C$5),Jornada!$C$8:$W$37,21,0),0)-M34),0)</f>
        <v>0</v>
      </c>
      <c r="Q34" s="95">
        <f t="shared" si="0"/>
        <v>0</v>
      </c>
      <c r="R34" s="2">
        <f t="shared" si="2"/>
        <v>0</v>
      </c>
      <c r="S34" s="74"/>
      <c r="T34" s="74"/>
      <c r="U34" s="74"/>
      <c r="X34" s="177"/>
      <c r="AB34" s="177">
        <f t="shared" si="5"/>
        <v>27</v>
      </c>
      <c r="AC34" s="2">
        <f t="shared" si="3"/>
        <v>6</v>
      </c>
      <c r="AG34" s="220">
        <f t="shared" si="11"/>
        <v>0</v>
      </c>
      <c r="AH34" s="220">
        <f ca="1">IF(HLOOKUP($F34,Jornada!$X$7:$AD$37,VLOOKUP(INDIRECT($C$5),Jornada!$C$8:$W$37,21,0),0)=0,0,VLOOKUP(INDIRECT($C$5),Jornada!$C$8:$H$37,4,0))</f>
        <v>0</v>
      </c>
      <c r="AI34" s="155">
        <f ca="1">IF(AND(I34=0,J34=0,OR(H34&lt;&gt;0,K34&lt;&gt;0),HLOOKUP($F34,Jornada!$X$7:$AD$37,VLOOKUP(INDIRECT($C$5),Jornada!$C$8:$W$37,21,0),0)&gt;$AK$5,M34&gt;$AK$5),VLOOKUP(INDIRECT($C$5),Jornada!$C$8:$H$37,6,0),IF(AG34&gt;VLOOKUP(INDIRECT($C$5),Jornada!$C$8:$H$37,6,0),IF(VLOOKUP(INDIRECT($C$5),Jornada!$C$8:$H$37,6,0)&lt;AG34,0,ABS(VLOOKUP(INDIRECT($C$5),Jornada!$C$8:$H$37,6,0))-AG34),0))</f>
        <v>0</v>
      </c>
      <c r="AJ34" s="155">
        <f t="shared" si="12"/>
        <v>1</v>
      </c>
      <c r="AK34" s="155">
        <f t="shared" si="13"/>
        <v>0</v>
      </c>
      <c r="AL34" s="155">
        <f ca="1">HLOOKUP($F34,Jornada!$I$5:$V$37,VLOOKUP(INDIRECT($C$5),Jornada!$C$8:$W$37,21,0)+2,0)</f>
        <v>0</v>
      </c>
      <c r="AM34" s="155">
        <f ca="1">HLOOKUP($F34,Jornada!$I$4:$V$37,VLOOKUP(INDIRECT($C$5),Jornada!$C$8:$W$37,21,0)+3,0)</f>
        <v>0</v>
      </c>
      <c r="AN34" s="155">
        <f t="shared" ca="1" si="14"/>
        <v>0</v>
      </c>
      <c r="AO34" s="155">
        <f t="shared" si="15"/>
        <v>0</v>
      </c>
      <c r="AP34" s="155">
        <f t="shared" si="4"/>
        <v>0</v>
      </c>
    </row>
    <row r="35" spans="1:42" s="2" customFormat="1" ht="30" customHeight="1" thickTop="1" thickBot="1" x14ac:dyDescent="0.25">
      <c r="A35" s="1"/>
      <c r="B35"/>
      <c r="C35" s="172" t="str">
        <f>IF(Funcionários!C34=0,"",Funcionários!C34)</f>
        <v/>
      </c>
      <c r="D35"/>
      <c r="E35" s="115">
        <f>Lanç!E35</f>
        <v>28</v>
      </c>
      <c r="F35" s="189" t="str">
        <f>Lanç!F35</f>
        <v>Sáb</v>
      </c>
      <c r="G35" s="80"/>
      <c r="H35" s="94"/>
      <c r="I35" s="94"/>
      <c r="J35" s="94"/>
      <c r="K35" s="94"/>
      <c r="L35" s="197"/>
      <c r="M35" s="95">
        <f t="shared" si="1"/>
        <v>0</v>
      </c>
      <c r="N35" s="196"/>
      <c r="O35" s="95">
        <f ca="1">IF(OR(G35=0,G35="Férias",G35="Falta Justificada",G35="Feriado",G35="Folga (DSR)"),0,IF(G35="Falta Injustificada",HLOOKUP($F35,Jornada!$X$7:$AD$37,VLOOKUP(INDIRECT($C$5),Jornada!$C$8:$W$37,21,0),0),IF(HLOOKUP($F35,Jornada!$X$7:$AD$37,VLOOKUP(INDIRECT($C$5),Jornada!$C$8:$W$37,21,0),0)-M35&gt;0,HLOOKUP($F35,Jornada!$X$7:$AD$37,VLOOKUP(INDIRECT($C$5),Jornada!$C$8:$W$37,21,0),0)-M35,0)))</f>
        <v>0</v>
      </c>
      <c r="P35" s="193">
        <f ca="1">IF(HLOOKUP($F35,Jornada!$X$7:$AD$37,VLOOKUP(INDIRECT($C$5),Jornada!$C$8:$W$37,21,0),0)-M35&lt;0,ABS(HLOOKUP($F35,Jornada!$X$7:$AD$37,VLOOKUP(INDIRECT($C$5),Jornada!$C$8:$W$37,21,0),0)-M35),0)</f>
        <v>0</v>
      </c>
      <c r="Q35" s="95">
        <f t="shared" si="0"/>
        <v>0</v>
      </c>
      <c r="R35" s="2">
        <f t="shared" si="2"/>
        <v>0</v>
      </c>
      <c r="S35"/>
      <c r="T35"/>
      <c r="U35"/>
      <c r="X35" s="177"/>
      <c r="AB35" s="177">
        <f>IF(MONTH(AB34+1)&lt;&gt;MONTH(AB34),"",AB34+1)</f>
        <v>28</v>
      </c>
      <c r="AC35" s="2">
        <f t="shared" si="3"/>
        <v>7</v>
      </c>
      <c r="AG35" s="220">
        <f t="shared" si="11"/>
        <v>0</v>
      </c>
      <c r="AH35" s="220">
        <f ca="1">IF(HLOOKUP($F35,Jornada!$X$7:$AD$37,VLOOKUP(INDIRECT($C$5),Jornada!$C$8:$W$37,21,0),0)=0,0,VLOOKUP(INDIRECT($C$5),Jornada!$C$8:$H$37,4,0))</f>
        <v>0</v>
      </c>
      <c r="AI35" s="155">
        <f ca="1">IF(AND(I35=0,J35=0,OR(H35&lt;&gt;0,K35&lt;&gt;0),HLOOKUP($F35,Jornada!$X$7:$AD$37,VLOOKUP(INDIRECT($C$5),Jornada!$C$8:$W$37,21,0),0)&gt;$AK$5,M35&gt;$AK$5),VLOOKUP(INDIRECT($C$5),Jornada!$C$8:$H$37,6,0),IF(AG35&gt;VLOOKUP(INDIRECT($C$5),Jornada!$C$8:$H$37,6,0),IF(VLOOKUP(INDIRECT($C$5),Jornada!$C$8:$H$37,6,0)&lt;AG35,0,ABS(VLOOKUP(INDIRECT($C$5),Jornada!$C$8:$H$37,6,0))-AG35),0))</f>
        <v>0</v>
      </c>
      <c r="AJ35" s="155">
        <f t="shared" si="12"/>
        <v>1</v>
      </c>
      <c r="AK35" s="155">
        <f t="shared" si="13"/>
        <v>0</v>
      </c>
      <c r="AL35" s="155">
        <f ca="1">HLOOKUP($F35,Jornada!$I$5:$V$37,VLOOKUP(INDIRECT($C$5),Jornada!$C$8:$W$37,21,0)+2,0)</f>
        <v>0</v>
      </c>
      <c r="AM35" s="155">
        <f ca="1">HLOOKUP($F35,Jornada!$I$4:$V$37,VLOOKUP(INDIRECT($C$5),Jornada!$C$8:$W$37,21,0)+3,0)</f>
        <v>0</v>
      </c>
      <c r="AN35" s="155">
        <f t="shared" ca="1" si="14"/>
        <v>0</v>
      </c>
      <c r="AO35" s="155">
        <f t="shared" si="15"/>
        <v>0</v>
      </c>
      <c r="AP35" s="155">
        <f t="shared" si="4"/>
        <v>0</v>
      </c>
    </row>
    <row r="36" spans="1:42" s="2" customFormat="1" ht="30" customHeight="1" thickTop="1" thickBot="1" x14ac:dyDescent="0.25">
      <c r="A36" s="1"/>
      <c r="B36"/>
      <c r="C36" s="172" t="str">
        <f>IF(Funcionários!C35=0,"",Funcionários!C35)</f>
        <v/>
      </c>
      <c r="D36"/>
      <c r="E36" s="115">
        <f>Lanç!E36</f>
        <v>29</v>
      </c>
      <c r="F36" s="189" t="str">
        <f>Lanç!F36</f>
        <v>Dom</v>
      </c>
      <c r="G36" s="80"/>
      <c r="H36" s="94"/>
      <c r="I36" s="94"/>
      <c r="J36" s="94"/>
      <c r="K36" s="94"/>
      <c r="L36" s="197"/>
      <c r="M36" s="95">
        <f t="shared" si="1"/>
        <v>0</v>
      </c>
      <c r="N36" s="196"/>
      <c r="O36" s="95">
        <f ca="1">IF(OR(G36=0,G36="Férias",G36="Falta Justificada",G36="Feriado",G36="Folga (DSR)"),0,IF(G36="Falta Injustificada",HLOOKUP($F36,Jornada!$X$7:$AD$37,VLOOKUP(INDIRECT($C$5),Jornada!$C$8:$W$37,21,0),0),IF(HLOOKUP($F36,Jornada!$X$7:$AD$37,VLOOKUP(INDIRECT($C$5),Jornada!$C$8:$W$37,21,0),0)-M36&gt;0,HLOOKUP($F36,Jornada!$X$7:$AD$37,VLOOKUP(INDIRECT($C$5),Jornada!$C$8:$W$37,21,0),0)-M36,0)))</f>
        <v>0</v>
      </c>
      <c r="P36" s="193">
        <f ca="1">IF(HLOOKUP($F36,Jornada!$X$7:$AD$37,VLOOKUP(INDIRECT($C$5),Jornada!$C$8:$W$37,21,0),0)-M36&lt;0,ABS(HLOOKUP($F36,Jornada!$X$7:$AD$37,VLOOKUP(INDIRECT($C$5),Jornada!$C$8:$W$37,21,0),0)-M36),0)</f>
        <v>0</v>
      </c>
      <c r="Q36" s="95">
        <f t="shared" si="0"/>
        <v>0</v>
      </c>
      <c r="R36" s="2">
        <f t="shared" si="2"/>
        <v>0</v>
      </c>
      <c r="S36"/>
      <c r="T36"/>
      <c r="U36"/>
      <c r="X36" s="177"/>
      <c r="AB36" s="177">
        <f>IF(MONTH(AB35+1)&lt;&gt;MONTH(AB35),"",IF(AB35="","",AB35+1))</f>
        <v>29</v>
      </c>
      <c r="AC36" s="2">
        <f>IF(ISERROR(WEEKDAY(AB36)),"",WEEKDAY(AB36))</f>
        <v>1</v>
      </c>
      <c r="AG36" s="220">
        <f t="shared" si="11"/>
        <v>0</v>
      </c>
      <c r="AH36" s="220">
        <f ca="1">IF(HLOOKUP($F36,Jornada!$X$7:$AD$37,VLOOKUP(INDIRECT($C$5),Jornada!$C$8:$W$37,21,0),0)=0,0,VLOOKUP(INDIRECT($C$5),Jornada!$C$8:$H$37,4,0))</f>
        <v>0</v>
      </c>
      <c r="AI36" s="155">
        <f ca="1">IF(AND(I36=0,J36=0,OR(H36&lt;&gt;0,K36&lt;&gt;0),HLOOKUP($F36,Jornada!$X$7:$AD$37,VLOOKUP(INDIRECT($C$5),Jornada!$C$8:$W$37,21,0),0)&gt;$AK$5,M36&gt;$AK$5),VLOOKUP(INDIRECT($C$5),Jornada!$C$8:$H$37,6,0),IF(AG36&gt;VLOOKUP(INDIRECT($C$5),Jornada!$C$8:$H$37,6,0),IF(VLOOKUP(INDIRECT($C$5),Jornada!$C$8:$H$37,6,0)&lt;AG36,0,ABS(VLOOKUP(INDIRECT($C$5),Jornada!$C$8:$H$37,6,0))-AG36),0))</f>
        <v>0</v>
      </c>
      <c r="AJ36" s="155">
        <f t="shared" si="12"/>
        <v>1</v>
      </c>
      <c r="AK36" s="155">
        <f t="shared" si="13"/>
        <v>0</v>
      </c>
      <c r="AL36" s="155">
        <f ca="1">HLOOKUP($F36,Jornada!$I$5:$V$37,VLOOKUP(INDIRECT($C$5),Jornada!$C$8:$W$37,21,0)+2,0)</f>
        <v>0</v>
      </c>
      <c r="AM36" s="155">
        <f ca="1">HLOOKUP($F36,Jornada!$I$4:$V$37,VLOOKUP(INDIRECT($C$5),Jornada!$C$8:$W$37,21,0)+3,0)</f>
        <v>0</v>
      </c>
      <c r="AN36" s="155">
        <f t="shared" ca="1" si="14"/>
        <v>0</v>
      </c>
      <c r="AO36" s="155">
        <f t="shared" si="15"/>
        <v>0</v>
      </c>
      <c r="AP36" s="155">
        <f t="shared" si="4"/>
        <v>0</v>
      </c>
    </row>
    <row r="37" spans="1:42" s="2" customFormat="1" ht="30" customHeight="1" thickTop="1" thickBot="1" x14ac:dyDescent="0.25">
      <c r="A37" s="1"/>
      <c r="B37"/>
      <c r="C37" s="172" t="str">
        <f>IF(Funcionários!C36=0,"",Funcionários!C36)</f>
        <v/>
      </c>
      <c r="D37"/>
      <c r="E37" s="115">
        <f>Lanç!E37</f>
        <v>30</v>
      </c>
      <c r="F37" s="189" t="str">
        <f>Lanç!F37</f>
        <v>Seg</v>
      </c>
      <c r="G37" s="80"/>
      <c r="H37" s="94"/>
      <c r="I37" s="94"/>
      <c r="J37" s="94"/>
      <c r="K37" s="94"/>
      <c r="L37" s="197"/>
      <c r="M37" s="95">
        <f t="shared" si="1"/>
        <v>0</v>
      </c>
      <c r="N37" s="196"/>
      <c r="O37" s="95">
        <f ca="1">IF(OR(G37=0,G37="Férias",G37="Falta Justificada",G37="Feriado",G37="Folga (DSR)"),0,IF(G37="Falta Injustificada",HLOOKUP($F37,Jornada!$X$7:$AD$37,VLOOKUP(INDIRECT($C$5),Jornada!$C$8:$W$37,21,0),0),IF(HLOOKUP($F37,Jornada!$X$7:$AD$37,VLOOKUP(INDIRECT($C$5),Jornada!$C$8:$W$37,21,0),0)-M37&gt;0,HLOOKUP($F37,Jornada!$X$7:$AD$37,VLOOKUP(INDIRECT($C$5),Jornada!$C$8:$W$37,21,0),0)-M37,0)))</f>
        <v>0</v>
      </c>
      <c r="P37" s="193">
        <f ca="1">IF(HLOOKUP($F37,Jornada!$X$7:$AD$37,VLOOKUP(INDIRECT($C$5),Jornada!$C$8:$W$37,21,0),0)-M37&lt;0,ABS(HLOOKUP($F37,Jornada!$X$7:$AD$37,VLOOKUP(INDIRECT($C$5),Jornada!$C$8:$W$37,21,0),0)-M37),0)</f>
        <v>0</v>
      </c>
      <c r="Q37" s="95">
        <f t="shared" si="0"/>
        <v>0</v>
      </c>
      <c r="R37" s="2">
        <f t="shared" si="2"/>
        <v>0</v>
      </c>
      <c r="S37"/>
      <c r="T37"/>
      <c r="U37"/>
      <c r="X37" s="177"/>
      <c r="AB37" s="177">
        <f>IF(AB36="","",IF(MONTH(AB36+1)&lt;&gt;MONTH(AB36),"",AB36+1))</f>
        <v>30</v>
      </c>
      <c r="AC37" s="2">
        <f>IF(ISERROR(WEEKDAY(AB37)),"",WEEKDAY(AB37))</f>
        <v>2</v>
      </c>
      <c r="AG37" s="220">
        <f t="shared" si="11"/>
        <v>0</v>
      </c>
      <c r="AH37" s="220">
        <f ca="1">IF(HLOOKUP($F37,Jornada!$X$7:$AD$37,VLOOKUP(INDIRECT($C$5),Jornada!$C$8:$W$37,21,0),0)=0,0,VLOOKUP(INDIRECT($C$5),Jornada!$C$8:$H$37,4,0))</f>
        <v>0</v>
      </c>
      <c r="AI37" s="155">
        <f ca="1">IF(AND(I37=0,J37=0,OR(H37&lt;&gt;0,K37&lt;&gt;0),HLOOKUP($F37,Jornada!$X$7:$AD$37,VLOOKUP(INDIRECT($C$5),Jornada!$C$8:$W$37,21,0),0)&gt;$AK$5,M37&gt;$AK$5),VLOOKUP(INDIRECT($C$5),Jornada!$C$8:$H$37,6,0),IF(AG37&gt;VLOOKUP(INDIRECT($C$5),Jornada!$C$8:$H$37,6,0),IF(VLOOKUP(INDIRECT($C$5),Jornada!$C$8:$H$37,6,0)&lt;AG37,0,ABS(VLOOKUP(INDIRECT($C$5),Jornada!$C$8:$H$37,6,0))-AG37),0))</f>
        <v>0</v>
      </c>
      <c r="AJ37" s="155">
        <f t="shared" si="12"/>
        <v>1</v>
      </c>
      <c r="AK37" s="155">
        <f t="shared" si="13"/>
        <v>0</v>
      </c>
      <c r="AL37" s="155">
        <f ca="1">HLOOKUP($F37,Jornada!$I$5:$V$37,VLOOKUP(INDIRECT($C$5),Jornada!$C$8:$W$37,21,0)+2,0)</f>
        <v>0</v>
      </c>
      <c r="AM37" s="155">
        <f ca="1">HLOOKUP($F37,Jornada!$I$4:$V$37,VLOOKUP(INDIRECT($C$5),Jornada!$C$8:$W$37,21,0)+3,0)</f>
        <v>0</v>
      </c>
      <c r="AN37" s="155">
        <f t="shared" ca="1" si="14"/>
        <v>0</v>
      </c>
      <c r="AO37" s="155">
        <f t="shared" si="15"/>
        <v>0</v>
      </c>
      <c r="AP37" s="155">
        <f t="shared" si="4"/>
        <v>0</v>
      </c>
    </row>
    <row r="38" spans="1:42" s="2" customFormat="1" ht="30" customHeight="1" thickTop="1" thickBot="1" x14ac:dyDescent="0.25">
      <c r="A38" s="1"/>
      <c r="B38"/>
      <c r="C38"/>
      <c r="D38" s="2">
        <f t="shared" ref="D38" si="16">IF(D37=7,1,D37+1)</f>
        <v>1</v>
      </c>
      <c r="E38" s="210">
        <f>Lanç!E38</f>
        <v>31</v>
      </c>
      <c r="F38" s="210" t="str">
        <f>Lanç!F38</f>
        <v>Ter</v>
      </c>
      <c r="G38" s="81"/>
      <c r="H38" s="94"/>
      <c r="I38" s="94"/>
      <c r="J38" s="94"/>
      <c r="K38" s="94"/>
      <c r="L38" s="197"/>
      <c r="M38" s="95">
        <f t="shared" si="1"/>
        <v>0</v>
      </c>
      <c r="N38" s="196"/>
      <c r="O38" s="95">
        <f ca="1">IF(OR(G38=0,G38="Férias",G38="Falta Justificada",G38="Feriado",G38="Folga (DSR)"),0,IF(G38="Falta Injustificada",HLOOKUP($F38,Jornada!$X$7:$AD$37,VLOOKUP(INDIRECT($C$5),Jornada!$C$8:$W$37,21,0),0),IF(HLOOKUP($F38,Jornada!$X$7:$AD$37,VLOOKUP(INDIRECT($C$5),Jornada!$C$8:$W$37,21,0),0)-M38&gt;0,HLOOKUP($F38,Jornada!$X$7:$AD$37,VLOOKUP(INDIRECT($C$5),Jornada!$C$8:$W$37,21,0),0)-M38,0)))</f>
        <v>0</v>
      </c>
      <c r="P38" s="201">
        <f ca="1">IF(HLOOKUP($F38,Jornada!$X$7:$AD$37,VLOOKUP(INDIRECT($C$5),Jornada!$C$8:$W$37,21,0),0)-M38&lt;0,ABS(HLOOKUP($F38,Jornada!$X$7:$AD$37,VLOOKUP(INDIRECT($C$5),Jornada!$C$8:$W$37,21,0),0)-M38),0)</f>
        <v>0</v>
      </c>
      <c r="Q38" s="95">
        <f t="shared" si="0"/>
        <v>0</v>
      </c>
      <c r="R38" s="2">
        <f t="shared" si="2"/>
        <v>0</v>
      </c>
      <c r="X38" s="177"/>
      <c r="AB38" s="177">
        <f>IF(AB37="","",IF(MONTH(AB37+1)&lt;&gt;MONTH(AB37),"",AB37+1))</f>
        <v>31</v>
      </c>
      <c r="AC38" s="2">
        <f>IF(ISERROR(WEEKDAY(AB38)),"",WEEKDAY(AB38))</f>
        <v>3</v>
      </c>
      <c r="AG38" s="220">
        <f t="shared" si="11"/>
        <v>0</v>
      </c>
      <c r="AH38" s="220">
        <f ca="1">IF(HLOOKUP($F38,Jornada!$X$7:$AD$37,VLOOKUP(INDIRECT($C$5),Jornada!$C$8:$W$37,21,0),0)=0,0,VLOOKUP(INDIRECT($C$5),Jornada!$C$8:$H$37,4,0))</f>
        <v>0</v>
      </c>
      <c r="AI38" s="155">
        <f ca="1">IF(AND(I38=0,J38=0,OR(H38&lt;&gt;0,K38&lt;&gt;0),HLOOKUP($F38,Jornada!$X$7:$AD$37,VLOOKUP(INDIRECT($C$5),Jornada!$C$8:$W$37,21,0),0)&gt;$AK$5,M38&gt;$AK$5),VLOOKUP(INDIRECT($C$5),Jornada!$C$8:$H$37,6,0),IF(AG38&gt;VLOOKUP(INDIRECT($C$5),Jornada!$C$8:$H$37,6,0),IF(VLOOKUP(INDIRECT($C$5),Jornada!$C$8:$H$37,6,0)&lt;AG38,0,ABS(VLOOKUP(INDIRECT($C$5),Jornada!$C$8:$H$37,6,0))-AG38),0))</f>
        <v>0</v>
      </c>
      <c r="AJ38" s="155">
        <f t="shared" si="12"/>
        <v>1</v>
      </c>
      <c r="AK38" s="155">
        <f t="shared" si="13"/>
        <v>0</v>
      </c>
      <c r="AL38" s="155">
        <f ca="1">HLOOKUP($F38,Jornada!$I$5:$V$37,VLOOKUP(INDIRECT($C$5),Jornada!$C$8:$W$37,21,0)+2,0)</f>
        <v>0</v>
      </c>
      <c r="AM38" s="155">
        <f ca="1">HLOOKUP($F38,Jornada!$I$4:$V$37,VLOOKUP(INDIRECT($C$5),Jornada!$C$8:$W$37,21,0)+3,0)</f>
        <v>0</v>
      </c>
      <c r="AN38" s="155">
        <f t="shared" ca="1" si="14"/>
        <v>0</v>
      </c>
      <c r="AO38" s="155">
        <f t="shared" si="15"/>
        <v>0</v>
      </c>
      <c r="AP38" s="155">
        <f t="shared" si="4"/>
        <v>0</v>
      </c>
    </row>
    <row r="39" spans="1:42" s="2" customFormat="1" ht="30" customHeight="1" thickTop="1" x14ac:dyDescent="0.2">
      <c r="A39" s="9"/>
      <c r="B39" s="234"/>
      <c r="C39" s="234"/>
      <c r="D39" s="234"/>
      <c r="E39" s="236">
        <f>EOMONTH(AB8,0)</f>
        <v>31</v>
      </c>
      <c r="F39" s="234">
        <f>DAY(E39)</f>
        <v>31</v>
      </c>
      <c r="G39" s="237">
        <f>COUNTIF(F8:F38,"Dom")+COUNTIF(G8:G38,"Feriado")</f>
        <v>5</v>
      </c>
      <c r="H39" s="238">
        <f>(SUM(Q8:Q38)/(F39-G39))*G39</f>
        <v>0</v>
      </c>
      <c r="I39" s="234"/>
      <c r="J39" s="234"/>
      <c r="K39" s="234"/>
      <c r="L39" s="234"/>
      <c r="M39" s="234"/>
      <c r="Z39" s="219"/>
    </row>
    <row r="40" spans="1:42" s="2" customFormat="1" ht="30" customHeight="1" x14ac:dyDescent="0.2">
      <c r="A40" s="9"/>
      <c r="B40" s="234"/>
      <c r="C40" s="239"/>
      <c r="D40" s="239"/>
      <c r="E40" s="239"/>
      <c r="F40" s="240"/>
      <c r="G40" s="241"/>
      <c r="H40" s="234">
        <f ca="1">IF(INDIRECT($C$5)="",0,VLOOKUP(INDIRECT($C$5),Funcionários!$C$7:$E$36,3,0)+IF(VLOOKUP(INDIRECT($C$5),Jornada!$C$8:$E$37,2,0)="Sim",IF('P Gerais'!$I$8&lt;&gt;0,VLOOKUP(INDIRECT($C$5),Funcionários!$C$7:$E$36,3,0)*'P Gerais'!$L$14,'P Gerais'!$I$8*'P Gerais'!$L$14),0)+IF(VLOOKUP(INDIRECT($C$5),Jornada!$C$8:$E$37,3,0)="Sim",VLOOKUP(INDIRECT($C$5),Funcionários!$C$7:$E$36,3,0)*'P Gerais'!$K$14,0))</f>
        <v>0</v>
      </c>
      <c r="I40" s="234">
        <f ca="1">VLOOKUP(INDIRECT($C$5),Jornada!$C$8:$AF$37,30,0)</f>
        <v>0</v>
      </c>
      <c r="J40" s="234" t="s">
        <v>298</v>
      </c>
      <c r="K40" s="242">
        <f ca="1">IF(I40=0,0,H40/I40)</f>
        <v>0</v>
      </c>
      <c r="L40" s="234"/>
      <c r="M40" s="234"/>
      <c r="Z40" s="219"/>
    </row>
    <row r="41" spans="1:42" s="2" customFormat="1" ht="30" customHeight="1" x14ac:dyDescent="0.2">
      <c r="A41" s="9"/>
      <c r="B41" s="234" t="s">
        <v>52</v>
      </c>
      <c r="C41" s="292" t="s">
        <v>75</v>
      </c>
      <c r="D41" s="292"/>
      <c r="E41" s="292"/>
      <c r="F41" s="243">
        <f t="shared" ref="F41:F47" si="17">SUMIFS($Q$8:$Q$38,$F$8:$F$38,$B41,$G$8:$G$38,"Normal")</f>
        <v>0</v>
      </c>
      <c r="G41" s="244">
        <f>IF($M$41="Sistema de banco de horas",0,'P Gerais'!$C$14)</f>
        <v>0.5</v>
      </c>
      <c r="H41" s="245">
        <f t="shared" ref="H41:H48" ca="1" si="18">IF($M$41="Sistema de banco de horas",0,$K$40*(1+G41)*(F41*24))</f>
        <v>0</v>
      </c>
      <c r="I41" s="243">
        <f t="shared" ref="I41:I47" ca="1" si="19">IF(SUMIF($F$8:$F$38,$B41,$Q$8:$Q$38)-SUMIFS($M$8:$M$38,$F$8:$F$38,$B41,$G$8:$G$38,"Feriado")-SUMIFS($M$8:$M$38,$F$8:$F$38,$B41,$G$8:$G$38,"Folga (DSR)")-SUMIFS($M$8:$M$38,$F$8:$F$38,$B41,$G$8:$G$38,"Férias")-SUMIF($F$8:$F$38,$B41,$AN$8:$AN$38)-SUMIF($F$8:$F$38,$B41,$AO$8:$AO$38)&lt;0,0,SUMIF($F$8:$F$38,$B41,$Q$8:$Q$38)-SUMIFS($M$8:$M$38,$F$8:$F$38,$B41,$G$8:$G$38,"Feriado")-SUMIFS($M$8:$M$38,$F$8:$F$38,$B41,$G$8:$G$38,"Folga (DSR)")-SUMIFS($M$8:$M$38,$F$8:$F$38,$B41,$G$8:$G$38,"Férias")-SUMIF($F$8:$F$38,$B41,$AN$8:$AN$38)-SUMIF($F$8:$F$38,$B41,$AO$8:$AO$38))</f>
        <v>0</v>
      </c>
      <c r="J41" s="245">
        <f ca="1">H41</f>
        <v>0</v>
      </c>
      <c r="K41" s="234"/>
      <c r="L41" s="234"/>
      <c r="M41" s="234">
        <f>'P Gerais'!I10</f>
        <v>0</v>
      </c>
      <c r="Z41" s="219"/>
    </row>
    <row r="42" spans="1:42" s="2" customFormat="1" ht="30" customHeight="1" x14ac:dyDescent="0.2">
      <c r="A42" s="9"/>
      <c r="B42" s="234" t="s">
        <v>53</v>
      </c>
      <c r="C42" s="292" t="s">
        <v>76</v>
      </c>
      <c r="D42" s="292"/>
      <c r="E42" s="292"/>
      <c r="F42" s="243">
        <f t="shared" si="17"/>
        <v>0</v>
      </c>
      <c r="G42" s="244">
        <f>IF($M$41="Sistema de banco de horas",0,'P Gerais'!$C$14)</f>
        <v>0.5</v>
      </c>
      <c r="H42" s="245">
        <f t="shared" ca="1" si="18"/>
        <v>0</v>
      </c>
      <c r="I42" s="243">
        <f t="shared" ca="1" si="19"/>
        <v>0</v>
      </c>
      <c r="J42" s="245">
        <f t="shared" ref="J42:J51" ca="1" si="20">H42</f>
        <v>0</v>
      </c>
      <c r="K42" s="234"/>
      <c r="L42" s="234"/>
      <c r="M42" s="234"/>
      <c r="Z42" s="219"/>
    </row>
    <row r="43" spans="1:42" s="2" customFormat="1" ht="30" customHeight="1" x14ac:dyDescent="0.2">
      <c r="A43" s="9"/>
      <c r="B43" s="234" t="s">
        <v>54</v>
      </c>
      <c r="C43" s="292" t="s">
        <v>77</v>
      </c>
      <c r="D43" s="292"/>
      <c r="E43" s="292"/>
      <c r="F43" s="243">
        <f t="shared" si="17"/>
        <v>0</v>
      </c>
      <c r="G43" s="244">
        <f>IF($M$41="Sistema de banco de horas",0,'P Gerais'!$C$14)</f>
        <v>0.5</v>
      </c>
      <c r="H43" s="245">
        <f t="shared" ca="1" si="18"/>
        <v>0</v>
      </c>
      <c r="I43" s="243">
        <f t="shared" ca="1" si="19"/>
        <v>0</v>
      </c>
      <c r="J43" s="245">
        <f t="shared" ca="1" si="20"/>
        <v>0</v>
      </c>
      <c r="K43" s="234"/>
      <c r="L43" s="234"/>
      <c r="M43" s="234"/>
      <c r="Z43" s="219"/>
    </row>
    <row r="44" spans="1:42" s="2" customFormat="1" ht="30" customHeight="1" x14ac:dyDescent="0.2">
      <c r="A44" s="9"/>
      <c r="B44" s="234" t="s">
        <v>55</v>
      </c>
      <c r="C44" s="292" t="s">
        <v>78</v>
      </c>
      <c r="D44" s="292"/>
      <c r="E44" s="292"/>
      <c r="F44" s="243">
        <f t="shared" si="17"/>
        <v>0</v>
      </c>
      <c r="G44" s="244">
        <f>IF($M$41="Sistema de banco de horas",0,'P Gerais'!$C$14)</f>
        <v>0.5</v>
      </c>
      <c r="H44" s="245">
        <f t="shared" ca="1" si="18"/>
        <v>0</v>
      </c>
      <c r="I44" s="243">
        <f t="shared" ca="1" si="19"/>
        <v>0</v>
      </c>
      <c r="J44" s="245">
        <f t="shared" ca="1" si="20"/>
        <v>0</v>
      </c>
      <c r="K44" s="234"/>
      <c r="L44" s="234"/>
      <c r="M44" s="234"/>
      <c r="Z44" s="219"/>
    </row>
    <row r="45" spans="1:42" s="2" customFormat="1" ht="30" customHeight="1" x14ac:dyDescent="0.2">
      <c r="A45" s="9"/>
      <c r="B45" s="234" t="s">
        <v>56</v>
      </c>
      <c r="C45" s="292" t="s">
        <v>79</v>
      </c>
      <c r="D45" s="292"/>
      <c r="E45" s="292"/>
      <c r="F45" s="243">
        <f t="shared" si="17"/>
        <v>0</v>
      </c>
      <c r="G45" s="244">
        <f>IF($M$41="Sistema de banco de horas",0,'P Gerais'!$C$14)</f>
        <v>0.5</v>
      </c>
      <c r="H45" s="245">
        <f t="shared" ca="1" si="18"/>
        <v>0</v>
      </c>
      <c r="I45" s="243">
        <f t="shared" ca="1" si="19"/>
        <v>0</v>
      </c>
      <c r="J45" s="245">
        <f t="shared" ca="1" si="20"/>
        <v>0</v>
      </c>
      <c r="K45" s="234"/>
      <c r="L45" s="234"/>
      <c r="M45" s="234"/>
      <c r="Z45" s="219"/>
    </row>
    <row r="46" spans="1:42" s="2" customFormat="1" ht="30" customHeight="1" x14ac:dyDescent="0.2">
      <c r="A46" s="9"/>
      <c r="B46" s="234" t="s">
        <v>57</v>
      </c>
      <c r="C46" s="292" t="s">
        <v>82</v>
      </c>
      <c r="D46" s="292"/>
      <c r="E46" s="292"/>
      <c r="F46" s="243">
        <f t="shared" si="17"/>
        <v>0</v>
      </c>
      <c r="G46" s="244">
        <f>IF($M$41="Sistema de banco de horas",0,'P Gerais'!$E$14)</f>
        <v>0.5</v>
      </c>
      <c r="H46" s="245">
        <f t="shared" ca="1" si="18"/>
        <v>0</v>
      </c>
      <c r="I46" s="243">
        <f t="shared" ca="1" si="19"/>
        <v>0</v>
      </c>
      <c r="J46" s="245">
        <f t="shared" ca="1" si="20"/>
        <v>0</v>
      </c>
      <c r="K46" s="234"/>
      <c r="L46" s="234"/>
      <c r="M46" s="234"/>
      <c r="Z46" s="219"/>
    </row>
    <row r="47" spans="1:42" s="2" customFormat="1" ht="30" customHeight="1" x14ac:dyDescent="0.2">
      <c r="A47" s="9"/>
      <c r="B47" s="234" t="s">
        <v>51</v>
      </c>
      <c r="C47" s="292" t="s">
        <v>81</v>
      </c>
      <c r="D47" s="292"/>
      <c r="E47" s="292"/>
      <c r="F47" s="243">
        <f t="shared" si="17"/>
        <v>0</v>
      </c>
      <c r="G47" s="244">
        <f>IF($M$41="Sistema de banco de horas",0,'P Gerais'!$F$14)</f>
        <v>1</v>
      </c>
      <c r="H47" s="245">
        <f t="shared" ca="1" si="18"/>
        <v>0</v>
      </c>
      <c r="I47" s="243">
        <f t="shared" ca="1" si="19"/>
        <v>0</v>
      </c>
      <c r="J47" s="245">
        <f t="shared" ca="1" si="20"/>
        <v>0</v>
      </c>
      <c r="K47" s="234"/>
      <c r="L47" s="234"/>
      <c r="M47" s="234"/>
      <c r="Z47" s="219"/>
    </row>
    <row r="48" spans="1:42" s="2" customFormat="1" ht="30" customHeight="1" x14ac:dyDescent="0.2">
      <c r="A48" s="9"/>
      <c r="B48" s="234"/>
      <c r="C48" s="292" t="s">
        <v>80</v>
      </c>
      <c r="D48" s="292"/>
      <c r="E48" s="292"/>
      <c r="F48" s="243">
        <f>SUMIFS($Q$8:$Q$38,$G$8:$G$38,"Feriado")</f>
        <v>0</v>
      </c>
      <c r="G48" s="244">
        <f>IF($M$41="Sistema de banco de horas",0,'P Gerais'!$I$14)</f>
        <v>1</v>
      </c>
      <c r="H48" s="245">
        <f t="shared" ca="1" si="18"/>
        <v>0</v>
      </c>
      <c r="I48" s="243"/>
      <c r="J48" s="245">
        <f t="shared" ca="1" si="20"/>
        <v>0</v>
      </c>
      <c r="K48" s="234"/>
      <c r="L48" s="234"/>
      <c r="M48" s="234"/>
      <c r="Z48" s="219"/>
    </row>
    <row r="49" spans="1:26" s="2" customFormat="1" ht="15" x14ac:dyDescent="0.2">
      <c r="A49" s="9"/>
      <c r="B49" s="234"/>
      <c r="C49" s="292" t="s">
        <v>146</v>
      </c>
      <c r="D49" s="292"/>
      <c r="E49" s="292"/>
      <c r="F49" s="243">
        <f>SUMIFS($Q$8:$Q$38,$G$8:$G$38,"Folga (DSR)")</f>
        <v>0</v>
      </c>
      <c r="G49" s="244">
        <f>IF($M$41="Sistema de banco de horas",0,'P Gerais'!H14)</f>
        <v>1</v>
      </c>
      <c r="H49" s="245">
        <f ca="1">((F53/(F39-G39))*G39)</f>
        <v>0</v>
      </c>
      <c r="I49" s="243"/>
      <c r="J49" s="245">
        <f t="shared" ca="1" si="20"/>
        <v>0</v>
      </c>
      <c r="K49" s="234"/>
      <c r="L49" s="234"/>
      <c r="M49" s="234"/>
      <c r="Z49" s="219"/>
    </row>
    <row r="50" spans="1:26" s="2" customFormat="1" ht="15" x14ac:dyDescent="0.2">
      <c r="A50" s="9"/>
      <c r="B50" s="234"/>
      <c r="C50" s="292" t="s">
        <v>84</v>
      </c>
      <c r="D50" s="292"/>
      <c r="E50" s="292"/>
      <c r="F50" s="243">
        <f ca="1">IF($M$41="Sistema de banco de horas",(SUM(AI$8:AI$38)*(1+G50)),SUM(AI$8:AI$38))</f>
        <v>0</v>
      </c>
      <c r="G50" s="244">
        <f>IF($M$41="Sistema de banco de horas",0,'P Gerais'!$I$17)</f>
        <v>0.5</v>
      </c>
      <c r="H50" s="245">
        <f ca="1">IF($M$41="Sistema de banco de horas",0,$K$40*(1+G50)*(F50*24))</f>
        <v>0</v>
      </c>
      <c r="I50" s="243">
        <f ca="1">IF(SUM($AN$8:$AO$38)&gt;SUM(AI$8:AI$38),0,SUM(AI$8:AI$38)-SUM($AN$8:$AO$38))</f>
        <v>0</v>
      </c>
      <c r="J50" s="245">
        <f t="shared" ca="1" si="20"/>
        <v>0</v>
      </c>
      <c r="K50" s="234"/>
      <c r="L50" s="234"/>
      <c r="M50" s="234"/>
      <c r="Z50" s="219"/>
    </row>
    <row r="51" spans="1:26" s="2" customFormat="1" ht="15" x14ac:dyDescent="0.2">
      <c r="A51" s="9"/>
      <c r="B51" s="234"/>
      <c r="C51" s="292" t="s">
        <v>85</v>
      </c>
      <c r="D51" s="292"/>
      <c r="E51" s="292"/>
      <c r="F51" s="243">
        <f>IF($M$41="Sistema de banco de horas",(SUM(AK$8:AK$38)*(1+G51)),SUM(AK$8:AK$38))</f>
        <v>0</v>
      </c>
      <c r="G51" s="244">
        <f>IF($M$41="Sistema de banco de horas",0,'P Gerais'!$C$17)</f>
        <v>1</v>
      </c>
      <c r="H51" s="245">
        <f ca="1">IF($M$41="Sistema de banco de horas",0,$K$40*(1+G51)*(F51*24))</f>
        <v>0</v>
      </c>
      <c r="I51" s="243"/>
      <c r="J51" s="245">
        <f t="shared" ca="1" si="20"/>
        <v>0</v>
      </c>
      <c r="K51" s="234"/>
      <c r="L51" s="234"/>
      <c r="M51" s="234"/>
      <c r="Z51" s="219"/>
    </row>
    <row r="52" spans="1:26" s="2" customFormat="1" ht="15" customHeight="1" x14ac:dyDescent="0.2">
      <c r="A52" s="9"/>
      <c r="B52" s="234"/>
      <c r="C52" s="292" t="s">
        <v>87</v>
      </c>
      <c r="D52" s="292"/>
      <c r="E52" s="292"/>
      <c r="F52" s="243">
        <f ca="1">U12</f>
        <v>0</v>
      </c>
      <c r="G52" s="246"/>
      <c r="H52" s="234"/>
      <c r="I52" s="234"/>
      <c r="J52" s="234"/>
      <c r="K52" s="234"/>
      <c r="L52" s="234"/>
      <c r="M52" s="234"/>
      <c r="Z52" s="219"/>
    </row>
    <row r="53" spans="1:26" s="2" customFormat="1" ht="15" x14ac:dyDescent="0.2">
      <c r="A53" s="9"/>
      <c r="B53" s="234"/>
      <c r="C53" s="292" t="s">
        <v>299</v>
      </c>
      <c r="D53" s="292"/>
      <c r="E53" s="292"/>
      <c r="F53" s="247">
        <f ca="1">SUM(H48)+J50+H51+SUM(J41:J47)</f>
        <v>0</v>
      </c>
      <c r="G53" s="248"/>
      <c r="H53" s="234"/>
      <c r="I53" s="234"/>
      <c r="J53" s="234"/>
      <c r="K53" s="234"/>
      <c r="L53" s="234"/>
      <c r="M53" s="234"/>
      <c r="Z53" s="219"/>
    </row>
    <row r="54" spans="1:26" s="2" customFormat="1" ht="15" x14ac:dyDescent="0.2">
      <c r="A54" s="9"/>
      <c r="B54" s="234"/>
      <c r="C54" s="292" t="s">
        <v>88</v>
      </c>
      <c r="D54" s="292"/>
      <c r="E54" s="292"/>
      <c r="F54" s="247">
        <f ca="1">F53+(H49*(1+G49))</f>
        <v>0</v>
      </c>
      <c r="G54" s="248"/>
      <c r="H54" s="249"/>
      <c r="I54" s="234"/>
      <c r="J54" s="234"/>
      <c r="K54" s="234"/>
      <c r="L54" s="234"/>
      <c r="M54" s="234"/>
      <c r="Z54" s="219"/>
    </row>
    <row r="55" spans="1:26" s="2" customFormat="1" ht="15" x14ac:dyDescent="0.2">
      <c r="A55" s="9"/>
      <c r="B55" s="234"/>
      <c r="C55" s="292" t="s">
        <v>89</v>
      </c>
      <c r="D55" s="292"/>
      <c r="E55" s="292"/>
      <c r="F55" s="247">
        <f ca="1">H40+F54</f>
        <v>0</v>
      </c>
      <c r="G55" s="246"/>
      <c r="H55" s="234"/>
      <c r="I55" s="234"/>
      <c r="J55" s="234"/>
      <c r="K55" s="234"/>
      <c r="L55" s="234"/>
      <c r="M55" s="234"/>
      <c r="Z55" s="219"/>
    </row>
    <row r="56" spans="1:26" s="2" customFormat="1" ht="15" x14ac:dyDescent="0.2">
      <c r="A56" s="9"/>
      <c r="B56" s="234"/>
      <c r="C56" s="292" t="s">
        <v>178</v>
      </c>
      <c r="D56" s="292"/>
      <c r="E56" s="292"/>
      <c r="F56" s="243">
        <f>IF($M$41="Sistema de banco de horas",(SUMIF($G$8:$G$38,"Férias",Q8:Q38))*(1+G48),SUMIF($G$8:$G$38,"Férias",Q8:Q38))</f>
        <v>0</v>
      </c>
      <c r="G56" s="246"/>
      <c r="H56" s="234"/>
      <c r="I56" s="234"/>
      <c r="J56" s="234"/>
      <c r="K56" s="234"/>
      <c r="L56" s="234"/>
      <c r="M56" s="234"/>
      <c r="Z56" s="219"/>
    </row>
    <row r="57" spans="1:26" s="2" customFormat="1" ht="15" x14ac:dyDescent="0.2">
      <c r="A57" s="9"/>
      <c r="B57" s="234"/>
      <c r="C57" s="239"/>
      <c r="D57" s="239"/>
      <c r="E57" s="239"/>
      <c r="F57" s="250">
        <f ca="1">U14</f>
        <v>0</v>
      </c>
      <c r="G57" s="246"/>
      <c r="H57" s="234"/>
      <c r="I57" s="234"/>
      <c r="J57" s="234"/>
      <c r="K57" s="234"/>
      <c r="L57" s="234"/>
      <c r="M57" s="234"/>
      <c r="Z57" s="219"/>
    </row>
    <row r="58" spans="1:26" s="2" customFormat="1" ht="15" x14ac:dyDescent="0.2">
      <c r="A58" s="9"/>
      <c r="B58" s="234"/>
      <c r="C58" s="239"/>
      <c r="D58" s="239"/>
      <c r="E58" s="239"/>
      <c r="F58" s="243">
        <f ca="1">SUM(F41:F51)</f>
        <v>0</v>
      </c>
      <c r="G58" s="246"/>
      <c r="H58" s="234"/>
      <c r="I58" s="234"/>
      <c r="J58" s="234"/>
      <c r="K58" s="234"/>
      <c r="L58" s="234"/>
      <c r="M58" s="234"/>
      <c r="Z58" s="219"/>
    </row>
    <row r="59" spans="1:26" s="2" customFormat="1" ht="15" x14ac:dyDescent="0.2">
      <c r="A59" s="9"/>
      <c r="Z59" s="219"/>
    </row>
    <row r="60" spans="1:26" s="2" customFormat="1" ht="15" x14ac:dyDescent="0.2">
      <c r="A60" s="9"/>
      <c r="G60" s="178"/>
      <c r="Z60" s="219"/>
    </row>
    <row r="61" spans="1:26" ht="15" x14ac:dyDescent="0.2"/>
    <row r="62" spans="1:26" ht="15" x14ac:dyDescent="0.2"/>
    <row r="63" spans="1:26" ht="15" x14ac:dyDescent="0.2"/>
    <row r="64" spans="1:26" ht="15" x14ac:dyDescent="0.2"/>
    <row r="65" ht="15" x14ac:dyDescent="0.2"/>
    <row r="66" ht="15" x14ac:dyDescent="0.2"/>
    <row r="67" ht="15" x14ac:dyDescent="0.2"/>
    <row r="68" ht="15" x14ac:dyDescent="0.2"/>
    <row r="69" ht="15" x14ac:dyDescent="0.2"/>
    <row r="70" ht="15" x14ac:dyDescent="0.2"/>
    <row r="71" ht="15" x14ac:dyDescent="0.2"/>
    <row r="72" ht="15" x14ac:dyDescent="0.2"/>
    <row r="73" ht="15" x14ac:dyDescent="0.2"/>
    <row r="74" ht="15" x14ac:dyDescent="0.2"/>
    <row r="75" ht="15" x14ac:dyDescent="0.2"/>
    <row r="76" ht="15" x14ac:dyDescent="0.2"/>
    <row r="77" ht="15" x14ac:dyDescent="0.2"/>
    <row r="78" ht="15" x14ac:dyDescent="0.2"/>
    <row r="79" ht="15" x14ac:dyDescent="0.2"/>
    <row r="80" ht="15" x14ac:dyDescent="0.2"/>
    <row r="81" ht="15" x14ac:dyDescent="0.2"/>
    <row r="82" ht="15" x14ac:dyDescent="0.2"/>
    <row r="83" ht="15" x14ac:dyDescent="0.2"/>
    <row r="84" ht="15" x14ac:dyDescent="0.2"/>
    <row r="85" ht="15" x14ac:dyDescent="0.2"/>
    <row r="86" ht="15" x14ac:dyDescent="0.2"/>
    <row r="87" ht="15" x14ac:dyDescent="0.2"/>
    <row r="88" ht="15" x14ac:dyDescent="0.2"/>
    <row r="89" ht="15" x14ac:dyDescent="0.2"/>
    <row r="90" ht="15" x14ac:dyDescent="0.2"/>
    <row r="91" ht="15" x14ac:dyDescent="0.2"/>
    <row r="92" ht="15" x14ac:dyDescent="0.2"/>
    <row r="93" ht="15" x14ac:dyDescent="0.2"/>
    <row r="94" ht="15" x14ac:dyDescent="0.2"/>
    <row r="95" ht="15" x14ac:dyDescent="0.2"/>
    <row r="96" ht="15" x14ac:dyDescent="0.2"/>
    <row r="97" ht="15" x14ac:dyDescent="0.2"/>
    <row r="98" ht="15" x14ac:dyDescent="0.2"/>
    <row r="99" ht="15" x14ac:dyDescent="0.2"/>
    <row r="100" ht="15" x14ac:dyDescent="0.2"/>
    <row r="101" ht="15" x14ac:dyDescent="0.2"/>
    <row r="102" ht="15" x14ac:dyDescent="0.2"/>
    <row r="103" ht="15" x14ac:dyDescent="0.2"/>
  </sheetData>
  <sheetProtection sheet="1" objects="1" scenarios="1" selectLockedCells="1"/>
  <mergeCells count="34">
    <mergeCell ref="C56:E56"/>
    <mergeCell ref="C48:E48"/>
    <mergeCell ref="C49:E49"/>
    <mergeCell ref="C50:E50"/>
    <mergeCell ref="C52:E52"/>
    <mergeCell ref="C53:E53"/>
    <mergeCell ref="C54:E54"/>
    <mergeCell ref="C51:E51"/>
    <mergeCell ref="C44:E44"/>
    <mergeCell ref="C55:E55"/>
    <mergeCell ref="C45:E45"/>
    <mergeCell ref="C46:E46"/>
    <mergeCell ref="C47:E47"/>
    <mergeCell ref="S22:U22"/>
    <mergeCell ref="C41:E41"/>
    <mergeCell ref="C42:E42"/>
    <mergeCell ref="C43:E43"/>
    <mergeCell ref="S26:U28"/>
    <mergeCell ref="S23:U25"/>
    <mergeCell ref="E7:F7"/>
    <mergeCell ref="I7:J7"/>
    <mergeCell ref="S7:U7"/>
    <mergeCell ref="S8:T9"/>
    <mergeCell ref="U8:U9"/>
    <mergeCell ref="S16:T17"/>
    <mergeCell ref="U16:U17"/>
    <mergeCell ref="S18:T19"/>
    <mergeCell ref="S10:T11"/>
    <mergeCell ref="U10:U11"/>
    <mergeCell ref="S12:T13"/>
    <mergeCell ref="U12:U13"/>
    <mergeCell ref="S14:T15"/>
    <mergeCell ref="U14:U15"/>
    <mergeCell ref="U18:U19"/>
  </mergeCells>
  <phoneticPr fontId="50" type="noConversion"/>
  <conditionalFormatting sqref="M8:M26 M28:M37">
    <cfRule type="cellIs" dxfId="1077" priority="261" operator="greaterThan">
      <formula>0</formula>
    </cfRule>
  </conditionalFormatting>
  <conditionalFormatting sqref="N36:N37 L36:L37">
    <cfRule type="expression" dxfId="1076" priority="228">
      <formula>AND($E36&lt;$E$35,$E$8=1)</formula>
    </cfRule>
    <cfRule type="expression" dxfId="1075" priority="229">
      <formula>AND($E36&gt;=$E$8,$E$8&lt;&gt;1)</formula>
    </cfRule>
  </conditionalFormatting>
  <conditionalFormatting sqref="E36:E38">
    <cfRule type="expression" dxfId="1074" priority="226">
      <formula>AND($E36&lt;$E$35,$E$8=1)</formula>
    </cfRule>
    <cfRule type="expression" dxfId="1073" priority="227">
      <formula>AND($E36&gt;=$E$8,$E$8&lt;&gt;1)</formula>
    </cfRule>
  </conditionalFormatting>
  <conditionalFormatting sqref="O8:O26 O28:O37">
    <cfRule type="cellIs" dxfId="1072" priority="221" operator="greaterThan">
      <formula>0.000001</formula>
    </cfRule>
  </conditionalFormatting>
  <conditionalFormatting sqref="O36:O37">
    <cfRule type="expression" dxfId="1071" priority="219">
      <formula>AND($E36&lt;$E$35,$E$8=1)</formula>
    </cfRule>
    <cfRule type="expression" dxfId="1070" priority="220">
      <formula>AND($E36&gt;=$E$8,$E$8&lt;&gt;1)</formula>
    </cfRule>
  </conditionalFormatting>
  <conditionalFormatting sqref="M27">
    <cfRule type="cellIs" dxfId="1069" priority="147" operator="greaterThan">
      <formula>0</formula>
    </cfRule>
  </conditionalFormatting>
  <conditionalFormatting sqref="O27">
    <cfRule type="cellIs" dxfId="1068" priority="145" operator="greaterThan">
      <formula>0.000001</formula>
    </cfRule>
  </conditionalFormatting>
  <conditionalFormatting sqref="F8:F38">
    <cfRule type="containsText" dxfId="1067" priority="131" operator="containsText" text="Dom">
      <formula>NOT(ISERROR(SEARCH("Dom",F8)))</formula>
    </cfRule>
    <cfRule type="containsText" dxfId="1066" priority="132" operator="containsText" text="Sáb">
      <formula>NOT(ISERROR(SEARCH("Sáb",F8)))</formula>
    </cfRule>
  </conditionalFormatting>
  <conditionalFormatting sqref="Q8:Q37">
    <cfRule type="cellIs" dxfId="1065" priority="128" operator="greaterThan">
      <formula>0.000001</formula>
    </cfRule>
  </conditionalFormatting>
  <conditionalFormatting sqref="O38">
    <cfRule type="cellIs" dxfId="1064" priority="57" operator="greaterThan">
      <formula>0.000001</formula>
    </cfRule>
  </conditionalFormatting>
  <conditionalFormatting sqref="M38">
    <cfRule type="cellIs" dxfId="1063" priority="58" operator="greaterThan">
      <formula>0</formula>
    </cfRule>
  </conditionalFormatting>
  <conditionalFormatting sqref="L38:O38">
    <cfRule type="expression" dxfId="1062" priority="56">
      <formula>AND($E38&gt;=$E$8,$E$8&lt;&gt;1)</formula>
    </cfRule>
  </conditionalFormatting>
  <conditionalFormatting sqref="G38:K38">
    <cfRule type="expression" dxfId="1061" priority="43">
      <formula>OR($G38="Férias",$G38="Falta Injustificada")</formula>
    </cfRule>
    <cfRule type="expression" dxfId="1060" priority="44">
      <formula>$G38="Folga (DSR)"</formula>
    </cfRule>
    <cfRule type="expression" dxfId="1059" priority="45">
      <formula>$G38="Feriado"</formula>
    </cfRule>
    <cfRule type="expression" dxfId="1058" priority="46">
      <formula>$F38="Dom"</formula>
    </cfRule>
  </conditionalFormatting>
  <conditionalFormatting sqref="H38:K38">
    <cfRule type="expression" dxfId="1057" priority="42">
      <formula>OR($G38="Falta Justificada",$G38="Falta Injustificada")</formula>
    </cfRule>
  </conditionalFormatting>
  <conditionalFormatting sqref="Q38">
    <cfRule type="cellIs" dxfId="1056" priority="39" operator="greaterThan">
      <formula>0.000001</formula>
    </cfRule>
  </conditionalFormatting>
  <conditionalFormatting sqref="L38:Q38">
    <cfRule type="expression" dxfId="1055" priority="55">
      <formula>AND($E38&lt;$E$35,$E$8=1)</formula>
    </cfRule>
  </conditionalFormatting>
  <conditionalFormatting sqref="G38:Q38">
    <cfRule type="expression" dxfId="1054" priority="40">
      <formula>AND($E38&lt;$E$35,$E$8=1)</formula>
    </cfRule>
    <cfRule type="expression" dxfId="1053" priority="41">
      <formula>AND($E38&gt;=$E$8,$E$8&lt;&gt;1)</formula>
    </cfRule>
  </conditionalFormatting>
  <conditionalFormatting sqref="H37:K37">
    <cfRule type="expression" dxfId="1052" priority="32">
      <formula>OR($G37="Férias",$G37="Falta Injustificada")</formula>
    </cfRule>
    <cfRule type="expression" dxfId="1051" priority="33">
      <formula>$G37="Folga (DSR)"</formula>
    </cfRule>
    <cfRule type="expression" dxfId="1050" priority="34">
      <formula>$G37="Feriado"</formula>
    </cfRule>
    <cfRule type="expression" dxfId="1049" priority="35">
      <formula>$F37="Dom"</formula>
    </cfRule>
  </conditionalFormatting>
  <conditionalFormatting sqref="H37:K37">
    <cfRule type="expression" dxfId="1048" priority="29">
      <formula>AND($E37&lt;$E$35,$E$8=1)</formula>
    </cfRule>
    <cfRule type="expression" dxfId="1047" priority="30">
      <formula>AND($E37&gt;=$E$8,$E$8&lt;&gt;1)</formula>
    </cfRule>
  </conditionalFormatting>
  <conditionalFormatting sqref="H37:K37">
    <cfRule type="expression" dxfId="1046" priority="31">
      <formula>OR($G37="Falta Justificada",$G37="Falta Injustificada")</formula>
    </cfRule>
  </conditionalFormatting>
  <conditionalFormatting sqref="G8:K8 H9:K35 G9:G37">
    <cfRule type="expression" dxfId="1045" priority="25">
      <formula>OR($G8="Férias",$G8="Falta Injustificada")</formula>
    </cfRule>
    <cfRule type="expression" dxfId="1044" priority="26">
      <formula>$G8="Folga (DSR)"</formula>
    </cfRule>
    <cfRule type="expression" dxfId="1043" priority="27">
      <formula>$G8="Feriado"</formula>
    </cfRule>
    <cfRule type="expression" dxfId="1042" priority="28">
      <formula>$F8="Dom"</formula>
    </cfRule>
  </conditionalFormatting>
  <conditionalFormatting sqref="H8:K35">
    <cfRule type="expression" dxfId="1041" priority="24">
      <formula>OR($G8="Falta Justificada",$G8="Falta Injustificada")</formula>
    </cfRule>
  </conditionalFormatting>
  <conditionalFormatting sqref="H36:K36">
    <cfRule type="expression" dxfId="1040" priority="20">
      <formula>OR($G36="Férias",$G36="Falta Injustificada")</formula>
    </cfRule>
    <cfRule type="expression" dxfId="1039" priority="21">
      <formula>$G36="Folga (DSR)"</formula>
    </cfRule>
    <cfRule type="expression" dxfId="1038" priority="22">
      <formula>$G36="Feriado"</formula>
    </cfRule>
    <cfRule type="expression" dxfId="1037" priority="23">
      <formula>$F36="Dom"</formula>
    </cfRule>
  </conditionalFormatting>
  <conditionalFormatting sqref="H36:K36">
    <cfRule type="expression" dxfId="1036" priority="17">
      <formula>AND($E36&lt;$E$35,$E$8=1)</formula>
    </cfRule>
    <cfRule type="expression" dxfId="1035" priority="18">
      <formula>AND($E36&gt;=$E$8,$E$8&lt;&gt;1)</formula>
    </cfRule>
  </conditionalFormatting>
  <conditionalFormatting sqref="H36:K36">
    <cfRule type="expression" dxfId="1034" priority="19">
      <formula>OR($G36="Falta Justificada",$G36="Falta Injustificada")</formula>
    </cfRule>
  </conditionalFormatting>
  <conditionalFormatting sqref="U10:U11">
    <cfRule type="expression" dxfId="1033" priority="8">
      <formula>$V$11="Negativo"</formula>
    </cfRule>
  </conditionalFormatting>
  <conditionalFormatting sqref="U12:U13">
    <cfRule type="expression" dxfId="1032" priority="568">
      <formula>$U$14&gt;$F$58</formula>
    </cfRule>
  </conditionalFormatting>
  <conditionalFormatting sqref="F40">
    <cfRule type="expression" dxfId="1031" priority="569">
      <formula>$E40="Folga(DSR)"</formula>
    </cfRule>
    <cfRule type="expression" dxfId="1030" priority="570">
      <formula>$E40="Feriado"</formula>
    </cfRule>
    <cfRule type="expression" dxfId="1029" priority="571">
      <formula>$D40="Dom"</formula>
    </cfRule>
  </conditionalFormatting>
  <dataValidations count="3">
    <dataValidation type="list" allowBlank="1" showInputMessage="1" showErrorMessage="1" sqref="G8:G38">
      <formula1>"Normal,Feriado,Folga (DSR),Falta Justificada,Férias,Falta Injustificada"</formula1>
    </dataValidation>
    <dataValidation type="time" allowBlank="1" showInputMessage="1" showErrorMessage="1" sqref="H8:K38">
      <formula1>0</formula1>
      <formula2>0.999988425925926</formula2>
    </dataValidation>
    <dataValidation type="list" allowBlank="1" showInputMessage="1" showErrorMessage="1" sqref="E9:E35">
      <formula1>"1,5,10,16"</formula1>
    </dataValidation>
  </dataValidations>
  <hyperlinks>
    <hyperlink ref="C8" location="Lanç!A1" display="Lanç!A1"/>
    <hyperlink ref="C9" location="'Lanç (2)'!A1" display="'Lanç (2)'!A1"/>
    <hyperlink ref="C10" location="'Lanç (3)'!A1" display="'Lanç (3)'!A1"/>
    <hyperlink ref="C11" location="'Lanç (4)'!A1" display="'Lanç (4)'!A1"/>
    <hyperlink ref="C12" location="'Lanç (5)'!A1" display="'Lanç (5)'!A1"/>
    <hyperlink ref="C13" location="'Lanç (6)'!A1" display="'Lanç (6)'!A1"/>
    <hyperlink ref="C14" location="'Lanç (7)'!A1" display="'Lanç (7)'!A1"/>
    <hyperlink ref="C15" location="'Lanç (8)'!A1" display="'Lanç (8)'!A1"/>
    <hyperlink ref="C16" location="'Lanç (9)'!A1" display="'Lanç (9)'!A1"/>
    <hyperlink ref="C17" location="'Lanç (10)'!A1" display="'Lanç (10)'!A1"/>
    <hyperlink ref="C18" location="'Lanç (11)'!A1" display="'Lanç (11)'!A1"/>
    <hyperlink ref="C19" location="'Lanç (12)'!A1" display="'Lanç (12)'!A1"/>
    <hyperlink ref="C20" location="'Lanç (13)'!A1" display="'Lanç (13)'!A1"/>
    <hyperlink ref="C21" location="'Lanç (14)'!A1" display="'Lanç (14)'!A1"/>
    <hyperlink ref="C22" location="'Lanç (15)'!A1" display="'Lanç (15)'!A1"/>
    <hyperlink ref="C23" location="'Lanç (16)'!A1" display="'Lanç (16)'!A1"/>
    <hyperlink ref="C24" location="'Lanç (17)'!A1" display="'Lanç (17)'!A1"/>
    <hyperlink ref="C25" location="'Lanç (18)'!A1" display="'Lanç (18)'!A1"/>
    <hyperlink ref="C26" location="'Lanç (19)'!A1" display="'Lanç (19)'!A1"/>
    <hyperlink ref="C27" location="'Lanç (20)'!A1" display="'Lanç (20)'!A1"/>
    <hyperlink ref="C28" location="'Lanç (21)'!A1" display="'Lanç (21)'!A1"/>
    <hyperlink ref="C29" location="'Lanç (22)'!A1" display="'Lanç (22)'!A1"/>
    <hyperlink ref="C30" location="'Lanç (23)'!A1" display="'Lanç (23)'!A1"/>
    <hyperlink ref="C31" location="'Lanç (24)'!A1" display="'Lanç (24)'!A1"/>
    <hyperlink ref="C32" location="'Lanç (25)'!A1" display="'Lanç (25)'!A1"/>
    <hyperlink ref="C33" location="'Lanç (26)'!A1" display="'Lanç (26)'!A1"/>
    <hyperlink ref="C34" location="'Lanç (27)'!A1" display="'Lanç (27)'!A1"/>
    <hyperlink ref="C35" location="'Lanç (28)'!A1" display="'Lanç (28)'!A1"/>
    <hyperlink ref="C36" location="'Lanç (29)'!A1" display="'Lanç (29)'!A1"/>
    <hyperlink ref="C37" location="'Lanç (30)'!A1" display="'Lanç (30)'!A1"/>
  </hyperlinks>
  <printOptions horizontalCentered="1"/>
  <pageMargins left="0.23622047244094502" right="0.23622047244094502" top="0.74803149606299202" bottom="0.74803149606299202" header="0.31496062992126" footer="0.31496062992126"/>
  <pageSetup paperSize="9" scale="53" orientation="portrait" cellComments="atEnd"/>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120" id="{26148254-D182-8740-A397-17856EE22E9A}">
            <xm:f>'P Gerais'!$I$10:$M$10="Pagas em Dinheiro"</xm:f>
            <x14:dxf>
              <font>
                <color theme="0"/>
              </font>
              <fill>
                <patternFill>
                  <bgColor theme="0"/>
                </patternFill>
              </fill>
              <border>
                <left/>
                <right/>
                <top/>
                <bottom/>
              </border>
            </x14:dxf>
          </x14:cfRule>
          <xm:sqref>S10:T13</xm:sqref>
        </x14:conditionalFormatting>
        <x14:conditionalFormatting xmlns:xm="http://schemas.microsoft.com/office/excel/2006/main">
          <x14:cfRule type="expression" priority="119" id="{E183175C-BCC7-D845-93A1-AABA63CE4879}">
            <xm:f>'P Gerais'!$I$10:$M$10="Sistema de banco de horas"</xm:f>
            <x14:dxf>
              <font>
                <color theme="0"/>
              </font>
              <fill>
                <patternFill>
                  <bgColor theme="0"/>
                </patternFill>
              </fill>
              <border>
                <left/>
                <right/>
                <top/>
                <bottom/>
              </border>
            </x14:dxf>
          </x14:cfRule>
          <xm:sqref>S18:T19</xm:sqref>
        </x14:conditionalFormatting>
        <x14:conditionalFormatting xmlns:xm="http://schemas.microsoft.com/office/excel/2006/main">
          <x14:cfRule type="expression" priority="10" id="{6AF8625A-854B-DD4C-9A76-FCF52E32511D}">
            <xm:f>'P Gerais'!$I$10:$M$10="Sistema de banco de horas"</xm:f>
            <x14:dxf>
              <font>
                <color theme="0"/>
              </font>
              <fill>
                <patternFill>
                  <bgColor theme="0"/>
                </patternFill>
              </fill>
              <border>
                <left/>
                <right/>
                <top/>
                <bottom/>
              </border>
            </x14:dxf>
          </x14:cfRule>
          <xm:sqref>U18:U19</xm:sqref>
        </x14:conditionalFormatting>
        <x14:conditionalFormatting xmlns:xm="http://schemas.microsoft.com/office/excel/2006/main">
          <x14:cfRule type="expression" priority="7" id="{3D90C98E-60AC-2F45-80C8-4DD9A485A4CA}">
            <xm:f>'P Gerais'!$I$10:$M$10="Pagas em Dinheiro"</xm:f>
            <x14:dxf>
              <font>
                <color theme="0"/>
              </font>
              <fill>
                <patternFill>
                  <bgColor theme="0"/>
                </patternFill>
              </fill>
              <border>
                <left/>
                <right/>
                <top/>
                <bottom/>
              </border>
            </x14:dxf>
          </x14:cfRule>
          <xm:sqref>U10:U13</xm:sqref>
        </x14:conditionalFormatting>
      </x14:conditionalFormatting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12" enableFormatConditionsCalculation="0"/>
  <dimension ref="A1:BG103"/>
  <sheetViews>
    <sheetView showGridLines="0" zoomScale="90" zoomScaleNormal="90" zoomScalePageLayoutView="90" workbookViewId="0">
      <selection activeCell="G9" sqref="G9"/>
    </sheetView>
  </sheetViews>
  <sheetFormatPr baseColWidth="10" defaultColWidth="0" defaultRowHeight="0" customHeight="1" zeroHeight="1" x14ac:dyDescent="0.2"/>
  <cols>
    <col min="1" max="1" width="27.83203125" style="194" customWidth="1"/>
    <col min="2" max="2" width="3.83203125" style="14" customWidth="1"/>
    <col min="3" max="3" width="33.33203125" style="14" customWidth="1"/>
    <col min="4" max="4" width="2.83203125" style="14" customWidth="1"/>
    <col min="5" max="5" width="5.83203125" style="14" customWidth="1"/>
    <col min="6" max="6" width="11.83203125" style="14" customWidth="1"/>
    <col min="7" max="7" width="14.33203125" style="195" customWidth="1"/>
    <col min="8" max="11" width="9.83203125" style="14" customWidth="1"/>
    <col min="12" max="12" width="1.83203125" style="14" customWidth="1"/>
    <col min="13" max="13" width="13.33203125" style="14" customWidth="1"/>
    <col min="14" max="14" width="1.83203125" style="14" customWidth="1"/>
    <col min="15" max="15" width="13.33203125" style="14" customWidth="1"/>
    <col min="16" max="16" width="1.83203125" style="14" customWidth="1"/>
    <col min="17" max="17" width="13.33203125" style="14" customWidth="1"/>
    <col min="18" max="18" width="4.83203125" style="2" bestFit="1" customWidth="1"/>
    <col min="19" max="21" width="11.83203125" style="14" customWidth="1"/>
    <col min="22" max="23" width="8.83203125" style="2" customWidth="1"/>
    <col min="24" max="24" width="11.33203125" style="2" bestFit="1" customWidth="1"/>
    <col min="25" max="25" width="8.83203125" style="2" customWidth="1"/>
    <col min="26" max="26" width="8.1640625" style="219" bestFit="1" customWidth="1"/>
    <col min="27" max="27" width="8.83203125" style="2" customWidth="1"/>
    <col min="28" max="28" width="11.33203125" style="2" bestFit="1" customWidth="1"/>
    <col min="29" max="43" width="8.83203125" style="2" customWidth="1"/>
    <col min="44" max="50" width="11.33203125" style="2" customWidth="1"/>
    <col min="51" max="57" width="11.33203125" style="14" customWidth="1"/>
    <col min="58" max="16384" width="8.83203125" style="14" hidden="1"/>
  </cols>
  <sheetData>
    <row r="1" spans="1:59" s="15" customFormat="1" ht="33.75" customHeight="1" x14ac:dyDescent="0.3">
      <c r="A1" s="56"/>
      <c r="B1" s="3"/>
      <c r="C1" s="4" t="s">
        <v>30</v>
      </c>
      <c r="D1" s="3"/>
      <c r="E1" s="3"/>
      <c r="F1" s="3"/>
      <c r="G1" s="77"/>
      <c r="H1" s="3"/>
      <c r="I1" s="3"/>
      <c r="J1" s="3"/>
      <c r="K1" s="3"/>
      <c r="M1" s="3"/>
      <c r="O1" s="3"/>
      <c r="Q1" s="3"/>
      <c r="S1" s="3"/>
      <c r="T1" s="3"/>
      <c r="U1" s="3"/>
      <c r="Z1" s="174"/>
    </row>
    <row r="2" spans="1:59" s="15" customFormat="1" ht="21.5" customHeight="1" x14ac:dyDescent="0.2">
      <c r="A2" s="1"/>
      <c r="B2" s="3"/>
      <c r="C2" s="3"/>
      <c r="D2" s="3"/>
      <c r="E2" s="3"/>
      <c r="F2" s="3"/>
      <c r="G2" s="77"/>
      <c r="H2" s="3"/>
      <c r="I2" s="3"/>
      <c r="J2" s="3"/>
      <c r="K2" s="3"/>
      <c r="M2" s="3"/>
      <c r="O2" s="3"/>
      <c r="Q2" s="3"/>
      <c r="S2" s="3"/>
      <c r="T2" s="3"/>
      <c r="U2" s="3"/>
      <c r="Z2" s="174"/>
    </row>
    <row r="3" spans="1:59" s="15" customFormat="1" ht="21.5" customHeight="1" x14ac:dyDescent="0.2">
      <c r="A3" s="1"/>
      <c r="B3" s="3"/>
      <c r="C3" s="3"/>
      <c r="D3" s="3"/>
      <c r="E3" s="3"/>
      <c r="F3" s="3"/>
      <c r="G3" s="77"/>
      <c r="H3" s="3"/>
      <c r="I3" s="3"/>
      <c r="J3" s="3"/>
      <c r="K3" s="3"/>
      <c r="M3" s="3"/>
      <c r="O3" s="3"/>
      <c r="Q3" s="3"/>
      <c r="S3" s="3"/>
      <c r="T3" s="3"/>
      <c r="U3" s="3"/>
      <c r="Z3" s="174"/>
    </row>
    <row r="4" spans="1:59" s="2" customFormat="1" ht="30" customHeight="1" x14ac:dyDescent="0.2">
      <c r="A4" s="1"/>
      <c r="B4"/>
      <c r="C4"/>
      <c r="D4"/>
      <c r="E4"/>
      <c r="F4"/>
      <c r="G4" s="78"/>
      <c r="H4"/>
      <c r="I4"/>
      <c r="J4"/>
      <c r="K4"/>
      <c r="M4"/>
      <c r="O4" s="13"/>
      <c r="Q4"/>
      <c r="S4"/>
      <c r="T4"/>
      <c r="U4"/>
      <c r="Z4" s="219"/>
      <c r="AN4" s="175"/>
    </row>
    <row r="5" spans="1:59" s="2" customFormat="1" ht="30" customHeight="1" x14ac:dyDescent="0.2">
      <c r="A5" s="9"/>
      <c r="C5" s="160" t="s">
        <v>193</v>
      </c>
      <c r="K5" s="157">
        <f ca="1">IF(ISERROR(VLOOKUP(INDIRECT($C$5),Jornada!$C$8:$F$37,4,0)),0,VLOOKUP(INDIRECT($C$5),Jornada!$C$8:$F$37,4,0))</f>
        <v>0</v>
      </c>
      <c r="L5" s="158"/>
      <c r="M5" s="157">
        <f ca="1">IF(ISERROR(VLOOKUP(INDIRECT($C$5),Jornada!$C$8:$G$37,5,0)),0,VLOOKUP(INDIRECT($C$5),Jornada!$C$8:$G$37,5,0))</f>
        <v>0</v>
      </c>
      <c r="O5" s="12"/>
      <c r="U5" s="12"/>
      <c r="Z5" s="219"/>
      <c r="AC5" s="12"/>
      <c r="AK5" s="179">
        <v>0.25</v>
      </c>
      <c r="AL5" s="155">
        <v>0.91666666666666663</v>
      </c>
      <c r="AM5" s="155">
        <v>0.20833333333333334</v>
      </c>
      <c r="AN5" s="155">
        <v>1</v>
      </c>
      <c r="AO5" s="155">
        <v>0.70833333333333337</v>
      </c>
    </row>
    <row r="6" spans="1:59" s="2" customFormat="1" ht="8" customHeight="1" thickBot="1" x14ac:dyDescent="0.25">
      <c r="A6" s="9"/>
      <c r="C6" s="198"/>
      <c r="G6" s="178"/>
      <c r="M6" s="220">
        <v>1</v>
      </c>
      <c r="O6" s="156"/>
      <c r="Q6" s="156"/>
      <c r="Z6" s="176"/>
    </row>
    <row r="7" spans="1:59" s="2" customFormat="1" ht="30" customHeight="1" thickTop="1" thickBot="1" x14ac:dyDescent="0.25">
      <c r="A7" s="1"/>
      <c r="B7"/>
      <c r="C7" s="76" t="s">
        <v>176</v>
      </c>
      <c r="D7"/>
      <c r="E7" s="281" t="str">
        <f>Lanç!E7</f>
        <v>Janeiro</v>
      </c>
      <c r="F7" s="283"/>
      <c r="G7" s="79" t="s">
        <v>58</v>
      </c>
      <c r="H7" s="82" t="s">
        <v>0</v>
      </c>
      <c r="I7" s="293" t="s">
        <v>59</v>
      </c>
      <c r="J7" s="293"/>
      <c r="K7" s="82" t="s">
        <v>60</v>
      </c>
      <c r="M7" s="73" t="s">
        <v>61</v>
      </c>
      <c r="O7" s="73" t="s">
        <v>62</v>
      </c>
      <c r="Q7" s="73" t="s">
        <v>63</v>
      </c>
      <c r="R7" s="155">
        <v>8.3333333333333329E-2</v>
      </c>
      <c r="S7" s="293" t="s">
        <v>64</v>
      </c>
      <c r="T7" s="293"/>
      <c r="U7" s="293"/>
      <c r="W7" s="2" t="s">
        <v>90</v>
      </c>
      <c r="X7" s="156">
        <v>1</v>
      </c>
      <c r="AB7" s="2">
        <f>VLOOKUP($E$7,$W$7:$X$18,2,0)</f>
        <v>1</v>
      </c>
      <c r="AG7" s="176" t="s">
        <v>167</v>
      </c>
      <c r="AH7" s="176" t="s">
        <v>168</v>
      </c>
      <c r="AI7" s="155">
        <v>0</v>
      </c>
      <c r="AJ7" s="155">
        <v>1</v>
      </c>
      <c r="AK7" s="155">
        <v>0.45833333333333331</v>
      </c>
      <c r="AL7" s="2" t="s">
        <v>0</v>
      </c>
      <c r="AM7" s="2" t="s">
        <v>162</v>
      </c>
      <c r="AN7" s="2" t="s">
        <v>184</v>
      </c>
      <c r="BE7" s="14"/>
      <c r="BF7" s="14"/>
      <c r="BG7" s="14"/>
    </row>
    <row r="8" spans="1:59" s="2" customFormat="1" ht="30" customHeight="1" thickTop="1" thickBot="1" x14ac:dyDescent="0.25">
      <c r="A8" s="1"/>
      <c r="B8"/>
      <c r="C8" s="172" t="str">
        <f>IF(Funcionários!C7=0,"",Funcionários!C7)</f>
        <v/>
      </c>
      <c r="D8"/>
      <c r="E8" s="115">
        <f>Lanç!E8</f>
        <v>1</v>
      </c>
      <c r="F8" s="189" t="str">
        <f>Lanç!F8</f>
        <v>Dom</v>
      </c>
      <c r="G8" s="80"/>
      <c r="H8" s="93"/>
      <c r="I8" s="93"/>
      <c r="J8" s="93"/>
      <c r="K8" s="93"/>
      <c r="L8" s="197"/>
      <c r="M8" s="95">
        <f t="shared" ref="M8:M38" si="0">IF(AND(H8=K8,H8&lt;&gt;0),$M$6-IF(J8&lt;I8,$AJ$7+J8-I8,J8-I8),IF(H8&gt;K8,(K8+1-H8)-IF(J8&lt;I8,$AJ$7+J8-I8,J8-I8),(K8-H8)-IF(J8&lt;I8,$AJ$7+J8-I8,J8-I8)))</f>
        <v>0</v>
      </c>
      <c r="N8" s="196"/>
      <c r="O8" s="95">
        <f ca="1">IF(OR(G8=0,G8="Férias",G8="Falta Justificada",G8="Feriado",G8="Folga (DSR)"),0,IF(G8="Falta Injustificada",HLOOKUP($F8,Jornada!$X$7:$AD$37,VLOOKUP(INDIRECT($C$5),Jornada!$C$8:$W$37,21,0),0),IF(HLOOKUP($F8,Jornada!$X$7:$AD$37,VLOOKUP(INDIRECT($C$5),Jornada!$C$8:$W$37,21,0),0)-M8&gt;0,HLOOKUP($F8,Jornada!$X$7:$AD$37,VLOOKUP(INDIRECT($C$5),Jornada!$C$8:$W$37,21,0),0)-M8,0)))</f>
        <v>0</v>
      </c>
      <c r="P8" s="193">
        <f ca="1">IF(HLOOKUP($F8,Jornada!$X$7:$AD$37,VLOOKUP(INDIRECT($C$5),Jornada!$C$8:$W$37,21,0),0)-M8&lt;0,ABS(HLOOKUP($F8,Jornada!$X$7:$AD$37,VLOOKUP(INDIRECT($C$5),Jornada!$C$8:$W$37,21,0),0)-M8),0)</f>
        <v>0</v>
      </c>
      <c r="Q8" s="95">
        <f t="shared" ref="Q8:Q38" si="1">IF(G8="Normal",P8,IF(G8=0,0,IF(OR(G8="Feriado",G8="Férias"),IF(H8&gt;K8,(K8+1-H8)-IF(J8&lt;I8,$AJ$7+J8-I8,J8-I8),(K8-H8)-IF(J8&lt;I8,$AJ$7+J8-I8,J8-I8)),IF(G8="Folga (DSR)",IF(H8&gt;K8,(K8+1-H8)-IF(J8&lt;I8,$AJ$7+J8-I8,J8-I8),(K8-H8)-IF(J8&lt;I8,$AJ$7+J8-I8,J8-I8)),IF(G8="Falta Justificada",IF(H8&gt;K8,(K8+1-H8)-IF(J8&lt;I8,$AJ$7+J8-I8,J8-I8),(K8-H8)-IF(J8&lt;I8,$AJ$7+J8-I8,J8-I8)),0)))))</f>
        <v>0</v>
      </c>
      <c r="R8" s="2">
        <f>IF(Q8&gt;$R$7,1,0)</f>
        <v>0</v>
      </c>
      <c r="S8" s="294" t="s">
        <v>65</v>
      </c>
      <c r="T8" s="294"/>
      <c r="U8" s="295">
        <f>SUM(M8:M38)</f>
        <v>0</v>
      </c>
      <c r="W8" s="2" t="s">
        <v>91</v>
      </c>
      <c r="X8" s="156">
        <v>2</v>
      </c>
      <c r="AB8" s="177">
        <f>DATE('P Gerais'!$D$6,AB7,1)</f>
        <v>1</v>
      </c>
      <c r="AC8" s="2">
        <f>WEEKDAY(AB8)</f>
        <v>1</v>
      </c>
      <c r="AE8" s="2">
        <v>1</v>
      </c>
      <c r="AF8" s="2" t="s">
        <v>51</v>
      </c>
      <c r="AG8" s="220">
        <f>IF(J8&lt;I8,$AJ$7+J8-I8,J8-I8)</f>
        <v>0</v>
      </c>
      <c r="AH8" s="220">
        <f ca="1">IF(HLOOKUP($F8,Jornada!$X$7:$AD$37,VLOOKUP(INDIRECT($C$5),Jornada!$C$8:$W$37,21,0),0)=0,0,VLOOKUP(INDIRECT($C$5),Jornada!$C$8:$H$37,4,0))</f>
        <v>0</v>
      </c>
      <c r="AI8" s="155">
        <f ca="1">IF(AND(I8=0,J8=0,OR(H8&lt;&gt;0,K8&lt;&gt;0),HLOOKUP($F8,Jornada!$X$7:$AD$37,VLOOKUP(INDIRECT($C$5),Jornada!$C$8:$W$37,21,0),0)&gt;$AK$5,M8&gt;$AK$5),VLOOKUP(INDIRECT($C$5),Jornada!$C$8:$H$37,6,0),IF(AG8&gt;VLOOKUP(INDIRECT($C$5),Jornada!$C$8:$H$37,6,0),IF(VLOOKUP(INDIRECT($C$5),Jornada!$C$8:$H$37,6,0)&lt;AG8,0,ABS(VLOOKUP(INDIRECT($C$5),Jornada!$C$8:$H$37,6,0))-AG8),0))</f>
        <v>0</v>
      </c>
      <c r="AJ8" s="155">
        <f>($AJ$7-K8)+H8</f>
        <v>1</v>
      </c>
      <c r="AK8" s="155">
        <f>IF(AJ8&lt;$AK$7,$AK$7-AJ8,$AI$7)</f>
        <v>0</v>
      </c>
      <c r="AL8" s="155">
        <f ca="1">HLOOKUP($F8,Jornada!$I$5:$V$37,VLOOKUP(INDIRECT($C$5),Jornada!$C$8:$W$37,21,0)+2,0)</f>
        <v>0</v>
      </c>
      <c r="AM8" s="155">
        <f ca="1">HLOOKUP($F8,Jornada!$I$4:$V$37,VLOOKUP(INDIRECT($C$5),Jornada!$C$8:$W$37,21,0)+3,0)</f>
        <v>0</v>
      </c>
      <c r="AN8" s="155">
        <f ca="1">IF(AND(AL8&gt;=$AL$5,AL8&lt;$AN$5,H8&gt;=$AL$5,H8&lt;AL8),AL8-H8,IF(AND(AL8&gt;$AI$7,AL8&lt;=$AM$5,H8&gt;=$AL$5,H8&lt;=$AN$5),$AN$5-H8+AL8,IF(AND(AL8&gt;=$AI$7,AL8&lt;=$AM$5,H8&gt;=$AI$7,H8&lt;=$AM$5,H8&lt;AL8),H8-AL8,0)))</f>
        <v>0</v>
      </c>
      <c r="AO8" s="155">
        <f>IF(AP8&gt;Q8,0,AP8)</f>
        <v>0</v>
      </c>
      <c r="AP8" s="155">
        <f>IF(Q8=0,0,IF(AND(AM8&gt;=$AL$5,AM8&lt;$AN$5,K8&gt;=$AL$5,K8&lt;$AM$5,K8&gt;AM8),K8-AM8,IF(AND(AM8&gt;=$AL$5,AM8&lt;$AN$5,K8&lt;$AN$5,K8&gt;AM8),K8-$AL$5,IF(AND(AM8&gt;=$AI$7,AM8&lt;$AM$5,K8&lt;$AM$5),K8-AM8,IF(AND(AM8&lt;&gt;AI7,AM8&gt;=$AI$7,AM8&lt;=$AM$5,K8&gt;$AM$5,K8&gt;AM8),$AM$5-AM8,IF(AND(K8&gt;$AL$5,K8&lt;$AN$5),K8-$AL$5,IF(AND(K8&gt;$AI$7,K8&lt;$AM$5),$AN$5-$AL$5+K8,IF(AND(OR(K8&gt;$AL$5,H8&gt;$AO$5),AM8&gt;=$AI$7,AM8&lt;$AM$5,K8&gt;$AM$5),(1+$AM$5-$AL$5)-AG8,0))))))))</f>
        <v>0</v>
      </c>
      <c r="BE8" s="14"/>
      <c r="BF8" s="14"/>
      <c r="BG8" s="14"/>
    </row>
    <row r="9" spans="1:59" s="2" customFormat="1" ht="30" customHeight="1" thickTop="1" thickBot="1" x14ac:dyDescent="0.25">
      <c r="A9" s="1"/>
      <c r="B9"/>
      <c r="C9" s="172" t="str">
        <f>IF(Funcionários!C8=0,"",Funcionários!C8)</f>
        <v/>
      </c>
      <c r="D9"/>
      <c r="E9" s="115">
        <f>Lanç!E9</f>
        <v>2</v>
      </c>
      <c r="F9" s="189" t="str">
        <f>Lanç!F9</f>
        <v>Seg</v>
      </c>
      <c r="G9" s="80"/>
      <c r="H9" s="94"/>
      <c r="I9" s="94"/>
      <c r="J9" s="94"/>
      <c r="K9" s="94"/>
      <c r="L9" s="197"/>
      <c r="M9" s="95">
        <f t="shared" si="0"/>
        <v>0</v>
      </c>
      <c r="N9" s="196"/>
      <c r="O9" s="95">
        <f ca="1">IF(OR(G9=0,G9="Férias",G9="Falta Justificada",G9="Feriado",G9="Folga (DSR)"),0,IF(G9="Falta Injustificada",HLOOKUP($F9,Jornada!$X$7:$AD$37,VLOOKUP(INDIRECT($C$5),Jornada!$C$8:$W$37,21,0),0),IF(HLOOKUP($F9,Jornada!$X$7:$AD$37,VLOOKUP(INDIRECT($C$5),Jornada!$C$8:$W$37,21,0),0)-M9&gt;0,HLOOKUP($F9,Jornada!$X$7:$AD$37,VLOOKUP(INDIRECT($C$5),Jornada!$C$8:$W$37,21,0),0)-M9,0)))</f>
        <v>0</v>
      </c>
      <c r="P9" s="193">
        <f ca="1">IF(HLOOKUP($F9,Jornada!$X$7:$AD$37,VLOOKUP(INDIRECT($C$5),Jornada!$C$8:$W$37,21,0),0)-M9&lt;0,ABS(HLOOKUP($F9,Jornada!$X$7:$AD$37,VLOOKUP(INDIRECT($C$5),Jornada!$C$8:$W$37,21,0),0)-M9),0)</f>
        <v>0</v>
      </c>
      <c r="Q9" s="95">
        <f t="shared" si="1"/>
        <v>0</v>
      </c>
      <c r="R9" s="2">
        <f t="shared" ref="R9:R38" si="2">IF(Q9&gt;$R$7,1,0)</f>
        <v>0</v>
      </c>
      <c r="S9" s="294"/>
      <c r="T9" s="294"/>
      <c r="U9" s="295"/>
      <c r="W9" s="2" t="s">
        <v>92</v>
      </c>
      <c r="X9" s="156">
        <v>3</v>
      </c>
      <c r="AB9" s="177">
        <f>AB8+1</f>
        <v>2</v>
      </c>
      <c r="AC9" s="2">
        <f t="shared" ref="AC9:AC35" si="3">WEEKDAY(AB9)</f>
        <v>2</v>
      </c>
      <c r="AE9" s="2">
        <v>2</v>
      </c>
      <c r="AF9" s="2" t="s">
        <v>52</v>
      </c>
      <c r="AG9" s="220">
        <f t="shared" ref="AG9:AG38" si="4">IF(J9&lt;I9,$AJ$7+J9-I9,J9-I9)</f>
        <v>0</v>
      </c>
      <c r="AH9" s="220">
        <f ca="1">IF(HLOOKUP($F9,Jornada!$X$7:$AD$37,VLOOKUP(INDIRECT($C$5),Jornada!$C$8:$W$37,21,0),0)=0,0,VLOOKUP(INDIRECT($C$5),Jornada!$C$8:$H$37,4,0))</f>
        <v>0</v>
      </c>
      <c r="AI9" s="155">
        <f ca="1">IF(AND(I9=0,J9=0,OR(H9&lt;&gt;0,K9&lt;&gt;0),HLOOKUP($F9,Jornada!$X$7:$AD$37,VLOOKUP(INDIRECT($C$5),Jornada!$C$8:$W$37,21,0),0)&gt;$AK$5,M9&gt;$AK$5),VLOOKUP(INDIRECT($C$5),Jornada!$C$8:$H$37,6,0),IF(AG9&gt;VLOOKUP(INDIRECT($C$5),Jornada!$C$8:$H$37,6,0),IF(VLOOKUP(INDIRECT($C$5),Jornada!$C$8:$H$37,6,0)&lt;AG9,0,ABS(VLOOKUP(INDIRECT($C$5),Jornada!$C$8:$H$37,6,0))-AG9),0))</f>
        <v>0</v>
      </c>
      <c r="AJ9" s="155">
        <f t="shared" ref="AJ9:AJ38" si="5">($AJ$7-K9)+H9</f>
        <v>1</v>
      </c>
      <c r="AK9" s="155">
        <f t="shared" ref="AK9:AK38" si="6">IF(AJ9&lt;$AK$7,$AK$7-AJ9,$AI$7)</f>
        <v>0</v>
      </c>
      <c r="AL9" s="155">
        <f ca="1">HLOOKUP($F9,Jornada!$I$5:$V$37,VLOOKUP(INDIRECT($C$5),Jornada!$C$8:$W$37,21,0)+2,0)</f>
        <v>0</v>
      </c>
      <c r="AM9" s="155">
        <f ca="1">HLOOKUP($F9,Jornada!$I$4:$V$37,VLOOKUP(INDIRECT($C$5),Jornada!$C$8:$W$37,21,0)+3,0)</f>
        <v>0</v>
      </c>
      <c r="AN9" s="155">
        <f t="shared" ref="AN9:AN38" ca="1" si="7">IF(AND(AL9&gt;=$AL$5,AL9&lt;$AN$5,H9&gt;=$AL$5,H9&lt;AL9),AL9-H9,IF(AND(AL9&gt;$AI$7,AL9&lt;=$AM$5,H9&gt;=$AL$5,H9&lt;=$AN$5),$AN$5-H9+AL9,IF(AND(AL9&gt;=$AI$7,AL9&lt;=$AM$5,H9&gt;=$AI$7,H9&lt;=$AM$5,H9&lt;AL9),H9-AL9,0)))</f>
        <v>0</v>
      </c>
      <c r="AO9" s="155">
        <f t="shared" ref="AO9:AO38" si="8">IF(AP9&gt;Q9,0,AP9)</f>
        <v>0</v>
      </c>
      <c r="AP9" s="155">
        <f t="shared" ref="AP9:AP38" si="9">IF(Q9=0,0,IF(AND(AM9&gt;=$AL$5,AM9&lt;$AN$5,K9&gt;=$AL$5,K9&lt;$AM$5,K9&gt;AM9),K9-AM9,IF(AND(AM9&gt;=$AL$5,AM9&lt;$AN$5,K9&lt;$AN$5,K9&gt;AM9),K9-$AL$5,IF(AND(AM9&gt;=$AI$7,AM9&lt;$AM$5,K9&lt;$AM$5),K9-AM9,IF(AND(AM9&lt;&gt;AI8,AM9&gt;=$AI$7,AM9&lt;=$AM$5,K9&gt;$AM$5,K9&gt;AM9),$AM$5-AM9,IF(AND(K9&gt;$AL$5,K9&lt;$AN$5),K9-$AL$5,IF(AND(K9&gt;$AI$7,K9&lt;$AM$5),$AN$5-$AL$5+K9,IF(AND(OR(K9&gt;$AL$5,H9&gt;$AO$5),AM9&gt;=$AI$7,AM9&lt;$AM$5,K9&gt;$AM$5),(1+$AM$5-$AL$5)-AG9,0))))))))</f>
        <v>0</v>
      </c>
      <c r="BE9" s="14"/>
      <c r="BF9" s="14"/>
      <c r="BG9" s="14"/>
    </row>
    <row r="10" spans="1:59" s="2" customFormat="1" ht="30" customHeight="1" thickTop="1" thickBot="1" x14ac:dyDescent="0.25">
      <c r="A10" s="1"/>
      <c r="B10"/>
      <c r="C10" s="172" t="str">
        <f>IF(Funcionários!C9=0,"",Funcionários!C9)</f>
        <v/>
      </c>
      <c r="D10"/>
      <c r="E10" s="115">
        <f>Lanç!E10</f>
        <v>3</v>
      </c>
      <c r="F10" s="189" t="str">
        <f>Lanç!F10</f>
        <v>Ter</v>
      </c>
      <c r="G10" s="80"/>
      <c r="H10" s="94"/>
      <c r="I10" s="94"/>
      <c r="J10" s="94"/>
      <c r="K10" s="94"/>
      <c r="L10" s="197"/>
      <c r="M10" s="95">
        <f t="shared" si="0"/>
        <v>0</v>
      </c>
      <c r="N10" s="196"/>
      <c r="O10" s="95">
        <f ca="1">IF(OR(G10=0,G10="Férias",G10="Falta Justificada",G10="Feriado",G10="Folga (DSR)"),0,IF(G10="Falta Injustificada",HLOOKUP($F10,Jornada!$X$7:$AD$37,VLOOKUP(INDIRECT($C$5),Jornada!$C$8:$W$37,21,0),0),IF(HLOOKUP($F10,Jornada!$X$7:$AD$37,VLOOKUP(INDIRECT($C$5),Jornada!$C$8:$W$37,21,0),0)-M10&gt;0,HLOOKUP($F10,Jornada!$X$7:$AD$37,VLOOKUP(INDIRECT($C$5),Jornada!$C$8:$W$37,21,0),0)-M10,0)))</f>
        <v>0</v>
      </c>
      <c r="P10" s="193">
        <f ca="1">IF(HLOOKUP($F10,Jornada!$X$7:$AD$37,VLOOKUP(INDIRECT($C$5),Jornada!$C$8:$W$37,21,0),0)-M10&lt;0,ABS(HLOOKUP($F10,Jornada!$X$7:$AD$37,VLOOKUP(INDIRECT($C$5),Jornada!$C$8:$W$37,21,0),0)-M10),0)</f>
        <v>0</v>
      </c>
      <c r="Q10" s="95">
        <f t="shared" si="1"/>
        <v>0</v>
      </c>
      <c r="R10" s="2">
        <f t="shared" si="2"/>
        <v>0</v>
      </c>
      <c r="S10" s="294" t="s">
        <v>66</v>
      </c>
      <c r="T10" s="294"/>
      <c r="U10" s="295">
        <f ca="1">IF(M5="Horas devidas",ABS(-K5+F58-U14),ABS(K5+F58-U14))</f>
        <v>0</v>
      </c>
      <c r="W10" s="2" t="s">
        <v>93</v>
      </c>
      <c r="X10" s="156">
        <v>4</v>
      </c>
      <c r="AB10" s="177">
        <f t="shared" ref="AB10:AB34" si="10">AB9+1</f>
        <v>3</v>
      </c>
      <c r="AC10" s="2">
        <f t="shared" si="3"/>
        <v>3</v>
      </c>
      <c r="AE10" s="2">
        <v>3</v>
      </c>
      <c r="AF10" s="2" t="s">
        <v>53</v>
      </c>
      <c r="AG10" s="220">
        <f t="shared" si="4"/>
        <v>0</v>
      </c>
      <c r="AH10" s="220">
        <f ca="1">IF(HLOOKUP($F10,Jornada!$X$7:$AD$37,VLOOKUP(INDIRECT($C$5),Jornada!$C$8:$W$37,21,0),0)=0,0,VLOOKUP(INDIRECT($C$5),Jornada!$C$8:$H$37,4,0))</f>
        <v>0</v>
      </c>
      <c r="AI10" s="155">
        <f ca="1">IF(AND(I10=0,J10=0,OR(H10&lt;&gt;0,K10&lt;&gt;0),HLOOKUP($F10,Jornada!$X$7:$AD$37,VLOOKUP(INDIRECT($C$5),Jornada!$C$8:$W$37,21,0),0)&gt;$AK$5,M10&gt;$AK$5),VLOOKUP(INDIRECT($C$5),Jornada!$C$8:$H$37,6,0),IF(AG10&gt;VLOOKUP(INDIRECT($C$5),Jornada!$C$8:$H$37,6,0),IF(VLOOKUP(INDIRECT($C$5),Jornada!$C$8:$H$37,6,0)&lt;AG10,0,ABS(VLOOKUP(INDIRECT($C$5),Jornada!$C$8:$H$37,6,0))-AG10),0))</f>
        <v>0</v>
      </c>
      <c r="AJ10" s="155">
        <f t="shared" si="5"/>
        <v>1</v>
      </c>
      <c r="AK10" s="155">
        <f t="shared" si="6"/>
        <v>0</v>
      </c>
      <c r="AL10" s="155">
        <f ca="1">HLOOKUP($F10,Jornada!$I$5:$V$37,VLOOKUP(INDIRECT($C$5),Jornada!$C$8:$W$37,21,0)+2,0)</f>
        <v>0</v>
      </c>
      <c r="AM10" s="155">
        <f ca="1">HLOOKUP($F10,Jornada!$I$4:$V$37,VLOOKUP(INDIRECT($C$5),Jornada!$C$8:$W$37,21,0)+3,0)</f>
        <v>0</v>
      </c>
      <c r="AN10" s="155">
        <f t="shared" ca="1" si="7"/>
        <v>0</v>
      </c>
      <c r="AO10" s="155">
        <f t="shared" si="8"/>
        <v>0</v>
      </c>
      <c r="AP10" s="155">
        <f t="shared" si="9"/>
        <v>0</v>
      </c>
      <c r="BE10" s="14"/>
      <c r="BF10" s="14"/>
      <c r="BG10" s="14"/>
    </row>
    <row r="11" spans="1:59" s="2" customFormat="1" ht="30" customHeight="1" thickTop="1" thickBot="1" x14ac:dyDescent="0.25">
      <c r="A11" s="1"/>
      <c r="B11"/>
      <c r="C11" s="172" t="str">
        <f>IF(Funcionários!C10=0,"",Funcionários!C10)</f>
        <v/>
      </c>
      <c r="D11"/>
      <c r="E11" s="115">
        <f>Lanç!E11</f>
        <v>4</v>
      </c>
      <c r="F11" s="189" t="str">
        <f>Lanç!F11</f>
        <v>Qua</v>
      </c>
      <c r="G11" s="80"/>
      <c r="H11" s="94"/>
      <c r="I11" s="94"/>
      <c r="J11" s="94"/>
      <c r="K11" s="94"/>
      <c r="L11" s="197"/>
      <c r="M11" s="95">
        <f t="shared" si="0"/>
        <v>0</v>
      </c>
      <c r="N11" s="196"/>
      <c r="O11" s="95">
        <f ca="1">IF(OR(G11=0,G11="Férias",G11="Falta Justificada",G11="Feriado",G11="Folga (DSR)"),0,IF(G11="Falta Injustificada",HLOOKUP($F11,Jornada!$X$7:$AD$37,VLOOKUP(INDIRECT($C$5),Jornada!$C$8:$W$37,21,0),0),IF(HLOOKUP($F11,Jornada!$X$7:$AD$37,VLOOKUP(INDIRECT($C$5),Jornada!$C$8:$W$37,21,0),0)-M11&gt;0,HLOOKUP($F11,Jornada!$X$7:$AD$37,VLOOKUP(INDIRECT($C$5),Jornada!$C$8:$W$37,21,0),0)-M11,0)))</f>
        <v>0</v>
      </c>
      <c r="P11" s="193">
        <f ca="1">IF(HLOOKUP($F11,Jornada!$X$7:$AD$37,VLOOKUP(INDIRECT($C$5),Jornada!$C$8:$W$37,21,0),0)-M11&lt;0,ABS(HLOOKUP($F11,Jornada!$X$7:$AD$37,VLOOKUP(INDIRECT($C$5),Jornada!$C$8:$W$37,21,0),0)-M11),0)</f>
        <v>0</v>
      </c>
      <c r="Q11" s="95">
        <f t="shared" si="1"/>
        <v>0</v>
      </c>
      <c r="R11" s="2">
        <f t="shared" si="2"/>
        <v>0</v>
      </c>
      <c r="S11" s="294"/>
      <c r="T11" s="294"/>
      <c r="U11" s="295"/>
      <c r="V11" s="2">
        <f ca="1">IF(AND(K5&gt;U12,M5="Horas devidas"),"Negativo",IF(AND(U12&gt;K5,U14&gt;F58),"Negativo",0))</f>
        <v>0</v>
      </c>
      <c r="W11" s="2" t="s">
        <v>94</v>
      </c>
      <c r="X11" s="156">
        <v>5</v>
      </c>
      <c r="Z11" s="2" t="str">
        <f ca="1">IF(AND(M5="horas extras",Z13="positivo"),"positivo",IF(AND(M5="horas devidas",Z13="Negativo"),"Negativo",IF(AND(Z13="positivo",M5="horas devidas",U12&gt;K5),"Positivo","Negativo")))</f>
        <v>Negativo</v>
      </c>
      <c r="AB11" s="177">
        <f t="shared" si="10"/>
        <v>4</v>
      </c>
      <c r="AC11" s="2">
        <f t="shared" si="3"/>
        <v>4</v>
      </c>
      <c r="AE11" s="2">
        <v>4</v>
      </c>
      <c r="AF11" s="2" t="s">
        <v>54</v>
      </c>
      <c r="AG11" s="220">
        <f t="shared" si="4"/>
        <v>0</v>
      </c>
      <c r="AH11" s="220">
        <f ca="1">IF(HLOOKUP($F11,Jornada!$X$7:$AD$37,VLOOKUP(INDIRECT($C$5),Jornada!$C$8:$W$37,21,0),0)=0,0,VLOOKUP(INDIRECT($C$5),Jornada!$C$8:$H$37,4,0))</f>
        <v>0</v>
      </c>
      <c r="AI11" s="155">
        <f ca="1">IF(AND(I11=0,J11=0,OR(H11&lt;&gt;0,K11&lt;&gt;0),HLOOKUP($F11,Jornada!$X$7:$AD$37,VLOOKUP(INDIRECT($C$5),Jornada!$C$8:$W$37,21,0),0)&gt;$AK$5,M11&gt;$AK$5),VLOOKUP(INDIRECT($C$5),Jornada!$C$8:$H$37,6,0),IF(AG11&gt;VLOOKUP(INDIRECT($C$5),Jornada!$C$8:$H$37,6,0),IF(VLOOKUP(INDIRECT($C$5),Jornada!$C$8:$H$37,6,0)&lt;AG11,0,ABS(VLOOKUP(INDIRECT($C$5),Jornada!$C$8:$H$37,6,0))-AG11),0))</f>
        <v>0</v>
      </c>
      <c r="AJ11" s="155">
        <f t="shared" si="5"/>
        <v>1</v>
      </c>
      <c r="AK11" s="155">
        <f t="shared" si="6"/>
        <v>0</v>
      </c>
      <c r="AL11" s="155">
        <f ca="1">HLOOKUP($F11,Jornada!$I$5:$V$37,VLOOKUP(INDIRECT($C$5),Jornada!$C$8:$W$37,21,0)+2,0)</f>
        <v>0</v>
      </c>
      <c r="AM11" s="155">
        <f ca="1">HLOOKUP($F11,Jornada!$I$4:$V$37,VLOOKUP(INDIRECT($C$5),Jornada!$C$8:$W$37,21,0)+3,0)</f>
        <v>0</v>
      </c>
      <c r="AN11" s="155">
        <f t="shared" ca="1" si="7"/>
        <v>0</v>
      </c>
      <c r="AO11" s="155">
        <f t="shared" si="8"/>
        <v>0</v>
      </c>
      <c r="AP11" s="155">
        <f t="shared" si="9"/>
        <v>0</v>
      </c>
      <c r="BE11" s="14"/>
      <c r="BF11" s="14"/>
      <c r="BG11" s="14"/>
    </row>
    <row r="12" spans="1:59" s="2" customFormat="1" ht="30" customHeight="1" thickTop="1" thickBot="1" x14ac:dyDescent="0.25">
      <c r="A12" s="1"/>
      <c r="B12"/>
      <c r="C12" s="172" t="str">
        <f>IF(Funcionários!C11=0,"",Funcionários!C11)</f>
        <v/>
      </c>
      <c r="D12"/>
      <c r="E12" s="115">
        <f>Lanç!E12</f>
        <v>5</v>
      </c>
      <c r="F12" s="189" t="str">
        <f>Lanç!F12</f>
        <v>Qui</v>
      </c>
      <c r="G12" s="80"/>
      <c r="H12" s="94"/>
      <c r="I12" s="94"/>
      <c r="J12" s="94"/>
      <c r="K12" s="94"/>
      <c r="L12" s="197"/>
      <c r="M12" s="95">
        <f t="shared" si="0"/>
        <v>0</v>
      </c>
      <c r="N12" s="196"/>
      <c r="O12" s="95">
        <f ca="1">IF(OR(G12=0,G12="Férias",G12="Falta Justificada",G12="Feriado",G12="Folga (DSR)"),0,IF(G12="Falta Injustificada",HLOOKUP($F12,Jornada!$X$7:$AD$37,VLOOKUP(INDIRECT($C$5),Jornada!$C$8:$W$37,21,0),0),IF(HLOOKUP($F12,Jornada!$X$7:$AD$37,VLOOKUP(INDIRECT($C$5),Jornada!$C$8:$W$37,21,0),0)-M12&gt;0,HLOOKUP($F12,Jornada!$X$7:$AD$37,VLOOKUP(INDIRECT($C$5),Jornada!$C$8:$W$37,21,0),0)-M12,0)))</f>
        <v>0</v>
      </c>
      <c r="P12" s="193">
        <f ca="1">IF(HLOOKUP($F12,Jornada!$X$7:$AD$37,VLOOKUP(INDIRECT($C$5),Jornada!$C$8:$W$37,21,0),0)-M12&lt;0,ABS(HLOOKUP($F12,Jornada!$X$7:$AD$37,VLOOKUP(INDIRECT($C$5),Jornada!$C$8:$W$37,21,0),0)-M12),0)</f>
        <v>0</v>
      </c>
      <c r="Q12" s="95">
        <f t="shared" si="1"/>
        <v>0</v>
      </c>
      <c r="R12" s="2">
        <f t="shared" si="2"/>
        <v>0</v>
      </c>
      <c r="S12" s="294" t="s">
        <v>175</v>
      </c>
      <c r="T12" s="294"/>
      <c r="U12" s="295">
        <f ca="1">IF(U14&gt;=F58,(U14)-F58,(F58-U14))</f>
        <v>0</v>
      </c>
      <c r="W12" s="2" t="s">
        <v>95</v>
      </c>
      <c r="X12" s="156">
        <v>6</v>
      </c>
      <c r="AB12" s="177">
        <f t="shared" si="10"/>
        <v>5</v>
      </c>
      <c r="AC12" s="2">
        <f t="shared" si="3"/>
        <v>5</v>
      </c>
      <c r="AE12" s="2">
        <v>5</v>
      </c>
      <c r="AF12" s="2" t="s">
        <v>55</v>
      </c>
      <c r="AG12" s="220">
        <f t="shared" si="4"/>
        <v>0</v>
      </c>
      <c r="AH12" s="220">
        <f ca="1">IF(HLOOKUP($F12,Jornada!$X$7:$AD$37,VLOOKUP(INDIRECT($C$5),Jornada!$C$8:$W$37,21,0),0)=0,0,VLOOKUP(INDIRECT($C$5),Jornada!$C$8:$H$37,4,0))</f>
        <v>0</v>
      </c>
      <c r="AI12" s="155">
        <f ca="1">IF(AND(I12=0,J12=0,OR(H12&lt;&gt;0,K12&lt;&gt;0),HLOOKUP($F12,Jornada!$X$7:$AD$37,VLOOKUP(INDIRECT($C$5),Jornada!$C$8:$W$37,21,0),0)&gt;$AK$5,M12&gt;$AK$5),VLOOKUP(INDIRECT($C$5),Jornada!$C$8:$H$37,6,0),IF(AG12&gt;VLOOKUP(INDIRECT($C$5),Jornada!$C$8:$H$37,6,0),IF(VLOOKUP(INDIRECT($C$5),Jornada!$C$8:$H$37,6,0)&lt;AG12,0,ABS(VLOOKUP(INDIRECT($C$5),Jornada!$C$8:$H$37,6,0))-AG12),0))</f>
        <v>0</v>
      </c>
      <c r="AJ12" s="155">
        <f t="shared" si="5"/>
        <v>1</v>
      </c>
      <c r="AK12" s="155">
        <f t="shared" si="6"/>
        <v>0</v>
      </c>
      <c r="AL12" s="155">
        <f ca="1">HLOOKUP($F12,Jornada!$I$5:$V$37,VLOOKUP(INDIRECT($C$5),Jornada!$C$8:$W$37,21,0)+2,0)</f>
        <v>0</v>
      </c>
      <c r="AM12" s="155">
        <f ca="1">HLOOKUP($F12,Jornada!$I$4:$V$37,VLOOKUP(INDIRECT($C$5),Jornada!$C$8:$W$37,21,0)+3,0)</f>
        <v>0</v>
      </c>
      <c r="AN12" s="155">
        <f t="shared" ca="1" si="7"/>
        <v>0</v>
      </c>
      <c r="AO12" s="155">
        <f t="shared" si="8"/>
        <v>0</v>
      </c>
      <c r="AP12" s="155">
        <f t="shared" si="9"/>
        <v>0</v>
      </c>
      <c r="BE12" s="14"/>
      <c r="BF12" s="14"/>
      <c r="BG12" s="14"/>
    </row>
    <row r="13" spans="1:59" s="2" customFormat="1" ht="30" customHeight="1" thickTop="1" thickBot="1" x14ac:dyDescent="0.25">
      <c r="A13" s="1"/>
      <c r="B13"/>
      <c r="C13" s="172" t="str">
        <f>IF(Funcionários!C12=0,"",Funcionários!C12)</f>
        <v/>
      </c>
      <c r="D13"/>
      <c r="E13" s="115">
        <f>Lanç!E13</f>
        <v>6</v>
      </c>
      <c r="F13" s="189" t="str">
        <f>Lanç!F13</f>
        <v>Sex</v>
      </c>
      <c r="G13" s="80"/>
      <c r="H13" s="94"/>
      <c r="I13" s="94"/>
      <c r="J13" s="94"/>
      <c r="K13" s="94"/>
      <c r="L13" s="197"/>
      <c r="M13" s="95">
        <f t="shared" si="0"/>
        <v>0</v>
      </c>
      <c r="N13" s="196"/>
      <c r="O13" s="95">
        <f ca="1">IF(OR(G13=0,G13="Férias",G13="Falta Justificada",G13="Feriado",G13="Folga (DSR)"),0,IF(G13="Falta Injustificada",HLOOKUP($F13,Jornada!$X$7:$AD$37,VLOOKUP(INDIRECT($C$5),Jornada!$C$8:$W$37,21,0),0),IF(HLOOKUP($F13,Jornada!$X$7:$AD$37,VLOOKUP(INDIRECT($C$5),Jornada!$C$8:$W$37,21,0),0)-M13&gt;0,HLOOKUP($F13,Jornada!$X$7:$AD$37,VLOOKUP(INDIRECT($C$5),Jornada!$C$8:$W$37,21,0),0)-M13,0)))</f>
        <v>0</v>
      </c>
      <c r="P13" s="193">
        <f ca="1">IF(HLOOKUP($F13,Jornada!$X$7:$AD$37,VLOOKUP(INDIRECT($C$5),Jornada!$C$8:$W$37,21,0),0)-M13&lt;0,ABS(HLOOKUP($F13,Jornada!$X$7:$AD$37,VLOOKUP(INDIRECT($C$5),Jornada!$C$8:$W$37,21,0),0)-M13),0)</f>
        <v>0</v>
      </c>
      <c r="Q13" s="95">
        <f t="shared" si="1"/>
        <v>0</v>
      </c>
      <c r="R13" s="2">
        <f t="shared" si="2"/>
        <v>0</v>
      </c>
      <c r="S13" s="294"/>
      <c r="T13" s="294"/>
      <c r="U13" s="295"/>
      <c r="W13" s="2" t="s">
        <v>96</v>
      </c>
      <c r="X13" s="156">
        <v>7</v>
      </c>
      <c r="Z13" s="2" t="str">
        <f ca="1">IF(U14&gt;F58,"Negativo","Positivo")</f>
        <v>Positivo</v>
      </c>
      <c r="AB13" s="177">
        <f t="shared" si="10"/>
        <v>6</v>
      </c>
      <c r="AC13" s="2">
        <f t="shared" si="3"/>
        <v>6</v>
      </c>
      <c r="AE13" s="2">
        <v>6</v>
      </c>
      <c r="AF13" s="2" t="s">
        <v>56</v>
      </c>
      <c r="AG13" s="220">
        <f t="shared" si="4"/>
        <v>0</v>
      </c>
      <c r="AH13" s="220">
        <f ca="1">IF(HLOOKUP($F13,Jornada!$X$7:$AD$37,VLOOKUP(INDIRECT($C$5),Jornada!$C$8:$W$37,21,0),0)=0,0,VLOOKUP(INDIRECT($C$5),Jornada!$C$8:$H$37,4,0))</f>
        <v>0</v>
      </c>
      <c r="AI13" s="155">
        <f ca="1">IF(AND(I13=0,J13=0,OR(H13&lt;&gt;0,K13&lt;&gt;0),HLOOKUP($F13,Jornada!$X$7:$AD$37,VLOOKUP(INDIRECT($C$5),Jornada!$C$8:$W$37,21,0),0)&gt;$AK$5,M13&gt;$AK$5),VLOOKUP(INDIRECT($C$5),Jornada!$C$8:$H$37,6,0),IF(AG13&gt;VLOOKUP(INDIRECT($C$5),Jornada!$C$8:$H$37,6,0),IF(VLOOKUP(INDIRECT($C$5),Jornada!$C$8:$H$37,6,0)&lt;AG13,0,ABS(VLOOKUP(INDIRECT($C$5),Jornada!$C$8:$H$37,6,0))-AG13),0))</f>
        <v>0</v>
      </c>
      <c r="AJ13" s="155">
        <f t="shared" si="5"/>
        <v>1</v>
      </c>
      <c r="AK13" s="155">
        <f t="shared" si="6"/>
        <v>0</v>
      </c>
      <c r="AL13" s="155">
        <f ca="1">HLOOKUP($F13,Jornada!$I$5:$V$37,VLOOKUP(INDIRECT($C$5),Jornada!$C$8:$W$37,21,0)+2,0)</f>
        <v>0</v>
      </c>
      <c r="AM13" s="155">
        <f ca="1">HLOOKUP($F13,Jornada!$I$4:$V$37,VLOOKUP(INDIRECT($C$5),Jornada!$C$8:$W$37,21,0)+3,0)</f>
        <v>0</v>
      </c>
      <c r="AN13" s="155">
        <f t="shared" ca="1" si="7"/>
        <v>0</v>
      </c>
      <c r="AO13" s="155">
        <f t="shared" si="8"/>
        <v>0</v>
      </c>
      <c r="AP13" s="155">
        <f t="shared" si="9"/>
        <v>0</v>
      </c>
      <c r="BE13" s="14"/>
      <c r="BF13" s="14"/>
      <c r="BG13" s="14"/>
    </row>
    <row r="14" spans="1:59" s="2" customFormat="1" ht="30" customHeight="1" thickTop="1" thickBot="1" x14ac:dyDescent="0.25">
      <c r="A14" s="1"/>
      <c r="B14"/>
      <c r="C14" s="172" t="str">
        <f>IF(Funcionários!C13=0,"",Funcionários!C13)</f>
        <v/>
      </c>
      <c r="D14"/>
      <c r="E14" s="115">
        <f>Lanç!E14</f>
        <v>7</v>
      </c>
      <c r="F14" s="189" t="str">
        <f>Lanç!F14</f>
        <v>Sáb</v>
      </c>
      <c r="G14" s="80"/>
      <c r="H14" s="94"/>
      <c r="I14" s="94"/>
      <c r="J14" s="94"/>
      <c r="K14" s="94"/>
      <c r="L14" s="197"/>
      <c r="M14" s="95">
        <f t="shared" si="0"/>
        <v>0</v>
      </c>
      <c r="N14" s="196"/>
      <c r="O14" s="95">
        <f ca="1">IF(OR(G14=0,G14="Férias",G14="Falta Justificada",G14="Feriado",G14="Folga (DSR)"),0,IF(G14="Falta Injustificada",HLOOKUP($F14,Jornada!$X$7:$AD$37,VLOOKUP(INDIRECT($C$5),Jornada!$C$8:$W$37,21,0),0),IF(HLOOKUP($F14,Jornada!$X$7:$AD$37,VLOOKUP(INDIRECT($C$5),Jornada!$C$8:$W$37,21,0),0)-M14&gt;0,HLOOKUP($F14,Jornada!$X$7:$AD$37,VLOOKUP(INDIRECT($C$5),Jornada!$C$8:$W$37,21,0),0)-M14,0)))</f>
        <v>0</v>
      </c>
      <c r="P14" s="193">
        <f ca="1">IF(HLOOKUP($F14,Jornada!$X$7:$AD$37,VLOOKUP(INDIRECT($C$5),Jornada!$C$8:$W$37,21,0),0)-M14&lt;0,ABS(HLOOKUP($F14,Jornada!$X$7:$AD$37,VLOOKUP(INDIRECT($C$5),Jornada!$C$8:$W$37,21,0),0)-M14),0)</f>
        <v>0</v>
      </c>
      <c r="Q14" s="95">
        <f t="shared" si="1"/>
        <v>0</v>
      </c>
      <c r="R14" s="2">
        <f t="shared" si="2"/>
        <v>0</v>
      </c>
      <c r="S14" s="294" t="s">
        <v>68</v>
      </c>
      <c r="T14" s="294"/>
      <c r="U14" s="295">
        <f ca="1">SUM(O8:O38)</f>
        <v>0</v>
      </c>
      <c r="W14" s="2" t="s">
        <v>97</v>
      </c>
      <c r="X14" s="156">
        <v>8</v>
      </c>
      <c r="AB14" s="177">
        <f t="shared" si="10"/>
        <v>7</v>
      </c>
      <c r="AC14" s="2">
        <f t="shared" si="3"/>
        <v>7</v>
      </c>
      <c r="AE14" s="2">
        <v>7</v>
      </c>
      <c r="AF14" s="2" t="s">
        <v>57</v>
      </c>
      <c r="AG14" s="220">
        <f t="shared" si="4"/>
        <v>0</v>
      </c>
      <c r="AH14" s="220">
        <f ca="1">IF(HLOOKUP($F14,Jornada!$X$7:$AD$37,VLOOKUP(INDIRECT($C$5),Jornada!$C$8:$W$37,21,0),0)=0,0,VLOOKUP(INDIRECT($C$5),Jornada!$C$8:$H$37,4,0))</f>
        <v>0</v>
      </c>
      <c r="AI14" s="155">
        <f ca="1">IF(AND(I14=0,J14=0,OR(H14&lt;&gt;0,K14&lt;&gt;0),HLOOKUP($F14,Jornada!$X$7:$AD$37,VLOOKUP(INDIRECT($C$5),Jornada!$C$8:$W$37,21,0),0)&gt;$AK$5,M14&gt;$AK$5),VLOOKUP(INDIRECT($C$5),Jornada!$C$8:$H$37,6,0),IF(AG14&gt;VLOOKUP(INDIRECT($C$5),Jornada!$C$8:$H$37,6,0),IF(VLOOKUP(INDIRECT($C$5),Jornada!$C$8:$H$37,6,0)&lt;AG14,0,ABS(VLOOKUP(INDIRECT($C$5),Jornada!$C$8:$H$37,6,0))-AG14),0))</f>
        <v>0</v>
      </c>
      <c r="AJ14" s="155">
        <f t="shared" si="5"/>
        <v>1</v>
      </c>
      <c r="AK14" s="155">
        <f t="shared" si="6"/>
        <v>0</v>
      </c>
      <c r="AL14" s="155">
        <f ca="1">HLOOKUP($F14,Jornada!$I$5:$V$37,VLOOKUP(INDIRECT($C$5),Jornada!$C$8:$W$37,21,0)+2,0)</f>
        <v>0</v>
      </c>
      <c r="AM14" s="155">
        <f ca="1">HLOOKUP($F14,Jornada!$I$4:$V$37,VLOOKUP(INDIRECT($C$5),Jornada!$C$8:$W$37,21,0)+3,0)</f>
        <v>0</v>
      </c>
      <c r="AN14" s="155">
        <f t="shared" ca="1" si="7"/>
        <v>0</v>
      </c>
      <c r="AO14" s="155">
        <f t="shared" si="8"/>
        <v>0</v>
      </c>
      <c r="AP14" s="155">
        <f t="shared" si="9"/>
        <v>0</v>
      </c>
      <c r="BE14" s="14"/>
      <c r="BF14" s="14"/>
      <c r="BG14" s="14"/>
    </row>
    <row r="15" spans="1:59" s="2" customFormat="1" ht="30" customHeight="1" thickTop="1" thickBot="1" x14ac:dyDescent="0.25">
      <c r="A15" s="1"/>
      <c r="B15"/>
      <c r="C15" s="172" t="str">
        <f>IF(Funcionários!C14=0,"",Funcionários!C14)</f>
        <v/>
      </c>
      <c r="D15"/>
      <c r="E15" s="115">
        <f>Lanç!E15</f>
        <v>8</v>
      </c>
      <c r="F15" s="189" t="str">
        <f>Lanç!F15</f>
        <v>Dom</v>
      </c>
      <c r="G15" s="80"/>
      <c r="H15" s="94"/>
      <c r="I15" s="94"/>
      <c r="J15" s="94"/>
      <c r="K15" s="94"/>
      <c r="L15" s="197"/>
      <c r="M15" s="95">
        <f t="shared" si="0"/>
        <v>0</v>
      </c>
      <c r="N15" s="196"/>
      <c r="O15" s="95">
        <f ca="1">IF(OR(G15=0,G15="Férias",G15="Falta Justificada",G15="Feriado",G15="Folga (DSR)"),0,IF(G15="Falta Injustificada",HLOOKUP($F15,Jornada!$X$7:$AD$37,VLOOKUP(INDIRECT($C$5),Jornada!$C$8:$W$37,21,0),0),IF(HLOOKUP($F15,Jornada!$X$7:$AD$37,VLOOKUP(INDIRECT($C$5),Jornada!$C$8:$W$37,21,0),0)-M15&gt;0,HLOOKUP($F15,Jornada!$X$7:$AD$37,VLOOKUP(INDIRECT($C$5),Jornada!$C$8:$W$37,21,0),0)-M15,0)))</f>
        <v>0</v>
      </c>
      <c r="P15" s="193">
        <f ca="1">IF(HLOOKUP($F15,Jornada!$X$7:$AD$37,VLOOKUP(INDIRECT($C$5),Jornada!$C$8:$W$37,21,0),0)-M15&lt;0,ABS(HLOOKUP($F15,Jornada!$X$7:$AD$37,VLOOKUP(INDIRECT($C$5),Jornada!$C$8:$W$37,21,0),0)-M15),0)</f>
        <v>0</v>
      </c>
      <c r="Q15" s="95">
        <f t="shared" si="1"/>
        <v>0</v>
      </c>
      <c r="R15" s="2">
        <f t="shared" si="2"/>
        <v>0</v>
      </c>
      <c r="S15" s="294"/>
      <c r="T15" s="294"/>
      <c r="U15" s="295"/>
      <c r="W15" s="2" t="s">
        <v>98</v>
      </c>
      <c r="X15" s="156">
        <v>9</v>
      </c>
      <c r="AB15" s="177">
        <f t="shared" si="10"/>
        <v>8</v>
      </c>
      <c r="AC15" s="2">
        <f t="shared" si="3"/>
        <v>1</v>
      </c>
      <c r="AG15" s="220">
        <f t="shared" si="4"/>
        <v>0</v>
      </c>
      <c r="AH15" s="220">
        <f ca="1">IF(HLOOKUP($F15,Jornada!$X$7:$AD$37,VLOOKUP(INDIRECT($C$5),Jornada!$C$8:$W$37,21,0),0)=0,0,VLOOKUP(INDIRECT($C$5),Jornada!$C$8:$H$37,4,0))</f>
        <v>0</v>
      </c>
      <c r="AI15" s="155">
        <f ca="1">IF(AND(I15=0,J15=0,OR(H15&lt;&gt;0,K15&lt;&gt;0),HLOOKUP($F15,Jornada!$X$7:$AD$37,VLOOKUP(INDIRECT($C$5),Jornada!$C$8:$W$37,21,0),0)&gt;$AK$5,M15&gt;$AK$5),VLOOKUP(INDIRECT($C$5),Jornada!$C$8:$H$37,6,0),IF(AG15&gt;VLOOKUP(INDIRECT($C$5),Jornada!$C$8:$H$37,6,0),IF(VLOOKUP(INDIRECT($C$5),Jornada!$C$8:$H$37,6,0)&lt;AG15,0,ABS(VLOOKUP(INDIRECT($C$5),Jornada!$C$8:$H$37,6,0))-AG15),0))</f>
        <v>0</v>
      </c>
      <c r="AJ15" s="155">
        <f t="shared" si="5"/>
        <v>1</v>
      </c>
      <c r="AK15" s="155">
        <f t="shared" si="6"/>
        <v>0</v>
      </c>
      <c r="AL15" s="155">
        <f ca="1">HLOOKUP($F15,Jornada!$I$5:$V$37,VLOOKUP(INDIRECT($C$5),Jornada!$C$8:$W$37,21,0)+2,0)</f>
        <v>0</v>
      </c>
      <c r="AM15" s="155">
        <f ca="1">HLOOKUP($F15,Jornada!$I$4:$V$37,VLOOKUP(INDIRECT($C$5),Jornada!$C$8:$W$37,21,0)+3,0)</f>
        <v>0</v>
      </c>
      <c r="AN15" s="155">
        <f t="shared" ca="1" si="7"/>
        <v>0</v>
      </c>
      <c r="AO15" s="155">
        <f t="shared" si="8"/>
        <v>0</v>
      </c>
      <c r="AP15" s="155">
        <f t="shared" si="9"/>
        <v>0</v>
      </c>
      <c r="BE15" s="14"/>
      <c r="BF15" s="14"/>
      <c r="BG15" s="14"/>
    </row>
    <row r="16" spans="1:59" s="2" customFormat="1" ht="30" customHeight="1" thickTop="1" thickBot="1" x14ac:dyDescent="0.25">
      <c r="A16" s="1"/>
      <c r="B16"/>
      <c r="C16" s="172" t="str">
        <f>IF(Funcionários!C15=0,"",Funcionários!C15)</f>
        <v/>
      </c>
      <c r="D16"/>
      <c r="E16" s="115">
        <f>Lanç!E16</f>
        <v>9</v>
      </c>
      <c r="F16" s="189" t="str">
        <f>Lanç!F16</f>
        <v>Seg</v>
      </c>
      <c r="G16" s="80"/>
      <c r="H16" s="94"/>
      <c r="I16" s="94"/>
      <c r="J16" s="94"/>
      <c r="K16" s="94"/>
      <c r="L16" s="197"/>
      <c r="M16" s="95">
        <f t="shared" si="0"/>
        <v>0</v>
      </c>
      <c r="N16" s="196"/>
      <c r="O16" s="95">
        <f ca="1">IF(OR(G16=0,G16="Férias",G16="Falta Justificada",G16="Feriado",G16="Folga (DSR)"),0,IF(G16="Falta Injustificada",HLOOKUP($F16,Jornada!$X$7:$AD$37,VLOOKUP(INDIRECT($C$5),Jornada!$C$8:$W$37,21,0),0),IF(HLOOKUP($F16,Jornada!$X$7:$AD$37,VLOOKUP(INDIRECT($C$5),Jornada!$C$8:$W$37,21,0),0)-M16&gt;0,HLOOKUP($F16,Jornada!$X$7:$AD$37,VLOOKUP(INDIRECT($C$5),Jornada!$C$8:$W$37,21,0),0)-M16,0)))</f>
        <v>0</v>
      </c>
      <c r="P16" s="193">
        <f ca="1">IF(HLOOKUP($F16,Jornada!$X$7:$AD$37,VLOOKUP(INDIRECT($C$5),Jornada!$C$8:$W$37,21,0),0)-M16&lt;0,ABS(HLOOKUP($F16,Jornada!$X$7:$AD$37,VLOOKUP(INDIRECT($C$5),Jornada!$C$8:$W$37,21,0),0)-M16),0)</f>
        <v>0</v>
      </c>
      <c r="Q16" s="95">
        <f t="shared" si="1"/>
        <v>0</v>
      </c>
      <c r="R16" s="2">
        <f t="shared" si="2"/>
        <v>0</v>
      </c>
      <c r="S16" s="294" t="s">
        <v>67</v>
      </c>
      <c r="T16" s="294"/>
      <c r="U16" s="295">
        <f>SUM(Q8:Q38)</f>
        <v>0</v>
      </c>
      <c r="W16" s="2" t="s">
        <v>99</v>
      </c>
      <c r="X16" s="156">
        <v>10</v>
      </c>
      <c r="AB16" s="177">
        <f t="shared" si="10"/>
        <v>9</v>
      </c>
      <c r="AC16" s="2">
        <f t="shared" si="3"/>
        <v>2</v>
      </c>
      <c r="AG16" s="220">
        <f t="shared" si="4"/>
        <v>0</v>
      </c>
      <c r="AH16" s="220">
        <f ca="1">IF(HLOOKUP($F16,Jornada!$X$7:$AD$37,VLOOKUP(INDIRECT($C$5),Jornada!$C$8:$W$37,21,0),0)=0,0,VLOOKUP(INDIRECT($C$5),Jornada!$C$8:$H$37,4,0))</f>
        <v>0</v>
      </c>
      <c r="AI16" s="155">
        <f ca="1">IF(AND(I16=0,J16=0,OR(H16&lt;&gt;0,K16&lt;&gt;0),HLOOKUP($F16,Jornada!$X$7:$AD$37,VLOOKUP(INDIRECT($C$5),Jornada!$C$8:$W$37,21,0),0)&gt;$AK$5,M16&gt;$AK$5),VLOOKUP(INDIRECT($C$5),Jornada!$C$8:$H$37,6,0),IF(AG16&gt;VLOOKUP(INDIRECT($C$5),Jornada!$C$8:$H$37,6,0),IF(VLOOKUP(INDIRECT($C$5),Jornada!$C$8:$H$37,6,0)&lt;AG16,0,ABS(VLOOKUP(INDIRECT($C$5),Jornada!$C$8:$H$37,6,0))-AG16),0))</f>
        <v>0</v>
      </c>
      <c r="AJ16" s="155">
        <f t="shared" si="5"/>
        <v>1</v>
      </c>
      <c r="AK16" s="155">
        <f t="shared" si="6"/>
        <v>0</v>
      </c>
      <c r="AL16" s="155">
        <f ca="1">HLOOKUP($F16,Jornada!$I$5:$V$37,VLOOKUP(INDIRECT($C$5),Jornada!$C$8:$W$37,21,0)+2,0)</f>
        <v>0</v>
      </c>
      <c r="AM16" s="155">
        <f ca="1">HLOOKUP($F16,Jornada!$I$4:$V$37,VLOOKUP(INDIRECT($C$5),Jornada!$C$8:$W$37,21,0)+3,0)</f>
        <v>0</v>
      </c>
      <c r="AN16" s="155">
        <f t="shared" ca="1" si="7"/>
        <v>0</v>
      </c>
      <c r="AO16" s="155">
        <f t="shared" si="8"/>
        <v>0</v>
      </c>
      <c r="AP16" s="155">
        <f t="shared" si="9"/>
        <v>0</v>
      </c>
      <c r="BE16" s="14"/>
      <c r="BF16" s="14"/>
      <c r="BG16" s="14"/>
    </row>
    <row r="17" spans="1:59" s="2" customFormat="1" ht="30" customHeight="1" thickTop="1" thickBot="1" x14ac:dyDescent="0.25">
      <c r="A17" s="1"/>
      <c r="B17"/>
      <c r="C17" s="171" t="str">
        <f>IF(Funcionários!C16=0,"",Funcionários!C16)</f>
        <v/>
      </c>
      <c r="D17"/>
      <c r="E17" s="115">
        <f>Lanç!E17</f>
        <v>10</v>
      </c>
      <c r="F17" s="189" t="str">
        <f>Lanç!F17</f>
        <v>Ter</v>
      </c>
      <c r="G17" s="80"/>
      <c r="H17" s="94"/>
      <c r="I17" s="94"/>
      <c r="J17" s="94"/>
      <c r="K17" s="94"/>
      <c r="L17" s="197"/>
      <c r="M17" s="95">
        <f t="shared" si="0"/>
        <v>0</v>
      </c>
      <c r="N17" s="196"/>
      <c r="O17" s="95">
        <f ca="1">IF(OR(G17=0,G17="Férias",G17="Falta Justificada",G17="Feriado",G17="Folga (DSR)"),0,IF(G17="Falta Injustificada",HLOOKUP($F17,Jornada!$X$7:$AD$37,VLOOKUP(INDIRECT($C$5),Jornada!$C$8:$W$37,21,0),0),IF(HLOOKUP($F17,Jornada!$X$7:$AD$37,VLOOKUP(INDIRECT($C$5),Jornada!$C$8:$W$37,21,0),0)-M17&gt;0,HLOOKUP($F17,Jornada!$X$7:$AD$37,VLOOKUP(INDIRECT($C$5),Jornada!$C$8:$W$37,21,0),0)-M17,0)))</f>
        <v>0</v>
      </c>
      <c r="P17" s="193">
        <f ca="1">IF(HLOOKUP($F17,Jornada!$X$7:$AD$37,VLOOKUP(INDIRECT($C$5),Jornada!$C$8:$W$37,21,0),0)-M17&lt;0,ABS(HLOOKUP($F17,Jornada!$X$7:$AD$37,VLOOKUP(INDIRECT($C$5),Jornada!$C$8:$W$37,21,0),0)-M17),0)</f>
        <v>0</v>
      </c>
      <c r="Q17" s="95">
        <f t="shared" si="1"/>
        <v>0</v>
      </c>
      <c r="R17" s="2">
        <f t="shared" si="2"/>
        <v>0</v>
      </c>
      <c r="S17" s="294"/>
      <c r="T17" s="294"/>
      <c r="U17" s="295"/>
      <c r="W17" s="2" t="s">
        <v>100</v>
      </c>
      <c r="X17" s="156">
        <v>11</v>
      </c>
      <c r="AB17" s="177">
        <f t="shared" si="10"/>
        <v>10</v>
      </c>
      <c r="AC17" s="2">
        <f t="shared" si="3"/>
        <v>3</v>
      </c>
      <c r="AG17" s="220">
        <f t="shared" si="4"/>
        <v>0</v>
      </c>
      <c r="AH17" s="220">
        <f ca="1">IF(HLOOKUP($F17,Jornada!$X$7:$AD$37,VLOOKUP(INDIRECT($C$5),Jornada!$C$8:$W$37,21,0),0)=0,0,VLOOKUP(INDIRECT($C$5),Jornada!$C$8:$H$37,4,0))</f>
        <v>0</v>
      </c>
      <c r="AI17" s="155">
        <f ca="1">IF(AND(I17=0,J17=0,OR(H17&lt;&gt;0,K17&lt;&gt;0),HLOOKUP($F17,Jornada!$X$7:$AD$37,VLOOKUP(INDIRECT($C$5),Jornada!$C$8:$W$37,21,0),0)&gt;$AK$5,M17&gt;$AK$5),VLOOKUP(INDIRECT($C$5),Jornada!$C$8:$H$37,6,0),IF(AG17&gt;VLOOKUP(INDIRECT($C$5),Jornada!$C$8:$H$37,6,0),IF(VLOOKUP(INDIRECT($C$5),Jornada!$C$8:$H$37,6,0)&lt;AG17,0,ABS(VLOOKUP(INDIRECT($C$5),Jornada!$C$8:$H$37,6,0))-AG17),0))</f>
        <v>0</v>
      </c>
      <c r="AJ17" s="155">
        <f t="shared" si="5"/>
        <v>1</v>
      </c>
      <c r="AK17" s="155">
        <f t="shared" si="6"/>
        <v>0</v>
      </c>
      <c r="AL17" s="155">
        <f ca="1">HLOOKUP($F17,Jornada!$I$5:$V$37,VLOOKUP(INDIRECT($C$5),Jornada!$C$8:$W$37,21,0)+2,0)</f>
        <v>0</v>
      </c>
      <c r="AM17" s="155">
        <f ca="1">HLOOKUP($F17,Jornada!$I$4:$V$37,VLOOKUP(INDIRECT($C$5),Jornada!$C$8:$W$37,21,0)+3,0)</f>
        <v>0</v>
      </c>
      <c r="AN17" s="155">
        <f t="shared" ca="1" si="7"/>
        <v>0</v>
      </c>
      <c r="AO17" s="155">
        <f t="shared" si="8"/>
        <v>0</v>
      </c>
      <c r="AP17" s="155">
        <f t="shared" si="9"/>
        <v>0</v>
      </c>
      <c r="BE17" s="14"/>
      <c r="BF17" s="14"/>
      <c r="BG17" s="14"/>
    </row>
    <row r="18" spans="1:59" s="2" customFormat="1" ht="30" customHeight="1" thickTop="1" thickBot="1" x14ac:dyDescent="0.25">
      <c r="A18" s="1"/>
      <c r="B18"/>
      <c r="C18" s="172" t="str">
        <f>IF(Funcionários!C17=0,"",Funcionários!C17)</f>
        <v/>
      </c>
      <c r="D18"/>
      <c r="E18" s="115">
        <f>Lanç!E18</f>
        <v>11</v>
      </c>
      <c r="F18" s="189" t="str">
        <f>Lanç!F18</f>
        <v>Qua</v>
      </c>
      <c r="G18" s="80"/>
      <c r="H18" s="94"/>
      <c r="I18" s="94"/>
      <c r="J18" s="94"/>
      <c r="K18" s="94"/>
      <c r="L18" s="197"/>
      <c r="M18" s="95">
        <f t="shared" si="0"/>
        <v>0</v>
      </c>
      <c r="N18" s="196"/>
      <c r="O18" s="95">
        <f ca="1">IF(OR(G18=0,G18="Férias",G18="Falta Justificada",G18="Feriado",G18="Folga (DSR)"),0,IF(G18="Falta Injustificada",HLOOKUP($F18,Jornada!$X$7:$AD$37,VLOOKUP(INDIRECT($C$5),Jornada!$C$8:$W$37,21,0),0),IF(HLOOKUP($F18,Jornada!$X$7:$AD$37,VLOOKUP(INDIRECT($C$5),Jornada!$C$8:$W$37,21,0),0)-M18&gt;0,HLOOKUP($F18,Jornada!$X$7:$AD$37,VLOOKUP(INDIRECT($C$5),Jornada!$C$8:$W$37,21,0),0)-M18,0)))</f>
        <v>0</v>
      </c>
      <c r="P18" s="193">
        <f ca="1">IF(HLOOKUP($F18,Jornada!$X$7:$AD$37,VLOOKUP(INDIRECT($C$5),Jornada!$C$8:$W$37,21,0),0)-M18&lt;0,ABS(HLOOKUP($F18,Jornada!$X$7:$AD$37,VLOOKUP(INDIRECT($C$5),Jornada!$C$8:$W$37,21,0),0)-M18),0)</f>
        <v>0</v>
      </c>
      <c r="Q18" s="95">
        <f t="shared" si="1"/>
        <v>0</v>
      </c>
      <c r="R18" s="2">
        <f t="shared" si="2"/>
        <v>0</v>
      </c>
      <c r="S18" s="294" t="s">
        <v>69</v>
      </c>
      <c r="T18" s="294"/>
      <c r="U18" s="299">
        <f ca="1">F54</f>
        <v>0</v>
      </c>
      <c r="W18" s="2" t="s">
        <v>101</v>
      </c>
      <c r="X18" s="156">
        <v>12</v>
      </c>
      <c r="AB18" s="177">
        <f t="shared" si="10"/>
        <v>11</v>
      </c>
      <c r="AC18" s="2">
        <f t="shared" si="3"/>
        <v>4</v>
      </c>
      <c r="AG18" s="220">
        <f t="shared" si="4"/>
        <v>0</v>
      </c>
      <c r="AH18" s="220">
        <f ca="1">IF(HLOOKUP($F18,Jornada!$X$7:$AD$37,VLOOKUP(INDIRECT($C$5),Jornada!$C$8:$W$37,21,0),0)=0,0,VLOOKUP(INDIRECT($C$5),Jornada!$C$8:$H$37,4,0))</f>
        <v>0</v>
      </c>
      <c r="AI18" s="155">
        <f ca="1">IF(AND(I18=0,J18=0,OR(H18&lt;&gt;0,K18&lt;&gt;0),HLOOKUP($F18,Jornada!$X$7:$AD$37,VLOOKUP(INDIRECT($C$5),Jornada!$C$8:$W$37,21,0),0)&gt;$AK$5,M18&gt;$AK$5),VLOOKUP(INDIRECT($C$5),Jornada!$C$8:$H$37,6,0),IF(AG18&gt;VLOOKUP(INDIRECT($C$5),Jornada!$C$8:$H$37,6,0),IF(VLOOKUP(INDIRECT($C$5),Jornada!$C$8:$H$37,6,0)&lt;AG18,0,ABS(VLOOKUP(INDIRECT($C$5),Jornada!$C$8:$H$37,6,0))-AG18),0))</f>
        <v>0</v>
      </c>
      <c r="AJ18" s="155">
        <f t="shared" si="5"/>
        <v>1</v>
      </c>
      <c r="AK18" s="155">
        <f t="shared" si="6"/>
        <v>0</v>
      </c>
      <c r="AL18" s="155">
        <f ca="1">HLOOKUP($F18,Jornada!$I$5:$V$37,VLOOKUP(INDIRECT($C$5),Jornada!$C$8:$W$37,21,0)+2,0)</f>
        <v>0</v>
      </c>
      <c r="AM18" s="155">
        <f ca="1">HLOOKUP($F18,Jornada!$I$4:$V$37,VLOOKUP(INDIRECT($C$5),Jornada!$C$8:$W$37,21,0)+3,0)</f>
        <v>0</v>
      </c>
      <c r="AN18" s="155">
        <f t="shared" ca="1" si="7"/>
        <v>0</v>
      </c>
      <c r="AO18" s="155">
        <f t="shared" si="8"/>
        <v>0</v>
      </c>
      <c r="AP18" s="155">
        <f t="shared" si="9"/>
        <v>0</v>
      </c>
      <c r="BE18" s="14"/>
      <c r="BF18" s="14"/>
      <c r="BG18" s="14"/>
    </row>
    <row r="19" spans="1:59" s="2" customFormat="1" ht="30" customHeight="1" thickTop="1" thickBot="1" x14ac:dyDescent="0.25">
      <c r="A19" s="1"/>
      <c r="B19"/>
      <c r="C19" s="172" t="str">
        <f>IF(Funcionários!C18=0,"",Funcionários!C18)</f>
        <v/>
      </c>
      <c r="D19"/>
      <c r="E19" s="115">
        <f>Lanç!E19</f>
        <v>12</v>
      </c>
      <c r="F19" s="189" t="str">
        <f>Lanç!F19</f>
        <v>Qui</v>
      </c>
      <c r="G19" s="80"/>
      <c r="H19" s="94"/>
      <c r="I19" s="94"/>
      <c r="J19" s="94"/>
      <c r="K19" s="94"/>
      <c r="L19" s="197"/>
      <c r="M19" s="95">
        <f t="shared" si="0"/>
        <v>0</v>
      </c>
      <c r="N19" s="196"/>
      <c r="O19" s="95">
        <f ca="1">IF(OR(G19=0,G19="Férias",G19="Falta Justificada",G19="Feriado",G19="Folga (DSR)"),0,IF(G19="Falta Injustificada",HLOOKUP($F19,Jornada!$X$7:$AD$37,VLOOKUP(INDIRECT($C$5),Jornada!$C$8:$W$37,21,0),0),IF(HLOOKUP($F19,Jornada!$X$7:$AD$37,VLOOKUP(INDIRECT($C$5),Jornada!$C$8:$W$37,21,0),0)-M19&gt;0,HLOOKUP($F19,Jornada!$X$7:$AD$37,VLOOKUP(INDIRECT($C$5),Jornada!$C$8:$W$37,21,0),0)-M19,0)))</f>
        <v>0</v>
      </c>
      <c r="P19" s="193">
        <f ca="1">IF(HLOOKUP($F19,Jornada!$X$7:$AD$37,VLOOKUP(INDIRECT($C$5),Jornada!$C$8:$W$37,21,0),0)-M19&lt;0,ABS(HLOOKUP($F19,Jornada!$X$7:$AD$37,VLOOKUP(INDIRECT($C$5),Jornada!$C$8:$W$37,21,0),0)-M19),0)</f>
        <v>0</v>
      </c>
      <c r="Q19" s="95">
        <f t="shared" si="1"/>
        <v>0</v>
      </c>
      <c r="R19" s="2">
        <f t="shared" si="2"/>
        <v>0</v>
      </c>
      <c r="S19" s="294"/>
      <c r="T19" s="294"/>
      <c r="U19" s="299"/>
      <c r="X19" s="177"/>
      <c r="AB19" s="177">
        <f t="shared" si="10"/>
        <v>12</v>
      </c>
      <c r="AC19" s="2">
        <f t="shared" si="3"/>
        <v>5</v>
      </c>
      <c r="AG19" s="220">
        <f t="shared" si="4"/>
        <v>0</v>
      </c>
      <c r="AH19" s="220">
        <f ca="1">IF(HLOOKUP($F19,Jornada!$X$7:$AD$37,VLOOKUP(INDIRECT($C$5),Jornada!$C$8:$W$37,21,0),0)=0,0,VLOOKUP(INDIRECT($C$5),Jornada!$C$8:$H$37,4,0))</f>
        <v>0</v>
      </c>
      <c r="AI19" s="155">
        <f ca="1">IF(AND(I19=0,J19=0,OR(H19&lt;&gt;0,K19&lt;&gt;0),HLOOKUP($F19,Jornada!$X$7:$AD$37,VLOOKUP(INDIRECT($C$5),Jornada!$C$8:$W$37,21,0),0)&gt;$AK$5,M19&gt;$AK$5),VLOOKUP(INDIRECT($C$5),Jornada!$C$8:$H$37,6,0),IF(AG19&gt;VLOOKUP(INDIRECT($C$5),Jornada!$C$8:$H$37,6,0),IF(VLOOKUP(INDIRECT($C$5),Jornada!$C$8:$H$37,6,0)&lt;AG19,0,ABS(VLOOKUP(INDIRECT($C$5),Jornada!$C$8:$H$37,6,0))-AG19),0))</f>
        <v>0</v>
      </c>
      <c r="AJ19" s="155">
        <f t="shared" si="5"/>
        <v>1</v>
      </c>
      <c r="AK19" s="155">
        <f t="shared" si="6"/>
        <v>0</v>
      </c>
      <c r="AL19" s="155">
        <f ca="1">HLOOKUP($F19,Jornada!$I$5:$V$37,VLOOKUP(INDIRECT($C$5),Jornada!$C$8:$W$37,21,0)+2,0)</f>
        <v>0</v>
      </c>
      <c r="AM19" s="155">
        <f ca="1">HLOOKUP($F19,Jornada!$I$4:$V$37,VLOOKUP(INDIRECT($C$5),Jornada!$C$8:$W$37,21,0)+3,0)</f>
        <v>0</v>
      </c>
      <c r="AN19" s="155">
        <f t="shared" ca="1" si="7"/>
        <v>0</v>
      </c>
      <c r="AO19" s="155">
        <f t="shared" si="8"/>
        <v>0</v>
      </c>
      <c r="AP19" s="155">
        <f t="shared" si="9"/>
        <v>0</v>
      </c>
      <c r="BE19" s="14"/>
      <c r="BF19" s="14"/>
      <c r="BG19" s="14"/>
    </row>
    <row r="20" spans="1:59" s="2" customFormat="1" ht="30" customHeight="1" thickTop="1" thickBot="1" x14ac:dyDescent="0.25">
      <c r="A20" s="1"/>
      <c r="B20"/>
      <c r="C20" s="172" t="str">
        <f>IF(Funcionários!C19=0,"",Funcionários!C19)</f>
        <v/>
      </c>
      <c r="D20"/>
      <c r="E20" s="115">
        <f>Lanç!E20</f>
        <v>13</v>
      </c>
      <c r="F20" s="189" t="str">
        <f>Lanç!F20</f>
        <v>Sex</v>
      </c>
      <c r="G20" s="80"/>
      <c r="H20" s="94"/>
      <c r="I20" s="94"/>
      <c r="J20" s="94"/>
      <c r="K20" s="94"/>
      <c r="L20" s="197"/>
      <c r="M20" s="95">
        <f t="shared" si="0"/>
        <v>0</v>
      </c>
      <c r="N20" s="196"/>
      <c r="O20" s="95">
        <f ca="1">IF(OR(G20=0,G20="Férias",G20="Falta Justificada",G20="Feriado",G20="Folga (DSR)"),0,IF(G20="Falta Injustificada",HLOOKUP($F20,Jornada!$X$7:$AD$37,VLOOKUP(INDIRECT($C$5),Jornada!$C$8:$W$37,21,0),0),IF(HLOOKUP($F20,Jornada!$X$7:$AD$37,VLOOKUP(INDIRECT($C$5),Jornada!$C$8:$W$37,21,0),0)-M20&gt;0,HLOOKUP($F20,Jornada!$X$7:$AD$37,VLOOKUP(INDIRECT($C$5),Jornada!$C$8:$W$37,21,0),0)-M20,0)))</f>
        <v>0</v>
      </c>
      <c r="P20" s="193">
        <f ca="1">IF(HLOOKUP($F20,Jornada!$X$7:$AD$37,VLOOKUP(INDIRECT($C$5),Jornada!$C$8:$W$37,21,0),0)-M20&lt;0,ABS(HLOOKUP($F20,Jornada!$X$7:$AD$37,VLOOKUP(INDIRECT($C$5),Jornada!$C$8:$W$37,21,0),0)-M20),0)</f>
        <v>0</v>
      </c>
      <c r="Q20" s="95">
        <f t="shared" si="1"/>
        <v>0</v>
      </c>
      <c r="R20" s="2">
        <f t="shared" si="2"/>
        <v>0</v>
      </c>
      <c r="S20"/>
      <c r="T20"/>
      <c r="U20"/>
      <c r="X20" s="177"/>
      <c r="AB20" s="177">
        <f t="shared" si="10"/>
        <v>13</v>
      </c>
      <c r="AC20" s="2">
        <f t="shared" si="3"/>
        <v>6</v>
      </c>
      <c r="AG20" s="220">
        <f t="shared" si="4"/>
        <v>0</v>
      </c>
      <c r="AH20" s="220">
        <f ca="1">IF(HLOOKUP($F20,Jornada!$X$7:$AD$37,VLOOKUP(INDIRECT($C$5),Jornada!$C$8:$W$37,21,0),0)=0,0,VLOOKUP(INDIRECT($C$5),Jornada!$C$8:$H$37,4,0))</f>
        <v>0</v>
      </c>
      <c r="AI20" s="155">
        <f ca="1">IF(AND(I20=0,J20=0,OR(H20&lt;&gt;0,K20&lt;&gt;0),HLOOKUP($F20,Jornada!$X$7:$AD$37,VLOOKUP(INDIRECT($C$5),Jornada!$C$8:$W$37,21,0),0)&gt;$AK$5,M20&gt;$AK$5),VLOOKUP(INDIRECT($C$5),Jornada!$C$8:$H$37,6,0),IF(AG20&gt;VLOOKUP(INDIRECT($C$5),Jornada!$C$8:$H$37,6,0),IF(VLOOKUP(INDIRECT($C$5),Jornada!$C$8:$H$37,6,0)&lt;AG20,0,ABS(VLOOKUP(INDIRECT($C$5),Jornada!$C$8:$H$37,6,0))-AG20),0))</f>
        <v>0</v>
      </c>
      <c r="AJ20" s="155">
        <f t="shared" si="5"/>
        <v>1</v>
      </c>
      <c r="AK20" s="155">
        <f t="shared" si="6"/>
        <v>0</v>
      </c>
      <c r="AL20" s="155">
        <f ca="1">HLOOKUP($F20,Jornada!$I$5:$V$37,VLOOKUP(INDIRECT($C$5),Jornada!$C$8:$W$37,21,0)+2,0)</f>
        <v>0</v>
      </c>
      <c r="AM20" s="155">
        <f ca="1">HLOOKUP($F20,Jornada!$I$4:$V$37,VLOOKUP(INDIRECT($C$5),Jornada!$C$8:$W$37,21,0)+3,0)</f>
        <v>0</v>
      </c>
      <c r="AN20" s="155">
        <f t="shared" ca="1" si="7"/>
        <v>0</v>
      </c>
      <c r="AO20" s="155">
        <f t="shared" si="8"/>
        <v>0</v>
      </c>
      <c r="AP20" s="155">
        <f t="shared" si="9"/>
        <v>0</v>
      </c>
      <c r="BE20" s="14"/>
      <c r="BF20" s="14"/>
      <c r="BG20" s="14"/>
    </row>
    <row r="21" spans="1:59" s="2" customFormat="1" ht="30" customHeight="1" thickTop="1" thickBot="1" x14ac:dyDescent="0.25">
      <c r="A21" s="1"/>
      <c r="B21"/>
      <c r="C21" s="172" t="str">
        <f>IF(Funcionários!C20=0,"",Funcionários!C20)</f>
        <v/>
      </c>
      <c r="D21"/>
      <c r="E21" s="115">
        <f>Lanç!E21</f>
        <v>14</v>
      </c>
      <c r="F21" s="189" t="str">
        <f>Lanç!F21</f>
        <v>Sáb</v>
      </c>
      <c r="G21" s="80"/>
      <c r="H21" s="94"/>
      <c r="I21" s="94"/>
      <c r="J21" s="94"/>
      <c r="K21" s="94"/>
      <c r="L21" s="197"/>
      <c r="M21" s="95">
        <f t="shared" si="0"/>
        <v>0</v>
      </c>
      <c r="N21" s="196"/>
      <c r="O21" s="95">
        <f ca="1">IF(OR(G21=0,G21="Férias",G21="Falta Justificada",G21="Feriado",G21="Folga (DSR)"),0,IF(G21="Falta Injustificada",HLOOKUP($F21,Jornada!$X$7:$AD$37,VLOOKUP(INDIRECT($C$5),Jornada!$C$8:$W$37,21,0),0),IF(HLOOKUP($F21,Jornada!$X$7:$AD$37,VLOOKUP(INDIRECT($C$5),Jornada!$C$8:$W$37,21,0),0)-M21&gt;0,HLOOKUP($F21,Jornada!$X$7:$AD$37,VLOOKUP(INDIRECT($C$5),Jornada!$C$8:$W$37,21,0),0)-M21,0)))</f>
        <v>0</v>
      </c>
      <c r="P21" s="193">
        <f ca="1">IF(HLOOKUP($F21,Jornada!$X$7:$AD$37,VLOOKUP(INDIRECT($C$5),Jornada!$C$8:$W$37,21,0),0)-M21&lt;0,ABS(HLOOKUP($F21,Jornada!$X$7:$AD$37,VLOOKUP(INDIRECT($C$5),Jornada!$C$8:$W$37,21,0),0)-M21),0)</f>
        <v>0</v>
      </c>
      <c r="Q21" s="95">
        <f t="shared" si="1"/>
        <v>0</v>
      </c>
      <c r="R21" s="2">
        <f t="shared" si="2"/>
        <v>0</v>
      </c>
      <c r="S21"/>
      <c r="T21"/>
      <c r="U21"/>
      <c r="X21" s="177"/>
      <c r="AB21" s="177">
        <f t="shared" si="10"/>
        <v>14</v>
      </c>
      <c r="AC21" s="2">
        <f t="shared" si="3"/>
        <v>7</v>
      </c>
      <c r="AG21" s="220">
        <f t="shared" si="4"/>
        <v>0</v>
      </c>
      <c r="AH21" s="220">
        <f ca="1">IF(HLOOKUP($F21,Jornada!$X$7:$AD$37,VLOOKUP(INDIRECT($C$5),Jornada!$C$8:$W$37,21,0),0)=0,0,VLOOKUP(INDIRECT($C$5),Jornada!$C$8:$H$37,4,0))</f>
        <v>0</v>
      </c>
      <c r="AI21" s="155">
        <f ca="1">IF(AND(I21=0,J21=0,OR(H21&lt;&gt;0,K21&lt;&gt;0),HLOOKUP($F21,Jornada!$X$7:$AD$37,VLOOKUP(INDIRECT($C$5),Jornada!$C$8:$W$37,21,0),0)&gt;$AK$5,M21&gt;$AK$5),VLOOKUP(INDIRECT($C$5),Jornada!$C$8:$H$37,6,0),IF(AG21&gt;VLOOKUP(INDIRECT($C$5),Jornada!$C$8:$H$37,6,0),IF(VLOOKUP(INDIRECT($C$5),Jornada!$C$8:$H$37,6,0)&lt;AG21,0,ABS(VLOOKUP(INDIRECT($C$5),Jornada!$C$8:$H$37,6,0))-AG21),0))</f>
        <v>0</v>
      </c>
      <c r="AJ21" s="155">
        <f t="shared" si="5"/>
        <v>1</v>
      </c>
      <c r="AK21" s="155">
        <f t="shared" si="6"/>
        <v>0</v>
      </c>
      <c r="AL21" s="155">
        <f ca="1">HLOOKUP($F21,Jornada!$I$5:$V$37,VLOOKUP(INDIRECT($C$5),Jornada!$C$8:$W$37,21,0)+2,0)</f>
        <v>0</v>
      </c>
      <c r="AM21" s="155">
        <f ca="1">HLOOKUP($F21,Jornada!$I$4:$V$37,VLOOKUP(INDIRECT($C$5),Jornada!$C$8:$W$37,21,0)+3,0)</f>
        <v>0</v>
      </c>
      <c r="AN21" s="155">
        <f t="shared" ca="1" si="7"/>
        <v>0</v>
      </c>
      <c r="AO21" s="155">
        <f t="shared" si="8"/>
        <v>0</v>
      </c>
      <c r="AP21" s="155">
        <f t="shared" si="9"/>
        <v>0</v>
      </c>
      <c r="BE21" s="14"/>
      <c r="BF21" s="14"/>
      <c r="BG21" s="14"/>
    </row>
    <row r="22" spans="1:59" s="2" customFormat="1" ht="30" customHeight="1" thickTop="1" thickBot="1" x14ac:dyDescent="0.25">
      <c r="A22" s="1"/>
      <c r="B22"/>
      <c r="C22" s="172" t="str">
        <f>IF(Funcionários!C21=0,"",Funcionários!C21)</f>
        <v/>
      </c>
      <c r="D22"/>
      <c r="E22" s="115">
        <f>Lanç!E22</f>
        <v>15</v>
      </c>
      <c r="F22" s="189" t="str">
        <f>Lanç!F22</f>
        <v>Dom</v>
      </c>
      <c r="G22" s="80"/>
      <c r="H22" s="94"/>
      <c r="I22" s="94"/>
      <c r="J22" s="94"/>
      <c r="K22" s="94"/>
      <c r="L22" s="197"/>
      <c r="M22" s="95">
        <f t="shared" si="0"/>
        <v>0</v>
      </c>
      <c r="N22" s="196"/>
      <c r="O22" s="95">
        <f ca="1">IF(OR(G22=0,G22="Férias",G22="Falta Justificada",G22="Feriado",G22="Folga (DSR)"),0,IF(G22="Falta Injustificada",HLOOKUP($F22,Jornada!$X$7:$AD$37,VLOOKUP(INDIRECT($C$5),Jornada!$C$8:$W$37,21,0),0),IF(HLOOKUP($F22,Jornada!$X$7:$AD$37,VLOOKUP(INDIRECT($C$5),Jornada!$C$8:$W$37,21,0),0)-M22&gt;0,HLOOKUP($F22,Jornada!$X$7:$AD$37,VLOOKUP(INDIRECT($C$5),Jornada!$C$8:$W$37,21,0),0)-M22,0)))</f>
        <v>0</v>
      </c>
      <c r="P22" s="193">
        <f ca="1">IF(HLOOKUP($F22,Jornada!$X$7:$AD$37,VLOOKUP(INDIRECT($C$5),Jornada!$C$8:$W$37,21,0),0)-M22&lt;0,ABS(HLOOKUP($F22,Jornada!$X$7:$AD$37,VLOOKUP(INDIRECT($C$5),Jornada!$C$8:$W$37,21,0),0)-M22),0)</f>
        <v>0</v>
      </c>
      <c r="Q22" s="95">
        <f t="shared" si="1"/>
        <v>0</v>
      </c>
      <c r="R22" s="2">
        <f t="shared" si="2"/>
        <v>0</v>
      </c>
      <c r="S22" s="300" t="s">
        <v>63</v>
      </c>
      <c r="T22" s="301"/>
      <c r="U22" s="302"/>
      <c r="X22" s="177"/>
      <c r="AB22" s="177">
        <f t="shared" si="10"/>
        <v>15</v>
      </c>
      <c r="AC22" s="2">
        <f t="shared" si="3"/>
        <v>1</v>
      </c>
      <c r="AG22" s="220">
        <f t="shared" si="4"/>
        <v>0</v>
      </c>
      <c r="AH22" s="220">
        <f ca="1">IF(HLOOKUP($F22,Jornada!$X$7:$AD$37,VLOOKUP(INDIRECT($C$5),Jornada!$C$8:$W$37,21,0),0)=0,0,VLOOKUP(INDIRECT($C$5),Jornada!$C$8:$H$37,4,0))</f>
        <v>0</v>
      </c>
      <c r="AI22" s="155">
        <f ca="1">IF(AND(I22=0,J22=0,OR(H22&lt;&gt;0,K22&lt;&gt;0),HLOOKUP($F22,Jornada!$X$7:$AD$37,VLOOKUP(INDIRECT($C$5),Jornada!$C$8:$W$37,21,0),0)&gt;$AK$5,M22&gt;$AK$5),VLOOKUP(INDIRECT($C$5),Jornada!$C$8:$H$37,6,0),IF(AG22&gt;VLOOKUP(INDIRECT($C$5),Jornada!$C$8:$H$37,6,0),IF(VLOOKUP(INDIRECT($C$5),Jornada!$C$8:$H$37,6,0)&lt;AG22,0,ABS(VLOOKUP(INDIRECT($C$5),Jornada!$C$8:$H$37,6,0))-AG22),0))</f>
        <v>0</v>
      </c>
      <c r="AJ22" s="155">
        <f t="shared" si="5"/>
        <v>1</v>
      </c>
      <c r="AK22" s="155">
        <f t="shared" si="6"/>
        <v>0</v>
      </c>
      <c r="AL22" s="155">
        <f ca="1">HLOOKUP($F22,Jornada!$I$5:$V$37,VLOOKUP(INDIRECT($C$5),Jornada!$C$8:$W$37,21,0)+2,0)</f>
        <v>0</v>
      </c>
      <c r="AM22" s="155">
        <f ca="1">HLOOKUP($F22,Jornada!$I$4:$V$37,VLOOKUP(INDIRECT($C$5),Jornada!$C$8:$W$37,21,0)+3,0)</f>
        <v>0</v>
      </c>
      <c r="AN22" s="155">
        <f t="shared" ca="1" si="7"/>
        <v>0</v>
      </c>
      <c r="AO22" s="155">
        <f t="shared" si="8"/>
        <v>0</v>
      </c>
      <c r="AP22" s="155">
        <f t="shared" si="9"/>
        <v>0</v>
      </c>
      <c r="BE22" s="14"/>
      <c r="BF22" s="14"/>
      <c r="BG22" s="14"/>
    </row>
    <row r="23" spans="1:59" s="2" customFormat="1" ht="30" customHeight="1" thickTop="1" thickBot="1" x14ac:dyDescent="0.25">
      <c r="A23" s="1"/>
      <c r="B23"/>
      <c r="C23" s="172" t="str">
        <f>IF(Funcionários!C22=0,"",Funcionários!C22)</f>
        <v/>
      </c>
      <c r="D23"/>
      <c r="E23" s="115">
        <f>Lanç!E23</f>
        <v>16</v>
      </c>
      <c r="F23" s="189" t="str">
        <f>Lanç!F23</f>
        <v>Seg</v>
      </c>
      <c r="G23" s="80"/>
      <c r="H23" s="94"/>
      <c r="I23" s="94"/>
      <c r="J23" s="94"/>
      <c r="K23" s="94"/>
      <c r="L23" s="197"/>
      <c r="M23" s="95">
        <f t="shared" si="0"/>
        <v>0</v>
      </c>
      <c r="N23" s="196"/>
      <c r="O23" s="95">
        <f ca="1">IF(OR(G23=0,G23="Férias",G23="Falta Justificada",G23="Feriado",G23="Folga (DSR)"),0,IF(G23="Falta Injustificada",HLOOKUP($F23,Jornada!$X$7:$AD$37,VLOOKUP(INDIRECT($C$5),Jornada!$C$8:$W$37,21,0),0),IF(HLOOKUP($F23,Jornada!$X$7:$AD$37,VLOOKUP(INDIRECT($C$5),Jornada!$C$8:$W$37,21,0),0)-M23&gt;0,HLOOKUP($F23,Jornada!$X$7:$AD$37,VLOOKUP(INDIRECT($C$5),Jornada!$C$8:$W$37,21,0),0)-M23,0)))</f>
        <v>0</v>
      </c>
      <c r="P23" s="193">
        <f ca="1">IF(HLOOKUP($F23,Jornada!$X$7:$AD$37,VLOOKUP(INDIRECT($C$5),Jornada!$C$8:$W$37,21,0),0)-M23&lt;0,ABS(HLOOKUP($F23,Jornada!$X$7:$AD$37,VLOOKUP(INDIRECT($C$5),Jornada!$C$8:$W$37,21,0),0)-M23),0)</f>
        <v>0</v>
      </c>
      <c r="Q23" s="95">
        <f t="shared" si="1"/>
        <v>0</v>
      </c>
      <c r="R23" s="2">
        <f t="shared" si="2"/>
        <v>0</v>
      </c>
      <c r="S23" s="296" t="str">
        <f>IF(SUM(R8:R38)&gt;0,"Segundo o art 59 da CLT, o máximo de horas extras permitidas por dia são 2 horas.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T23" s="297"/>
      <c r="U23" s="298"/>
      <c r="X23" s="177"/>
      <c r="AB23" s="177">
        <f t="shared" si="10"/>
        <v>16</v>
      </c>
      <c r="AC23" s="2">
        <f t="shared" si="3"/>
        <v>2</v>
      </c>
      <c r="AG23" s="220">
        <f t="shared" si="4"/>
        <v>0</v>
      </c>
      <c r="AH23" s="220">
        <f ca="1">IF(HLOOKUP($F23,Jornada!$X$7:$AD$37,VLOOKUP(INDIRECT($C$5),Jornada!$C$8:$W$37,21,0),0)=0,0,VLOOKUP(INDIRECT($C$5),Jornada!$C$8:$H$37,4,0))</f>
        <v>0</v>
      </c>
      <c r="AI23" s="155">
        <f ca="1">IF(AND(I23=0,J23=0,OR(H23&lt;&gt;0,K23&lt;&gt;0),HLOOKUP($F23,Jornada!$X$7:$AD$37,VLOOKUP(INDIRECT($C$5),Jornada!$C$8:$W$37,21,0),0)&gt;$AK$5,M23&gt;$AK$5),VLOOKUP(INDIRECT($C$5),Jornada!$C$8:$H$37,6,0),IF(AG23&gt;VLOOKUP(INDIRECT($C$5),Jornada!$C$8:$H$37,6,0),IF(VLOOKUP(INDIRECT($C$5),Jornada!$C$8:$H$37,6,0)&lt;AG23,0,ABS(VLOOKUP(INDIRECT($C$5),Jornada!$C$8:$H$37,6,0))-AG23),0))</f>
        <v>0</v>
      </c>
      <c r="AJ23" s="155">
        <f t="shared" si="5"/>
        <v>1</v>
      </c>
      <c r="AK23" s="155">
        <f t="shared" si="6"/>
        <v>0</v>
      </c>
      <c r="AL23" s="155">
        <f ca="1">HLOOKUP($F23,Jornada!$I$5:$V$37,VLOOKUP(INDIRECT($C$5),Jornada!$C$8:$W$37,21,0)+2,0)</f>
        <v>0</v>
      </c>
      <c r="AM23" s="155">
        <f ca="1">HLOOKUP($F23,Jornada!$I$4:$V$37,VLOOKUP(INDIRECT($C$5),Jornada!$C$8:$W$37,21,0)+3,0)</f>
        <v>0</v>
      </c>
      <c r="AN23" s="155">
        <f t="shared" ca="1" si="7"/>
        <v>0</v>
      </c>
      <c r="AO23" s="155">
        <f t="shared" si="8"/>
        <v>0</v>
      </c>
      <c r="AP23" s="155">
        <f t="shared" si="9"/>
        <v>0</v>
      </c>
      <c r="BE23" s="14"/>
      <c r="BF23" s="14"/>
      <c r="BG23" s="14"/>
    </row>
    <row r="24" spans="1:59" s="2" customFormat="1" ht="30" customHeight="1" thickTop="1" thickBot="1" x14ac:dyDescent="0.25">
      <c r="A24" s="1"/>
      <c r="B24"/>
      <c r="C24" s="172" t="str">
        <f>IF(Funcionários!C23=0,"",Funcionários!C23)</f>
        <v/>
      </c>
      <c r="D24"/>
      <c r="E24" s="115">
        <f>Lanç!E24</f>
        <v>17</v>
      </c>
      <c r="F24" s="189" t="str">
        <f>Lanç!F24</f>
        <v>Ter</v>
      </c>
      <c r="G24" s="80"/>
      <c r="H24" s="94"/>
      <c r="I24" s="94"/>
      <c r="J24" s="94"/>
      <c r="K24" s="94"/>
      <c r="L24" s="197"/>
      <c r="M24" s="95">
        <f t="shared" si="0"/>
        <v>0</v>
      </c>
      <c r="N24" s="196"/>
      <c r="O24" s="95">
        <f ca="1">IF(OR(G24=0,G24="Férias",G24="Falta Justificada",G24="Feriado",G24="Folga (DSR)"),0,IF(G24="Falta Injustificada",HLOOKUP($F24,Jornada!$X$7:$AD$37,VLOOKUP(INDIRECT($C$5),Jornada!$C$8:$W$37,21,0),0),IF(HLOOKUP($F24,Jornada!$X$7:$AD$37,VLOOKUP(INDIRECT($C$5),Jornada!$C$8:$W$37,21,0),0)-M24&gt;0,HLOOKUP($F24,Jornada!$X$7:$AD$37,VLOOKUP(INDIRECT($C$5),Jornada!$C$8:$W$37,21,0),0)-M24,0)))</f>
        <v>0</v>
      </c>
      <c r="P24" s="193">
        <f ca="1">IF(HLOOKUP($F24,Jornada!$X$7:$AD$37,VLOOKUP(INDIRECT($C$5),Jornada!$C$8:$W$37,21,0),0)-M24&lt;0,ABS(HLOOKUP($F24,Jornada!$X$7:$AD$37,VLOOKUP(INDIRECT($C$5),Jornada!$C$8:$W$37,21,0),0)-M24),0)</f>
        <v>0</v>
      </c>
      <c r="Q24" s="95">
        <f t="shared" si="1"/>
        <v>0</v>
      </c>
      <c r="R24" s="2">
        <f t="shared" si="2"/>
        <v>0</v>
      </c>
      <c r="S24" s="296"/>
      <c r="T24" s="297"/>
      <c r="U24" s="298"/>
      <c r="X24" s="177"/>
      <c r="AB24" s="177">
        <f t="shared" si="10"/>
        <v>17</v>
      </c>
      <c r="AC24" s="2">
        <f t="shared" si="3"/>
        <v>3</v>
      </c>
      <c r="AG24" s="220">
        <f t="shared" si="4"/>
        <v>0</v>
      </c>
      <c r="AH24" s="220">
        <f ca="1">IF(HLOOKUP($F24,Jornada!$X$7:$AD$37,VLOOKUP(INDIRECT($C$5),Jornada!$C$8:$W$37,21,0),0)=0,0,VLOOKUP(INDIRECT($C$5),Jornada!$C$8:$H$37,4,0))</f>
        <v>0</v>
      </c>
      <c r="AI24" s="155">
        <f ca="1">IF(AND(I24=0,J24=0,OR(H24&lt;&gt;0,K24&lt;&gt;0),HLOOKUP($F24,Jornada!$X$7:$AD$37,VLOOKUP(INDIRECT($C$5),Jornada!$C$8:$W$37,21,0),0)&gt;$AK$5,M24&gt;$AK$5),VLOOKUP(INDIRECT($C$5),Jornada!$C$8:$H$37,6,0),IF(AG24&gt;VLOOKUP(INDIRECT($C$5),Jornada!$C$8:$H$37,6,0),IF(VLOOKUP(INDIRECT($C$5),Jornada!$C$8:$H$37,6,0)&lt;AG24,0,ABS(VLOOKUP(INDIRECT($C$5),Jornada!$C$8:$H$37,6,0))-AG24),0))</f>
        <v>0</v>
      </c>
      <c r="AJ24" s="155">
        <f t="shared" si="5"/>
        <v>1</v>
      </c>
      <c r="AK24" s="155">
        <f t="shared" si="6"/>
        <v>0</v>
      </c>
      <c r="AL24" s="155">
        <f ca="1">HLOOKUP($F24,Jornada!$I$5:$V$37,VLOOKUP(INDIRECT($C$5),Jornada!$C$8:$W$37,21,0)+2,0)</f>
        <v>0</v>
      </c>
      <c r="AM24" s="155">
        <f ca="1">HLOOKUP($F24,Jornada!$I$4:$V$37,VLOOKUP(INDIRECT($C$5),Jornada!$C$8:$W$37,21,0)+3,0)</f>
        <v>0</v>
      </c>
      <c r="AN24" s="155">
        <f t="shared" ca="1" si="7"/>
        <v>0</v>
      </c>
      <c r="AO24" s="155">
        <f t="shared" si="8"/>
        <v>0</v>
      </c>
      <c r="AP24" s="155">
        <f t="shared" si="9"/>
        <v>0</v>
      </c>
      <c r="BE24" s="14"/>
      <c r="BF24" s="14"/>
      <c r="BG24" s="14"/>
    </row>
    <row r="25" spans="1:59" s="2" customFormat="1" ht="30" customHeight="1" thickTop="1" thickBot="1" x14ac:dyDescent="0.25">
      <c r="A25" s="1"/>
      <c r="B25"/>
      <c r="C25" s="172" t="str">
        <f>IF(Funcionários!C24=0,"",Funcionários!C24)</f>
        <v/>
      </c>
      <c r="D25"/>
      <c r="E25" s="115">
        <f>Lanç!E25</f>
        <v>18</v>
      </c>
      <c r="F25" s="189" t="str">
        <f>Lanç!F25</f>
        <v>Qua</v>
      </c>
      <c r="G25" s="80"/>
      <c r="H25" s="94"/>
      <c r="I25" s="94"/>
      <c r="J25" s="94"/>
      <c r="K25" s="94"/>
      <c r="L25" s="197"/>
      <c r="M25" s="95">
        <f t="shared" si="0"/>
        <v>0</v>
      </c>
      <c r="N25" s="196"/>
      <c r="O25" s="95">
        <f ca="1">IF(OR(G25=0,G25="Férias",G25="Falta Justificada",G25="Feriado",G25="Folga (DSR)"),0,IF(G25="Falta Injustificada",HLOOKUP($F25,Jornada!$X$7:$AD$37,VLOOKUP(INDIRECT($C$5),Jornada!$C$8:$W$37,21,0),0),IF(HLOOKUP($F25,Jornada!$X$7:$AD$37,VLOOKUP(INDIRECT($C$5),Jornada!$C$8:$W$37,21,0),0)-M25&gt;0,HLOOKUP($F25,Jornada!$X$7:$AD$37,VLOOKUP(INDIRECT($C$5),Jornada!$C$8:$W$37,21,0),0)-M25,0)))</f>
        <v>0</v>
      </c>
      <c r="P25" s="193">
        <f ca="1">IF(HLOOKUP($F25,Jornada!$X$7:$AD$37,VLOOKUP(INDIRECT($C$5),Jornada!$C$8:$W$37,21,0),0)-M25&lt;0,ABS(HLOOKUP($F25,Jornada!$X$7:$AD$37,VLOOKUP(INDIRECT($C$5),Jornada!$C$8:$W$37,21,0),0)-M25),0)</f>
        <v>0</v>
      </c>
      <c r="Q25" s="95">
        <f t="shared" si="1"/>
        <v>0</v>
      </c>
      <c r="R25" s="2">
        <f t="shared" si="2"/>
        <v>0</v>
      </c>
      <c r="S25" s="296"/>
      <c r="T25" s="297"/>
      <c r="U25" s="298"/>
      <c r="X25" s="177"/>
      <c r="Z25" s="2">
        <f>IF(SUM(R8:R38)&gt;0,1,0)</f>
        <v>0</v>
      </c>
      <c r="AB25" s="177">
        <f t="shared" si="10"/>
        <v>18</v>
      </c>
      <c r="AC25" s="2">
        <f t="shared" si="3"/>
        <v>4</v>
      </c>
      <c r="AG25" s="220">
        <f t="shared" si="4"/>
        <v>0</v>
      </c>
      <c r="AH25" s="220">
        <f ca="1">IF(HLOOKUP($F25,Jornada!$X$7:$AD$37,VLOOKUP(INDIRECT($C$5),Jornada!$C$8:$W$37,21,0),0)=0,0,VLOOKUP(INDIRECT($C$5),Jornada!$C$8:$H$37,4,0))</f>
        <v>0</v>
      </c>
      <c r="AI25" s="155">
        <f ca="1">IF(AND(I25=0,J25=0,OR(H25&lt;&gt;0,K25&lt;&gt;0),HLOOKUP($F25,Jornada!$X$7:$AD$37,VLOOKUP(INDIRECT($C$5),Jornada!$C$8:$W$37,21,0),0)&gt;$AK$5,M25&gt;$AK$5),VLOOKUP(INDIRECT($C$5),Jornada!$C$8:$H$37,6,0),IF(AG25&gt;VLOOKUP(INDIRECT($C$5),Jornada!$C$8:$H$37,6,0),IF(VLOOKUP(INDIRECT($C$5),Jornada!$C$8:$H$37,6,0)&lt;AG25,0,ABS(VLOOKUP(INDIRECT($C$5),Jornada!$C$8:$H$37,6,0))-AG25),0))</f>
        <v>0</v>
      </c>
      <c r="AJ25" s="155">
        <f t="shared" si="5"/>
        <v>1</v>
      </c>
      <c r="AK25" s="155">
        <f t="shared" si="6"/>
        <v>0</v>
      </c>
      <c r="AL25" s="155">
        <f ca="1">HLOOKUP($F25,Jornada!$I$5:$V$37,VLOOKUP(INDIRECT($C$5),Jornada!$C$8:$W$37,21,0)+2,0)</f>
        <v>0</v>
      </c>
      <c r="AM25" s="155">
        <f ca="1">HLOOKUP($F25,Jornada!$I$4:$V$37,VLOOKUP(INDIRECT($C$5),Jornada!$C$8:$W$37,21,0)+3,0)</f>
        <v>0</v>
      </c>
      <c r="AN25" s="155">
        <f t="shared" ca="1" si="7"/>
        <v>0</v>
      </c>
      <c r="AO25" s="155">
        <f t="shared" si="8"/>
        <v>0</v>
      </c>
      <c r="AP25" s="155">
        <f t="shared" si="9"/>
        <v>0</v>
      </c>
      <c r="BE25" s="14"/>
      <c r="BF25" s="14"/>
      <c r="BG25" s="14"/>
    </row>
    <row r="26" spans="1:59" s="2" customFormat="1" ht="30" customHeight="1" thickTop="1" thickBot="1" x14ac:dyDescent="0.25">
      <c r="A26" s="1"/>
      <c r="B26"/>
      <c r="C26" s="172" t="str">
        <f>IF(Funcionários!C25=0,"",Funcionários!C25)</f>
        <v/>
      </c>
      <c r="D26"/>
      <c r="E26" s="115">
        <f>Lanç!E26</f>
        <v>19</v>
      </c>
      <c r="F26" s="189" t="str">
        <f>Lanç!F26</f>
        <v>Qui</v>
      </c>
      <c r="G26" s="80"/>
      <c r="H26" s="94"/>
      <c r="I26" s="94"/>
      <c r="J26" s="94"/>
      <c r="K26" s="94"/>
      <c r="L26" s="197"/>
      <c r="M26" s="95">
        <f t="shared" si="0"/>
        <v>0</v>
      </c>
      <c r="N26" s="196"/>
      <c r="O26" s="95">
        <f ca="1">IF(OR(G26=0,G26="Férias",G26="Falta Justificada",G26="Feriado",G26="Folga (DSR)"),0,IF(G26="Falta Injustificada",HLOOKUP($F26,Jornada!$X$7:$AD$37,VLOOKUP(INDIRECT($C$5),Jornada!$C$8:$W$37,21,0),0),IF(HLOOKUP($F26,Jornada!$X$7:$AD$37,VLOOKUP(INDIRECT($C$5),Jornada!$C$8:$W$37,21,0),0)-M26&gt;0,HLOOKUP($F26,Jornada!$X$7:$AD$37,VLOOKUP(INDIRECT($C$5),Jornada!$C$8:$W$37,21,0),0)-M26,0)))</f>
        <v>0</v>
      </c>
      <c r="P26" s="193">
        <f ca="1">IF(HLOOKUP($F26,Jornada!$X$7:$AD$37,VLOOKUP(INDIRECT($C$5),Jornada!$C$8:$W$37,21,0),0)-M26&lt;0,ABS(HLOOKUP($F26,Jornada!$X$7:$AD$37,VLOOKUP(INDIRECT($C$5),Jornada!$C$8:$W$37,21,0),0)-M26),0)</f>
        <v>0</v>
      </c>
      <c r="Q26" s="95">
        <f t="shared" si="1"/>
        <v>0</v>
      </c>
      <c r="R26" s="2">
        <f t="shared" si="2"/>
        <v>0</v>
      </c>
      <c r="S26" s="296" t="str">
        <f>IF(COUNTIF(G8:G38,"Folga (DSR)")&lt;DAY(E39)/8,"O mês não está contemplando um DSR (Descanso Semanal Remunerado) por semana. Isso pode configurar uma irregularidade segundo as leis trabalhistas.","Parabéns!! Sua folha de pagamento contempla uma DSR por semana conforme a lei trabalhista.")</f>
        <v>O mês não está contemplando um DSR (Descanso Semanal Remunerado) por semana. Isso pode configurar uma irregularidade segundo as leis trabalhistas.</v>
      </c>
      <c r="T26" s="297"/>
      <c r="U26" s="298"/>
      <c r="X26" s="177"/>
      <c r="AB26" s="177">
        <f t="shared" si="10"/>
        <v>19</v>
      </c>
      <c r="AC26" s="2">
        <f t="shared" si="3"/>
        <v>5</v>
      </c>
      <c r="AG26" s="220">
        <f t="shared" si="4"/>
        <v>0</v>
      </c>
      <c r="AH26" s="220">
        <f ca="1">IF(HLOOKUP($F26,Jornada!$X$7:$AD$37,VLOOKUP(INDIRECT($C$5),Jornada!$C$8:$W$37,21,0),0)=0,0,VLOOKUP(INDIRECT($C$5),Jornada!$C$8:$H$37,4,0))</f>
        <v>0</v>
      </c>
      <c r="AI26" s="155">
        <f ca="1">IF(AND(I26=0,J26=0,OR(H26&lt;&gt;0,K26&lt;&gt;0),HLOOKUP($F26,Jornada!$X$7:$AD$37,VLOOKUP(INDIRECT($C$5),Jornada!$C$8:$W$37,21,0),0)&gt;$AK$5,M26&gt;$AK$5),VLOOKUP(INDIRECT($C$5),Jornada!$C$8:$H$37,6,0),IF(AG26&gt;VLOOKUP(INDIRECT($C$5),Jornada!$C$8:$H$37,6,0),IF(VLOOKUP(INDIRECT($C$5),Jornada!$C$8:$H$37,6,0)&lt;AG26,0,ABS(VLOOKUP(INDIRECT($C$5),Jornada!$C$8:$H$37,6,0))-AG26),0))</f>
        <v>0</v>
      </c>
      <c r="AJ26" s="155">
        <f t="shared" si="5"/>
        <v>1</v>
      </c>
      <c r="AK26" s="155">
        <f t="shared" si="6"/>
        <v>0</v>
      </c>
      <c r="AL26" s="155">
        <f ca="1">HLOOKUP($F26,Jornada!$I$5:$V$37,VLOOKUP(INDIRECT($C$5),Jornada!$C$8:$W$37,21,0)+2,0)</f>
        <v>0</v>
      </c>
      <c r="AM26" s="155">
        <f ca="1">HLOOKUP($F26,Jornada!$I$4:$V$37,VLOOKUP(INDIRECT($C$5),Jornada!$C$8:$W$37,21,0)+3,0)</f>
        <v>0</v>
      </c>
      <c r="AN26" s="155">
        <f t="shared" ca="1" si="7"/>
        <v>0</v>
      </c>
      <c r="AO26" s="155">
        <f t="shared" si="8"/>
        <v>0</v>
      </c>
      <c r="AP26" s="155">
        <f t="shared" si="9"/>
        <v>0</v>
      </c>
      <c r="BE26" s="14"/>
      <c r="BF26" s="14"/>
      <c r="BG26" s="14"/>
    </row>
    <row r="27" spans="1:59" s="2" customFormat="1" ht="30" customHeight="1" thickTop="1" thickBot="1" x14ac:dyDescent="0.25">
      <c r="A27" s="1"/>
      <c r="B27"/>
      <c r="C27" s="172" t="str">
        <f>IF(Funcionários!C26=0,"",Funcionários!C26)</f>
        <v/>
      </c>
      <c r="D27"/>
      <c r="E27" s="115">
        <f>Lanç!E27</f>
        <v>20</v>
      </c>
      <c r="F27" s="189" t="str">
        <f>Lanç!F27</f>
        <v>Sex</v>
      </c>
      <c r="G27" s="80"/>
      <c r="H27" s="94"/>
      <c r="I27" s="94"/>
      <c r="J27" s="94"/>
      <c r="K27" s="94"/>
      <c r="L27" s="197"/>
      <c r="M27" s="95">
        <f t="shared" si="0"/>
        <v>0</v>
      </c>
      <c r="N27" s="196"/>
      <c r="O27" s="95">
        <f ca="1">IF(OR(G27=0,G27="Férias",G27="Falta Justificada",G27="Feriado",G27="Folga (DSR)"),0,IF(G27="Falta Injustificada",HLOOKUP($F27,Jornada!$X$7:$AD$37,VLOOKUP(INDIRECT($C$5),Jornada!$C$8:$W$37,21,0),0),IF(HLOOKUP($F27,Jornada!$X$7:$AD$37,VLOOKUP(INDIRECT($C$5),Jornada!$C$8:$W$37,21,0),0)-M27&gt;0,HLOOKUP($F27,Jornada!$X$7:$AD$37,VLOOKUP(INDIRECT($C$5),Jornada!$C$8:$W$37,21,0),0)-M27,0)))</f>
        <v>0</v>
      </c>
      <c r="P27" s="193">
        <f ca="1">IF(HLOOKUP($F27,Jornada!$X$7:$AD$37,VLOOKUP(INDIRECT($C$5),Jornada!$C$8:$W$37,21,0),0)-M27&lt;0,ABS(HLOOKUP($F27,Jornada!$X$7:$AD$37,VLOOKUP(INDIRECT($C$5),Jornada!$C$8:$W$37,21,0),0)-M27),0)</f>
        <v>0</v>
      </c>
      <c r="Q27" s="95">
        <f t="shared" si="1"/>
        <v>0</v>
      </c>
      <c r="R27" s="2">
        <f t="shared" si="2"/>
        <v>0</v>
      </c>
      <c r="S27" s="296"/>
      <c r="T27" s="297"/>
      <c r="U27" s="298"/>
      <c r="X27" s="177"/>
      <c r="AB27" s="177">
        <f t="shared" si="10"/>
        <v>20</v>
      </c>
      <c r="AC27" s="2">
        <f t="shared" si="3"/>
        <v>6</v>
      </c>
      <c r="AG27" s="220">
        <f t="shared" si="4"/>
        <v>0</v>
      </c>
      <c r="AH27" s="220">
        <f ca="1">IF(HLOOKUP($F27,Jornada!$X$7:$AD$37,VLOOKUP(INDIRECT($C$5),Jornada!$C$8:$W$37,21,0),0)=0,0,VLOOKUP(INDIRECT($C$5),Jornada!$C$8:$H$37,4,0))</f>
        <v>0</v>
      </c>
      <c r="AI27" s="155">
        <f ca="1">IF(AND(I27=0,J27=0,OR(H27&lt;&gt;0,K27&lt;&gt;0),HLOOKUP($F27,Jornada!$X$7:$AD$37,VLOOKUP(INDIRECT($C$5),Jornada!$C$8:$W$37,21,0),0)&gt;$AK$5,M27&gt;$AK$5),VLOOKUP(INDIRECT($C$5),Jornada!$C$8:$H$37,6,0),IF(AG27&gt;VLOOKUP(INDIRECT($C$5),Jornada!$C$8:$H$37,6,0),IF(VLOOKUP(INDIRECT($C$5),Jornada!$C$8:$H$37,6,0)&lt;AG27,0,ABS(VLOOKUP(INDIRECT($C$5),Jornada!$C$8:$H$37,6,0))-AG27),0))</f>
        <v>0</v>
      </c>
      <c r="AJ27" s="155">
        <f t="shared" si="5"/>
        <v>1</v>
      </c>
      <c r="AK27" s="155">
        <f t="shared" si="6"/>
        <v>0</v>
      </c>
      <c r="AL27" s="155">
        <f ca="1">HLOOKUP($F27,Jornada!$I$5:$V$37,VLOOKUP(INDIRECT($C$5),Jornada!$C$8:$W$37,21,0)+2,0)</f>
        <v>0</v>
      </c>
      <c r="AM27" s="155">
        <f ca="1">HLOOKUP($F27,Jornada!$I$4:$V$37,VLOOKUP(INDIRECT($C$5),Jornada!$C$8:$W$37,21,0)+3,0)</f>
        <v>0</v>
      </c>
      <c r="AN27" s="155">
        <f t="shared" ca="1" si="7"/>
        <v>0</v>
      </c>
      <c r="AO27" s="155">
        <f t="shared" si="8"/>
        <v>0</v>
      </c>
      <c r="AP27" s="155">
        <f t="shared" si="9"/>
        <v>0</v>
      </c>
    </row>
    <row r="28" spans="1:59" s="2" customFormat="1" ht="30" customHeight="1" thickTop="1" thickBot="1" x14ac:dyDescent="0.25">
      <c r="A28" s="1"/>
      <c r="B28"/>
      <c r="C28" s="172" t="str">
        <f>IF(Funcionários!C27=0,"",Funcionários!C27)</f>
        <v/>
      </c>
      <c r="D28"/>
      <c r="E28" s="115">
        <f>Lanç!E28</f>
        <v>21</v>
      </c>
      <c r="F28" s="189" t="str">
        <f>Lanç!F28</f>
        <v>Sáb</v>
      </c>
      <c r="G28" s="80"/>
      <c r="H28" s="94"/>
      <c r="I28" s="94"/>
      <c r="J28" s="94"/>
      <c r="K28" s="94"/>
      <c r="L28" s="197"/>
      <c r="M28" s="95">
        <f t="shared" si="0"/>
        <v>0</v>
      </c>
      <c r="N28" s="196"/>
      <c r="O28" s="95">
        <f ca="1">IF(OR(G28=0,G28="Férias",G28="Falta Justificada",G28="Feriado",G28="Folga (DSR)"),0,IF(G28="Falta Injustificada",HLOOKUP($F28,Jornada!$X$7:$AD$37,VLOOKUP(INDIRECT($C$5),Jornada!$C$8:$W$37,21,0),0),IF(HLOOKUP($F28,Jornada!$X$7:$AD$37,VLOOKUP(INDIRECT($C$5),Jornada!$C$8:$W$37,21,0),0)-M28&gt;0,HLOOKUP($F28,Jornada!$X$7:$AD$37,VLOOKUP(INDIRECT($C$5),Jornada!$C$8:$W$37,21,0),0)-M28,0)))</f>
        <v>0</v>
      </c>
      <c r="P28" s="193">
        <f ca="1">IF(HLOOKUP($F28,Jornada!$X$7:$AD$37,VLOOKUP(INDIRECT($C$5),Jornada!$C$8:$W$37,21,0),0)-M28&lt;0,ABS(HLOOKUP($F28,Jornada!$X$7:$AD$37,VLOOKUP(INDIRECT($C$5),Jornada!$C$8:$W$37,21,0),0)-M28),0)</f>
        <v>0</v>
      </c>
      <c r="Q28" s="95">
        <f t="shared" si="1"/>
        <v>0</v>
      </c>
      <c r="R28" s="2">
        <f t="shared" si="2"/>
        <v>0</v>
      </c>
      <c r="S28" s="296"/>
      <c r="T28" s="297"/>
      <c r="U28" s="298"/>
      <c r="X28" s="177"/>
      <c r="AB28" s="177">
        <f t="shared" si="10"/>
        <v>21</v>
      </c>
      <c r="AC28" s="2">
        <f t="shared" si="3"/>
        <v>7</v>
      </c>
      <c r="AG28" s="220">
        <f t="shared" si="4"/>
        <v>0</v>
      </c>
      <c r="AH28" s="220">
        <f ca="1">IF(HLOOKUP($F28,Jornada!$X$7:$AD$37,VLOOKUP(INDIRECT($C$5),Jornada!$C$8:$W$37,21,0),0)=0,0,VLOOKUP(INDIRECT($C$5),Jornada!$C$8:$H$37,4,0))</f>
        <v>0</v>
      </c>
      <c r="AI28" s="155">
        <f ca="1">IF(AND(I28=0,J28=0,OR(H28&lt;&gt;0,K28&lt;&gt;0),HLOOKUP($F28,Jornada!$X$7:$AD$37,VLOOKUP(INDIRECT($C$5),Jornada!$C$8:$W$37,21,0),0)&gt;$AK$5,M28&gt;$AK$5),VLOOKUP(INDIRECT($C$5),Jornada!$C$8:$H$37,6,0),IF(AG28&gt;VLOOKUP(INDIRECT($C$5),Jornada!$C$8:$H$37,6,0),IF(VLOOKUP(INDIRECT($C$5),Jornada!$C$8:$H$37,6,0)&lt;AG28,0,ABS(VLOOKUP(INDIRECT($C$5),Jornada!$C$8:$H$37,6,0))-AG28),0))</f>
        <v>0</v>
      </c>
      <c r="AJ28" s="155">
        <f t="shared" si="5"/>
        <v>1</v>
      </c>
      <c r="AK28" s="155">
        <f t="shared" si="6"/>
        <v>0</v>
      </c>
      <c r="AL28" s="155">
        <f ca="1">HLOOKUP($F28,Jornada!$I$5:$V$37,VLOOKUP(INDIRECT($C$5),Jornada!$C$8:$W$37,21,0)+2,0)</f>
        <v>0</v>
      </c>
      <c r="AM28" s="155">
        <f ca="1">HLOOKUP($F28,Jornada!$I$4:$V$37,VLOOKUP(INDIRECT($C$5),Jornada!$C$8:$W$37,21,0)+3,0)</f>
        <v>0</v>
      </c>
      <c r="AN28" s="155">
        <f t="shared" ca="1" si="7"/>
        <v>0</v>
      </c>
      <c r="AO28" s="155">
        <f t="shared" si="8"/>
        <v>0</v>
      </c>
      <c r="AP28" s="155">
        <f t="shared" si="9"/>
        <v>0</v>
      </c>
    </row>
    <row r="29" spans="1:59" s="2" customFormat="1" ht="30" customHeight="1" thickTop="1" thickBot="1" x14ac:dyDescent="0.25">
      <c r="A29" s="1"/>
      <c r="B29"/>
      <c r="C29" s="172" t="str">
        <f>IF(Funcionários!C28=0,"",Funcionários!C28)</f>
        <v/>
      </c>
      <c r="D29"/>
      <c r="E29" s="115">
        <f>Lanç!E29</f>
        <v>22</v>
      </c>
      <c r="F29" s="189" t="str">
        <f>Lanç!F29</f>
        <v>Dom</v>
      </c>
      <c r="G29" s="80"/>
      <c r="H29" s="94"/>
      <c r="I29" s="94"/>
      <c r="J29" s="94"/>
      <c r="K29" s="94"/>
      <c r="L29" s="197"/>
      <c r="M29" s="95">
        <f t="shared" si="0"/>
        <v>0</v>
      </c>
      <c r="N29" s="196"/>
      <c r="O29" s="95">
        <f ca="1">IF(OR(G29=0,G29="Férias",G29="Falta Justificada",G29="Feriado",G29="Folga (DSR)"),0,IF(G29="Falta Injustificada",HLOOKUP($F29,Jornada!$X$7:$AD$37,VLOOKUP(INDIRECT($C$5),Jornada!$C$8:$W$37,21,0),0),IF(HLOOKUP($F29,Jornada!$X$7:$AD$37,VLOOKUP(INDIRECT($C$5),Jornada!$C$8:$W$37,21,0),0)-M29&gt;0,HLOOKUP($F29,Jornada!$X$7:$AD$37,VLOOKUP(INDIRECT($C$5),Jornada!$C$8:$W$37,21,0),0)-M29,0)))</f>
        <v>0</v>
      </c>
      <c r="P29" s="193">
        <f ca="1">IF(HLOOKUP($F29,Jornada!$X$7:$AD$37,VLOOKUP(INDIRECT($C$5),Jornada!$C$8:$W$37,21,0),0)-M29&lt;0,ABS(HLOOKUP($F29,Jornada!$X$7:$AD$37,VLOOKUP(INDIRECT($C$5),Jornada!$C$8:$W$37,21,0),0)-M29),0)</f>
        <v>0</v>
      </c>
      <c r="Q29" s="95">
        <f t="shared" si="1"/>
        <v>0</v>
      </c>
      <c r="R29" s="2">
        <f t="shared" si="2"/>
        <v>0</v>
      </c>
      <c r="S29" s="13"/>
      <c r="T29" s="74"/>
      <c r="U29" s="74"/>
      <c r="X29" s="177"/>
      <c r="AB29" s="177">
        <f t="shared" si="10"/>
        <v>22</v>
      </c>
      <c r="AC29" s="2">
        <f t="shared" si="3"/>
        <v>1</v>
      </c>
      <c r="AG29" s="220">
        <f t="shared" si="4"/>
        <v>0</v>
      </c>
      <c r="AH29" s="220">
        <f ca="1">IF(HLOOKUP($F29,Jornada!$X$7:$AD$37,VLOOKUP(INDIRECT($C$5),Jornada!$C$8:$W$37,21,0),0)=0,0,VLOOKUP(INDIRECT($C$5),Jornada!$C$8:$H$37,4,0))</f>
        <v>0</v>
      </c>
      <c r="AI29" s="155">
        <f ca="1">IF(AND(I29=0,J29=0,OR(H29&lt;&gt;0,K29&lt;&gt;0),HLOOKUP($F29,Jornada!$X$7:$AD$37,VLOOKUP(INDIRECT($C$5),Jornada!$C$8:$W$37,21,0),0)&gt;$AK$5,M29&gt;$AK$5),VLOOKUP(INDIRECT($C$5),Jornada!$C$8:$H$37,6,0),IF(AG29&gt;VLOOKUP(INDIRECT($C$5),Jornada!$C$8:$H$37,6,0),IF(VLOOKUP(INDIRECT($C$5),Jornada!$C$8:$H$37,6,0)&lt;AG29,0,ABS(VLOOKUP(INDIRECT($C$5),Jornada!$C$8:$H$37,6,0))-AG29),0))</f>
        <v>0</v>
      </c>
      <c r="AJ29" s="155">
        <f t="shared" si="5"/>
        <v>1</v>
      </c>
      <c r="AK29" s="155">
        <f t="shared" si="6"/>
        <v>0</v>
      </c>
      <c r="AL29" s="155">
        <f ca="1">HLOOKUP($F29,Jornada!$I$5:$V$37,VLOOKUP(INDIRECT($C$5),Jornada!$C$8:$W$37,21,0)+2,0)</f>
        <v>0</v>
      </c>
      <c r="AM29" s="155">
        <f ca="1">HLOOKUP($F29,Jornada!$I$4:$V$37,VLOOKUP(INDIRECT($C$5),Jornada!$C$8:$W$37,21,0)+3,0)</f>
        <v>0</v>
      </c>
      <c r="AN29" s="155">
        <f t="shared" ca="1" si="7"/>
        <v>0</v>
      </c>
      <c r="AO29" s="155">
        <f t="shared" si="8"/>
        <v>0</v>
      </c>
      <c r="AP29" s="155">
        <f t="shared" si="9"/>
        <v>0</v>
      </c>
    </row>
    <row r="30" spans="1:59" s="2" customFormat="1" ht="30" customHeight="1" thickTop="1" thickBot="1" x14ac:dyDescent="0.25">
      <c r="A30" s="1"/>
      <c r="B30"/>
      <c r="C30" s="172" t="str">
        <f>IF(Funcionários!C29=0,"",Funcionários!C29)</f>
        <v/>
      </c>
      <c r="D30"/>
      <c r="E30" s="173">
        <f>Lanç!E30</f>
        <v>23</v>
      </c>
      <c r="F30" s="189" t="str">
        <f>Lanç!F30</f>
        <v>Seg</v>
      </c>
      <c r="G30" s="80"/>
      <c r="H30" s="94"/>
      <c r="I30" s="94"/>
      <c r="J30" s="94"/>
      <c r="K30" s="94"/>
      <c r="L30" s="197"/>
      <c r="M30" s="95">
        <f t="shared" si="0"/>
        <v>0</v>
      </c>
      <c r="N30" s="196"/>
      <c r="O30" s="95">
        <f ca="1">IF(OR(G30=0,G30="Férias",G30="Falta Justificada",G30="Feriado",G30="Folga (DSR)"),0,IF(G30="Falta Injustificada",HLOOKUP($F30,Jornada!$X$7:$AD$37,VLOOKUP(INDIRECT($C$5),Jornada!$C$8:$W$37,21,0),0),IF(HLOOKUP($F30,Jornada!$X$7:$AD$37,VLOOKUP(INDIRECT($C$5),Jornada!$C$8:$W$37,21,0),0)-M30&gt;0,HLOOKUP($F30,Jornada!$X$7:$AD$37,VLOOKUP(INDIRECT($C$5),Jornada!$C$8:$W$37,21,0),0)-M30,0)))</f>
        <v>0</v>
      </c>
      <c r="P30" s="193">
        <f ca="1">IF(HLOOKUP($F30,Jornada!$X$7:$AD$37,VLOOKUP(INDIRECT($C$5),Jornada!$C$8:$W$37,21,0),0)-M30&lt;0,ABS(HLOOKUP($F30,Jornada!$X$7:$AD$37,VLOOKUP(INDIRECT($C$5),Jornada!$C$8:$W$37,21,0),0)-M30),0)</f>
        <v>0</v>
      </c>
      <c r="Q30" s="95">
        <f t="shared" si="1"/>
        <v>0</v>
      </c>
      <c r="R30" s="2">
        <f>IF(Q30&gt;$R$7,1,0)</f>
        <v>0</v>
      </c>
      <c r="S30" s="13"/>
      <c r="T30" s="74"/>
      <c r="U30" s="74"/>
      <c r="X30" s="177"/>
      <c r="AB30" s="177">
        <f t="shared" si="10"/>
        <v>23</v>
      </c>
      <c r="AC30" s="2">
        <f>WEEKDAY(AB30)</f>
        <v>2</v>
      </c>
      <c r="AG30" s="220">
        <f t="shared" si="4"/>
        <v>0</v>
      </c>
      <c r="AH30" s="220">
        <f ca="1">IF(HLOOKUP($F30,Jornada!$X$7:$AD$37,VLOOKUP(INDIRECT($C$5),Jornada!$C$8:$W$37,21,0),0)=0,0,VLOOKUP(INDIRECT($C$5),Jornada!$C$8:$H$37,4,0))</f>
        <v>0</v>
      </c>
      <c r="AI30" s="155">
        <f ca="1">IF(AND(I30=0,J30=0,OR(H30&lt;&gt;0,K30&lt;&gt;0),HLOOKUP($F30,Jornada!$X$7:$AD$37,VLOOKUP(INDIRECT($C$5),Jornada!$C$8:$W$37,21,0),0)&gt;$AK$5,M30&gt;$AK$5),VLOOKUP(INDIRECT($C$5),Jornada!$C$8:$H$37,6,0),IF(AG30&gt;VLOOKUP(INDIRECT($C$5),Jornada!$C$8:$H$37,6,0),IF(VLOOKUP(INDIRECT($C$5),Jornada!$C$8:$H$37,6,0)&lt;AG30,0,ABS(VLOOKUP(INDIRECT($C$5),Jornada!$C$8:$H$37,6,0))-AG30),0))</f>
        <v>0</v>
      </c>
      <c r="AJ30" s="155">
        <f>($AJ$7-K30)+H30</f>
        <v>1</v>
      </c>
      <c r="AK30" s="155">
        <f>IF(AJ30&lt;$AK$7,$AK$7-AJ30,$AI$7)</f>
        <v>0</v>
      </c>
      <c r="AL30" s="155">
        <f ca="1">HLOOKUP($F30,Jornada!$I$5:$V$37,VLOOKUP(INDIRECT($C$5),Jornada!$C$8:$W$37,21,0)+2,0)</f>
        <v>0</v>
      </c>
      <c r="AM30" s="155">
        <f ca="1">HLOOKUP($F30,Jornada!$I$4:$V$37,VLOOKUP(INDIRECT($C$5),Jornada!$C$8:$W$37,21,0)+3,0)</f>
        <v>0</v>
      </c>
      <c r="AN30" s="155">
        <f t="shared" ca="1" si="7"/>
        <v>0</v>
      </c>
      <c r="AO30" s="155">
        <f t="shared" si="8"/>
        <v>0</v>
      </c>
      <c r="AP30" s="155">
        <f t="shared" si="9"/>
        <v>0</v>
      </c>
    </row>
    <row r="31" spans="1:59" s="2" customFormat="1" ht="30" customHeight="1" thickTop="1" thickBot="1" x14ac:dyDescent="0.25">
      <c r="A31" s="1"/>
      <c r="B31"/>
      <c r="C31" s="172" t="str">
        <f>IF(Funcionários!C30=0,"",Funcionários!C30)</f>
        <v/>
      </c>
      <c r="D31"/>
      <c r="E31" s="173">
        <f>Lanç!E31</f>
        <v>24</v>
      </c>
      <c r="F31" s="189" t="str">
        <f>Lanç!F31</f>
        <v>Ter</v>
      </c>
      <c r="G31" s="80"/>
      <c r="H31" s="94"/>
      <c r="I31" s="94"/>
      <c r="J31" s="94"/>
      <c r="K31" s="94"/>
      <c r="L31" s="197"/>
      <c r="M31" s="95">
        <f t="shared" si="0"/>
        <v>0</v>
      </c>
      <c r="N31" s="196"/>
      <c r="O31" s="95">
        <f ca="1">IF(OR(G31=0,G31="Férias",G31="Falta Justificada",G31="Feriado",G31="Folga (DSR)"),0,IF(G31="Falta Injustificada",HLOOKUP($F31,Jornada!$X$7:$AD$37,VLOOKUP(INDIRECT($C$5),Jornada!$C$8:$W$37,21,0),0),IF(HLOOKUP($F31,Jornada!$X$7:$AD$37,VLOOKUP(INDIRECT($C$5),Jornada!$C$8:$W$37,21,0),0)-M31&gt;0,HLOOKUP($F31,Jornada!$X$7:$AD$37,VLOOKUP(INDIRECT($C$5),Jornada!$C$8:$W$37,21,0),0)-M31,0)))</f>
        <v>0</v>
      </c>
      <c r="P31" s="193">
        <f ca="1">IF(HLOOKUP($F31,Jornada!$X$7:$AD$37,VLOOKUP(INDIRECT($C$5),Jornada!$C$8:$W$37,21,0),0)-M31&lt;0,ABS(HLOOKUP($F31,Jornada!$X$7:$AD$37,VLOOKUP(INDIRECT($C$5),Jornada!$C$8:$W$37,21,0),0)-M31),0)</f>
        <v>0</v>
      </c>
      <c r="Q31" s="95">
        <f t="shared" si="1"/>
        <v>0</v>
      </c>
      <c r="R31" s="2">
        <f>IF(Q31&gt;$R$7,1,0)</f>
        <v>0</v>
      </c>
      <c r="S31" s="13"/>
      <c r="T31" s="74"/>
      <c r="U31" s="74"/>
      <c r="X31" s="177"/>
      <c r="AB31" s="177">
        <f t="shared" si="10"/>
        <v>24</v>
      </c>
      <c r="AC31" s="2">
        <f>WEEKDAY(AB31)</f>
        <v>3</v>
      </c>
      <c r="AG31" s="220">
        <f t="shared" si="4"/>
        <v>0</v>
      </c>
      <c r="AH31" s="220">
        <f ca="1">IF(HLOOKUP($F31,Jornada!$X$7:$AD$37,VLOOKUP(INDIRECT($C$5),Jornada!$C$8:$W$37,21,0),0)=0,0,VLOOKUP(INDIRECT($C$5),Jornada!$C$8:$H$37,4,0))</f>
        <v>0</v>
      </c>
      <c r="AI31" s="155">
        <f ca="1">IF(AND(I31=0,J31=0,OR(H31&lt;&gt;0,K31&lt;&gt;0),HLOOKUP($F31,Jornada!$X$7:$AD$37,VLOOKUP(INDIRECT($C$5),Jornada!$C$8:$W$37,21,0),0)&gt;$AK$5,M31&gt;$AK$5),VLOOKUP(INDIRECT($C$5),Jornada!$C$8:$H$37,6,0),IF(AG31&gt;VLOOKUP(INDIRECT($C$5),Jornada!$C$8:$H$37,6,0),IF(VLOOKUP(INDIRECT($C$5),Jornada!$C$8:$H$37,6,0)&lt;AG31,0,ABS(VLOOKUP(INDIRECT($C$5),Jornada!$C$8:$H$37,6,0))-AG31),0))</f>
        <v>0</v>
      </c>
      <c r="AJ31" s="155">
        <f>($AJ$7-K31)+H31</f>
        <v>1</v>
      </c>
      <c r="AK31" s="155">
        <f>IF(AJ31&lt;$AK$7,$AK$7-AJ31,$AI$7)</f>
        <v>0</v>
      </c>
      <c r="AL31" s="155">
        <f ca="1">HLOOKUP($F31,Jornada!$I$5:$V$37,VLOOKUP(INDIRECT($C$5),Jornada!$C$8:$W$37,21,0)+2,0)</f>
        <v>0</v>
      </c>
      <c r="AM31" s="155">
        <f ca="1">HLOOKUP($F31,Jornada!$I$4:$V$37,VLOOKUP(INDIRECT($C$5),Jornada!$C$8:$W$37,21,0)+3,0)</f>
        <v>0</v>
      </c>
      <c r="AN31" s="155">
        <f t="shared" ca="1" si="7"/>
        <v>0</v>
      </c>
      <c r="AO31" s="155">
        <f t="shared" si="8"/>
        <v>0</v>
      </c>
      <c r="AP31" s="155">
        <f t="shared" si="9"/>
        <v>0</v>
      </c>
    </row>
    <row r="32" spans="1:59" s="2" customFormat="1" ht="30" customHeight="1" thickTop="1" thickBot="1" x14ac:dyDescent="0.25">
      <c r="A32" s="1"/>
      <c r="B32"/>
      <c r="C32" s="172" t="str">
        <f>IF(Funcionários!C31=0,"",Funcionários!C31)</f>
        <v/>
      </c>
      <c r="D32"/>
      <c r="E32" s="115">
        <f>Lanç!E32</f>
        <v>25</v>
      </c>
      <c r="F32" s="189" t="str">
        <f>Lanç!F32</f>
        <v>Qua</v>
      </c>
      <c r="G32" s="202"/>
      <c r="H32" s="94"/>
      <c r="I32" s="94"/>
      <c r="J32" s="94"/>
      <c r="K32" s="94"/>
      <c r="L32" s="197"/>
      <c r="M32" s="95">
        <f t="shared" si="0"/>
        <v>0</v>
      </c>
      <c r="N32" s="196"/>
      <c r="O32" s="95">
        <f ca="1">IF(OR(G32=0,G32="Férias",G32="Falta Justificada",G32="Feriado",G32="Folga (DSR)"),0,IF(G32="Falta Injustificada",HLOOKUP($F32,Jornada!$X$7:$AD$37,VLOOKUP(INDIRECT($C$5),Jornada!$C$8:$W$37,21,0),0),IF(HLOOKUP($F32,Jornada!$X$7:$AD$37,VLOOKUP(INDIRECT($C$5),Jornada!$C$8:$W$37,21,0),0)-M32&gt;0,HLOOKUP($F32,Jornada!$X$7:$AD$37,VLOOKUP(INDIRECT($C$5),Jornada!$C$8:$W$37,21,0),0)-M32,0)))</f>
        <v>0</v>
      </c>
      <c r="P32" s="193">
        <f ca="1">IF(HLOOKUP($F32,Jornada!$X$7:$AD$37,VLOOKUP(INDIRECT($C$5),Jornada!$C$8:$W$37,21,0),0)-M32&lt;0,ABS(HLOOKUP($F32,Jornada!$X$7:$AD$37,VLOOKUP(INDIRECT($C$5),Jornada!$C$8:$W$37,21,0),0)-M32),0)</f>
        <v>0</v>
      </c>
      <c r="Q32" s="95">
        <f t="shared" si="1"/>
        <v>0</v>
      </c>
      <c r="R32" s="2">
        <f t="shared" si="2"/>
        <v>0</v>
      </c>
      <c r="S32" s="74"/>
      <c r="T32" s="74"/>
      <c r="U32" s="74"/>
      <c r="X32" s="177"/>
      <c r="AB32" s="177">
        <f t="shared" si="10"/>
        <v>25</v>
      </c>
      <c r="AC32" s="2">
        <f t="shared" si="3"/>
        <v>4</v>
      </c>
      <c r="AG32" s="220">
        <f t="shared" si="4"/>
        <v>0</v>
      </c>
      <c r="AH32" s="220">
        <f ca="1">IF(HLOOKUP($F32,Jornada!$X$7:$AD$37,VLOOKUP(INDIRECT($C$5),Jornada!$C$8:$W$37,21,0),0)=0,0,VLOOKUP(INDIRECT($C$5),Jornada!$C$8:$H$37,4,0))</f>
        <v>0</v>
      </c>
      <c r="AI32" s="155">
        <f ca="1">IF(AND(I32=0,J32=0,OR(H32&lt;&gt;0,K32&lt;&gt;0),HLOOKUP($F32,Jornada!$X$7:$AD$37,VLOOKUP(INDIRECT($C$5),Jornada!$C$8:$W$37,21,0),0)&gt;$AK$5,M32&gt;$AK$5),VLOOKUP(INDIRECT($C$5),Jornada!$C$8:$H$37,6,0),IF(AG32&gt;VLOOKUP(INDIRECT($C$5),Jornada!$C$8:$H$37,6,0),IF(VLOOKUP(INDIRECT($C$5),Jornada!$C$8:$H$37,6,0)&lt;AG32,0,ABS(VLOOKUP(INDIRECT($C$5),Jornada!$C$8:$H$37,6,0))-AG32),0))</f>
        <v>0</v>
      </c>
      <c r="AJ32" s="155">
        <f t="shared" si="5"/>
        <v>1</v>
      </c>
      <c r="AK32" s="155">
        <f t="shared" si="6"/>
        <v>0</v>
      </c>
      <c r="AL32" s="155">
        <f ca="1">HLOOKUP($F32,Jornada!$I$5:$V$37,VLOOKUP(INDIRECT($C$5),Jornada!$C$8:$W$37,21,0)+2,0)</f>
        <v>0</v>
      </c>
      <c r="AM32" s="155">
        <f ca="1">HLOOKUP($F32,Jornada!$I$4:$V$37,VLOOKUP(INDIRECT($C$5),Jornada!$C$8:$W$37,21,0)+3,0)</f>
        <v>0</v>
      </c>
      <c r="AN32" s="155">
        <f t="shared" ca="1" si="7"/>
        <v>0</v>
      </c>
      <c r="AO32" s="155">
        <f t="shared" si="8"/>
        <v>0</v>
      </c>
      <c r="AP32" s="155">
        <f t="shared" si="9"/>
        <v>0</v>
      </c>
    </row>
    <row r="33" spans="1:42" s="2" customFormat="1" ht="30" customHeight="1" thickTop="1" thickBot="1" x14ac:dyDescent="0.25">
      <c r="A33" s="1"/>
      <c r="B33"/>
      <c r="C33" s="172" t="str">
        <f>IF(Funcionários!C32=0,"",Funcionários!C32)</f>
        <v/>
      </c>
      <c r="D33"/>
      <c r="E33" s="115">
        <f>Lanç!E33</f>
        <v>26</v>
      </c>
      <c r="F33" s="189" t="str">
        <f>Lanç!F33</f>
        <v>Qui</v>
      </c>
      <c r="G33" s="80"/>
      <c r="H33" s="94"/>
      <c r="I33" s="94"/>
      <c r="J33" s="94"/>
      <c r="K33" s="94"/>
      <c r="L33" s="197"/>
      <c r="M33" s="95">
        <f t="shared" si="0"/>
        <v>0</v>
      </c>
      <c r="N33" s="196"/>
      <c r="O33" s="95">
        <f ca="1">IF(OR(G33=0,G33="Férias",G33="Falta Justificada",G33="Feriado",G33="Folga (DSR)"),0,IF(G33="Falta Injustificada",HLOOKUP($F33,Jornada!$X$7:$AD$37,VLOOKUP(INDIRECT($C$5),Jornada!$C$8:$W$37,21,0),0),IF(HLOOKUP($F33,Jornada!$X$7:$AD$37,VLOOKUP(INDIRECT($C$5),Jornada!$C$8:$W$37,21,0),0)-M33&gt;0,HLOOKUP($F33,Jornada!$X$7:$AD$37,VLOOKUP(INDIRECT($C$5),Jornada!$C$8:$W$37,21,0),0)-M33,0)))</f>
        <v>0</v>
      </c>
      <c r="P33" s="193">
        <f ca="1">IF(HLOOKUP($F33,Jornada!$X$7:$AD$37,VLOOKUP(INDIRECT($C$5),Jornada!$C$8:$W$37,21,0),0)-M33&lt;0,ABS(HLOOKUP($F33,Jornada!$X$7:$AD$37,VLOOKUP(INDIRECT($C$5),Jornada!$C$8:$W$37,21,0),0)-M33),0)</f>
        <v>0</v>
      </c>
      <c r="Q33" s="95">
        <f t="shared" si="1"/>
        <v>0</v>
      </c>
      <c r="R33" s="2">
        <f t="shared" si="2"/>
        <v>0</v>
      </c>
      <c r="S33" s="74"/>
      <c r="T33" s="74"/>
      <c r="U33" s="74"/>
      <c r="X33" s="177"/>
      <c r="AB33" s="177">
        <f t="shared" si="10"/>
        <v>26</v>
      </c>
      <c r="AC33" s="2">
        <f t="shared" si="3"/>
        <v>5</v>
      </c>
      <c r="AG33" s="220">
        <f t="shared" si="4"/>
        <v>0</v>
      </c>
      <c r="AH33" s="220">
        <f ca="1">IF(HLOOKUP($F33,Jornada!$X$7:$AD$37,VLOOKUP(INDIRECT($C$5),Jornada!$C$8:$W$37,21,0),0)=0,0,VLOOKUP(INDIRECT($C$5),Jornada!$C$8:$H$37,4,0))</f>
        <v>0</v>
      </c>
      <c r="AI33" s="155">
        <f ca="1">IF(AND(I33=0,J33=0,OR(H33&lt;&gt;0,K33&lt;&gt;0),HLOOKUP($F33,Jornada!$X$7:$AD$37,VLOOKUP(INDIRECT($C$5),Jornada!$C$8:$W$37,21,0),0)&gt;$AK$5,M33&gt;$AK$5),VLOOKUP(INDIRECT($C$5),Jornada!$C$8:$H$37,6,0),IF(AG33&gt;VLOOKUP(INDIRECT($C$5),Jornada!$C$8:$H$37,6,0),IF(VLOOKUP(INDIRECT($C$5),Jornada!$C$8:$H$37,6,0)&lt;AG33,0,ABS(VLOOKUP(INDIRECT($C$5),Jornada!$C$8:$H$37,6,0))-AG33),0))</f>
        <v>0</v>
      </c>
      <c r="AJ33" s="155">
        <f t="shared" si="5"/>
        <v>1</v>
      </c>
      <c r="AK33" s="155">
        <f t="shared" si="6"/>
        <v>0</v>
      </c>
      <c r="AL33" s="155">
        <f ca="1">HLOOKUP($F33,Jornada!$I$5:$V$37,VLOOKUP(INDIRECT($C$5),Jornada!$C$8:$W$37,21,0)+2,0)</f>
        <v>0</v>
      </c>
      <c r="AM33" s="155">
        <f ca="1">HLOOKUP($F33,Jornada!$I$4:$V$37,VLOOKUP(INDIRECT($C$5),Jornada!$C$8:$W$37,21,0)+3,0)</f>
        <v>0</v>
      </c>
      <c r="AN33" s="155">
        <f t="shared" ca="1" si="7"/>
        <v>0</v>
      </c>
      <c r="AO33" s="155">
        <f t="shared" si="8"/>
        <v>0</v>
      </c>
      <c r="AP33" s="155">
        <f t="shared" si="9"/>
        <v>0</v>
      </c>
    </row>
    <row r="34" spans="1:42" s="2" customFormat="1" ht="30" customHeight="1" thickTop="1" thickBot="1" x14ac:dyDescent="0.25">
      <c r="A34" s="1"/>
      <c r="B34"/>
      <c r="C34" s="172" t="str">
        <f>IF(Funcionários!C33=0,"",Funcionários!C33)</f>
        <v/>
      </c>
      <c r="D34"/>
      <c r="E34" s="115">
        <f>Lanç!E34</f>
        <v>27</v>
      </c>
      <c r="F34" s="189" t="str">
        <f>Lanç!F34</f>
        <v>Sex</v>
      </c>
      <c r="G34" s="80"/>
      <c r="H34" s="94"/>
      <c r="I34" s="94"/>
      <c r="J34" s="94"/>
      <c r="K34" s="94"/>
      <c r="L34" s="197"/>
      <c r="M34" s="95">
        <f t="shared" si="0"/>
        <v>0</v>
      </c>
      <c r="N34" s="196"/>
      <c r="O34" s="95">
        <f ca="1">IF(OR(G34=0,G34="Férias",G34="Falta Justificada",G34="Feriado",G34="Folga (DSR)"),0,IF(G34="Falta Injustificada",HLOOKUP($F34,Jornada!$X$7:$AD$37,VLOOKUP(INDIRECT($C$5),Jornada!$C$8:$W$37,21,0),0),IF(HLOOKUP($F34,Jornada!$X$7:$AD$37,VLOOKUP(INDIRECT($C$5),Jornada!$C$8:$W$37,21,0),0)-M34&gt;0,HLOOKUP($F34,Jornada!$X$7:$AD$37,VLOOKUP(INDIRECT($C$5),Jornada!$C$8:$W$37,21,0),0)-M34,0)))</f>
        <v>0</v>
      </c>
      <c r="P34" s="193">
        <f ca="1">IF(HLOOKUP($F34,Jornada!$X$7:$AD$37,VLOOKUP(INDIRECT($C$5),Jornada!$C$8:$W$37,21,0),0)-M34&lt;0,ABS(HLOOKUP($F34,Jornada!$X$7:$AD$37,VLOOKUP(INDIRECT($C$5),Jornada!$C$8:$W$37,21,0),0)-M34),0)</f>
        <v>0</v>
      </c>
      <c r="Q34" s="95">
        <f t="shared" si="1"/>
        <v>0</v>
      </c>
      <c r="R34" s="2">
        <f t="shared" si="2"/>
        <v>0</v>
      </c>
      <c r="S34" s="74"/>
      <c r="T34" s="74"/>
      <c r="U34" s="74"/>
      <c r="X34" s="177"/>
      <c r="AB34" s="177">
        <f t="shared" si="10"/>
        <v>27</v>
      </c>
      <c r="AC34" s="2">
        <f t="shared" si="3"/>
        <v>6</v>
      </c>
      <c r="AG34" s="220">
        <f t="shared" si="4"/>
        <v>0</v>
      </c>
      <c r="AH34" s="220">
        <f ca="1">IF(HLOOKUP($F34,Jornada!$X$7:$AD$37,VLOOKUP(INDIRECT($C$5),Jornada!$C$8:$W$37,21,0),0)=0,0,VLOOKUP(INDIRECT($C$5),Jornada!$C$8:$H$37,4,0))</f>
        <v>0</v>
      </c>
      <c r="AI34" s="155">
        <f ca="1">IF(AND(I34=0,J34=0,OR(H34&lt;&gt;0,K34&lt;&gt;0),HLOOKUP($F34,Jornada!$X$7:$AD$37,VLOOKUP(INDIRECT($C$5),Jornada!$C$8:$W$37,21,0),0)&gt;$AK$5,M34&gt;$AK$5),VLOOKUP(INDIRECT($C$5),Jornada!$C$8:$H$37,6,0),IF(AG34&gt;VLOOKUP(INDIRECT($C$5),Jornada!$C$8:$H$37,6,0),IF(VLOOKUP(INDIRECT($C$5),Jornada!$C$8:$H$37,6,0)&lt;AG34,0,ABS(VLOOKUP(INDIRECT($C$5),Jornada!$C$8:$H$37,6,0))-AG34),0))</f>
        <v>0</v>
      </c>
      <c r="AJ34" s="155">
        <f t="shared" si="5"/>
        <v>1</v>
      </c>
      <c r="AK34" s="155">
        <f t="shared" si="6"/>
        <v>0</v>
      </c>
      <c r="AL34" s="155">
        <f ca="1">HLOOKUP($F34,Jornada!$I$5:$V$37,VLOOKUP(INDIRECT($C$5),Jornada!$C$8:$W$37,21,0)+2,0)</f>
        <v>0</v>
      </c>
      <c r="AM34" s="155">
        <f ca="1">HLOOKUP($F34,Jornada!$I$4:$V$37,VLOOKUP(INDIRECT($C$5),Jornada!$C$8:$W$37,21,0)+3,0)</f>
        <v>0</v>
      </c>
      <c r="AN34" s="155">
        <f t="shared" ca="1" si="7"/>
        <v>0</v>
      </c>
      <c r="AO34" s="155">
        <f t="shared" si="8"/>
        <v>0</v>
      </c>
      <c r="AP34" s="155">
        <f t="shared" si="9"/>
        <v>0</v>
      </c>
    </row>
    <row r="35" spans="1:42" s="2" customFormat="1" ht="30" customHeight="1" thickTop="1" thickBot="1" x14ac:dyDescent="0.25">
      <c r="A35" s="1"/>
      <c r="B35"/>
      <c r="C35" s="172" t="str">
        <f>IF(Funcionários!C34=0,"",Funcionários!C34)</f>
        <v/>
      </c>
      <c r="D35"/>
      <c r="E35" s="115">
        <f>Lanç!E35</f>
        <v>28</v>
      </c>
      <c r="F35" s="189" t="str">
        <f>Lanç!F35</f>
        <v>Sáb</v>
      </c>
      <c r="G35" s="80"/>
      <c r="H35" s="94"/>
      <c r="I35" s="94"/>
      <c r="J35" s="94"/>
      <c r="K35" s="94"/>
      <c r="L35" s="197"/>
      <c r="M35" s="95">
        <f t="shared" si="0"/>
        <v>0</v>
      </c>
      <c r="N35" s="196"/>
      <c r="O35" s="95">
        <f ca="1">IF(OR(G35=0,G35="Férias",G35="Falta Justificada",G35="Feriado",G35="Folga (DSR)"),0,IF(G35="Falta Injustificada",HLOOKUP($F35,Jornada!$X$7:$AD$37,VLOOKUP(INDIRECT($C$5),Jornada!$C$8:$W$37,21,0),0),IF(HLOOKUP($F35,Jornada!$X$7:$AD$37,VLOOKUP(INDIRECT($C$5),Jornada!$C$8:$W$37,21,0),0)-M35&gt;0,HLOOKUP($F35,Jornada!$X$7:$AD$37,VLOOKUP(INDIRECT($C$5),Jornada!$C$8:$W$37,21,0),0)-M35,0)))</f>
        <v>0</v>
      </c>
      <c r="P35" s="193">
        <f ca="1">IF(HLOOKUP($F35,Jornada!$X$7:$AD$37,VLOOKUP(INDIRECT($C$5),Jornada!$C$8:$W$37,21,0),0)-M35&lt;0,ABS(HLOOKUP($F35,Jornada!$X$7:$AD$37,VLOOKUP(INDIRECT($C$5),Jornada!$C$8:$W$37,21,0),0)-M35),0)</f>
        <v>0</v>
      </c>
      <c r="Q35" s="95">
        <f t="shared" si="1"/>
        <v>0</v>
      </c>
      <c r="R35" s="2">
        <f t="shared" si="2"/>
        <v>0</v>
      </c>
      <c r="S35"/>
      <c r="T35"/>
      <c r="U35"/>
      <c r="X35" s="177"/>
      <c r="AB35" s="177">
        <f>IF(MONTH(AB34+1)&lt;&gt;MONTH(AB34),"",AB34+1)</f>
        <v>28</v>
      </c>
      <c r="AC35" s="2">
        <f t="shared" si="3"/>
        <v>7</v>
      </c>
      <c r="AG35" s="220">
        <f t="shared" si="4"/>
        <v>0</v>
      </c>
      <c r="AH35" s="220">
        <f ca="1">IF(HLOOKUP($F35,Jornada!$X$7:$AD$37,VLOOKUP(INDIRECT($C$5),Jornada!$C$8:$W$37,21,0),0)=0,0,VLOOKUP(INDIRECT($C$5),Jornada!$C$8:$H$37,4,0))</f>
        <v>0</v>
      </c>
      <c r="AI35" s="155">
        <f ca="1">IF(AND(I35=0,J35=0,OR(H35&lt;&gt;0,K35&lt;&gt;0),HLOOKUP($F35,Jornada!$X$7:$AD$37,VLOOKUP(INDIRECT($C$5),Jornada!$C$8:$W$37,21,0),0)&gt;$AK$5,M35&gt;$AK$5),VLOOKUP(INDIRECT($C$5),Jornada!$C$8:$H$37,6,0),IF(AG35&gt;VLOOKUP(INDIRECT($C$5),Jornada!$C$8:$H$37,6,0),IF(VLOOKUP(INDIRECT($C$5),Jornada!$C$8:$H$37,6,0)&lt;AG35,0,ABS(VLOOKUP(INDIRECT($C$5),Jornada!$C$8:$H$37,6,0))-AG35),0))</f>
        <v>0</v>
      </c>
      <c r="AJ35" s="155">
        <f t="shared" si="5"/>
        <v>1</v>
      </c>
      <c r="AK35" s="155">
        <f t="shared" si="6"/>
        <v>0</v>
      </c>
      <c r="AL35" s="155">
        <f ca="1">HLOOKUP($F35,Jornada!$I$5:$V$37,VLOOKUP(INDIRECT($C$5),Jornada!$C$8:$W$37,21,0)+2,0)</f>
        <v>0</v>
      </c>
      <c r="AM35" s="155">
        <f ca="1">HLOOKUP($F35,Jornada!$I$4:$V$37,VLOOKUP(INDIRECT($C$5),Jornada!$C$8:$W$37,21,0)+3,0)</f>
        <v>0</v>
      </c>
      <c r="AN35" s="155">
        <f t="shared" ca="1" si="7"/>
        <v>0</v>
      </c>
      <c r="AO35" s="155">
        <f t="shared" si="8"/>
        <v>0</v>
      </c>
      <c r="AP35" s="155">
        <f t="shared" si="9"/>
        <v>0</v>
      </c>
    </row>
    <row r="36" spans="1:42" s="2" customFormat="1" ht="30" customHeight="1" thickTop="1" thickBot="1" x14ac:dyDescent="0.25">
      <c r="A36" s="1"/>
      <c r="B36"/>
      <c r="C36" s="172" t="str">
        <f>IF(Funcionários!C35=0,"",Funcionários!C35)</f>
        <v/>
      </c>
      <c r="D36"/>
      <c r="E36" s="115">
        <f>Lanç!E36</f>
        <v>29</v>
      </c>
      <c r="F36" s="189" t="str">
        <f>Lanç!F36</f>
        <v>Dom</v>
      </c>
      <c r="G36" s="80"/>
      <c r="H36" s="94"/>
      <c r="I36" s="94"/>
      <c r="J36" s="94"/>
      <c r="K36" s="94"/>
      <c r="L36" s="197"/>
      <c r="M36" s="95">
        <f t="shared" si="0"/>
        <v>0</v>
      </c>
      <c r="N36" s="196"/>
      <c r="O36" s="95">
        <f ca="1">IF(OR(G36=0,G36="Férias",G36="Falta Justificada",G36="Feriado",G36="Folga (DSR)"),0,IF(G36="Falta Injustificada",HLOOKUP($F36,Jornada!$X$7:$AD$37,VLOOKUP(INDIRECT($C$5),Jornada!$C$8:$W$37,21,0),0),IF(HLOOKUP($F36,Jornada!$X$7:$AD$37,VLOOKUP(INDIRECT($C$5),Jornada!$C$8:$W$37,21,0),0)-M36&gt;0,HLOOKUP($F36,Jornada!$X$7:$AD$37,VLOOKUP(INDIRECT($C$5),Jornada!$C$8:$W$37,21,0),0)-M36,0)))</f>
        <v>0</v>
      </c>
      <c r="P36" s="193">
        <f ca="1">IF(HLOOKUP($F36,Jornada!$X$7:$AD$37,VLOOKUP(INDIRECT($C$5),Jornada!$C$8:$W$37,21,0),0)-M36&lt;0,ABS(HLOOKUP($F36,Jornada!$X$7:$AD$37,VLOOKUP(INDIRECT($C$5),Jornada!$C$8:$W$37,21,0),0)-M36),0)</f>
        <v>0</v>
      </c>
      <c r="Q36" s="95">
        <f t="shared" si="1"/>
        <v>0</v>
      </c>
      <c r="R36" s="2">
        <f t="shared" si="2"/>
        <v>0</v>
      </c>
      <c r="S36"/>
      <c r="T36"/>
      <c r="U36"/>
      <c r="X36" s="177"/>
      <c r="AB36" s="177">
        <f>IF(MONTH(AB35+1)&lt;&gt;MONTH(AB35),"",IF(AB35="","",AB35+1))</f>
        <v>29</v>
      </c>
      <c r="AC36" s="2">
        <f>IF(ISERROR(WEEKDAY(AB36)),"",WEEKDAY(AB36))</f>
        <v>1</v>
      </c>
      <c r="AG36" s="220">
        <f t="shared" si="4"/>
        <v>0</v>
      </c>
      <c r="AH36" s="220">
        <f ca="1">IF(HLOOKUP($F36,Jornada!$X$7:$AD$37,VLOOKUP(INDIRECT($C$5),Jornada!$C$8:$W$37,21,0),0)=0,0,VLOOKUP(INDIRECT($C$5),Jornada!$C$8:$H$37,4,0))</f>
        <v>0</v>
      </c>
      <c r="AI36" s="155">
        <f ca="1">IF(AND(I36=0,J36=0,OR(H36&lt;&gt;0,K36&lt;&gt;0),HLOOKUP($F36,Jornada!$X$7:$AD$37,VLOOKUP(INDIRECT($C$5),Jornada!$C$8:$W$37,21,0),0)&gt;$AK$5,M36&gt;$AK$5),VLOOKUP(INDIRECT($C$5),Jornada!$C$8:$H$37,6,0),IF(AG36&gt;VLOOKUP(INDIRECT($C$5),Jornada!$C$8:$H$37,6,0),IF(VLOOKUP(INDIRECT($C$5),Jornada!$C$8:$H$37,6,0)&lt;AG36,0,ABS(VLOOKUP(INDIRECT($C$5),Jornada!$C$8:$H$37,6,0))-AG36),0))</f>
        <v>0</v>
      </c>
      <c r="AJ36" s="155">
        <f t="shared" si="5"/>
        <v>1</v>
      </c>
      <c r="AK36" s="155">
        <f t="shared" si="6"/>
        <v>0</v>
      </c>
      <c r="AL36" s="155">
        <f ca="1">HLOOKUP($F36,Jornada!$I$5:$V$37,VLOOKUP(INDIRECT($C$5),Jornada!$C$8:$W$37,21,0)+2,0)</f>
        <v>0</v>
      </c>
      <c r="AM36" s="155">
        <f ca="1">HLOOKUP($F36,Jornada!$I$4:$V$37,VLOOKUP(INDIRECT($C$5),Jornada!$C$8:$W$37,21,0)+3,0)</f>
        <v>0</v>
      </c>
      <c r="AN36" s="155">
        <f t="shared" ca="1" si="7"/>
        <v>0</v>
      </c>
      <c r="AO36" s="155">
        <f t="shared" si="8"/>
        <v>0</v>
      </c>
      <c r="AP36" s="155">
        <f t="shared" si="9"/>
        <v>0</v>
      </c>
    </row>
    <row r="37" spans="1:42" s="2" customFormat="1" ht="30" customHeight="1" thickTop="1" thickBot="1" x14ac:dyDescent="0.25">
      <c r="A37" s="1"/>
      <c r="B37"/>
      <c r="C37" s="172" t="str">
        <f>IF(Funcionários!C36=0,"",Funcionários!C36)</f>
        <v/>
      </c>
      <c r="D37"/>
      <c r="E37" s="115">
        <f>Lanç!E37</f>
        <v>30</v>
      </c>
      <c r="F37" s="189" t="str">
        <f>Lanç!F37</f>
        <v>Seg</v>
      </c>
      <c r="G37" s="80"/>
      <c r="H37" s="94"/>
      <c r="I37" s="94"/>
      <c r="J37" s="94"/>
      <c r="K37" s="94"/>
      <c r="L37" s="197"/>
      <c r="M37" s="95">
        <f t="shared" si="0"/>
        <v>0</v>
      </c>
      <c r="N37" s="196"/>
      <c r="O37" s="95">
        <f ca="1">IF(OR(G37=0,G37="Férias",G37="Falta Justificada",G37="Feriado",G37="Folga (DSR)"),0,IF(G37="Falta Injustificada",HLOOKUP($F37,Jornada!$X$7:$AD$37,VLOOKUP(INDIRECT($C$5),Jornada!$C$8:$W$37,21,0),0),IF(HLOOKUP($F37,Jornada!$X$7:$AD$37,VLOOKUP(INDIRECT($C$5),Jornada!$C$8:$W$37,21,0),0)-M37&gt;0,HLOOKUP($F37,Jornada!$X$7:$AD$37,VLOOKUP(INDIRECT($C$5),Jornada!$C$8:$W$37,21,0),0)-M37,0)))</f>
        <v>0</v>
      </c>
      <c r="P37" s="193">
        <f ca="1">IF(HLOOKUP($F37,Jornada!$X$7:$AD$37,VLOOKUP(INDIRECT($C$5),Jornada!$C$8:$W$37,21,0),0)-M37&lt;0,ABS(HLOOKUP($F37,Jornada!$X$7:$AD$37,VLOOKUP(INDIRECT($C$5),Jornada!$C$8:$W$37,21,0),0)-M37),0)</f>
        <v>0</v>
      </c>
      <c r="Q37" s="95">
        <f t="shared" si="1"/>
        <v>0</v>
      </c>
      <c r="R37" s="2">
        <f t="shared" si="2"/>
        <v>0</v>
      </c>
      <c r="S37"/>
      <c r="T37"/>
      <c r="U37"/>
      <c r="X37" s="177"/>
      <c r="AB37" s="177">
        <f>IF(AB36="","",IF(MONTH(AB36+1)&lt;&gt;MONTH(AB36),"",AB36+1))</f>
        <v>30</v>
      </c>
      <c r="AC37" s="2">
        <f>IF(ISERROR(WEEKDAY(AB37)),"",WEEKDAY(AB37))</f>
        <v>2</v>
      </c>
      <c r="AG37" s="220">
        <f t="shared" si="4"/>
        <v>0</v>
      </c>
      <c r="AH37" s="220">
        <f ca="1">IF(HLOOKUP($F37,Jornada!$X$7:$AD$37,VLOOKUP(INDIRECT($C$5),Jornada!$C$8:$W$37,21,0),0)=0,0,VLOOKUP(INDIRECT($C$5),Jornada!$C$8:$H$37,4,0))</f>
        <v>0</v>
      </c>
      <c r="AI37" s="155">
        <f ca="1">IF(AND(I37=0,J37=0,OR(H37&lt;&gt;0,K37&lt;&gt;0),HLOOKUP($F37,Jornada!$X$7:$AD$37,VLOOKUP(INDIRECT($C$5),Jornada!$C$8:$W$37,21,0),0)&gt;$AK$5,M37&gt;$AK$5),VLOOKUP(INDIRECT($C$5),Jornada!$C$8:$H$37,6,0),IF(AG37&gt;VLOOKUP(INDIRECT($C$5),Jornada!$C$8:$H$37,6,0),IF(VLOOKUP(INDIRECT($C$5),Jornada!$C$8:$H$37,6,0)&lt;AG37,0,ABS(VLOOKUP(INDIRECT($C$5),Jornada!$C$8:$H$37,6,0))-AG37),0))</f>
        <v>0</v>
      </c>
      <c r="AJ37" s="155">
        <f t="shared" si="5"/>
        <v>1</v>
      </c>
      <c r="AK37" s="155">
        <f t="shared" si="6"/>
        <v>0</v>
      </c>
      <c r="AL37" s="155">
        <f ca="1">HLOOKUP($F37,Jornada!$I$5:$V$37,VLOOKUP(INDIRECT($C$5),Jornada!$C$8:$W$37,21,0)+2,0)</f>
        <v>0</v>
      </c>
      <c r="AM37" s="155">
        <f ca="1">HLOOKUP($F37,Jornada!$I$4:$V$37,VLOOKUP(INDIRECT($C$5),Jornada!$C$8:$W$37,21,0)+3,0)</f>
        <v>0</v>
      </c>
      <c r="AN37" s="155">
        <f t="shared" ca="1" si="7"/>
        <v>0</v>
      </c>
      <c r="AO37" s="155">
        <f t="shared" si="8"/>
        <v>0</v>
      </c>
      <c r="AP37" s="155">
        <f t="shared" si="9"/>
        <v>0</v>
      </c>
    </row>
    <row r="38" spans="1:42" s="2" customFormat="1" ht="30" customHeight="1" thickTop="1" thickBot="1" x14ac:dyDescent="0.25">
      <c r="A38" s="1"/>
      <c r="B38"/>
      <c r="C38"/>
      <c r="D38" s="2">
        <f t="shared" ref="D38" si="11">IF(D37=7,1,D37+1)</f>
        <v>1</v>
      </c>
      <c r="E38" s="210">
        <f>Lanç!E38</f>
        <v>31</v>
      </c>
      <c r="F38" s="210" t="str">
        <f>Lanç!F38</f>
        <v>Ter</v>
      </c>
      <c r="G38" s="81"/>
      <c r="H38" s="94"/>
      <c r="I38" s="94"/>
      <c r="J38" s="94"/>
      <c r="K38" s="94"/>
      <c r="L38" s="197"/>
      <c r="M38" s="95">
        <f t="shared" si="0"/>
        <v>0</v>
      </c>
      <c r="N38" s="196"/>
      <c r="O38" s="95">
        <f ca="1">IF(OR(G38=0,G38="Férias",G38="Falta Justificada",G38="Feriado",G38="Folga (DSR)"),0,IF(G38="Falta Injustificada",HLOOKUP($F38,Jornada!$X$7:$AD$37,VLOOKUP(INDIRECT($C$5),Jornada!$C$8:$W$37,21,0),0),IF(HLOOKUP($F38,Jornada!$X$7:$AD$37,VLOOKUP(INDIRECT($C$5),Jornada!$C$8:$W$37,21,0),0)-M38&gt;0,HLOOKUP($F38,Jornada!$X$7:$AD$37,VLOOKUP(INDIRECT($C$5),Jornada!$C$8:$W$37,21,0),0)-M38,0)))</f>
        <v>0</v>
      </c>
      <c r="P38" s="201">
        <f ca="1">IF(HLOOKUP($F38,Jornada!$X$7:$AD$37,VLOOKUP(INDIRECT($C$5),Jornada!$C$8:$W$37,21,0),0)-M38&lt;0,ABS(HLOOKUP($F38,Jornada!$X$7:$AD$37,VLOOKUP(INDIRECT($C$5),Jornada!$C$8:$W$37,21,0),0)-M38),0)</f>
        <v>0</v>
      </c>
      <c r="Q38" s="95">
        <f t="shared" si="1"/>
        <v>0</v>
      </c>
      <c r="R38" s="2">
        <f t="shared" si="2"/>
        <v>0</v>
      </c>
      <c r="X38" s="177"/>
      <c r="AB38" s="177">
        <f>IF(AB37="","",IF(MONTH(AB37+1)&lt;&gt;MONTH(AB37),"",AB37+1))</f>
        <v>31</v>
      </c>
      <c r="AC38" s="2">
        <f>IF(ISERROR(WEEKDAY(AB38)),"",WEEKDAY(AB38))</f>
        <v>3</v>
      </c>
      <c r="AG38" s="220">
        <f t="shared" si="4"/>
        <v>0</v>
      </c>
      <c r="AH38" s="220">
        <f ca="1">IF(HLOOKUP($F38,Jornada!$X$7:$AD$37,VLOOKUP(INDIRECT($C$5),Jornada!$C$8:$W$37,21,0),0)=0,0,VLOOKUP(INDIRECT($C$5),Jornada!$C$8:$H$37,4,0))</f>
        <v>0</v>
      </c>
      <c r="AI38" s="155">
        <f ca="1">IF(AND(I38=0,J38=0,OR(H38&lt;&gt;0,K38&lt;&gt;0),HLOOKUP($F38,Jornada!$X$7:$AD$37,VLOOKUP(INDIRECT($C$5),Jornada!$C$8:$W$37,21,0),0)&gt;$AK$5,M38&gt;$AK$5),VLOOKUP(INDIRECT($C$5),Jornada!$C$8:$H$37,6,0),IF(AG38&gt;VLOOKUP(INDIRECT($C$5),Jornada!$C$8:$H$37,6,0),IF(VLOOKUP(INDIRECT($C$5),Jornada!$C$8:$H$37,6,0)&lt;AG38,0,ABS(VLOOKUP(INDIRECT($C$5),Jornada!$C$8:$H$37,6,0))-AG38),0))</f>
        <v>0</v>
      </c>
      <c r="AJ38" s="155">
        <f t="shared" si="5"/>
        <v>1</v>
      </c>
      <c r="AK38" s="155">
        <f t="shared" si="6"/>
        <v>0</v>
      </c>
      <c r="AL38" s="155">
        <f ca="1">HLOOKUP($F38,Jornada!$I$5:$V$37,VLOOKUP(INDIRECT($C$5),Jornada!$C$8:$W$37,21,0)+2,0)</f>
        <v>0</v>
      </c>
      <c r="AM38" s="155">
        <f ca="1">HLOOKUP($F38,Jornada!$I$4:$V$37,VLOOKUP(INDIRECT($C$5),Jornada!$C$8:$W$37,21,0)+3,0)</f>
        <v>0</v>
      </c>
      <c r="AN38" s="155">
        <f t="shared" ca="1" si="7"/>
        <v>0</v>
      </c>
      <c r="AO38" s="155">
        <f t="shared" si="8"/>
        <v>0</v>
      </c>
      <c r="AP38" s="155">
        <f t="shared" si="9"/>
        <v>0</v>
      </c>
    </row>
    <row r="39" spans="1:42" s="2" customFormat="1" ht="30" customHeight="1" thickTop="1" x14ac:dyDescent="0.2">
      <c r="A39" s="9"/>
      <c r="B39" s="234"/>
      <c r="C39" s="234"/>
      <c r="D39" s="234"/>
      <c r="E39" s="236">
        <f>EOMONTH(AB8,0)</f>
        <v>31</v>
      </c>
      <c r="F39" s="234">
        <f>DAY(E39)</f>
        <v>31</v>
      </c>
      <c r="G39" s="237">
        <f>COUNTIF(F8:F38,"Dom")+COUNTIF(G8:G38,"Feriado")</f>
        <v>5</v>
      </c>
      <c r="H39" s="238">
        <f>(SUM(Q8:Q38)/(F39-G39))*G39</f>
        <v>0</v>
      </c>
      <c r="I39" s="234"/>
      <c r="J39" s="234"/>
      <c r="K39" s="234"/>
      <c r="L39" s="234"/>
      <c r="M39" s="234"/>
      <c r="Z39" s="219"/>
    </row>
    <row r="40" spans="1:42" s="2" customFormat="1" ht="30" customHeight="1" x14ac:dyDescent="0.2">
      <c r="A40" s="9"/>
      <c r="B40" s="234"/>
      <c r="C40" s="239"/>
      <c r="D40" s="239"/>
      <c r="E40" s="239"/>
      <c r="F40" s="240"/>
      <c r="G40" s="241"/>
      <c r="H40" s="234">
        <f ca="1">IF(INDIRECT($C$5)="",0,VLOOKUP(INDIRECT($C$5),Funcionários!$C$7:$E$36,3,0)+IF(VLOOKUP(INDIRECT($C$5),Jornada!$C$8:$E$37,2,0)="Sim",IF('P Gerais'!$I$8&lt;&gt;0,VLOOKUP(INDIRECT($C$5),Funcionários!$C$7:$E$36,3,0)*'P Gerais'!$L$14,'P Gerais'!$I$8*'P Gerais'!$L$14),0)+IF(VLOOKUP(INDIRECT($C$5),Jornada!$C$8:$E$37,3,0)="Sim",VLOOKUP(INDIRECT($C$5),Funcionários!$C$7:$E$36,3,0)*'P Gerais'!$K$14,0))</f>
        <v>0</v>
      </c>
      <c r="I40" s="234">
        <f ca="1">VLOOKUP(INDIRECT($C$5),Jornada!$C$8:$AF$37,30,0)</f>
        <v>0</v>
      </c>
      <c r="J40" s="234" t="s">
        <v>298</v>
      </c>
      <c r="K40" s="242">
        <f ca="1">IF(I40=0,0,H40/I40)</f>
        <v>0</v>
      </c>
      <c r="L40" s="234"/>
      <c r="M40" s="234"/>
      <c r="Z40" s="219"/>
    </row>
    <row r="41" spans="1:42" s="2" customFormat="1" ht="30" customHeight="1" x14ac:dyDescent="0.2">
      <c r="A41" s="9"/>
      <c r="B41" s="234" t="s">
        <v>52</v>
      </c>
      <c r="C41" s="292" t="s">
        <v>75</v>
      </c>
      <c r="D41" s="292"/>
      <c r="E41" s="292"/>
      <c r="F41" s="243">
        <f t="shared" ref="F41:F47" si="12">SUMIFS($Q$8:$Q$38,$F$8:$F$38,$B41,$G$8:$G$38,"Normal")</f>
        <v>0</v>
      </c>
      <c r="G41" s="244">
        <f>IF($M$41="Sistema de banco de horas",0,'P Gerais'!$C$14)</f>
        <v>0.5</v>
      </c>
      <c r="H41" s="245">
        <f t="shared" ref="H41:H48" ca="1" si="13">IF($M$41="Sistema de banco de horas",0,$K$40*(1+G41)*(F41*24))</f>
        <v>0</v>
      </c>
      <c r="I41" s="243">
        <f t="shared" ref="I41:I47" ca="1" si="14">IF(SUMIF($F$8:$F$38,$B41,$Q$8:$Q$38)-SUMIFS($M$8:$M$38,$F$8:$F$38,$B41,$G$8:$G$38,"Feriado")-SUMIFS($M$8:$M$38,$F$8:$F$38,$B41,$G$8:$G$38,"Folga (DSR)")-SUMIFS($M$8:$M$38,$F$8:$F$38,$B41,$G$8:$G$38,"Férias")-SUMIF($F$8:$F$38,$B41,$AN$8:$AN$38)-SUMIF($F$8:$F$38,$B41,$AO$8:$AO$38)&lt;0,0,SUMIF($F$8:$F$38,$B41,$Q$8:$Q$38)-SUMIFS($M$8:$M$38,$F$8:$F$38,$B41,$G$8:$G$38,"Feriado")-SUMIFS($M$8:$M$38,$F$8:$F$38,$B41,$G$8:$G$38,"Folga (DSR)")-SUMIFS($M$8:$M$38,$F$8:$F$38,$B41,$G$8:$G$38,"Férias")-SUMIF($F$8:$F$38,$B41,$AN$8:$AN$38)-SUMIF($F$8:$F$38,$B41,$AO$8:$AO$38))</f>
        <v>0</v>
      </c>
      <c r="J41" s="245">
        <f ca="1">H41</f>
        <v>0</v>
      </c>
      <c r="K41" s="234"/>
      <c r="L41" s="234"/>
      <c r="M41" s="234">
        <f>'P Gerais'!I10</f>
        <v>0</v>
      </c>
      <c r="Z41" s="219"/>
    </row>
    <row r="42" spans="1:42" s="2" customFormat="1" ht="30" customHeight="1" x14ac:dyDescent="0.2">
      <c r="A42" s="9"/>
      <c r="B42" s="234" t="s">
        <v>53</v>
      </c>
      <c r="C42" s="292" t="s">
        <v>76</v>
      </c>
      <c r="D42" s="292"/>
      <c r="E42" s="292"/>
      <c r="F42" s="243">
        <f t="shared" si="12"/>
        <v>0</v>
      </c>
      <c r="G42" s="244">
        <f>IF($M$41="Sistema de banco de horas",0,'P Gerais'!$C$14)</f>
        <v>0.5</v>
      </c>
      <c r="H42" s="245">
        <f t="shared" ca="1" si="13"/>
        <v>0</v>
      </c>
      <c r="I42" s="243">
        <f t="shared" ca="1" si="14"/>
        <v>0</v>
      </c>
      <c r="J42" s="245">
        <f t="shared" ref="J42:J51" ca="1" si="15">H42</f>
        <v>0</v>
      </c>
      <c r="K42" s="234"/>
      <c r="L42" s="234"/>
      <c r="M42" s="234"/>
      <c r="Z42" s="219"/>
    </row>
    <row r="43" spans="1:42" s="2" customFormat="1" ht="30" customHeight="1" x14ac:dyDescent="0.2">
      <c r="A43" s="9"/>
      <c r="B43" s="234" t="s">
        <v>54</v>
      </c>
      <c r="C43" s="292" t="s">
        <v>77</v>
      </c>
      <c r="D43" s="292"/>
      <c r="E43" s="292"/>
      <c r="F43" s="243">
        <f t="shared" si="12"/>
        <v>0</v>
      </c>
      <c r="G43" s="244">
        <f>IF($M$41="Sistema de banco de horas",0,'P Gerais'!$C$14)</f>
        <v>0.5</v>
      </c>
      <c r="H43" s="245">
        <f t="shared" ca="1" si="13"/>
        <v>0</v>
      </c>
      <c r="I43" s="243">
        <f t="shared" ca="1" si="14"/>
        <v>0</v>
      </c>
      <c r="J43" s="245">
        <f t="shared" ca="1" si="15"/>
        <v>0</v>
      </c>
      <c r="K43" s="234"/>
      <c r="L43" s="234"/>
      <c r="M43" s="234"/>
      <c r="Z43" s="219"/>
    </row>
    <row r="44" spans="1:42" s="2" customFormat="1" ht="30" customHeight="1" x14ac:dyDescent="0.2">
      <c r="A44" s="9"/>
      <c r="B44" s="234" t="s">
        <v>55</v>
      </c>
      <c r="C44" s="292" t="s">
        <v>78</v>
      </c>
      <c r="D44" s="292"/>
      <c r="E44" s="292"/>
      <c r="F44" s="243">
        <f t="shared" si="12"/>
        <v>0</v>
      </c>
      <c r="G44" s="244">
        <f>IF($M$41="Sistema de banco de horas",0,'P Gerais'!$C$14)</f>
        <v>0.5</v>
      </c>
      <c r="H44" s="245">
        <f t="shared" ca="1" si="13"/>
        <v>0</v>
      </c>
      <c r="I44" s="243">
        <f t="shared" ca="1" si="14"/>
        <v>0</v>
      </c>
      <c r="J44" s="245">
        <f t="shared" ca="1" si="15"/>
        <v>0</v>
      </c>
      <c r="K44" s="234"/>
      <c r="L44" s="234"/>
      <c r="M44" s="234"/>
      <c r="Z44" s="219"/>
    </row>
    <row r="45" spans="1:42" s="2" customFormat="1" ht="30" customHeight="1" x14ac:dyDescent="0.2">
      <c r="A45" s="9"/>
      <c r="B45" s="234" t="s">
        <v>56</v>
      </c>
      <c r="C45" s="292" t="s">
        <v>79</v>
      </c>
      <c r="D45" s="292"/>
      <c r="E45" s="292"/>
      <c r="F45" s="243">
        <f t="shared" si="12"/>
        <v>0</v>
      </c>
      <c r="G45" s="244">
        <f>IF($M$41="Sistema de banco de horas",0,'P Gerais'!$C$14)</f>
        <v>0.5</v>
      </c>
      <c r="H45" s="245">
        <f t="shared" ca="1" si="13"/>
        <v>0</v>
      </c>
      <c r="I45" s="243">
        <f t="shared" ca="1" si="14"/>
        <v>0</v>
      </c>
      <c r="J45" s="245">
        <f t="shared" ca="1" si="15"/>
        <v>0</v>
      </c>
      <c r="K45" s="234"/>
      <c r="L45" s="234"/>
      <c r="M45" s="234"/>
      <c r="Z45" s="219"/>
    </row>
    <row r="46" spans="1:42" s="2" customFormat="1" ht="30" customHeight="1" x14ac:dyDescent="0.2">
      <c r="A46" s="9"/>
      <c r="B46" s="234" t="s">
        <v>57</v>
      </c>
      <c r="C46" s="292" t="s">
        <v>82</v>
      </c>
      <c r="D46" s="292"/>
      <c r="E46" s="292"/>
      <c r="F46" s="243">
        <f t="shared" si="12"/>
        <v>0</v>
      </c>
      <c r="G46" s="244">
        <f>IF($M$41="Sistema de banco de horas",0,'P Gerais'!$E$14)</f>
        <v>0.5</v>
      </c>
      <c r="H46" s="245">
        <f t="shared" ca="1" si="13"/>
        <v>0</v>
      </c>
      <c r="I46" s="243">
        <f t="shared" ca="1" si="14"/>
        <v>0</v>
      </c>
      <c r="J46" s="245">
        <f t="shared" ca="1" si="15"/>
        <v>0</v>
      </c>
      <c r="K46" s="234"/>
      <c r="L46" s="234"/>
      <c r="M46" s="234"/>
      <c r="Z46" s="219"/>
    </row>
    <row r="47" spans="1:42" s="2" customFormat="1" ht="30" customHeight="1" x14ac:dyDescent="0.2">
      <c r="A47" s="9"/>
      <c r="B47" s="234" t="s">
        <v>51</v>
      </c>
      <c r="C47" s="292" t="s">
        <v>81</v>
      </c>
      <c r="D47" s="292"/>
      <c r="E47" s="292"/>
      <c r="F47" s="243">
        <f t="shared" si="12"/>
        <v>0</v>
      </c>
      <c r="G47" s="244">
        <f>IF($M$41="Sistema de banco de horas",0,'P Gerais'!$F$14)</f>
        <v>1</v>
      </c>
      <c r="H47" s="245">
        <f t="shared" ca="1" si="13"/>
        <v>0</v>
      </c>
      <c r="I47" s="243">
        <f t="shared" ca="1" si="14"/>
        <v>0</v>
      </c>
      <c r="J47" s="245">
        <f t="shared" ca="1" si="15"/>
        <v>0</v>
      </c>
      <c r="K47" s="234"/>
      <c r="L47" s="234"/>
      <c r="M47" s="234"/>
      <c r="Z47" s="219"/>
    </row>
    <row r="48" spans="1:42" s="2" customFormat="1" ht="30" customHeight="1" x14ac:dyDescent="0.2">
      <c r="A48" s="9"/>
      <c r="B48" s="234"/>
      <c r="C48" s="292" t="s">
        <v>80</v>
      </c>
      <c r="D48" s="292"/>
      <c r="E48" s="292"/>
      <c r="F48" s="243">
        <f>SUMIFS($Q$8:$Q$38,$G$8:$G$38,"Feriado")</f>
        <v>0</v>
      </c>
      <c r="G48" s="244">
        <f>IF($M$41="Sistema de banco de horas",0,'P Gerais'!$I$14)</f>
        <v>1</v>
      </c>
      <c r="H48" s="245">
        <f t="shared" ca="1" si="13"/>
        <v>0</v>
      </c>
      <c r="I48" s="243"/>
      <c r="J48" s="245">
        <f t="shared" ca="1" si="15"/>
        <v>0</v>
      </c>
      <c r="K48" s="234"/>
      <c r="L48" s="234"/>
      <c r="M48" s="234"/>
      <c r="Z48" s="219"/>
    </row>
    <row r="49" spans="1:26" s="2" customFormat="1" ht="15" x14ac:dyDescent="0.2">
      <c r="A49" s="9"/>
      <c r="B49" s="234"/>
      <c r="C49" s="292" t="s">
        <v>146</v>
      </c>
      <c r="D49" s="292"/>
      <c r="E49" s="292"/>
      <c r="F49" s="243">
        <f>SUMIFS($Q$8:$Q$38,$G$8:$G$38,"Folga (DSR)")</f>
        <v>0</v>
      </c>
      <c r="G49" s="244">
        <f>IF($M$41="Sistema de banco de horas",0,'P Gerais'!H14)</f>
        <v>1</v>
      </c>
      <c r="H49" s="245">
        <f ca="1">((F53/(F39-G39))*G39)</f>
        <v>0</v>
      </c>
      <c r="I49" s="243"/>
      <c r="J49" s="245">
        <f t="shared" ca="1" si="15"/>
        <v>0</v>
      </c>
      <c r="K49" s="234"/>
      <c r="L49" s="234"/>
      <c r="M49" s="234"/>
      <c r="Z49" s="219"/>
    </row>
    <row r="50" spans="1:26" s="2" customFormat="1" ht="15" x14ac:dyDescent="0.2">
      <c r="A50" s="9"/>
      <c r="B50" s="234"/>
      <c r="C50" s="292" t="s">
        <v>84</v>
      </c>
      <c r="D50" s="292"/>
      <c r="E50" s="292"/>
      <c r="F50" s="243">
        <f ca="1">IF($M$41="Sistema de banco de horas",(SUM(AI$8:AI$38)*(1+G50)),SUM(AI$8:AI$38))</f>
        <v>0</v>
      </c>
      <c r="G50" s="244">
        <f>IF($M$41="Sistema de banco de horas",0,'P Gerais'!$I$17)</f>
        <v>0.5</v>
      </c>
      <c r="H50" s="245">
        <f ca="1">IF($M$41="Sistema de banco de horas",0,$K$40*(1+G50)*(F50*24))</f>
        <v>0</v>
      </c>
      <c r="I50" s="243">
        <f ca="1">IF(SUM($AN$8:$AO$38)&gt;SUM(AI$8:AI$38),0,SUM(AI$8:AI$38)-SUM($AN$8:$AO$38))</f>
        <v>0</v>
      </c>
      <c r="J50" s="245">
        <f t="shared" ca="1" si="15"/>
        <v>0</v>
      </c>
      <c r="K50" s="234"/>
      <c r="L50" s="234"/>
      <c r="M50" s="234"/>
      <c r="Z50" s="219"/>
    </row>
    <row r="51" spans="1:26" s="2" customFormat="1" ht="15" x14ac:dyDescent="0.2">
      <c r="A51" s="9"/>
      <c r="B51" s="234"/>
      <c r="C51" s="292" t="s">
        <v>85</v>
      </c>
      <c r="D51" s="292"/>
      <c r="E51" s="292"/>
      <c r="F51" s="243">
        <f>IF($M$41="Sistema de banco de horas",(SUM(AK$8:AK$38)*(1+G51)),SUM(AK$8:AK$38))</f>
        <v>0</v>
      </c>
      <c r="G51" s="244">
        <f>IF($M$41="Sistema de banco de horas",0,'P Gerais'!$C$17)</f>
        <v>1</v>
      </c>
      <c r="H51" s="245">
        <f ca="1">IF($M$41="Sistema de banco de horas",0,$K$40*(1+G51)*(F51*24))</f>
        <v>0</v>
      </c>
      <c r="I51" s="243"/>
      <c r="J51" s="245">
        <f t="shared" ca="1" si="15"/>
        <v>0</v>
      </c>
      <c r="K51" s="234"/>
      <c r="L51" s="234"/>
      <c r="M51" s="234"/>
      <c r="Z51" s="219"/>
    </row>
    <row r="52" spans="1:26" s="2" customFormat="1" ht="15" customHeight="1" x14ac:dyDescent="0.2">
      <c r="A52" s="9"/>
      <c r="B52" s="234"/>
      <c r="C52" s="292" t="s">
        <v>87</v>
      </c>
      <c r="D52" s="292"/>
      <c r="E52" s="292"/>
      <c r="F52" s="243">
        <f ca="1">U12</f>
        <v>0</v>
      </c>
      <c r="G52" s="246"/>
      <c r="H52" s="234"/>
      <c r="I52" s="234"/>
      <c r="J52" s="234"/>
      <c r="K52" s="234"/>
      <c r="L52" s="234"/>
      <c r="M52" s="234"/>
      <c r="Z52" s="219"/>
    </row>
    <row r="53" spans="1:26" s="2" customFormat="1" ht="15" x14ac:dyDescent="0.2">
      <c r="A53" s="9"/>
      <c r="B53" s="234"/>
      <c r="C53" s="292" t="s">
        <v>299</v>
      </c>
      <c r="D53" s="292"/>
      <c r="E53" s="292"/>
      <c r="F53" s="247">
        <f ca="1">SUM(H48)+J50+H51+SUM(J41:J47)</f>
        <v>0</v>
      </c>
      <c r="G53" s="248"/>
      <c r="H53" s="234"/>
      <c r="I53" s="234"/>
      <c r="J53" s="234"/>
      <c r="K53" s="234"/>
      <c r="L53" s="234"/>
      <c r="M53" s="234"/>
      <c r="Z53" s="219"/>
    </row>
    <row r="54" spans="1:26" s="2" customFormat="1" ht="15" x14ac:dyDescent="0.2">
      <c r="A54" s="9"/>
      <c r="B54" s="234"/>
      <c r="C54" s="292" t="s">
        <v>88</v>
      </c>
      <c r="D54" s="292"/>
      <c r="E54" s="292"/>
      <c r="F54" s="247">
        <f ca="1">F53+(H49*(1+G49))</f>
        <v>0</v>
      </c>
      <c r="G54" s="248"/>
      <c r="H54" s="249"/>
      <c r="I54" s="234"/>
      <c r="J54" s="234"/>
      <c r="K54" s="234"/>
      <c r="L54" s="234"/>
      <c r="M54" s="234"/>
      <c r="Z54" s="219"/>
    </row>
    <row r="55" spans="1:26" s="2" customFormat="1" ht="15" x14ac:dyDescent="0.2">
      <c r="A55" s="9"/>
      <c r="B55" s="234"/>
      <c r="C55" s="292" t="s">
        <v>89</v>
      </c>
      <c r="D55" s="292"/>
      <c r="E55" s="292"/>
      <c r="F55" s="247">
        <f ca="1">H40+F54</f>
        <v>0</v>
      </c>
      <c r="G55" s="246"/>
      <c r="H55" s="234"/>
      <c r="I55" s="234"/>
      <c r="J55" s="234"/>
      <c r="K55" s="234"/>
      <c r="L55" s="234"/>
      <c r="M55" s="234"/>
      <c r="Z55" s="219"/>
    </row>
    <row r="56" spans="1:26" s="2" customFormat="1" ht="15" x14ac:dyDescent="0.2">
      <c r="A56" s="9"/>
      <c r="B56" s="234"/>
      <c r="C56" s="292" t="s">
        <v>178</v>
      </c>
      <c r="D56" s="292"/>
      <c r="E56" s="292"/>
      <c r="F56" s="243">
        <f>IF($M$41="Sistema de banco de horas",(SUMIF($G$8:$G$38,"Férias",Q8:Q38))*(1+G48),SUMIF($G$8:$G$38,"Férias",Q8:Q38))</f>
        <v>0</v>
      </c>
      <c r="G56" s="246"/>
      <c r="H56" s="234"/>
      <c r="I56" s="234"/>
      <c r="J56" s="234"/>
      <c r="K56" s="234"/>
      <c r="L56" s="234"/>
      <c r="M56" s="234"/>
      <c r="Z56" s="219"/>
    </row>
    <row r="57" spans="1:26" s="2" customFormat="1" ht="15" x14ac:dyDescent="0.2">
      <c r="A57" s="9"/>
      <c r="B57" s="234"/>
      <c r="C57" s="239"/>
      <c r="D57" s="239"/>
      <c r="E57" s="239"/>
      <c r="F57" s="250">
        <f ca="1">U14</f>
        <v>0</v>
      </c>
      <c r="G57" s="246"/>
      <c r="H57" s="234"/>
      <c r="I57" s="234"/>
      <c r="J57" s="234"/>
      <c r="K57" s="234"/>
      <c r="L57" s="234"/>
      <c r="M57" s="234"/>
      <c r="Z57" s="219"/>
    </row>
    <row r="58" spans="1:26" s="2" customFormat="1" ht="15" x14ac:dyDescent="0.2">
      <c r="A58" s="9"/>
      <c r="B58" s="234"/>
      <c r="C58" s="239"/>
      <c r="D58" s="239"/>
      <c r="E58" s="239"/>
      <c r="F58" s="243">
        <f ca="1">SUM(F41:F51)</f>
        <v>0</v>
      </c>
      <c r="G58" s="246"/>
      <c r="H58" s="234"/>
      <c r="I58" s="234"/>
      <c r="J58" s="234"/>
      <c r="K58" s="234"/>
      <c r="L58" s="234"/>
      <c r="M58" s="234"/>
      <c r="Z58" s="219"/>
    </row>
    <row r="59" spans="1:26" s="2" customFormat="1" ht="15" x14ac:dyDescent="0.2">
      <c r="A59" s="9"/>
      <c r="Z59" s="219"/>
    </row>
    <row r="60" spans="1:26" s="2" customFormat="1" ht="15" x14ac:dyDescent="0.2">
      <c r="A60" s="9"/>
      <c r="G60" s="178"/>
      <c r="Z60" s="219"/>
    </row>
    <row r="61" spans="1:26" ht="15" x14ac:dyDescent="0.2"/>
    <row r="62" spans="1:26" ht="15" x14ac:dyDescent="0.2"/>
    <row r="63" spans="1:26" ht="15" x14ac:dyDescent="0.2"/>
    <row r="64" spans="1:26" ht="15" x14ac:dyDescent="0.2"/>
    <row r="65" ht="15" x14ac:dyDescent="0.2"/>
    <row r="66" ht="15" x14ac:dyDescent="0.2"/>
    <row r="67" ht="15" x14ac:dyDescent="0.2"/>
    <row r="68" ht="15" x14ac:dyDescent="0.2"/>
    <row r="69" ht="15" x14ac:dyDescent="0.2"/>
    <row r="70" ht="15" x14ac:dyDescent="0.2"/>
    <row r="71" ht="15" x14ac:dyDescent="0.2"/>
    <row r="72" ht="15" x14ac:dyDescent="0.2"/>
    <row r="73" ht="15" x14ac:dyDescent="0.2"/>
    <row r="74" ht="15" x14ac:dyDescent="0.2"/>
    <row r="75" ht="15" x14ac:dyDescent="0.2"/>
    <row r="76" ht="15" x14ac:dyDescent="0.2"/>
    <row r="77" ht="15" x14ac:dyDescent="0.2"/>
    <row r="78" ht="15" x14ac:dyDescent="0.2"/>
    <row r="79" ht="15" x14ac:dyDescent="0.2"/>
    <row r="80" ht="15" x14ac:dyDescent="0.2"/>
    <row r="81" ht="15" x14ac:dyDescent="0.2"/>
    <row r="82" ht="15" x14ac:dyDescent="0.2"/>
    <row r="83" ht="15" x14ac:dyDescent="0.2"/>
    <row r="84" ht="15" x14ac:dyDescent="0.2"/>
    <row r="85" ht="15" x14ac:dyDescent="0.2"/>
    <row r="86" ht="15" x14ac:dyDescent="0.2"/>
    <row r="87" ht="15" x14ac:dyDescent="0.2"/>
    <row r="88" ht="15" x14ac:dyDescent="0.2"/>
    <row r="89" ht="15" x14ac:dyDescent="0.2"/>
    <row r="90" ht="15" x14ac:dyDescent="0.2"/>
    <row r="91" ht="15" x14ac:dyDescent="0.2"/>
    <row r="92" ht="15" x14ac:dyDescent="0.2"/>
    <row r="93" ht="15" x14ac:dyDescent="0.2"/>
    <row r="94" ht="15" x14ac:dyDescent="0.2"/>
    <row r="95" ht="15" x14ac:dyDescent="0.2"/>
    <row r="96" ht="15" x14ac:dyDescent="0.2"/>
    <row r="97" ht="15" x14ac:dyDescent="0.2"/>
    <row r="98" ht="15" x14ac:dyDescent="0.2"/>
    <row r="99" ht="15" x14ac:dyDescent="0.2"/>
    <row r="100" ht="15" x14ac:dyDescent="0.2"/>
    <row r="101" ht="15" x14ac:dyDescent="0.2"/>
    <row r="102" ht="15" x14ac:dyDescent="0.2"/>
    <row r="103" ht="15" x14ac:dyDescent="0.2"/>
  </sheetData>
  <sheetProtection sheet="1" objects="1" scenarios="1" selectLockedCells="1"/>
  <mergeCells count="34">
    <mergeCell ref="C56:E56"/>
    <mergeCell ref="C48:E48"/>
    <mergeCell ref="C49:E49"/>
    <mergeCell ref="C50:E50"/>
    <mergeCell ref="C52:E52"/>
    <mergeCell ref="C53:E53"/>
    <mergeCell ref="C54:E54"/>
    <mergeCell ref="C51:E51"/>
    <mergeCell ref="C44:E44"/>
    <mergeCell ref="C55:E55"/>
    <mergeCell ref="C45:E45"/>
    <mergeCell ref="C46:E46"/>
    <mergeCell ref="C47:E47"/>
    <mergeCell ref="S22:U22"/>
    <mergeCell ref="C41:E41"/>
    <mergeCell ref="C42:E42"/>
    <mergeCell ref="C43:E43"/>
    <mergeCell ref="S26:U28"/>
    <mergeCell ref="S23:U25"/>
    <mergeCell ref="E7:F7"/>
    <mergeCell ref="I7:J7"/>
    <mergeCell ref="S7:U7"/>
    <mergeCell ref="S8:T9"/>
    <mergeCell ref="U8:U9"/>
    <mergeCell ref="S16:T17"/>
    <mergeCell ref="U16:U17"/>
    <mergeCell ref="S18:T19"/>
    <mergeCell ref="S10:T11"/>
    <mergeCell ref="U10:U11"/>
    <mergeCell ref="S12:T13"/>
    <mergeCell ref="U12:U13"/>
    <mergeCell ref="S14:T15"/>
    <mergeCell ref="U14:U15"/>
    <mergeCell ref="U18:U19"/>
  </mergeCells>
  <phoneticPr fontId="50" type="noConversion"/>
  <conditionalFormatting sqref="M8:M37">
    <cfRule type="cellIs" dxfId="1024" priority="188" operator="greaterThan">
      <formula>0</formula>
    </cfRule>
  </conditionalFormatting>
  <conditionalFormatting sqref="N36:N37 L36:L37">
    <cfRule type="expression" dxfId="1023" priority="155">
      <formula>AND($E36&lt;$E$35,$E$8=1)</formula>
    </cfRule>
    <cfRule type="expression" dxfId="1022" priority="156">
      <formula>AND($E36&gt;=$E$8,$E$8&lt;&gt;1)</formula>
    </cfRule>
  </conditionalFormatting>
  <conditionalFormatting sqref="E36:E38">
    <cfRule type="expression" dxfId="1021" priority="153">
      <formula>AND($E36&lt;$E$35,$E$8=1)</formula>
    </cfRule>
    <cfRule type="expression" dxfId="1020" priority="154">
      <formula>AND($E36&gt;=$E$8,$E$8&lt;&gt;1)</formula>
    </cfRule>
  </conditionalFormatting>
  <conditionalFormatting sqref="O8:O37">
    <cfRule type="cellIs" dxfId="1019" priority="148" operator="greaterThan">
      <formula>0.000001</formula>
    </cfRule>
  </conditionalFormatting>
  <conditionalFormatting sqref="O36:O37">
    <cfRule type="expression" dxfId="1018" priority="146">
      <formula>AND($E36&lt;$E$35,$E$8=1)</formula>
    </cfRule>
    <cfRule type="expression" dxfId="1017" priority="147">
      <formula>AND($E36&gt;=$E$8,$E$8&lt;&gt;1)</formula>
    </cfRule>
  </conditionalFormatting>
  <conditionalFormatting sqref="F8:F38">
    <cfRule type="containsText" dxfId="1016" priority="121" operator="containsText" text="Dom">
      <formula>NOT(ISERROR(SEARCH("Dom",F8)))</formula>
    </cfRule>
    <cfRule type="containsText" dxfId="1015" priority="122" operator="containsText" text="Sáb">
      <formula>NOT(ISERROR(SEARCH("Sáb",F8)))</formula>
    </cfRule>
  </conditionalFormatting>
  <conditionalFormatting sqref="Q8:Q37">
    <cfRule type="cellIs" dxfId="1014" priority="118" operator="greaterThan">
      <formula>0.000001</formula>
    </cfRule>
  </conditionalFormatting>
  <conditionalFormatting sqref="O38">
    <cfRule type="cellIs" dxfId="1013" priority="50" operator="greaterThan">
      <formula>0.000001</formula>
    </cfRule>
  </conditionalFormatting>
  <conditionalFormatting sqref="M38">
    <cfRule type="cellIs" dxfId="1012" priority="51" operator="greaterThan">
      <formula>0</formula>
    </cfRule>
  </conditionalFormatting>
  <conditionalFormatting sqref="L38:O38">
    <cfRule type="expression" dxfId="1011" priority="49">
      <formula>AND($E38&gt;=$E$8,$E$8&lt;&gt;1)</formula>
    </cfRule>
  </conditionalFormatting>
  <conditionalFormatting sqref="G38:K38">
    <cfRule type="expression" dxfId="1010" priority="36">
      <formula>OR($G38="Férias",$G38="Falta Injustificada")</formula>
    </cfRule>
    <cfRule type="expression" dxfId="1009" priority="37">
      <formula>$G38="Folga (DSR)"</formula>
    </cfRule>
    <cfRule type="expression" dxfId="1008" priority="38">
      <formula>$G38="Feriado"</formula>
    </cfRule>
    <cfRule type="expression" dxfId="1007" priority="39">
      <formula>$F38="Dom"</formula>
    </cfRule>
  </conditionalFormatting>
  <conditionalFormatting sqref="H38:K38">
    <cfRule type="expression" dxfId="1006" priority="35">
      <formula>OR($G38="Falta Justificada",$G38="Falta Injustificada")</formula>
    </cfRule>
  </conditionalFormatting>
  <conditionalFormatting sqref="Q38">
    <cfRule type="cellIs" dxfId="1005" priority="32" operator="greaterThan">
      <formula>0.000001</formula>
    </cfRule>
  </conditionalFormatting>
  <conditionalFormatting sqref="L38:Q38">
    <cfRule type="expression" dxfId="1004" priority="48">
      <formula>AND($E38&lt;$E$35,$E$8=1)</formula>
    </cfRule>
  </conditionalFormatting>
  <conditionalFormatting sqref="G38:Q38">
    <cfRule type="expression" dxfId="1003" priority="33">
      <formula>AND($E38&lt;$E$35,$E$8=1)</formula>
    </cfRule>
    <cfRule type="expression" dxfId="1002" priority="34">
      <formula>AND($E38&gt;=$E$8,$E$8&lt;&gt;1)</formula>
    </cfRule>
  </conditionalFormatting>
  <conditionalFormatting sqref="G8:K8 H9:K35 G9:G37">
    <cfRule type="expression" dxfId="1001" priority="25">
      <formula>OR($G8="Férias",$G8="Falta Injustificada")</formula>
    </cfRule>
    <cfRule type="expression" dxfId="1000" priority="26">
      <formula>$G8="Folga (DSR)"</formula>
    </cfRule>
    <cfRule type="expression" dxfId="999" priority="27">
      <formula>$G8="Feriado"</formula>
    </cfRule>
    <cfRule type="expression" dxfId="998" priority="28">
      <formula>$F8="Dom"</formula>
    </cfRule>
  </conditionalFormatting>
  <conditionalFormatting sqref="H8:K35">
    <cfRule type="expression" dxfId="997" priority="24">
      <formula>OR($G8="Falta Justificada",$G8="Falta Injustificada")</formula>
    </cfRule>
  </conditionalFormatting>
  <conditionalFormatting sqref="H36:K37">
    <cfRule type="expression" dxfId="996" priority="20">
      <formula>OR($G36="Férias",$G36="Falta Injustificada")</formula>
    </cfRule>
    <cfRule type="expression" dxfId="995" priority="21">
      <formula>$G36="Folga (DSR)"</formula>
    </cfRule>
    <cfRule type="expression" dxfId="994" priority="22">
      <formula>$G36="Feriado"</formula>
    </cfRule>
    <cfRule type="expression" dxfId="993" priority="23">
      <formula>$F36="Dom"</formula>
    </cfRule>
  </conditionalFormatting>
  <conditionalFormatting sqref="H36:K37">
    <cfRule type="expression" dxfId="992" priority="17">
      <formula>AND($E36&lt;$E$35,$E$8=1)</formula>
    </cfRule>
    <cfRule type="expression" dxfId="991" priority="18">
      <formula>AND($E36&gt;=$E$8,$E$8&lt;&gt;1)</formula>
    </cfRule>
  </conditionalFormatting>
  <conditionalFormatting sqref="H36:K37">
    <cfRule type="expression" dxfId="990" priority="19">
      <formula>OR($G36="Falta Justificada",$G36="Falta Injustificada")</formula>
    </cfRule>
  </conditionalFormatting>
  <conditionalFormatting sqref="U10:U11">
    <cfRule type="expression" dxfId="989" priority="8">
      <formula>$V$11="Negativo"</formula>
    </cfRule>
  </conditionalFormatting>
  <conditionalFormatting sqref="U12:U13">
    <cfRule type="expression" dxfId="988" priority="564">
      <formula>$U$14&gt;$F$58</formula>
    </cfRule>
  </conditionalFormatting>
  <conditionalFormatting sqref="F40">
    <cfRule type="expression" dxfId="987" priority="565">
      <formula>$E40="Folga(DSR)"</formula>
    </cfRule>
    <cfRule type="expression" dxfId="986" priority="566">
      <formula>$E40="Feriado"</formula>
    </cfRule>
    <cfRule type="expression" dxfId="985" priority="567">
      <formula>$D40="Dom"</formula>
    </cfRule>
  </conditionalFormatting>
  <dataValidations count="3">
    <dataValidation type="time" allowBlank="1" showInputMessage="1" showErrorMessage="1" sqref="H8:K38">
      <formula1>0</formula1>
      <formula2>0.999988425925926</formula2>
    </dataValidation>
    <dataValidation type="list" allowBlank="1" showInputMessage="1" showErrorMessage="1" sqref="G8:G38">
      <formula1>"Normal,Feriado,Folga (DSR),Falta Justificada,Férias,Falta Injustificada"</formula1>
    </dataValidation>
    <dataValidation type="list" allowBlank="1" showInputMessage="1" showErrorMessage="1" sqref="E9:E35">
      <formula1>"1,5,10,16"</formula1>
    </dataValidation>
  </dataValidations>
  <hyperlinks>
    <hyperlink ref="C8" location="Lanç!A1" display="Lanç!A1"/>
    <hyperlink ref="C9" location="'Lanç (2)'!A1" display="'Lanç (2)'!A1"/>
    <hyperlink ref="C10" location="'Lanç (3)'!A1" display="'Lanç (3)'!A1"/>
    <hyperlink ref="C11" location="'Lanç (4)'!A1" display="'Lanç (4)'!A1"/>
    <hyperlink ref="C12" location="'Lanç (5)'!A1" display="'Lanç (5)'!A1"/>
    <hyperlink ref="C13" location="'Lanç (6)'!A1" display="'Lanç (6)'!A1"/>
    <hyperlink ref="C14" location="'Lanç (7)'!A1" display="'Lanç (7)'!A1"/>
    <hyperlink ref="C15" location="'Lanç (8)'!A1" display="'Lanç (8)'!A1"/>
    <hyperlink ref="C16" location="'Lanç (9)'!A1" display="'Lanç (9)'!A1"/>
    <hyperlink ref="C17" location="'Lanç (10)'!A1" display="'Lanç (10)'!A1"/>
    <hyperlink ref="C18" location="'Lanç (11)'!A1" display="'Lanç (11)'!A1"/>
    <hyperlink ref="C19" location="'Lanç (12)'!A1" display="'Lanç (12)'!A1"/>
    <hyperlink ref="C20" location="'Lanç (13)'!A1" display="'Lanç (13)'!A1"/>
    <hyperlink ref="C21" location="'Lanç (14)'!A1" display="'Lanç (14)'!A1"/>
    <hyperlink ref="C22" location="'Lanç (15)'!A1" display="'Lanç (15)'!A1"/>
    <hyperlink ref="C23" location="'Lanç (16)'!A1" display="'Lanç (16)'!A1"/>
    <hyperlink ref="C24" location="'Lanç (17)'!A1" display="'Lanç (17)'!A1"/>
    <hyperlink ref="C25" location="'Lanç (18)'!A1" display="'Lanç (18)'!A1"/>
    <hyperlink ref="C26" location="'Lanç (19)'!A1" display="'Lanç (19)'!A1"/>
    <hyperlink ref="C27" location="'Lanç (20)'!A1" display="'Lanç (20)'!A1"/>
    <hyperlink ref="C28" location="'Lanç (21)'!A1" display="'Lanç (21)'!A1"/>
    <hyperlink ref="C29" location="'Lanç (22)'!A1" display="'Lanç (22)'!A1"/>
    <hyperlink ref="C30" location="'Lanç (23)'!A1" display="'Lanç (23)'!A1"/>
    <hyperlink ref="C31" location="'Lanç (24)'!A1" display="'Lanç (24)'!A1"/>
    <hyperlink ref="C32" location="'Lanç (25)'!A1" display="'Lanç (25)'!A1"/>
    <hyperlink ref="C33" location="'Lanç (26)'!A1" display="'Lanç (26)'!A1"/>
    <hyperlink ref="C34" location="'Lanç (27)'!A1" display="'Lanç (27)'!A1"/>
    <hyperlink ref="C35" location="'Lanç (28)'!A1" display="'Lanç (28)'!A1"/>
    <hyperlink ref="C36" location="'Lanç (29)'!A1" display="'Lanç (29)'!A1"/>
    <hyperlink ref="C37" location="'Lanç (30)'!A1" display="'Lanç (30)'!A1"/>
  </hyperlinks>
  <printOptions horizontalCentered="1"/>
  <pageMargins left="0.23622047244094502" right="0.23622047244094502" top="0.74803149606299202" bottom="0.74803149606299202" header="0.31496062992126" footer="0.31496062992126"/>
  <pageSetup paperSize="9" scale="53" orientation="portrait" cellComments="atEnd"/>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113" id="{53445016-3290-D14F-BB1B-422122D251A4}">
            <xm:f>'P Gerais'!$I$10:$M$10="Pagas em Dinheiro"</xm:f>
            <x14:dxf>
              <font>
                <color theme="0"/>
              </font>
              <fill>
                <patternFill>
                  <bgColor theme="0"/>
                </patternFill>
              </fill>
              <border>
                <left/>
                <right/>
                <top/>
                <bottom/>
              </border>
            </x14:dxf>
          </x14:cfRule>
          <xm:sqref>S10:T13</xm:sqref>
        </x14:conditionalFormatting>
        <x14:conditionalFormatting xmlns:xm="http://schemas.microsoft.com/office/excel/2006/main">
          <x14:cfRule type="expression" priority="112" id="{992A086D-2888-9945-8AEC-50890C4BC055}">
            <xm:f>'P Gerais'!$I$10:$M$10="Sistema de banco de horas"</xm:f>
            <x14:dxf>
              <font>
                <color theme="0"/>
              </font>
              <fill>
                <patternFill>
                  <bgColor theme="0"/>
                </patternFill>
              </fill>
              <border>
                <left/>
                <right/>
                <top/>
                <bottom/>
              </border>
            </x14:dxf>
          </x14:cfRule>
          <xm:sqref>S18:T19</xm:sqref>
        </x14:conditionalFormatting>
        <x14:conditionalFormatting xmlns:xm="http://schemas.microsoft.com/office/excel/2006/main">
          <x14:cfRule type="expression" priority="10" id="{B3306DEF-15C0-9340-AB2A-21852CFAAAD9}">
            <xm:f>'P Gerais'!$I$10:$M$10="Sistema de banco de horas"</xm:f>
            <x14:dxf>
              <font>
                <color theme="0"/>
              </font>
              <fill>
                <patternFill>
                  <bgColor theme="0"/>
                </patternFill>
              </fill>
              <border>
                <left/>
                <right/>
                <top/>
                <bottom/>
              </border>
            </x14:dxf>
          </x14:cfRule>
          <xm:sqref>U18:U19</xm:sqref>
        </x14:conditionalFormatting>
        <x14:conditionalFormatting xmlns:xm="http://schemas.microsoft.com/office/excel/2006/main">
          <x14:cfRule type="expression" priority="7" id="{BC35DE72-07B8-BE44-B643-0D6C4590ACE0}">
            <xm:f>'P Gerais'!$I$10:$M$10="Pagas em Dinheiro"</xm:f>
            <x14:dxf>
              <font>
                <color theme="0"/>
              </font>
              <fill>
                <patternFill>
                  <bgColor theme="0"/>
                </patternFill>
              </fill>
              <border>
                <left/>
                <right/>
                <top/>
                <bottom/>
              </border>
            </x14:dxf>
          </x14:cfRule>
          <xm:sqref>U10:U13</xm:sqref>
        </x14:conditionalFormatting>
      </x14:conditionalFormatting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13" enableFormatConditionsCalculation="0"/>
  <dimension ref="A1:BG103"/>
  <sheetViews>
    <sheetView showGridLines="0" zoomScale="90" zoomScaleNormal="90" zoomScalePageLayoutView="90" workbookViewId="0">
      <selection activeCell="G13" sqref="G13"/>
    </sheetView>
  </sheetViews>
  <sheetFormatPr baseColWidth="10" defaultColWidth="0" defaultRowHeight="0" customHeight="1" zeroHeight="1" x14ac:dyDescent="0.2"/>
  <cols>
    <col min="1" max="1" width="27.83203125" style="194" customWidth="1"/>
    <col min="2" max="2" width="3.83203125" style="14" customWidth="1"/>
    <col min="3" max="3" width="33.33203125" style="14" customWidth="1"/>
    <col min="4" max="4" width="2.83203125" style="14" customWidth="1"/>
    <col min="5" max="5" width="5.83203125" style="14" customWidth="1"/>
    <col min="6" max="6" width="11.83203125" style="14" customWidth="1"/>
    <col min="7" max="7" width="14.33203125" style="195" customWidth="1"/>
    <col min="8" max="11" width="9.83203125" style="14" customWidth="1"/>
    <col min="12" max="12" width="1.83203125" style="14" customWidth="1"/>
    <col min="13" max="13" width="13.33203125" style="14" customWidth="1"/>
    <col min="14" max="14" width="1.83203125" style="14" customWidth="1"/>
    <col min="15" max="15" width="13.33203125" style="14" customWidth="1"/>
    <col min="16" max="16" width="1.83203125" style="14" customWidth="1"/>
    <col min="17" max="17" width="13.33203125" style="14" customWidth="1"/>
    <col min="18" max="18" width="4.83203125" style="2" bestFit="1" customWidth="1"/>
    <col min="19" max="21" width="11.83203125" style="14" customWidth="1"/>
    <col min="22" max="23" width="8.83203125" style="2" customWidth="1"/>
    <col min="24" max="24" width="11.33203125" style="2" bestFit="1" customWidth="1"/>
    <col min="25" max="25" width="8.83203125" style="2" customWidth="1"/>
    <col min="26" max="26" width="8.1640625" style="219" bestFit="1" customWidth="1"/>
    <col min="27" max="27" width="8.83203125" style="2" customWidth="1"/>
    <col min="28" max="28" width="11.33203125" style="2" bestFit="1" customWidth="1"/>
    <col min="29" max="43" width="8.83203125" style="2" customWidth="1"/>
    <col min="44" max="50" width="11.33203125" style="2" customWidth="1"/>
    <col min="51" max="57" width="11.33203125" style="14" customWidth="1"/>
    <col min="58" max="16384" width="8.83203125" style="14" hidden="1"/>
  </cols>
  <sheetData>
    <row r="1" spans="1:59" s="15" customFormat="1" ht="33.75" customHeight="1" x14ac:dyDescent="0.3">
      <c r="A1" s="56"/>
      <c r="B1" s="3"/>
      <c r="C1" s="4" t="s">
        <v>30</v>
      </c>
      <c r="D1" s="3"/>
      <c r="E1" s="3"/>
      <c r="F1" s="3"/>
      <c r="G1" s="77"/>
      <c r="H1" s="3"/>
      <c r="I1" s="3"/>
      <c r="J1" s="3"/>
      <c r="K1" s="3"/>
      <c r="M1" s="3"/>
      <c r="O1" s="3"/>
      <c r="Q1" s="3"/>
      <c r="S1" s="3"/>
      <c r="T1" s="3"/>
      <c r="U1" s="3"/>
      <c r="Z1" s="174"/>
    </row>
    <row r="2" spans="1:59" s="15" customFormat="1" ht="21.5" customHeight="1" x14ac:dyDescent="0.2">
      <c r="A2" s="1"/>
      <c r="B2" s="3"/>
      <c r="C2" s="3"/>
      <c r="D2" s="3"/>
      <c r="E2" s="3"/>
      <c r="F2" s="3"/>
      <c r="G2" s="77"/>
      <c r="H2" s="3"/>
      <c r="I2" s="3"/>
      <c r="J2" s="3"/>
      <c r="K2" s="3"/>
      <c r="M2" s="3"/>
      <c r="O2" s="3"/>
      <c r="Q2" s="3"/>
      <c r="S2" s="3"/>
      <c r="T2" s="3"/>
      <c r="U2" s="3"/>
      <c r="Z2" s="174"/>
    </row>
    <row r="3" spans="1:59" s="15" customFormat="1" ht="21.5" customHeight="1" x14ac:dyDescent="0.2">
      <c r="A3" s="1"/>
      <c r="B3" s="3"/>
      <c r="C3" s="3"/>
      <c r="D3" s="3"/>
      <c r="E3" s="3"/>
      <c r="F3" s="3"/>
      <c r="G3" s="77"/>
      <c r="H3" s="3"/>
      <c r="I3" s="3"/>
      <c r="J3" s="3"/>
      <c r="K3" s="3"/>
      <c r="M3" s="3"/>
      <c r="O3" s="3"/>
      <c r="Q3" s="3"/>
      <c r="S3" s="3"/>
      <c r="T3" s="3"/>
      <c r="U3" s="3"/>
      <c r="Z3" s="174"/>
    </row>
    <row r="4" spans="1:59" s="2" customFormat="1" ht="30" customHeight="1" x14ac:dyDescent="0.2">
      <c r="A4" s="1"/>
      <c r="B4"/>
      <c r="C4"/>
      <c r="D4"/>
      <c r="E4"/>
      <c r="F4"/>
      <c r="G4" s="78"/>
      <c r="H4"/>
      <c r="I4"/>
      <c r="J4"/>
      <c r="K4"/>
      <c r="M4"/>
      <c r="O4" s="13"/>
      <c r="Q4"/>
      <c r="S4"/>
      <c r="T4"/>
      <c r="U4"/>
      <c r="Z4" s="219"/>
      <c r="AN4" s="175"/>
    </row>
    <row r="5" spans="1:59" s="2" customFormat="1" ht="30" customHeight="1" x14ac:dyDescent="0.2">
      <c r="A5" s="9"/>
      <c r="C5" s="160" t="s">
        <v>194</v>
      </c>
      <c r="K5" s="157">
        <f ca="1">IF(ISERROR(VLOOKUP(INDIRECT($C$5),Jornada!$C$8:$F$37,4,0)),0,VLOOKUP(INDIRECT($C$5),Jornada!$C$8:$F$37,4,0))</f>
        <v>0</v>
      </c>
      <c r="L5" s="158"/>
      <c r="M5" s="157">
        <f ca="1">IF(ISERROR(VLOOKUP(INDIRECT($C$5),Jornada!$C$8:$G$37,5,0)),0,VLOOKUP(INDIRECT($C$5),Jornada!$C$8:$G$37,5,0))</f>
        <v>0</v>
      </c>
      <c r="O5" s="12"/>
      <c r="U5" s="12"/>
      <c r="Z5" s="219"/>
      <c r="AC5" s="12"/>
      <c r="AK5" s="179">
        <v>0.25</v>
      </c>
      <c r="AL5" s="155">
        <v>0.91666666666666663</v>
      </c>
      <c r="AM5" s="155">
        <v>0.20833333333333334</v>
      </c>
      <c r="AN5" s="155">
        <v>1</v>
      </c>
      <c r="AO5" s="155">
        <v>0.70833333333333337</v>
      </c>
    </row>
    <row r="6" spans="1:59" s="2" customFormat="1" ht="8" customHeight="1" thickBot="1" x14ac:dyDescent="0.25">
      <c r="A6" s="9"/>
      <c r="C6" s="198"/>
      <c r="G6" s="178"/>
      <c r="M6" s="220">
        <v>1</v>
      </c>
      <c r="O6" s="156"/>
      <c r="Q6" s="156"/>
      <c r="Z6" s="176"/>
    </row>
    <row r="7" spans="1:59" s="2" customFormat="1" ht="30" customHeight="1" thickTop="1" thickBot="1" x14ac:dyDescent="0.25">
      <c r="A7" s="1"/>
      <c r="B7"/>
      <c r="C7" s="76" t="s">
        <v>176</v>
      </c>
      <c r="D7"/>
      <c r="E7" s="281" t="str">
        <f>Lanç!E7</f>
        <v>Janeiro</v>
      </c>
      <c r="F7" s="283"/>
      <c r="G7" s="79" t="s">
        <v>58</v>
      </c>
      <c r="H7" s="82" t="s">
        <v>0</v>
      </c>
      <c r="I7" s="293" t="s">
        <v>59</v>
      </c>
      <c r="J7" s="293"/>
      <c r="K7" s="82" t="s">
        <v>60</v>
      </c>
      <c r="M7" s="73" t="s">
        <v>61</v>
      </c>
      <c r="O7" s="73" t="s">
        <v>62</v>
      </c>
      <c r="Q7" s="73" t="s">
        <v>63</v>
      </c>
      <c r="R7" s="155">
        <v>8.3333333333333329E-2</v>
      </c>
      <c r="S7" s="293" t="s">
        <v>64</v>
      </c>
      <c r="T7" s="293"/>
      <c r="U7" s="293"/>
      <c r="W7" s="2" t="s">
        <v>90</v>
      </c>
      <c r="X7" s="156">
        <v>1</v>
      </c>
      <c r="AB7" s="2">
        <f>VLOOKUP($E$7,$W$7:$X$18,2,0)</f>
        <v>1</v>
      </c>
      <c r="AG7" s="176" t="s">
        <v>167</v>
      </c>
      <c r="AH7" s="176" t="s">
        <v>168</v>
      </c>
      <c r="AI7" s="155">
        <v>0</v>
      </c>
      <c r="AJ7" s="155">
        <v>1</v>
      </c>
      <c r="AK7" s="155">
        <v>0.45833333333333331</v>
      </c>
      <c r="AL7" s="2" t="s">
        <v>0</v>
      </c>
      <c r="AM7" s="2" t="s">
        <v>162</v>
      </c>
      <c r="AN7" s="2" t="s">
        <v>184</v>
      </c>
      <c r="BE7" s="14"/>
      <c r="BF7" s="14"/>
      <c r="BG7" s="14"/>
    </row>
    <row r="8" spans="1:59" s="2" customFormat="1" ht="30" customHeight="1" thickTop="1" thickBot="1" x14ac:dyDescent="0.25">
      <c r="A8" s="1"/>
      <c r="B8"/>
      <c r="C8" s="172" t="str">
        <f>IF(Funcionários!C7=0,"",Funcionários!C7)</f>
        <v/>
      </c>
      <c r="D8"/>
      <c r="E8" s="115">
        <f>Lanç!E8</f>
        <v>1</v>
      </c>
      <c r="F8" s="189" t="str">
        <f>Lanç!F8</f>
        <v>Dom</v>
      </c>
      <c r="G8" s="80"/>
      <c r="H8" s="93"/>
      <c r="I8" s="93"/>
      <c r="J8" s="93"/>
      <c r="K8" s="93"/>
      <c r="L8" s="197"/>
      <c r="M8" s="95">
        <f>IF(AND(H8=K8,H8&lt;&gt;0),$M$6-IF(J8&lt;I8,$AJ$7+J8-I8,J8-I8),IF(H8&gt;K8,(K8+1-H8)-IF(J8&lt;I8,$AJ$7+J8-I8,J8-I8),(K8-H8)-IF(J8&lt;I8,$AJ$7+J8-I8,J8-I8)))</f>
        <v>0</v>
      </c>
      <c r="N8" s="196"/>
      <c r="O8" s="95">
        <f ca="1">IF(OR(G8=0,G8="Férias",G8="Falta Justificada",G8="Feriado",G8="Folga (DSR)"),0,IF(G8="Falta Injustificada",HLOOKUP($F8,Jornada!$X$7:$AD$37,VLOOKUP(INDIRECT($C$5),Jornada!$C$8:$W$37,21,0),0),IF(HLOOKUP($F8,Jornada!$X$7:$AD$37,VLOOKUP(INDIRECT($C$5),Jornada!$C$8:$W$37,21,0),0)-M8&gt;0,HLOOKUP($F8,Jornada!$X$7:$AD$37,VLOOKUP(INDIRECT($C$5),Jornada!$C$8:$W$37,21,0),0)-M8,0)))</f>
        <v>0</v>
      </c>
      <c r="P8" s="193">
        <f ca="1">IF(HLOOKUP($F8,Jornada!$X$7:$AD$37,VLOOKUP(INDIRECT($C$5),Jornada!$C$8:$W$37,21,0),0)-M8&lt;0,ABS(HLOOKUP($F8,Jornada!$X$7:$AD$37,VLOOKUP(INDIRECT($C$5),Jornada!$C$8:$W$37,21,0),0)-M8),0)</f>
        <v>0</v>
      </c>
      <c r="Q8" s="95">
        <f t="shared" ref="Q8:Q38" si="0">IF(G8="Normal",P8,IF(G8=0,0,IF(OR(G8="Feriado",G8="Férias"),IF(H8&gt;K8,(K8+1-H8)-IF(J8&lt;I8,$AJ$7+J8-I8,J8-I8),(K8-H8)-IF(J8&lt;I8,$AJ$7+J8-I8,J8-I8)),IF(G8="Folga (DSR)",IF(H8&gt;K8,(K8+1-H8)-IF(J8&lt;I8,$AJ$7+J8-I8,J8-I8),(K8-H8)-IF(J8&lt;I8,$AJ$7+J8-I8,J8-I8)),IF(G8="Falta Justificada",IF(H8&gt;K8,(K8+1-H8)-IF(J8&lt;I8,$AJ$7+J8-I8,J8-I8),(K8-H8)-IF(J8&lt;I8,$AJ$7+J8-I8,J8-I8)),0)))))</f>
        <v>0</v>
      </c>
      <c r="R8" s="2">
        <f>IF(Q8&gt;$R$7,1,0)</f>
        <v>0</v>
      </c>
      <c r="S8" s="294" t="s">
        <v>65</v>
      </c>
      <c r="T8" s="294"/>
      <c r="U8" s="295">
        <f>SUM(M8:M38)</f>
        <v>0</v>
      </c>
      <c r="W8" s="2" t="s">
        <v>91</v>
      </c>
      <c r="X8" s="156">
        <v>2</v>
      </c>
      <c r="AB8" s="177">
        <f>DATE('P Gerais'!$D$6,AB7,1)</f>
        <v>1</v>
      </c>
      <c r="AC8" s="2">
        <f>WEEKDAY(AB8)</f>
        <v>1</v>
      </c>
      <c r="AE8" s="2">
        <v>1</v>
      </c>
      <c r="AF8" s="2" t="s">
        <v>51</v>
      </c>
      <c r="AG8" s="220">
        <f>IF(J8&lt;I8,$AJ$7+J8-I8,J8-I8)</f>
        <v>0</v>
      </c>
      <c r="AH8" s="220">
        <f ca="1">IF(HLOOKUP($F8,Jornada!$X$7:$AD$37,VLOOKUP(INDIRECT($C$5),Jornada!$C$8:$W$37,21,0),0)=0,0,VLOOKUP(INDIRECT($C$5),Jornada!$C$8:$H$37,4,0))</f>
        <v>0</v>
      </c>
      <c r="AI8" s="155">
        <f ca="1">IF(AND(I8=0,J8=0,OR(H8&lt;&gt;0,K8&lt;&gt;0),HLOOKUP($F8,Jornada!$X$7:$AD$37,VLOOKUP(INDIRECT($C$5),Jornada!$C$8:$W$37,21,0),0)&gt;$AK$5,M8&gt;$AK$5),VLOOKUP(INDIRECT($C$5),Jornada!$C$8:$H$37,6,0),IF(AG8&gt;VLOOKUP(INDIRECT($C$5),Jornada!$C$8:$H$37,6,0),IF(VLOOKUP(INDIRECT($C$5),Jornada!$C$8:$H$37,6,0)&lt;AG8,0,ABS(VLOOKUP(INDIRECT($C$5),Jornada!$C$8:$H$37,6,0))-AG8),0))</f>
        <v>0</v>
      </c>
      <c r="AJ8" s="155">
        <f>($AJ$7-K8)+H8</f>
        <v>1</v>
      </c>
      <c r="AK8" s="155">
        <f>IF(AJ8&lt;$AK$7,$AK$7-AJ8,$AI$7)</f>
        <v>0</v>
      </c>
      <c r="AL8" s="155">
        <f ca="1">HLOOKUP($F8,Jornada!$I$5:$V$37,VLOOKUP(INDIRECT($C$5),Jornada!$C$8:$W$37,21,0)+2,0)</f>
        <v>0</v>
      </c>
      <c r="AM8" s="155">
        <f ca="1">HLOOKUP($F8,Jornada!$I$4:$V$37,VLOOKUP(INDIRECT($C$5),Jornada!$C$8:$W$37,21,0)+3,0)</f>
        <v>0</v>
      </c>
      <c r="AN8" s="155">
        <f ca="1">IF(AND(AL8&gt;=$AL$5,AL8&lt;$AN$5,H8&gt;=$AL$5,H8&lt;AL8),AL8-H8,IF(AND(AL8&gt;$AI$7,AL8&lt;=$AM$5,H8&gt;=$AL$5,H8&lt;=$AN$5),$AN$5-H8+AL8,IF(AND(AL8&gt;=$AI$7,AL8&lt;=$AM$5,H8&gt;=$AI$7,H8&lt;=$AM$5,H8&lt;AL8),H8-AL8,0)))</f>
        <v>0</v>
      </c>
      <c r="AO8" s="155">
        <f>IF(AP8&gt;Q8,0,AP8)</f>
        <v>0</v>
      </c>
      <c r="AP8" s="155">
        <f>IF(Q8=0,0,IF(AND(AM8&gt;=$AL$5,AM8&lt;$AN$5,K8&gt;=$AL$5,K8&lt;$AM$5,K8&gt;AM8),K8-AM8,IF(AND(AM8&gt;=$AL$5,AM8&lt;$AN$5,K8&lt;$AN$5,K8&gt;AM8),K8-$AL$5,IF(AND(AM8&gt;=$AI$7,AM8&lt;$AM$5,K8&lt;$AM$5),K8-AM8,IF(AND(AM8&lt;&gt;AI7,AM8&gt;=$AI$7,AM8&lt;=$AM$5,K8&gt;$AM$5,K8&gt;AM8),$AM$5-AM8,IF(AND(K8&gt;$AL$5,K8&lt;$AN$5),K8-$AL$5,IF(AND(K8&gt;$AI$7,K8&lt;$AM$5),$AN$5-$AL$5+K8,IF(AND(OR(K8&gt;$AL$5,H8&gt;$AO$5),AM8&gt;=$AI$7,AM8&lt;$AM$5,K8&gt;$AM$5),(1+$AM$5-$AL$5)-AG8,0))))))))</f>
        <v>0</v>
      </c>
      <c r="BE8" s="14"/>
      <c r="BF8" s="14"/>
      <c r="BG8" s="14"/>
    </row>
    <row r="9" spans="1:59" s="2" customFormat="1" ht="30" customHeight="1" thickTop="1" thickBot="1" x14ac:dyDescent="0.25">
      <c r="A9" s="1"/>
      <c r="B9"/>
      <c r="C9" s="172" t="str">
        <f>IF(Funcionários!C8=0,"",Funcionários!C8)</f>
        <v/>
      </c>
      <c r="D9"/>
      <c r="E9" s="115">
        <f>Lanç!E9</f>
        <v>2</v>
      </c>
      <c r="F9" s="189" t="str">
        <f>Lanç!F9</f>
        <v>Seg</v>
      </c>
      <c r="G9" s="80"/>
      <c r="H9" s="94"/>
      <c r="I9" s="94"/>
      <c r="J9" s="94"/>
      <c r="K9" s="94"/>
      <c r="L9" s="197"/>
      <c r="M9" s="95">
        <f t="shared" ref="M9:M38" si="1">IF(AND(H9=K9,H9&lt;&gt;0),$M$6-IF(J9&lt;I9,$AJ$7+J9-I9,J9-I9),IF(H9&gt;K9,(K9+1-H9)-IF(J9&lt;I9,$AJ$7+J9-I9,J9-I9),(K9-H9)-IF(J9&lt;I9,$AJ$7+J9-I9,J9-I9)))</f>
        <v>0</v>
      </c>
      <c r="N9" s="196"/>
      <c r="O9" s="95">
        <f ca="1">IF(OR(G9=0,G9="Férias",G9="Falta Justificada",G9="Feriado",G9="Folga (DSR)"),0,IF(G9="Falta Injustificada",HLOOKUP($F9,Jornada!$X$7:$AD$37,VLOOKUP(INDIRECT($C$5),Jornada!$C$8:$W$37,21,0),0),IF(HLOOKUP($F9,Jornada!$X$7:$AD$37,VLOOKUP(INDIRECT($C$5),Jornada!$C$8:$W$37,21,0),0)-M9&gt;0,HLOOKUP($F9,Jornada!$X$7:$AD$37,VLOOKUP(INDIRECT($C$5),Jornada!$C$8:$W$37,21,0),0)-M9,0)))</f>
        <v>0</v>
      </c>
      <c r="P9" s="193">
        <f ca="1">IF(HLOOKUP($F9,Jornada!$X$7:$AD$37,VLOOKUP(INDIRECT($C$5),Jornada!$C$8:$W$37,21,0),0)-M9&lt;0,ABS(HLOOKUP($F9,Jornada!$X$7:$AD$37,VLOOKUP(INDIRECT($C$5),Jornada!$C$8:$W$37,21,0),0)-M9),0)</f>
        <v>0</v>
      </c>
      <c r="Q9" s="95">
        <f t="shared" si="0"/>
        <v>0</v>
      </c>
      <c r="R9" s="2">
        <f t="shared" ref="R9:R38" si="2">IF(Q9&gt;$R$7,1,0)</f>
        <v>0</v>
      </c>
      <c r="S9" s="294"/>
      <c r="T9" s="294"/>
      <c r="U9" s="295"/>
      <c r="W9" s="2" t="s">
        <v>92</v>
      </c>
      <c r="X9" s="156">
        <v>3</v>
      </c>
      <c r="AB9" s="177">
        <f>AB8+1</f>
        <v>2</v>
      </c>
      <c r="AC9" s="2">
        <f t="shared" ref="AC9:AC35" si="3">WEEKDAY(AB9)</f>
        <v>2</v>
      </c>
      <c r="AE9" s="2">
        <v>2</v>
      </c>
      <c r="AF9" s="2" t="s">
        <v>52</v>
      </c>
      <c r="AG9" s="220">
        <f t="shared" ref="AG9:AG38" si="4">IF(J9&lt;I9,$AJ$7+J9-I9,J9-I9)</f>
        <v>0</v>
      </c>
      <c r="AH9" s="220">
        <f ca="1">IF(HLOOKUP($F9,Jornada!$X$7:$AD$37,VLOOKUP(INDIRECT($C$5),Jornada!$C$8:$W$37,21,0),0)=0,0,VLOOKUP(INDIRECT($C$5),Jornada!$C$8:$H$37,4,0))</f>
        <v>0</v>
      </c>
      <c r="AI9" s="155">
        <f ca="1">IF(AND(I9=0,J9=0,OR(H9&lt;&gt;0,K9&lt;&gt;0),HLOOKUP($F9,Jornada!$X$7:$AD$37,VLOOKUP(INDIRECT($C$5),Jornada!$C$8:$W$37,21,0),0)&gt;$AK$5,M9&gt;$AK$5),VLOOKUP(INDIRECT($C$5),Jornada!$C$8:$H$37,6,0),IF(AG9&gt;VLOOKUP(INDIRECT($C$5),Jornada!$C$8:$H$37,6,0),IF(VLOOKUP(INDIRECT($C$5),Jornada!$C$8:$H$37,6,0)&lt;AG9,0,ABS(VLOOKUP(INDIRECT($C$5),Jornada!$C$8:$H$37,6,0))-AG9),0))</f>
        <v>0</v>
      </c>
      <c r="AJ9" s="155">
        <f t="shared" ref="AJ9:AJ38" si="5">($AJ$7-K9)+H9</f>
        <v>1</v>
      </c>
      <c r="AK9" s="155">
        <f t="shared" ref="AK9:AK38" si="6">IF(AJ9&lt;$AK$7,$AK$7-AJ9,$AI$7)</f>
        <v>0</v>
      </c>
      <c r="AL9" s="155">
        <f ca="1">HLOOKUP($F9,Jornada!$I$5:$V$37,VLOOKUP(INDIRECT($C$5),Jornada!$C$8:$W$37,21,0)+2,0)</f>
        <v>0</v>
      </c>
      <c r="AM9" s="155">
        <f ca="1">HLOOKUP($F9,Jornada!$I$4:$V$37,VLOOKUP(INDIRECT($C$5),Jornada!$C$8:$W$37,21,0)+3,0)</f>
        <v>0</v>
      </c>
      <c r="AN9" s="155">
        <f t="shared" ref="AN9:AN38" ca="1" si="7">IF(AND(AL9&gt;=$AL$5,AL9&lt;$AN$5,H9&gt;=$AL$5,H9&lt;AL9),AL9-H9,IF(AND(AL9&gt;$AI$7,AL9&lt;=$AM$5,H9&gt;=$AL$5,H9&lt;=$AN$5),$AN$5-H9+AL9,IF(AND(AL9&gt;=$AI$7,AL9&lt;=$AM$5,H9&gt;=$AI$7,H9&lt;=$AM$5,H9&lt;AL9),H9-AL9,0)))</f>
        <v>0</v>
      </c>
      <c r="AO9" s="155">
        <f t="shared" ref="AO9:AO38" si="8">IF(AP9&gt;Q9,0,AP9)</f>
        <v>0</v>
      </c>
      <c r="AP9" s="155">
        <f t="shared" ref="AP9:AP38" si="9">IF(Q9=0,0,IF(AND(AM9&gt;=$AL$5,AM9&lt;$AN$5,K9&gt;=$AL$5,K9&lt;$AM$5,K9&gt;AM9),K9-AM9,IF(AND(AM9&gt;=$AL$5,AM9&lt;$AN$5,K9&lt;$AN$5,K9&gt;AM9),K9-$AL$5,IF(AND(AM9&gt;=$AI$7,AM9&lt;$AM$5,K9&lt;$AM$5),K9-AM9,IF(AND(AM9&lt;&gt;AI8,AM9&gt;=$AI$7,AM9&lt;=$AM$5,K9&gt;$AM$5,K9&gt;AM9),$AM$5-AM9,IF(AND(K9&gt;$AL$5,K9&lt;$AN$5),K9-$AL$5,IF(AND(K9&gt;$AI$7,K9&lt;$AM$5),$AN$5-$AL$5+K9,IF(AND(OR(K9&gt;$AL$5,H9&gt;$AO$5),AM9&gt;=$AI$7,AM9&lt;$AM$5,K9&gt;$AM$5),(1+$AM$5-$AL$5)-AG9,0))))))))</f>
        <v>0</v>
      </c>
      <c r="BE9" s="14"/>
      <c r="BF9" s="14"/>
      <c r="BG9" s="14"/>
    </row>
    <row r="10" spans="1:59" s="2" customFormat="1" ht="30" customHeight="1" thickTop="1" thickBot="1" x14ac:dyDescent="0.25">
      <c r="A10" s="1"/>
      <c r="B10"/>
      <c r="C10" s="172" t="str">
        <f>IF(Funcionários!C9=0,"",Funcionários!C9)</f>
        <v/>
      </c>
      <c r="D10"/>
      <c r="E10" s="115">
        <f>Lanç!E10</f>
        <v>3</v>
      </c>
      <c r="F10" s="189" t="str">
        <f>Lanç!F10</f>
        <v>Ter</v>
      </c>
      <c r="G10" s="80"/>
      <c r="H10" s="94"/>
      <c r="I10" s="94"/>
      <c r="J10" s="94"/>
      <c r="K10" s="94"/>
      <c r="L10" s="197"/>
      <c r="M10" s="95">
        <f t="shared" si="1"/>
        <v>0</v>
      </c>
      <c r="N10" s="196"/>
      <c r="O10" s="95">
        <f ca="1">IF(OR(G10=0,G10="Férias",G10="Falta Justificada",G10="Feriado",G10="Folga (DSR)"),0,IF(G10="Falta Injustificada",HLOOKUP($F10,Jornada!$X$7:$AD$37,VLOOKUP(INDIRECT($C$5),Jornada!$C$8:$W$37,21,0),0),IF(HLOOKUP($F10,Jornada!$X$7:$AD$37,VLOOKUP(INDIRECT($C$5),Jornada!$C$8:$W$37,21,0),0)-M10&gt;0,HLOOKUP($F10,Jornada!$X$7:$AD$37,VLOOKUP(INDIRECT($C$5),Jornada!$C$8:$W$37,21,0),0)-M10,0)))</f>
        <v>0</v>
      </c>
      <c r="P10" s="193">
        <f ca="1">IF(HLOOKUP($F10,Jornada!$X$7:$AD$37,VLOOKUP(INDIRECT($C$5),Jornada!$C$8:$W$37,21,0),0)-M10&lt;0,ABS(HLOOKUP($F10,Jornada!$X$7:$AD$37,VLOOKUP(INDIRECT($C$5),Jornada!$C$8:$W$37,21,0),0)-M10),0)</f>
        <v>0</v>
      </c>
      <c r="Q10" s="95">
        <f t="shared" si="0"/>
        <v>0</v>
      </c>
      <c r="R10" s="2">
        <f t="shared" si="2"/>
        <v>0</v>
      </c>
      <c r="S10" s="294" t="s">
        <v>66</v>
      </c>
      <c r="T10" s="294"/>
      <c r="U10" s="295">
        <f ca="1">IF(M5="Horas devidas",ABS(-K5+F58-U14),ABS(K5+F58-U14))</f>
        <v>0</v>
      </c>
      <c r="W10" s="2" t="s">
        <v>93</v>
      </c>
      <c r="X10" s="156">
        <v>4</v>
      </c>
      <c r="AB10" s="177">
        <f t="shared" ref="AB10:AB34" si="10">AB9+1</f>
        <v>3</v>
      </c>
      <c r="AC10" s="2">
        <f t="shared" si="3"/>
        <v>3</v>
      </c>
      <c r="AE10" s="2">
        <v>3</v>
      </c>
      <c r="AF10" s="2" t="s">
        <v>53</v>
      </c>
      <c r="AG10" s="220">
        <f t="shared" si="4"/>
        <v>0</v>
      </c>
      <c r="AH10" s="220">
        <f ca="1">IF(HLOOKUP($F10,Jornada!$X$7:$AD$37,VLOOKUP(INDIRECT($C$5),Jornada!$C$8:$W$37,21,0),0)=0,0,VLOOKUP(INDIRECT($C$5),Jornada!$C$8:$H$37,4,0))</f>
        <v>0</v>
      </c>
      <c r="AI10" s="155">
        <f ca="1">IF(AND(I10=0,J10=0,OR(H10&lt;&gt;0,K10&lt;&gt;0),HLOOKUP($F10,Jornada!$X$7:$AD$37,VLOOKUP(INDIRECT($C$5),Jornada!$C$8:$W$37,21,0),0)&gt;$AK$5,M10&gt;$AK$5),VLOOKUP(INDIRECT($C$5),Jornada!$C$8:$H$37,6,0),IF(AG10&gt;VLOOKUP(INDIRECT($C$5),Jornada!$C$8:$H$37,6,0),IF(VLOOKUP(INDIRECT($C$5),Jornada!$C$8:$H$37,6,0)&lt;AG10,0,ABS(VLOOKUP(INDIRECT($C$5),Jornada!$C$8:$H$37,6,0))-AG10),0))</f>
        <v>0</v>
      </c>
      <c r="AJ10" s="155">
        <f t="shared" si="5"/>
        <v>1</v>
      </c>
      <c r="AK10" s="155">
        <f t="shared" si="6"/>
        <v>0</v>
      </c>
      <c r="AL10" s="155">
        <f ca="1">HLOOKUP($F10,Jornada!$I$5:$V$37,VLOOKUP(INDIRECT($C$5),Jornada!$C$8:$W$37,21,0)+2,0)</f>
        <v>0</v>
      </c>
      <c r="AM10" s="155">
        <f ca="1">HLOOKUP($F10,Jornada!$I$4:$V$37,VLOOKUP(INDIRECT($C$5),Jornada!$C$8:$W$37,21,0)+3,0)</f>
        <v>0</v>
      </c>
      <c r="AN10" s="155">
        <f t="shared" ca="1" si="7"/>
        <v>0</v>
      </c>
      <c r="AO10" s="155">
        <f t="shared" si="8"/>
        <v>0</v>
      </c>
      <c r="AP10" s="155">
        <f t="shared" si="9"/>
        <v>0</v>
      </c>
      <c r="BE10" s="14"/>
      <c r="BF10" s="14"/>
      <c r="BG10" s="14"/>
    </row>
    <row r="11" spans="1:59" s="2" customFormat="1" ht="30" customHeight="1" thickTop="1" thickBot="1" x14ac:dyDescent="0.25">
      <c r="A11" s="1"/>
      <c r="B11"/>
      <c r="C11" s="172" t="str">
        <f>IF(Funcionários!C10=0,"",Funcionários!C10)</f>
        <v/>
      </c>
      <c r="D11"/>
      <c r="E11" s="115">
        <f>Lanç!E11</f>
        <v>4</v>
      </c>
      <c r="F11" s="189" t="str">
        <f>Lanç!F11</f>
        <v>Qua</v>
      </c>
      <c r="G11" s="80"/>
      <c r="H11" s="94"/>
      <c r="I11" s="94"/>
      <c r="J11" s="94"/>
      <c r="K11" s="94"/>
      <c r="L11" s="197"/>
      <c r="M11" s="95">
        <f t="shared" si="1"/>
        <v>0</v>
      </c>
      <c r="N11" s="196"/>
      <c r="O11" s="95">
        <f ca="1">IF(OR(G11=0,G11="Férias",G11="Falta Justificada",G11="Feriado",G11="Folga (DSR)"),0,IF(G11="Falta Injustificada",HLOOKUP($F11,Jornada!$X$7:$AD$37,VLOOKUP(INDIRECT($C$5),Jornada!$C$8:$W$37,21,0),0),IF(HLOOKUP($F11,Jornada!$X$7:$AD$37,VLOOKUP(INDIRECT($C$5),Jornada!$C$8:$W$37,21,0),0)-M11&gt;0,HLOOKUP($F11,Jornada!$X$7:$AD$37,VLOOKUP(INDIRECT($C$5),Jornada!$C$8:$W$37,21,0),0)-M11,0)))</f>
        <v>0</v>
      </c>
      <c r="P11" s="193">
        <f ca="1">IF(HLOOKUP($F11,Jornada!$X$7:$AD$37,VLOOKUP(INDIRECT($C$5),Jornada!$C$8:$W$37,21,0),0)-M11&lt;0,ABS(HLOOKUP($F11,Jornada!$X$7:$AD$37,VLOOKUP(INDIRECT($C$5),Jornada!$C$8:$W$37,21,0),0)-M11),0)</f>
        <v>0</v>
      </c>
      <c r="Q11" s="95">
        <f t="shared" si="0"/>
        <v>0</v>
      </c>
      <c r="R11" s="2">
        <f t="shared" si="2"/>
        <v>0</v>
      </c>
      <c r="S11" s="294"/>
      <c r="T11" s="294"/>
      <c r="U11" s="295"/>
      <c r="V11" s="2">
        <f ca="1">IF(AND(K5&gt;U12,M5="Horas devidas"),"Negativo",IF(AND(U12&gt;K5,U14&gt;F58),"Negativo",0))</f>
        <v>0</v>
      </c>
      <c r="W11" s="2" t="s">
        <v>94</v>
      </c>
      <c r="X11" s="156">
        <v>5</v>
      </c>
      <c r="Z11" s="2" t="str">
        <f ca="1">IF(AND(M5="horas extras",Z13="positivo"),"positivo",IF(AND(M5="horas devidas",Z13="Negativo"),"Negativo",IF(AND(Z13="positivo",M5="horas devidas",U12&gt;K5),"Positivo","Negativo")))</f>
        <v>Negativo</v>
      </c>
      <c r="AB11" s="177">
        <f t="shared" si="10"/>
        <v>4</v>
      </c>
      <c r="AC11" s="2">
        <f t="shared" si="3"/>
        <v>4</v>
      </c>
      <c r="AE11" s="2">
        <v>4</v>
      </c>
      <c r="AF11" s="2" t="s">
        <v>54</v>
      </c>
      <c r="AG11" s="220">
        <f t="shared" si="4"/>
        <v>0</v>
      </c>
      <c r="AH11" s="220">
        <f ca="1">IF(HLOOKUP($F11,Jornada!$X$7:$AD$37,VLOOKUP(INDIRECT($C$5),Jornada!$C$8:$W$37,21,0),0)=0,0,VLOOKUP(INDIRECT($C$5),Jornada!$C$8:$H$37,4,0))</f>
        <v>0</v>
      </c>
      <c r="AI11" s="155">
        <f ca="1">IF(AND(I11=0,J11=0,OR(H11&lt;&gt;0,K11&lt;&gt;0),HLOOKUP($F11,Jornada!$X$7:$AD$37,VLOOKUP(INDIRECT($C$5),Jornada!$C$8:$W$37,21,0),0)&gt;$AK$5,M11&gt;$AK$5),VLOOKUP(INDIRECT($C$5),Jornada!$C$8:$H$37,6,0),IF(AG11&gt;VLOOKUP(INDIRECT($C$5),Jornada!$C$8:$H$37,6,0),IF(VLOOKUP(INDIRECT($C$5),Jornada!$C$8:$H$37,6,0)&lt;AG11,0,ABS(VLOOKUP(INDIRECT($C$5),Jornada!$C$8:$H$37,6,0))-AG11),0))</f>
        <v>0</v>
      </c>
      <c r="AJ11" s="155">
        <f t="shared" si="5"/>
        <v>1</v>
      </c>
      <c r="AK11" s="155">
        <f t="shared" si="6"/>
        <v>0</v>
      </c>
      <c r="AL11" s="155">
        <f ca="1">HLOOKUP($F11,Jornada!$I$5:$V$37,VLOOKUP(INDIRECT($C$5),Jornada!$C$8:$W$37,21,0)+2,0)</f>
        <v>0</v>
      </c>
      <c r="AM11" s="155">
        <f ca="1">HLOOKUP($F11,Jornada!$I$4:$V$37,VLOOKUP(INDIRECT($C$5),Jornada!$C$8:$W$37,21,0)+3,0)</f>
        <v>0</v>
      </c>
      <c r="AN11" s="155">
        <f t="shared" ca="1" si="7"/>
        <v>0</v>
      </c>
      <c r="AO11" s="155">
        <f t="shared" si="8"/>
        <v>0</v>
      </c>
      <c r="AP11" s="155">
        <f t="shared" si="9"/>
        <v>0</v>
      </c>
      <c r="BE11" s="14"/>
      <c r="BF11" s="14"/>
      <c r="BG11" s="14"/>
    </row>
    <row r="12" spans="1:59" s="2" customFormat="1" ht="30" customHeight="1" thickTop="1" thickBot="1" x14ac:dyDescent="0.25">
      <c r="A12" s="1"/>
      <c r="B12"/>
      <c r="C12" s="172" t="str">
        <f>IF(Funcionários!C11=0,"",Funcionários!C11)</f>
        <v/>
      </c>
      <c r="D12"/>
      <c r="E12" s="115">
        <f>Lanç!E12</f>
        <v>5</v>
      </c>
      <c r="F12" s="189" t="str">
        <f>Lanç!F12</f>
        <v>Qui</v>
      </c>
      <c r="G12" s="80"/>
      <c r="H12" s="94"/>
      <c r="I12" s="94"/>
      <c r="J12" s="94"/>
      <c r="K12" s="94"/>
      <c r="L12" s="197"/>
      <c r="M12" s="95">
        <f t="shared" si="1"/>
        <v>0</v>
      </c>
      <c r="N12" s="196"/>
      <c r="O12" s="95">
        <f ca="1">IF(OR(G12=0,G12="Férias",G12="Falta Justificada",G12="Feriado",G12="Folga (DSR)"),0,IF(G12="Falta Injustificada",HLOOKUP($F12,Jornada!$X$7:$AD$37,VLOOKUP(INDIRECT($C$5),Jornada!$C$8:$W$37,21,0),0),IF(HLOOKUP($F12,Jornada!$X$7:$AD$37,VLOOKUP(INDIRECT($C$5),Jornada!$C$8:$W$37,21,0),0)-M12&gt;0,HLOOKUP($F12,Jornada!$X$7:$AD$37,VLOOKUP(INDIRECT($C$5),Jornada!$C$8:$W$37,21,0),0)-M12,0)))</f>
        <v>0</v>
      </c>
      <c r="P12" s="193">
        <f ca="1">IF(HLOOKUP($F12,Jornada!$X$7:$AD$37,VLOOKUP(INDIRECT($C$5),Jornada!$C$8:$W$37,21,0),0)-M12&lt;0,ABS(HLOOKUP($F12,Jornada!$X$7:$AD$37,VLOOKUP(INDIRECT($C$5),Jornada!$C$8:$W$37,21,0),0)-M12),0)</f>
        <v>0</v>
      </c>
      <c r="Q12" s="95">
        <f t="shared" si="0"/>
        <v>0</v>
      </c>
      <c r="R12" s="2">
        <f t="shared" si="2"/>
        <v>0</v>
      </c>
      <c r="S12" s="294" t="s">
        <v>175</v>
      </c>
      <c r="T12" s="294"/>
      <c r="U12" s="295">
        <f ca="1">IF(U14&gt;=F58,(U14)-F58,(F58-U14))</f>
        <v>0</v>
      </c>
      <c r="W12" s="2" t="s">
        <v>95</v>
      </c>
      <c r="X12" s="156">
        <v>6</v>
      </c>
      <c r="AB12" s="177">
        <f t="shared" si="10"/>
        <v>5</v>
      </c>
      <c r="AC12" s="2">
        <f t="shared" si="3"/>
        <v>5</v>
      </c>
      <c r="AE12" s="2">
        <v>5</v>
      </c>
      <c r="AF12" s="2" t="s">
        <v>55</v>
      </c>
      <c r="AG12" s="220">
        <f t="shared" si="4"/>
        <v>0</v>
      </c>
      <c r="AH12" s="220">
        <f ca="1">IF(HLOOKUP($F12,Jornada!$X$7:$AD$37,VLOOKUP(INDIRECT($C$5),Jornada!$C$8:$W$37,21,0),0)=0,0,VLOOKUP(INDIRECT($C$5),Jornada!$C$8:$H$37,4,0))</f>
        <v>0</v>
      </c>
      <c r="AI12" s="155">
        <f ca="1">IF(AND(I12=0,J12=0,OR(H12&lt;&gt;0,K12&lt;&gt;0),HLOOKUP($F12,Jornada!$X$7:$AD$37,VLOOKUP(INDIRECT($C$5),Jornada!$C$8:$W$37,21,0),0)&gt;$AK$5,M12&gt;$AK$5),VLOOKUP(INDIRECT($C$5),Jornada!$C$8:$H$37,6,0),IF(AG12&gt;VLOOKUP(INDIRECT($C$5),Jornada!$C$8:$H$37,6,0),IF(VLOOKUP(INDIRECT($C$5),Jornada!$C$8:$H$37,6,0)&lt;AG12,0,ABS(VLOOKUP(INDIRECT($C$5),Jornada!$C$8:$H$37,6,0))-AG12),0))</f>
        <v>0</v>
      </c>
      <c r="AJ12" s="155">
        <f t="shared" si="5"/>
        <v>1</v>
      </c>
      <c r="AK12" s="155">
        <f t="shared" si="6"/>
        <v>0</v>
      </c>
      <c r="AL12" s="155">
        <f ca="1">HLOOKUP($F12,Jornada!$I$5:$V$37,VLOOKUP(INDIRECT($C$5),Jornada!$C$8:$W$37,21,0)+2,0)</f>
        <v>0</v>
      </c>
      <c r="AM12" s="155">
        <f ca="1">HLOOKUP($F12,Jornada!$I$4:$V$37,VLOOKUP(INDIRECT($C$5),Jornada!$C$8:$W$37,21,0)+3,0)</f>
        <v>0</v>
      </c>
      <c r="AN12" s="155">
        <f t="shared" ca="1" si="7"/>
        <v>0</v>
      </c>
      <c r="AO12" s="155">
        <f t="shared" si="8"/>
        <v>0</v>
      </c>
      <c r="AP12" s="155">
        <f t="shared" si="9"/>
        <v>0</v>
      </c>
      <c r="BE12" s="14"/>
      <c r="BF12" s="14"/>
      <c r="BG12" s="14"/>
    </row>
    <row r="13" spans="1:59" s="2" customFormat="1" ht="30" customHeight="1" thickTop="1" thickBot="1" x14ac:dyDescent="0.25">
      <c r="A13" s="1"/>
      <c r="B13"/>
      <c r="C13" s="172" t="str">
        <f>IF(Funcionários!C12=0,"",Funcionários!C12)</f>
        <v/>
      </c>
      <c r="D13"/>
      <c r="E13" s="115">
        <f>Lanç!E13</f>
        <v>6</v>
      </c>
      <c r="F13" s="189" t="str">
        <f>Lanç!F13</f>
        <v>Sex</v>
      </c>
      <c r="G13" s="80"/>
      <c r="H13" s="94"/>
      <c r="I13" s="94"/>
      <c r="J13" s="94"/>
      <c r="K13" s="94"/>
      <c r="L13" s="197"/>
      <c r="M13" s="95">
        <f t="shared" si="1"/>
        <v>0</v>
      </c>
      <c r="N13" s="196"/>
      <c r="O13" s="95">
        <f ca="1">IF(OR(G13=0,G13="Férias",G13="Falta Justificada",G13="Feriado",G13="Folga (DSR)"),0,IF(G13="Falta Injustificada",HLOOKUP($F13,Jornada!$X$7:$AD$37,VLOOKUP(INDIRECT($C$5),Jornada!$C$8:$W$37,21,0),0),IF(HLOOKUP($F13,Jornada!$X$7:$AD$37,VLOOKUP(INDIRECT($C$5),Jornada!$C$8:$W$37,21,0),0)-M13&gt;0,HLOOKUP($F13,Jornada!$X$7:$AD$37,VLOOKUP(INDIRECT($C$5),Jornada!$C$8:$W$37,21,0),0)-M13,0)))</f>
        <v>0</v>
      </c>
      <c r="P13" s="193">
        <f ca="1">IF(HLOOKUP($F13,Jornada!$X$7:$AD$37,VLOOKUP(INDIRECT($C$5),Jornada!$C$8:$W$37,21,0),0)-M13&lt;0,ABS(HLOOKUP($F13,Jornada!$X$7:$AD$37,VLOOKUP(INDIRECT($C$5),Jornada!$C$8:$W$37,21,0),0)-M13),0)</f>
        <v>0</v>
      </c>
      <c r="Q13" s="95">
        <f t="shared" si="0"/>
        <v>0</v>
      </c>
      <c r="R13" s="2">
        <f t="shared" si="2"/>
        <v>0</v>
      </c>
      <c r="S13" s="294"/>
      <c r="T13" s="294"/>
      <c r="U13" s="295"/>
      <c r="W13" s="2" t="s">
        <v>96</v>
      </c>
      <c r="X13" s="156">
        <v>7</v>
      </c>
      <c r="Z13" s="2" t="str">
        <f ca="1">IF(U14&gt;F58,"Negativo","Positivo")</f>
        <v>Positivo</v>
      </c>
      <c r="AB13" s="177">
        <f t="shared" si="10"/>
        <v>6</v>
      </c>
      <c r="AC13" s="2">
        <f t="shared" si="3"/>
        <v>6</v>
      </c>
      <c r="AE13" s="2">
        <v>6</v>
      </c>
      <c r="AF13" s="2" t="s">
        <v>56</v>
      </c>
      <c r="AG13" s="220">
        <f t="shared" si="4"/>
        <v>0</v>
      </c>
      <c r="AH13" s="220">
        <f ca="1">IF(HLOOKUP($F13,Jornada!$X$7:$AD$37,VLOOKUP(INDIRECT($C$5),Jornada!$C$8:$W$37,21,0),0)=0,0,VLOOKUP(INDIRECT($C$5),Jornada!$C$8:$H$37,4,0))</f>
        <v>0</v>
      </c>
      <c r="AI13" s="155">
        <f ca="1">IF(AND(I13=0,J13=0,OR(H13&lt;&gt;0,K13&lt;&gt;0),HLOOKUP($F13,Jornada!$X$7:$AD$37,VLOOKUP(INDIRECT($C$5),Jornada!$C$8:$W$37,21,0),0)&gt;$AK$5,M13&gt;$AK$5),VLOOKUP(INDIRECT($C$5),Jornada!$C$8:$H$37,6,0),IF(AG13&gt;VLOOKUP(INDIRECT($C$5),Jornada!$C$8:$H$37,6,0),IF(VLOOKUP(INDIRECT($C$5),Jornada!$C$8:$H$37,6,0)&lt;AG13,0,ABS(VLOOKUP(INDIRECT($C$5),Jornada!$C$8:$H$37,6,0))-AG13),0))</f>
        <v>0</v>
      </c>
      <c r="AJ13" s="155">
        <f t="shared" si="5"/>
        <v>1</v>
      </c>
      <c r="AK13" s="155">
        <f t="shared" si="6"/>
        <v>0</v>
      </c>
      <c r="AL13" s="155">
        <f ca="1">HLOOKUP($F13,Jornada!$I$5:$V$37,VLOOKUP(INDIRECT($C$5),Jornada!$C$8:$W$37,21,0)+2,0)</f>
        <v>0</v>
      </c>
      <c r="AM13" s="155">
        <f ca="1">HLOOKUP($F13,Jornada!$I$4:$V$37,VLOOKUP(INDIRECT($C$5),Jornada!$C$8:$W$37,21,0)+3,0)</f>
        <v>0</v>
      </c>
      <c r="AN13" s="155">
        <f t="shared" ca="1" si="7"/>
        <v>0</v>
      </c>
      <c r="AO13" s="155">
        <f t="shared" si="8"/>
        <v>0</v>
      </c>
      <c r="AP13" s="155">
        <f t="shared" si="9"/>
        <v>0</v>
      </c>
      <c r="BE13" s="14"/>
      <c r="BF13" s="14"/>
      <c r="BG13" s="14"/>
    </row>
    <row r="14" spans="1:59" s="2" customFormat="1" ht="30" customHeight="1" thickTop="1" thickBot="1" x14ac:dyDescent="0.25">
      <c r="A14" s="1"/>
      <c r="B14"/>
      <c r="C14" s="172" t="str">
        <f>IF(Funcionários!C13=0,"",Funcionários!C13)</f>
        <v/>
      </c>
      <c r="D14"/>
      <c r="E14" s="115">
        <f>Lanç!E14</f>
        <v>7</v>
      </c>
      <c r="F14" s="189" t="str">
        <f>Lanç!F14</f>
        <v>Sáb</v>
      </c>
      <c r="G14" s="80"/>
      <c r="H14" s="94"/>
      <c r="I14" s="94"/>
      <c r="J14" s="94"/>
      <c r="K14" s="94"/>
      <c r="L14" s="197"/>
      <c r="M14" s="95">
        <f t="shared" si="1"/>
        <v>0</v>
      </c>
      <c r="N14" s="196"/>
      <c r="O14" s="95">
        <f ca="1">IF(OR(G14=0,G14="Férias",G14="Falta Justificada",G14="Feriado",G14="Folga (DSR)"),0,IF(G14="Falta Injustificada",HLOOKUP($F14,Jornada!$X$7:$AD$37,VLOOKUP(INDIRECT($C$5),Jornada!$C$8:$W$37,21,0),0),IF(HLOOKUP($F14,Jornada!$X$7:$AD$37,VLOOKUP(INDIRECT($C$5),Jornada!$C$8:$W$37,21,0),0)-M14&gt;0,HLOOKUP($F14,Jornada!$X$7:$AD$37,VLOOKUP(INDIRECT($C$5),Jornada!$C$8:$W$37,21,0),0)-M14,0)))</f>
        <v>0</v>
      </c>
      <c r="P14" s="193">
        <f ca="1">IF(HLOOKUP($F14,Jornada!$X$7:$AD$37,VLOOKUP(INDIRECT($C$5),Jornada!$C$8:$W$37,21,0),0)-M14&lt;0,ABS(HLOOKUP($F14,Jornada!$X$7:$AD$37,VLOOKUP(INDIRECT($C$5),Jornada!$C$8:$W$37,21,0),0)-M14),0)</f>
        <v>0</v>
      </c>
      <c r="Q14" s="95">
        <f t="shared" si="0"/>
        <v>0</v>
      </c>
      <c r="R14" s="2">
        <f t="shared" si="2"/>
        <v>0</v>
      </c>
      <c r="S14" s="294" t="s">
        <v>68</v>
      </c>
      <c r="T14" s="294"/>
      <c r="U14" s="295">
        <f ca="1">SUM(O8:O38)</f>
        <v>0</v>
      </c>
      <c r="W14" s="2" t="s">
        <v>97</v>
      </c>
      <c r="X14" s="156">
        <v>8</v>
      </c>
      <c r="AB14" s="177">
        <f t="shared" si="10"/>
        <v>7</v>
      </c>
      <c r="AC14" s="2">
        <f t="shared" si="3"/>
        <v>7</v>
      </c>
      <c r="AE14" s="2">
        <v>7</v>
      </c>
      <c r="AF14" s="2" t="s">
        <v>57</v>
      </c>
      <c r="AG14" s="220">
        <f t="shared" si="4"/>
        <v>0</v>
      </c>
      <c r="AH14" s="220">
        <f ca="1">IF(HLOOKUP($F14,Jornada!$X$7:$AD$37,VLOOKUP(INDIRECT($C$5),Jornada!$C$8:$W$37,21,0),0)=0,0,VLOOKUP(INDIRECT($C$5),Jornada!$C$8:$H$37,4,0))</f>
        <v>0</v>
      </c>
      <c r="AI14" s="155">
        <f ca="1">IF(AND(I14=0,J14=0,OR(H14&lt;&gt;0,K14&lt;&gt;0),HLOOKUP($F14,Jornada!$X$7:$AD$37,VLOOKUP(INDIRECT($C$5),Jornada!$C$8:$W$37,21,0),0)&gt;$AK$5,M14&gt;$AK$5),VLOOKUP(INDIRECT($C$5),Jornada!$C$8:$H$37,6,0),IF(AG14&gt;VLOOKUP(INDIRECT($C$5),Jornada!$C$8:$H$37,6,0),IF(VLOOKUP(INDIRECT($C$5),Jornada!$C$8:$H$37,6,0)&lt;AG14,0,ABS(VLOOKUP(INDIRECT($C$5),Jornada!$C$8:$H$37,6,0))-AG14),0))</f>
        <v>0</v>
      </c>
      <c r="AJ14" s="155">
        <f t="shared" si="5"/>
        <v>1</v>
      </c>
      <c r="AK14" s="155">
        <f t="shared" si="6"/>
        <v>0</v>
      </c>
      <c r="AL14" s="155">
        <f ca="1">HLOOKUP($F14,Jornada!$I$5:$V$37,VLOOKUP(INDIRECT($C$5),Jornada!$C$8:$W$37,21,0)+2,0)</f>
        <v>0</v>
      </c>
      <c r="AM14" s="155">
        <f ca="1">HLOOKUP($F14,Jornada!$I$4:$V$37,VLOOKUP(INDIRECT($C$5),Jornada!$C$8:$W$37,21,0)+3,0)</f>
        <v>0</v>
      </c>
      <c r="AN14" s="155">
        <f t="shared" ca="1" si="7"/>
        <v>0</v>
      </c>
      <c r="AO14" s="155">
        <f t="shared" si="8"/>
        <v>0</v>
      </c>
      <c r="AP14" s="155">
        <f t="shared" si="9"/>
        <v>0</v>
      </c>
      <c r="BE14" s="14"/>
      <c r="BF14" s="14"/>
      <c r="BG14" s="14"/>
    </row>
    <row r="15" spans="1:59" s="2" customFormat="1" ht="30" customHeight="1" thickTop="1" thickBot="1" x14ac:dyDescent="0.25">
      <c r="A15" s="1"/>
      <c r="B15"/>
      <c r="C15" s="172" t="str">
        <f>IF(Funcionários!C14=0,"",Funcionários!C14)</f>
        <v/>
      </c>
      <c r="D15"/>
      <c r="E15" s="115">
        <f>Lanç!E15</f>
        <v>8</v>
      </c>
      <c r="F15" s="189" t="str">
        <f>Lanç!F15</f>
        <v>Dom</v>
      </c>
      <c r="G15" s="80"/>
      <c r="H15" s="94"/>
      <c r="I15" s="94"/>
      <c r="J15" s="94"/>
      <c r="K15" s="94"/>
      <c r="L15" s="197"/>
      <c r="M15" s="95">
        <f t="shared" si="1"/>
        <v>0</v>
      </c>
      <c r="N15" s="196"/>
      <c r="O15" s="95">
        <f ca="1">IF(OR(G15=0,G15="Férias",G15="Falta Justificada",G15="Feriado",G15="Folga (DSR)"),0,IF(G15="Falta Injustificada",HLOOKUP($F15,Jornada!$X$7:$AD$37,VLOOKUP(INDIRECT($C$5),Jornada!$C$8:$W$37,21,0),0),IF(HLOOKUP($F15,Jornada!$X$7:$AD$37,VLOOKUP(INDIRECT($C$5),Jornada!$C$8:$W$37,21,0),0)-M15&gt;0,HLOOKUP($F15,Jornada!$X$7:$AD$37,VLOOKUP(INDIRECT($C$5),Jornada!$C$8:$W$37,21,0),0)-M15,0)))</f>
        <v>0</v>
      </c>
      <c r="P15" s="193">
        <f ca="1">IF(HLOOKUP($F15,Jornada!$X$7:$AD$37,VLOOKUP(INDIRECT($C$5),Jornada!$C$8:$W$37,21,0),0)-M15&lt;0,ABS(HLOOKUP($F15,Jornada!$X$7:$AD$37,VLOOKUP(INDIRECT($C$5),Jornada!$C$8:$W$37,21,0),0)-M15),0)</f>
        <v>0</v>
      </c>
      <c r="Q15" s="95">
        <f t="shared" si="0"/>
        <v>0</v>
      </c>
      <c r="R15" s="2">
        <f t="shared" si="2"/>
        <v>0</v>
      </c>
      <c r="S15" s="294"/>
      <c r="T15" s="294"/>
      <c r="U15" s="295"/>
      <c r="W15" s="2" t="s">
        <v>98</v>
      </c>
      <c r="X15" s="156">
        <v>9</v>
      </c>
      <c r="AB15" s="177">
        <f t="shared" si="10"/>
        <v>8</v>
      </c>
      <c r="AC15" s="2">
        <f t="shared" si="3"/>
        <v>1</v>
      </c>
      <c r="AG15" s="220">
        <f t="shared" si="4"/>
        <v>0</v>
      </c>
      <c r="AH15" s="220">
        <f ca="1">IF(HLOOKUP($F15,Jornada!$X$7:$AD$37,VLOOKUP(INDIRECT($C$5),Jornada!$C$8:$W$37,21,0),0)=0,0,VLOOKUP(INDIRECT($C$5),Jornada!$C$8:$H$37,4,0))</f>
        <v>0</v>
      </c>
      <c r="AI15" s="155">
        <f ca="1">IF(AND(I15=0,J15=0,OR(H15&lt;&gt;0,K15&lt;&gt;0),HLOOKUP($F15,Jornada!$X$7:$AD$37,VLOOKUP(INDIRECT($C$5),Jornada!$C$8:$W$37,21,0),0)&gt;$AK$5,M15&gt;$AK$5),VLOOKUP(INDIRECT($C$5),Jornada!$C$8:$H$37,6,0),IF(AG15&gt;VLOOKUP(INDIRECT($C$5),Jornada!$C$8:$H$37,6,0),IF(VLOOKUP(INDIRECT($C$5),Jornada!$C$8:$H$37,6,0)&lt;AG15,0,ABS(VLOOKUP(INDIRECT($C$5),Jornada!$C$8:$H$37,6,0))-AG15),0))</f>
        <v>0</v>
      </c>
      <c r="AJ15" s="155">
        <f t="shared" si="5"/>
        <v>1</v>
      </c>
      <c r="AK15" s="155">
        <f t="shared" si="6"/>
        <v>0</v>
      </c>
      <c r="AL15" s="155">
        <f ca="1">HLOOKUP($F15,Jornada!$I$5:$V$37,VLOOKUP(INDIRECT($C$5),Jornada!$C$8:$W$37,21,0)+2,0)</f>
        <v>0</v>
      </c>
      <c r="AM15" s="155">
        <f ca="1">HLOOKUP($F15,Jornada!$I$4:$V$37,VLOOKUP(INDIRECT($C$5),Jornada!$C$8:$W$37,21,0)+3,0)</f>
        <v>0</v>
      </c>
      <c r="AN15" s="155">
        <f t="shared" ca="1" si="7"/>
        <v>0</v>
      </c>
      <c r="AO15" s="155">
        <f t="shared" si="8"/>
        <v>0</v>
      </c>
      <c r="AP15" s="155">
        <f t="shared" si="9"/>
        <v>0</v>
      </c>
      <c r="BE15" s="14"/>
      <c r="BF15" s="14"/>
      <c r="BG15" s="14"/>
    </row>
    <row r="16" spans="1:59" s="2" customFormat="1" ht="30" customHeight="1" thickTop="1" thickBot="1" x14ac:dyDescent="0.25">
      <c r="A16" s="1"/>
      <c r="B16"/>
      <c r="C16" s="172" t="str">
        <f>IF(Funcionários!C15=0,"",Funcionários!C15)</f>
        <v/>
      </c>
      <c r="D16"/>
      <c r="E16" s="115">
        <f>Lanç!E16</f>
        <v>9</v>
      </c>
      <c r="F16" s="189" t="str">
        <f>Lanç!F16</f>
        <v>Seg</v>
      </c>
      <c r="G16" s="80"/>
      <c r="H16" s="94"/>
      <c r="I16" s="94"/>
      <c r="J16" s="94"/>
      <c r="K16" s="94"/>
      <c r="L16" s="197"/>
      <c r="M16" s="95">
        <f t="shared" si="1"/>
        <v>0</v>
      </c>
      <c r="N16" s="196"/>
      <c r="O16" s="95">
        <f ca="1">IF(OR(G16=0,G16="Férias",G16="Falta Justificada",G16="Feriado",G16="Folga (DSR)"),0,IF(G16="Falta Injustificada",HLOOKUP($F16,Jornada!$X$7:$AD$37,VLOOKUP(INDIRECT($C$5),Jornada!$C$8:$W$37,21,0),0),IF(HLOOKUP($F16,Jornada!$X$7:$AD$37,VLOOKUP(INDIRECT($C$5),Jornada!$C$8:$W$37,21,0),0)-M16&gt;0,HLOOKUP($F16,Jornada!$X$7:$AD$37,VLOOKUP(INDIRECT($C$5),Jornada!$C$8:$W$37,21,0),0)-M16,0)))</f>
        <v>0</v>
      </c>
      <c r="P16" s="193">
        <f ca="1">IF(HLOOKUP($F16,Jornada!$X$7:$AD$37,VLOOKUP(INDIRECT($C$5),Jornada!$C$8:$W$37,21,0),0)-M16&lt;0,ABS(HLOOKUP($F16,Jornada!$X$7:$AD$37,VLOOKUP(INDIRECT($C$5),Jornada!$C$8:$W$37,21,0),0)-M16),0)</f>
        <v>0</v>
      </c>
      <c r="Q16" s="95">
        <f t="shared" si="0"/>
        <v>0</v>
      </c>
      <c r="R16" s="2">
        <f t="shared" si="2"/>
        <v>0</v>
      </c>
      <c r="S16" s="294" t="s">
        <v>67</v>
      </c>
      <c r="T16" s="294"/>
      <c r="U16" s="295">
        <f>SUM(Q8:Q38)</f>
        <v>0</v>
      </c>
      <c r="W16" s="2" t="s">
        <v>99</v>
      </c>
      <c r="X16" s="156">
        <v>10</v>
      </c>
      <c r="AB16" s="177">
        <f t="shared" si="10"/>
        <v>9</v>
      </c>
      <c r="AC16" s="2">
        <f t="shared" si="3"/>
        <v>2</v>
      </c>
      <c r="AG16" s="220">
        <f t="shared" si="4"/>
        <v>0</v>
      </c>
      <c r="AH16" s="220">
        <f ca="1">IF(HLOOKUP($F16,Jornada!$X$7:$AD$37,VLOOKUP(INDIRECT($C$5),Jornada!$C$8:$W$37,21,0),0)=0,0,VLOOKUP(INDIRECT($C$5),Jornada!$C$8:$H$37,4,0))</f>
        <v>0</v>
      </c>
      <c r="AI16" s="155">
        <f ca="1">IF(AND(I16=0,J16=0,OR(H16&lt;&gt;0,K16&lt;&gt;0),HLOOKUP($F16,Jornada!$X$7:$AD$37,VLOOKUP(INDIRECT($C$5),Jornada!$C$8:$W$37,21,0),0)&gt;$AK$5,M16&gt;$AK$5),VLOOKUP(INDIRECT($C$5),Jornada!$C$8:$H$37,6,0),IF(AG16&gt;VLOOKUP(INDIRECT($C$5),Jornada!$C$8:$H$37,6,0),IF(VLOOKUP(INDIRECT($C$5),Jornada!$C$8:$H$37,6,0)&lt;AG16,0,ABS(VLOOKUP(INDIRECT($C$5),Jornada!$C$8:$H$37,6,0))-AG16),0))</f>
        <v>0</v>
      </c>
      <c r="AJ16" s="155">
        <f t="shared" si="5"/>
        <v>1</v>
      </c>
      <c r="AK16" s="155">
        <f t="shared" si="6"/>
        <v>0</v>
      </c>
      <c r="AL16" s="155">
        <f ca="1">HLOOKUP($F16,Jornada!$I$5:$V$37,VLOOKUP(INDIRECT($C$5),Jornada!$C$8:$W$37,21,0)+2,0)</f>
        <v>0</v>
      </c>
      <c r="AM16" s="155">
        <f ca="1">HLOOKUP($F16,Jornada!$I$4:$V$37,VLOOKUP(INDIRECT($C$5),Jornada!$C$8:$W$37,21,0)+3,0)</f>
        <v>0</v>
      </c>
      <c r="AN16" s="155">
        <f t="shared" ca="1" si="7"/>
        <v>0</v>
      </c>
      <c r="AO16" s="155">
        <f t="shared" si="8"/>
        <v>0</v>
      </c>
      <c r="AP16" s="155">
        <f t="shared" si="9"/>
        <v>0</v>
      </c>
      <c r="BE16" s="14"/>
      <c r="BF16" s="14"/>
      <c r="BG16" s="14"/>
    </row>
    <row r="17" spans="1:59" s="2" customFormat="1" ht="30" customHeight="1" thickTop="1" thickBot="1" x14ac:dyDescent="0.25">
      <c r="A17" s="1"/>
      <c r="B17"/>
      <c r="C17" s="172" t="str">
        <f>IF(Funcionários!C16=0,"",Funcionários!C16)</f>
        <v/>
      </c>
      <c r="D17"/>
      <c r="E17" s="115">
        <f>Lanç!E17</f>
        <v>10</v>
      </c>
      <c r="F17" s="189" t="str">
        <f>Lanç!F17</f>
        <v>Ter</v>
      </c>
      <c r="G17" s="80"/>
      <c r="H17" s="94"/>
      <c r="I17" s="94"/>
      <c r="J17" s="94"/>
      <c r="K17" s="94"/>
      <c r="L17" s="197"/>
      <c r="M17" s="95">
        <f t="shared" si="1"/>
        <v>0</v>
      </c>
      <c r="N17" s="196"/>
      <c r="O17" s="95">
        <f ca="1">IF(OR(G17=0,G17="Férias",G17="Falta Justificada",G17="Feriado",G17="Folga (DSR)"),0,IF(G17="Falta Injustificada",HLOOKUP($F17,Jornada!$X$7:$AD$37,VLOOKUP(INDIRECT($C$5),Jornada!$C$8:$W$37,21,0),0),IF(HLOOKUP($F17,Jornada!$X$7:$AD$37,VLOOKUP(INDIRECT($C$5),Jornada!$C$8:$W$37,21,0),0)-M17&gt;0,HLOOKUP($F17,Jornada!$X$7:$AD$37,VLOOKUP(INDIRECT($C$5),Jornada!$C$8:$W$37,21,0),0)-M17,0)))</f>
        <v>0</v>
      </c>
      <c r="P17" s="193">
        <f ca="1">IF(HLOOKUP($F17,Jornada!$X$7:$AD$37,VLOOKUP(INDIRECT($C$5),Jornada!$C$8:$W$37,21,0),0)-M17&lt;0,ABS(HLOOKUP($F17,Jornada!$X$7:$AD$37,VLOOKUP(INDIRECT($C$5),Jornada!$C$8:$W$37,21,0),0)-M17),0)</f>
        <v>0</v>
      </c>
      <c r="Q17" s="95">
        <f t="shared" si="0"/>
        <v>0</v>
      </c>
      <c r="R17" s="2">
        <f t="shared" si="2"/>
        <v>0</v>
      </c>
      <c r="S17" s="294"/>
      <c r="T17" s="294"/>
      <c r="U17" s="295"/>
      <c r="W17" s="2" t="s">
        <v>100</v>
      </c>
      <c r="X17" s="156">
        <v>11</v>
      </c>
      <c r="AB17" s="177">
        <f t="shared" si="10"/>
        <v>10</v>
      </c>
      <c r="AC17" s="2">
        <f t="shared" si="3"/>
        <v>3</v>
      </c>
      <c r="AG17" s="220">
        <f t="shared" si="4"/>
        <v>0</v>
      </c>
      <c r="AH17" s="220">
        <f ca="1">IF(HLOOKUP($F17,Jornada!$X$7:$AD$37,VLOOKUP(INDIRECT($C$5),Jornada!$C$8:$W$37,21,0),0)=0,0,VLOOKUP(INDIRECT($C$5),Jornada!$C$8:$H$37,4,0))</f>
        <v>0</v>
      </c>
      <c r="AI17" s="155">
        <f ca="1">IF(AND(I17=0,J17=0,OR(H17&lt;&gt;0,K17&lt;&gt;0),HLOOKUP($F17,Jornada!$X$7:$AD$37,VLOOKUP(INDIRECT($C$5),Jornada!$C$8:$W$37,21,0),0)&gt;$AK$5,M17&gt;$AK$5),VLOOKUP(INDIRECT($C$5),Jornada!$C$8:$H$37,6,0),IF(AG17&gt;VLOOKUP(INDIRECT($C$5),Jornada!$C$8:$H$37,6,0),IF(VLOOKUP(INDIRECT($C$5),Jornada!$C$8:$H$37,6,0)&lt;AG17,0,ABS(VLOOKUP(INDIRECT($C$5),Jornada!$C$8:$H$37,6,0))-AG17),0))</f>
        <v>0</v>
      </c>
      <c r="AJ17" s="155">
        <f t="shared" si="5"/>
        <v>1</v>
      </c>
      <c r="AK17" s="155">
        <f t="shared" si="6"/>
        <v>0</v>
      </c>
      <c r="AL17" s="155">
        <f ca="1">HLOOKUP($F17,Jornada!$I$5:$V$37,VLOOKUP(INDIRECT($C$5),Jornada!$C$8:$W$37,21,0)+2,0)</f>
        <v>0</v>
      </c>
      <c r="AM17" s="155">
        <f ca="1">HLOOKUP($F17,Jornada!$I$4:$V$37,VLOOKUP(INDIRECT($C$5),Jornada!$C$8:$W$37,21,0)+3,0)</f>
        <v>0</v>
      </c>
      <c r="AN17" s="155">
        <f t="shared" ca="1" si="7"/>
        <v>0</v>
      </c>
      <c r="AO17" s="155">
        <f t="shared" si="8"/>
        <v>0</v>
      </c>
      <c r="AP17" s="155">
        <f t="shared" si="9"/>
        <v>0</v>
      </c>
      <c r="BE17" s="14"/>
      <c r="BF17" s="14"/>
      <c r="BG17" s="14"/>
    </row>
    <row r="18" spans="1:59" s="2" customFormat="1" ht="30" customHeight="1" thickTop="1" thickBot="1" x14ac:dyDescent="0.25">
      <c r="A18" s="1"/>
      <c r="B18"/>
      <c r="C18" s="171" t="str">
        <f>IF(Funcionários!C17=0,"",Funcionários!C17)</f>
        <v/>
      </c>
      <c r="D18"/>
      <c r="E18" s="115">
        <f>Lanç!E18</f>
        <v>11</v>
      </c>
      <c r="F18" s="189" t="str">
        <f>Lanç!F18</f>
        <v>Qua</v>
      </c>
      <c r="G18" s="80"/>
      <c r="H18" s="94"/>
      <c r="I18" s="94"/>
      <c r="J18" s="94"/>
      <c r="K18" s="94"/>
      <c r="L18" s="197"/>
      <c r="M18" s="95">
        <f t="shared" si="1"/>
        <v>0</v>
      </c>
      <c r="N18" s="196"/>
      <c r="O18" s="95">
        <f ca="1">IF(OR(G18=0,G18="Férias",G18="Falta Justificada",G18="Feriado",G18="Folga (DSR)"),0,IF(G18="Falta Injustificada",HLOOKUP($F18,Jornada!$X$7:$AD$37,VLOOKUP(INDIRECT($C$5),Jornada!$C$8:$W$37,21,0),0),IF(HLOOKUP($F18,Jornada!$X$7:$AD$37,VLOOKUP(INDIRECT($C$5),Jornada!$C$8:$W$37,21,0),0)-M18&gt;0,HLOOKUP($F18,Jornada!$X$7:$AD$37,VLOOKUP(INDIRECT($C$5),Jornada!$C$8:$W$37,21,0),0)-M18,0)))</f>
        <v>0</v>
      </c>
      <c r="P18" s="193">
        <f ca="1">IF(HLOOKUP($F18,Jornada!$X$7:$AD$37,VLOOKUP(INDIRECT($C$5),Jornada!$C$8:$W$37,21,0),0)-M18&lt;0,ABS(HLOOKUP($F18,Jornada!$X$7:$AD$37,VLOOKUP(INDIRECT($C$5),Jornada!$C$8:$W$37,21,0),0)-M18),0)</f>
        <v>0</v>
      </c>
      <c r="Q18" s="95">
        <f t="shared" si="0"/>
        <v>0</v>
      </c>
      <c r="R18" s="2">
        <f t="shared" si="2"/>
        <v>0</v>
      </c>
      <c r="S18" s="294" t="s">
        <v>69</v>
      </c>
      <c r="T18" s="294"/>
      <c r="U18" s="299">
        <f ca="1">F54</f>
        <v>0</v>
      </c>
      <c r="W18" s="2" t="s">
        <v>101</v>
      </c>
      <c r="X18" s="156">
        <v>12</v>
      </c>
      <c r="AB18" s="177">
        <f t="shared" si="10"/>
        <v>11</v>
      </c>
      <c r="AC18" s="2">
        <f t="shared" si="3"/>
        <v>4</v>
      </c>
      <c r="AG18" s="220">
        <f t="shared" si="4"/>
        <v>0</v>
      </c>
      <c r="AH18" s="220">
        <f ca="1">IF(HLOOKUP($F18,Jornada!$X$7:$AD$37,VLOOKUP(INDIRECT($C$5),Jornada!$C$8:$W$37,21,0),0)=0,0,VLOOKUP(INDIRECT($C$5),Jornada!$C$8:$H$37,4,0))</f>
        <v>0</v>
      </c>
      <c r="AI18" s="155">
        <f ca="1">IF(AND(I18=0,J18=0,OR(H18&lt;&gt;0,K18&lt;&gt;0),HLOOKUP($F18,Jornada!$X$7:$AD$37,VLOOKUP(INDIRECT($C$5),Jornada!$C$8:$W$37,21,0),0)&gt;$AK$5,M18&gt;$AK$5),VLOOKUP(INDIRECT($C$5),Jornada!$C$8:$H$37,6,0),IF(AG18&gt;VLOOKUP(INDIRECT($C$5),Jornada!$C$8:$H$37,6,0),IF(VLOOKUP(INDIRECT($C$5),Jornada!$C$8:$H$37,6,0)&lt;AG18,0,ABS(VLOOKUP(INDIRECT($C$5),Jornada!$C$8:$H$37,6,0))-AG18),0))</f>
        <v>0</v>
      </c>
      <c r="AJ18" s="155">
        <f t="shared" si="5"/>
        <v>1</v>
      </c>
      <c r="AK18" s="155">
        <f t="shared" si="6"/>
        <v>0</v>
      </c>
      <c r="AL18" s="155">
        <f ca="1">HLOOKUP($F18,Jornada!$I$5:$V$37,VLOOKUP(INDIRECT($C$5),Jornada!$C$8:$W$37,21,0)+2,0)</f>
        <v>0</v>
      </c>
      <c r="AM18" s="155">
        <f ca="1">HLOOKUP($F18,Jornada!$I$4:$V$37,VLOOKUP(INDIRECT($C$5),Jornada!$C$8:$W$37,21,0)+3,0)</f>
        <v>0</v>
      </c>
      <c r="AN18" s="155">
        <f t="shared" ca="1" si="7"/>
        <v>0</v>
      </c>
      <c r="AO18" s="155">
        <f t="shared" si="8"/>
        <v>0</v>
      </c>
      <c r="AP18" s="155">
        <f t="shared" si="9"/>
        <v>0</v>
      </c>
      <c r="BE18" s="14"/>
      <c r="BF18" s="14"/>
      <c r="BG18" s="14"/>
    </row>
    <row r="19" spans="1:59" s="2" customFormat="1" ht="30" customHeight="1" thickTop="1" thickBot="1" x14ac:dyDescent="0.25">
      <c r="A19" s="1"/>
      <c r="B19"/>
      <c r="C19" s="172" t="str">
        <f>IF(Funcionários!C18=0,"",Funcionários!C18)</f>
        <v/>
      </c>
      <c r="D19"/>
      <c r="E19" s="115">
        <f>Lanç!E19</f>
        <v>12</v>
      </c>
      <c r="F19" s="189" t="str">
        <f>Lanç!F19</f>
        <v>Qui</v>
      </c>
      <c r="G19" s="80"/>
      <c r="H19" s="94"/>
      <c r="I19" s="94"/>
      <c r="J19" s="94"/>
      <c r="K19" s="94"/>
      <c r="L19" s="197"/>
      <c r="M19" s="95">
        <f t="shared" si="1"/>
        <v>0</v>
      </c>
      <c r="N19" s="196"/>
      <c r="O19" s="95">
        <f ca="1">IF(OR(G19=0,G19="Férias",G19="Falta Justificada",G19="Feriado",G19="Folga (DSR)"),0,IF(G19="Falta Injustificada",HLOOKUP($F19,Jornada!$X$7:$AD$37,VLOOKUP(INDIRECT($C$5),Jornada!$C$8:$W$37,21,0),0),IF(HLOOKUP($F19,Jornada!$X$7:$AD$37,VLOOKUP(INDIRECT($C$5),Jornada!$C$8:$W$37,21,0),0)-M19&gt;0,HLOOKUP($F19,Jornada!$X$7:$AD$37,VLOOKUP(INDIRECT($C$5),Jornada!$C$8:$W$37,21,0),0)-M19,0)))</f>
        <v>0</v>
      </c>
      <c r="P19" s="193">
        <f ca="1">IF(HLOOKUP($F19,Jornada!$X$7:$AD$37,VLOOKUP(INDIRECT($C$5),Jornada!$C$8:$W$37,21,0),0)-M19&lt;0,ABS(HLOOKUP($F19,Jornada!$X$7:$AD$37,VLOOKUP(INDIRECT($C$5),Jornada!$C$8:$W$37,21,0),0)-M19),0)</f>
        <v>0</v>
      </c>
      <c r="Q19" s="95">
        <f t="shared" si="0"/>
        <v>0</v>
      </c>
      <c r="R19" s="2">
        <f t="shared" si="2"/>
        <v>0</v>
      </c>
      <c r="S19" s="294"/>
      <c r="T19" s="294"/>
      <c r="U19" s="299"/>
      <c r="X19" s="177"/>
      <c r="AB19" s="177">
        <f t="shared" si="10"/>
        <v>12</v>
      </c>
      <c r="AC19" s="2">
        <f t="shared" si="3"/>
        <v>5</v>
      </c>
      <c r="AG19" s="220">
        <f t="shared" si="4"/>
        <v>0</v>
      </c>
      <c r="AH19" s="220">
        <f ca="1">IF(HLOOKUP($F19,Jornada!$X$7:$AD$37,VLOOKUP(INDIRECT($C$5),Jornada!$C$8:$W$37,21,0),0)=0,0,VLOOKUP(INDIRECT($C$5),Jornada!$C$8:$H$37,4,0))</f>
        <v>0</v>
      </c>
      <c r="AI19" s="155">
        <f ca="1">IF(AND(I19=0,J19=0,OR(H19&lt;&gt;0,K19&lt;&gt;0),HLOOKUP($F19,Jornada!$X$7:$AD$37,VLOOKUP(INDIRECT($C$5),Jornada!$C$8:$W$37,21,0),0)&gt;$AK$5,M19&gt;$AK$5),VLOOKUP(INDIRECT($C$5),Jornada!$C$8:$H$37,6,0),IF(AG19&gt;VLOOKUP(INDIRECT($C$5),Jornada!$C$8:$H$37,6,0),IF(VLOOKUP(INDIRECT($C$5),Jornada!$C$8:$H$37,6,0)&lt;AG19,0,ABS(VLOOKUP(INDIRECT($C$5),Jornada!$C$8:$H$37,6,0))-AG19),0))</f>
        <v>0</v>
      </c>
      <c r="AJ19" s="155">
        <f t="shared" si="5"/>
        <v>1</v>
      </c>
      <c r="AK19" s="155">
        <f t="shared" si="6"/>
        <v>0</v>
      </c>
      <c r="AL19" s="155">
        <f ca="1">HLOOKUP($F19,Jornada!$I$5:$V$37,VLOOKUP(INDIRECT($C$5),Jornada!$C$8:$W$37,21,0)+2,0)</f>
        <v>0</v>
      </c>
      <c r="AM19" s="155">
        <f ca="1">HLOOKUP($F19,Jornada!$I$4:$V$37,VLOOKUP(INDIRECT($C$5),Jornada!$C$8:$W$37,21,0)+3,0)</f>
        <v>0</v>
      </c>
      <c r="AN19" s="155">
        <f t="shared" ca="1" si="7"/>
        <v>0</v>
      </c>
      <c r="AO19" s="155">
        <f t="shared" si="8"/>
        <v>0</v>
      </c>
      <c r="AP19" s="155">
        <f t="shared" si="9"/>
        <v>0</v>
      </c>
      <c r="BE19" s="14"/>
      <c r="BF19" s="14"/>
      <c r="BG19" s="14"/>
    </row>
    <row r="20" spans="1:59" s="2" customFormat="1" ht="30" customHeight="1" thickTop="1" thickBot="1" x14ac:dyDescent="0.25">
      <c r="A20" s="1"/>
      <c r="B20"/>
      <c r="C20" s="172" t="str">
        <f>IF(Funcionários!C19=0,"",Funcionários!C19)</f>
        <v/>
      </c>
      <c r="D20"/>
      <c r="E20" s="115">
        <f>Lanç!E20</f>
        <v>13</v>
      </c>
      <c r="F20" s="189" t="str">
        <f>Lanç!F20</f>
        <v>Sex</v>
      </c>
      <c r="G20" s="80"/>
      <c r="H20" s="94"/>
      <c r="I20" s="94"/>
      <c r="J20" s="94"/>
      <c r="K20" s="94"/>
      <c r="L20" s="197"/>
      <c r="M20" s="95">
        <f t="shared" si="1"/>
        <v>0</v>
      </c>
      <c r="N20" s="196"/>
      <c r="O20" s="95">
        <f ca="1">IF(OR(G20=0,G20="Férias",G20="Falta Justificada",G20="Feriado",G20="Folga (DSR)"),0,IF(G20="Falta Injustificada",HLOOKUP($F20,Jornada!$X$7:$AD$37,VLOOKUP(INDIRECT($C$5),Jornada!$C$8:$W$37,21,0),0),IF(HLOOKUP($F20,Jornada!$X$7:$AD$37,VLOOKUP(INDIRECT($C$5),Jornada!$C$8:$W$37,21,0),0)-M20&gt;0,HLOOKUP($F20,Jornada!$X$7:$AD$37,VLOOKUP(INDIRECT($C$5),Jornada!$C$8:$W$37,21,0),0)-M20,0)))</f>
        <v>0</v>
      </c>
      <c r="P20" s="193">
        <f ca="1">IF(HLOOKUP($F20,Jornada!$X$7:$AD$37,VLOOKUP(INDIRECT($C$5),Jornada!$C$8:$W$37,21,0),0)-M20&lt;0,ABS(HLOOKUP($F20,Jornada!$X$7:$AD$37,VLOOKUP(INDIRECT($C$5),Jornada!$C$8:$W$37,21,0),0)-M20),0)</f>
        <v>0</v>
      </c>
      <c r="Q20" s="95">
        <f t="shared" si="0"/>
        <v>0</v>
      </c>
      <c r="R20" s="2">
        <f t="shared" si="2"/>
        <v>0</v>
      </c>
      <c r="S20"/>
      <c r="T20"/>
      <c r="U20"/>
      <c r="X20" s="177"/>
      <c r="AB20" s="177">
        <f t="shared" si="10"/>
        <v>13</v>
      </c>
      <c r="AC20" s="2">
        <f t="shared" si="3"/>
        <v>6</v>
      </c>
      <c r="AG20" s="220">
        <f t="shared" si="4"/>
        <v>0</v>
      </c>
      <c r="AH20" s="220">
        <f ca="1">IF(HLOOKUP($F20,Jornada!$X$7:$AD$37,VLOOKUP(INDIRECT($C$5),Jornada!$C$8:$W$37,21,0),0)=0,0,VLOOKUP(INDIRECT($C$5),Jornada!$C$8:$H$37,4,0))</f>
        <v>0</v>
      </c>
      <c r="AI20" s="155">
        <f ca="1">IF(AND(I20=0,J20=0,OR(H20&lt;&gt;0,K20&lt;&gt;0),HLOOKUP($F20,Jornada!$X$7:$AD$37,VLOOKUP(INDIRECT($C$5),Jornada!$C$8:$W$37,21,0),0)&gt;$AK$5,M20&gt;$AK$5),VLOOKUP(INDIRECT($C$5),Jornada!$C$8:$H$37,6,0),IF(AG20&gt;VLOOKUP(INDIRECT($C$5),Jornada!$C$8:$H$37,6,0),IF(VLOOKUP(INDIRECT($C$5),Jornada!$C$8:$H$37,6,0)&lt;AG20,0,ABS(VLOOKUP(INDIRECT($C$5),Jornada!$C$8:$H$37,6,0))-AG20),0))</f>
        <v>0</v>
      </c>
      <c r="AJ20" s="155">
        <f t="shared" si="5"/>
        <v>1</v>
      </c>
      <c r="AK20" s="155">
        <f t="shared" si="6"/>
        <v>0</v>
      </c>
      <c r="AL20" s="155">
        <f ca="1">HLOOKUP($F20,Jornada!$I$5:$V$37,VLOOKUP(INDIRECT($C$5),Jornada!$C$8:$W$37,21,0)+2,0)</f>
        <v>0</v>
      </c>
      <c r="AM20" s="155">
        <f ca="1">HLOOKUP($F20,Jornada!$I$4:$V$37,VLOOKUP(INDIRECT($C$5),Jornada!$C$8:$W$37,21,0)+3,0)</f>
        <v>0</v>
      </c>
      <c r="AN20" s="155">
        <f t="shared" ca="1" si="7"/>
        <v>0</v>
      </c>
      <c r="AO20" s="155">
        <f t="shared" si="8"/>
        <v>0</v>
      </c>
      <c r="AP20" s="155">
        <f t="shared" si="9"/>
        <v>0</v>
      </c>
      <c r="BE20" s="14"/>
      <c r="BF20" s="14"/>
      <c r="BG20" s="14"/>
    </row>
    <row r="21" spans="1:59" s="2" customFormat="1" ht="30" customHeight="1" thickTop="1" thickBot="1" x14ac:dyDescent="0.25">
      <c r="A21" s="1"/>
      <c r="B21"/>
      <c r="C21" s="172" t="str">
        <f>IF(Funcionários!C20=0,"",Funcionários!C20)</f>
        <v/>
      </c>
      <c r="D21"/>
      <c r="E21" s="115">
        <f>Lanç!E21</f>
        <v>14</v>
      </c>
      <c r="F21" s="189" t="str">
        <f>Lanç!F21</f>
        <v>Sáb</v>
      </c>
      <c r="G21" s="80"/>
      <c r="H21" s="94"/>
      <c r="I21" s="94"/>
      <c r="J21" s="94"/>
      <c r="K21" s="94"/>
      <c r="L21" s="197"/>
      <c r="M21" s="95">
        <f t="shared" si="1"/>
        <v>0</v>
      </c>
      <c r="N21" s="196"/>
      <c r="O21" s="95">
        <f ca="1">IF(OR(G21=0,G21="Férias",G21="Falta Justificada",G21="Feriado",G21="Folga (DSR)"),0,IF(G21="Falta Injustificada",HLOOKUP($F21,Jornada!$X$7:$AD$37,VLOOKUP(INDIRECT($C$5),Jornada!$C$8:$W$37,21,0),0),IF(HLOOKUP($F21,Jornada!$X$7:$AD$37,VLOOKUP(INDIRECT($C$5),Jornada!$C$8:$W$37,21,0),0)-M21&gt;0,HLOOKUP($F21,Jornada!$X$7:$AD$37,VLOOKUP(INDIRECT($C$5),Jornada!$C$8:$W$37,21,0),0)-M21,0)))</f>
        <v>0</v>
      </c>
      <c r="P21" s="193">
        <f ca="1">IF(HLOOKUP($F21,Jornada!$X$7:$AD$37,VLOOKUP(INDIRECT($C$5),Jornada!$C$8:$W$37,21,0),0)-M21&lt;0,ABS(HLOOKUP($F21,Jornada!$X$7:$AD$37,VLOOKUP(INDIRECT($C$5),Jornada!$C$8:$W$37,21,0),0)-M21),0)</f>
        <v>0</v>
      </c>
      <c r="Q21" s="95">
        <f t="shared" si="0"/>
        <v>0</v>
      </c>
      <c r="R21" s="2">
        <f t="shared" si="2"/>
        <v>0</v>
      </c>
      <c r="S21"/>
      <c r="T21"/>
      <c r="U21"/>
      <c r="X21" s="177"/>
      <c r="AB21" s="177">
        <f t="shared" si="10"/>
        <v>14</v>
      </c>
      <c r="AC21" s="2">
        <f t="shared" si="3"/>
        <v>7</v>
      </c>
      <c r="AG21" s="220">
        <f t="shared" si="4"/>
        <v>0</v>
      </c>
      <c r="AH21" s="220">
        <f ca="1">IF(HLOOKUP($F21,Jornada!$X$7:$AD$37,VLOOKUP(INDIRECT($C$5),Jornada!$C$8:$W$37,21,0),0)=0,0,VLOOKUP(INDIRECT($C$5),Jornada!$C$8:$H$37,4,0))</f>
        <v>0</v>
      </c>
      <c r="AI21" s="155">
        <f ca="1">IF(AND(I21=0,J21=0,OR(H21&lt;&gt;0,K21&lt;&gt;0),HLOOKUP($F21,Jornada!$X$7:$AD$37,VLOOKUP(INDIRECT($C$5),Jornada!$C$8:$W$37,21,0),0)&gt;$AK$5,M21&gt;$AK$5),VLOOKUP(INDIRECT($C$5),Jornada!$C$8:$H$37,6,0),IF(AG21&gt;VLOOKUP(INDIRECT($C$5),Jornada!$C$8:$H$37,6,0),IF(VLOOKUP(INDIRECT($C$5),Jornada!$C$8:$H$37,6,0)&lt;AG21,0,ABS(VLOOKUP(INDIRECT($C$5),Jornada!$C$8:$H$37,6,0))-AG21),0))</f>
        <v>0</v>
      </c>
      <c r="AJ21" s="155">
        <f t="shared" si="5"/>
        <v>1</v>
      </c>
      <c r="AK21" s="155">
        <f t="shared" si="6"/>
        <v>0</v>
      </c>
      <c r="AL21" s="155">
        <f ca="1">HLOOKUP($F21,Jornada!$I$5:$V$37,VLOOKUP(INDIRECT($C$5),Jornada!$C$8:$W$37,21,0)+2,0)</f>
        <v>0</v>
      </c>
      <c r="AM21" s="155">
        <f ca="1">HLOOKUP($F21,Jornada!$I$4:$V$37,VLOOKUP(INDIRECT($C$5),Jornada!$C$8:$W$37,21,0)+3,0)</f>
        <v>0</v>
      </c>
      <c r="AN21" s="155">
        <f t="shared" ca="1" si="7"/>
        <v>0</v>
      </c>
      <c r="AO21" s="155">
        <f t="shared" si="8"/>
        <v>0</v>
      </c>
      <c r="AP21" s="155">
        <f t="shared" si="9"/>
        <v>0</v>
      </c>
      <c r="BE21" s="14"/>
      <c r="BF21" s="14"/>
      <c r="BG21" s="14"/>
    </row>
    <row r="22" spans="1:59" s="2" customFormat="1" ht="30" customHeight="1" thickTop="1" thickBot="1" x14ac:dyDescent="0.25">
      <c r="A22" s="1"/>
      <c r="B22"/>
      <c r="C22" s="172" t="str">
        <f>IF(Funcionários!C21=0,"",Funcionários!C21)</f>
        <v/>
      </c>
      <c r="D22"/>
      <c r="E22" s="115">
        <f>Lanç!E22</f>
        <v>15</v>
      </c>
      <c r="F22" s="189" t="str">
        <f>Lanç!F22</f>
        <v>Dom</v>
      </c>
      <c r="G22" s="80"/>
      <c r="H22" s="94"/>
      <c r="I22" s="94"/>
      <c r="J22" s="94"/>
      <c r="K22" s="94"/>
      <c r="L22" s="197"/>
      <c r="M22" s="95">
        <f t="shared" si="1"/>
        <v>0</v>
      </c>
      <c r="N22" s="196"/>
      <c r="O22" s="95">
        <f ca="1">IF(OR(G22=0,G22="Férias",G22="Falta Justificada",G22="Feriado",G22="Folga (DSR)"),0,IF(G22="Falta Injustificada",HLOOKUP($F22,Jornada!$X$7:$AD$37,VLOOKUP(INDIRECT($C$5),Jornada!$C$8:$W$37,21,0),0),IF(HLOOKUP($F22,Jornada!$X$7:$AD$37,VLOOKUP(INDIRECT($C$5),Jornada!$C$8:$W$37,21,0),0)-M22&gt;0,HLOOKUP($F22,Jornada!$X$7:$AD$37,VLOOKUP(INDIRECT($C$5),Jornada!$C$8:$W$37,21,0),0)-M22,0)))</f>
        <v>0</v>
      </c>
      <c r="P22" s="193">
        <f ca="1">IF(HLOOKUP($F22,Jornada!$X$7:$AD$37,VLOOKUP(INDIRECT($C$5),Jornada!$C$8:$W$37,21,0),0)-M22&lt;0,ABS(HLOOKUP($F22,Jornada!$X$7:$AD$37,VLOOKUP(INDIRECT($C$5),Jornada!$C$8:$W$37,21,0),0)-M22),0)</f>
        <v>0</v>
      </c>
      <c r="Q22" s="95">
        <f t="shared" si="0"/>
        <v>0</v>
      </c>
      <c r="R22" s="2">
        <f t="shared" si="2"/>
        <v>0</v>
      </c>
      <c r="S22" s="300" t="s">
        <v>63</v>
      </c>
      <c r="T22" s="301"/>
      <c r="U22" s="302"/>
      <c r="X22" s="177"/>
      <c r="AB22" s="177">
        <f t="shared" si="10"/>
        <v>15</v>
      </c>
      <c r="AC22" s="2">
        <f t="shared" si="3"/>
        <v>1</v>
      </c>
      <c r="AG22" s="220">
        <f t="shared" si="4"/>
        <v>0</v>
      </c>
      <c r="AH22" s="220">
        <f ca="1">IF(HLOOKUP($F22,Jornada!$X$7:$AD$37,VLOOKUP(INDIRECT($C$5),Jornada!$C$8:$W$37,21,0),0)=0,0,VLOOKUP(INDIRECT($C$5),Jornada!$C$8:$H$37,4,0))</f>
        <v>0</v>
      </c>
      <c r="AI22" s="155">
        <f ca="1">IF(AND(I22=0,J22=0,OR(H22&lt;&gt;0,K22&lt;&gt;0),HLOOKUP($F22,Jornada!$X$7:$AD$37,VLOOKUP(INDIRECT($C$5),Jornada!$C$8:$W$37,21,0),0)&gt;$AK$5,M22&gt;$AK$5),VLOOKUP(INDIRECT($C$5),Jornada!$C$8:$H$37,6,0),IF(AG22&gt;VLOOKUP(INDIRECT($C$5),Jornada!$C$8:$H$37,6,0),IF(VLOOKUP(INDIRECT($C$5),Jornada!$C$8:$H$37,6,0)&lt;AG22,0,ABS(VLOOKUP(INDIRECT($C$5),Jornada!$C$8:$H$37,6,0))-AG22),0))</f>
        <v>0</v>
      </c>
      <c r="AJ22" s="155">
        <f t="shared" si="5"/>
        <v>1</v>
      </c>
      <c r="AK22" s="155">
        <f t="shared" si="6"/>
        <v>0</v>
      </c>
      <c r="AL22" s="155">
        <f ca="1">HLOOKUP($F22,Jornada!$I$5:$V$37,VLOOKUP(INDIRECT($C$5),Jornada!$C$8:$W$37,21,0)+2,0)</f>
        <v>0</v>
      </c>
      <c r="AM22" s="155">
        <f ca="1">HLOOKUP($F22,Jornada!$I$4:$V$37,VLOOKUP(INDIRECT($C$5),Jornada!$C$8:$W$37,21,0)+3,0)</f>
        <v>0</v>
      </c>
      <c r="AN22" s="155">
        <f t="shared" ca="1" si="7"/>
        <v>0</v>
      </c>
      <c r="AO22" s="155">
        <f t="shared" si="8"/>
        <v>0</v>
      </c>
      <c r="AP22" s="155">
        <f t="shared" si="9"/>
        <v>0</v>
      </c>
      <c r="BE22" s="14"/>
      <c r="BF22" s="14"/>
      <c r="BG22" s="14"/>
    </row>
    <row r="23" spans="1:59" s="2" customFormat="1" ht="30" customHeight="1" thickTop="1" thickBot="1" x14ac:dyDescent="0.25">
      <c r="A23" s="1"/>
      <c r="B23"/>
      <c r="C23" s="172" t="str">
        <f>IF(Funcionários!C22=0,"",Funcionários!C22)</f>
        <v/>
      </c>
      <c r="D23"/>
      <c r="E23" s="115">
        <f>Lanç!E23</f>
        <v>16</v>
      </c>
      <c r="F23" s="189" t="str">
        <f>Lanç!F23</f>
        <v>Seg</v>
      </c>
      <c r="G23" s="80"/>
      <c r="H23" s="94"/>
      <c r="I23" s="94"/>
      <c r="J23" s="94"/>
      <c r="K23" s="94"/>
      <c r="L23" s="197"/>
      <c r="M23" s="95">
        <f t="shared" si="1"/>
        <v>0</v>
      </c>
      <c r="N23" s="196"/>
      <c r="O23" s="95">
        <f ca="1">IF(OR(G23=0,G23="Férias",G23="Falta Justificada",G23="Feriado",G23="Folga (DSR)"),0,IF(G23="Falta Injustificada",HLOOKUP($F23,Jornada!$X$7:$AD$37,VLOOKUP(INDIRECT($C$5),Jornada!$C$8:$W$37,21,0),0),IF(HLOOKUP($F23,Jornada!$X$7:$AD$37,VLOOKUP(INDIRECT($C$5),Jornada!$C$8:$W$37,21,0),0)-M23&gt;0,HLOOKUP($F23,Jornada!$X$7:$AD$37,VLOOKUP(INDIRECT($C$5),Jornada!$C$8:$W$37,21,0),0)-M23,0)))</f>
        <v>0</v>
      </c>
      <c r="P23" s="193">
        <f ca="1">IF(HLOOKUP($F23,Jornada!$X$7:$AD$37,VLOOKUP(INDIRECT($C$5),Jornada!$C$8:$W$37,21,0),0)-M23&lt;0,ABS(HLOOKUP($F23,Jornada!$X$7:$AD$37,VLOOKUP(INDIRECT($C$5),Jornada!$C$8:$W$37,21,0),0)-M23),0)</f>
        <v>0</v>
      </c>
      <c r="Q23" s="95">
        <f t="shared" si="0"/>
        <v>0</v>
      </c>
      <c r="R23" s="2">
        <f t="shared" si="2"/>
        <v>0</v>
      </c>
      <c r="S23" s="296" t="str">
        <f>IF(SUM(R8:R38)&gt;0,"Segundo o art 59 da CLT, o máximo de horas extras permitidas por dia são 2 horas.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T23" s="297"/>
      <c r="U23" s="298"/>
      <c r="X23" s="177"/>
      <c r="AB23" s="177">
        <f t="shared" si="10"/>
        <v>16</v>
      </c>
      <c r="AC23" s="2">
        <f t="shared" si="3"/>
        <v>2</v>
      </c>
      <c r="AG23" s="220">
        <f t="shared" si="4"/>
        <v>0</v>
      </c>
      <c r="AH23" s="220">
        <f ca="1">IF(HLOOKUP($F23,Jornada!$X$7:$AD$37,VLOOKUP(INDIRECT($C$5),Jornada!$C$8:$W$37,21,0),0)=0,0,VLOOKUP(INDIRECT($C$5),Jornada!$C$8:$H$37,4,0))</f>
        <v>0</v>
      </c>
      <c r="AI23" s="155">
        <f ca="1">IF(AND(I23=0,J23=0,OR(H23&lt;&gt;0,K23&lt;&gt;0),HLOOKUP($F23,Jornada!$X$7:$AD$37,VLOOKUP(INDIRECT($C$5),Jornada!$C$8:$W$37,21,0),0)&gt;$AK$5,M23&gt;$AK$5),VLOOKUP(INDIRECT($C$5),Jornada!$C$8:$H$37,6,0),IF(AG23&gt;VLOOKUP(INDIRECT($C$5),Jornada!$C$8:$H$37,6,0),IF(VLOOKUP(INDIRECT($C$5),Jornada!$C$8:$H$37,6,0)&lt;AG23,0,ABS(VLOOKUP(INDIRECT($C$5),Jornada!$C$8:$H$37,6,0))-AG23),0))</f>
        <v>0</v>
      </c>
      <c r="AJ23" s="155">
        <f t="shared" si="5"/>
        <v>1</v>
      </c>
      <c r="AK23" s="155">
        <f t="shared" si="6"/>
        <v>0</v>
      </c>
      <c r="AL23" s="155">
        <f ca="1">HLOOKUP($F23,Jornada!$I$5:$V$37,VLOOKUP(INDIRECT($C$5),Jornada!$C$8:$W$37,21,0)+2,0)</f>
        <v>0</v>
      </c>
      <c r="AM23" s="155">
        <f ca="1">HLOOKUP($F23,Jornada!$I$4:$V$37,VLOOKUP(INDIRECT($C$5),Jornada!$C$8:$W$37,21,0)+3,0)</f>
        <v>0</v>
      </c>
      <c r="AN23" s="155">
        <f t="shared" ca="1" si="7"/>
        <v>0</v>
      </c>
      <c r="AO23" s="155">
        <f t="shared" si="8"/>
        <v>0</v>
      </c>
      <c r="AP23" s="155">
        <f t="shared" si="9"/>
        <v>0</v>
      </c>
      <c r="BE23" s="14"/>
      <c r="BF23" s="14"/>
      <c r="BG23" s="14"/>
    </row>
    <row r="24" spans="1:59" s="2" customFormat="1" ht="30" customHeight="1" thickTop="1" thickBot="1" x14ac:dyDescent="0.25">
      <c r="A24" s="1"/>
      <c r="B24"/>
      <c r="C24" s="172" t="str">
        <f>IF(Funcionários!C23=0,"",Funcionários!C23)</f>
        <v/>
      </c>
      <c r="D24"/>
      <c r="E24" s="115">
        <f>Lanç!E24</f>
        <v>17</v>
      </c>
      <c r="F24" s="189" t="str">
        <f>Lanç!F24</f>
        <v>Ter</v>
      </c>
      <c r="G24" s="80"/>
      <c r="H24" s="94"/>
      <c r="I24" s="94"/>
      <c r="J24" s="94"/>
      <c r="K24" s="94"/>
      <c r="L24" s="197"/>
      <c r="M24" s="95">
        <f t="shared" si="1"/>
        <v>0</v>
      </c>
      <c r="N24" s="196"/>
      <c r="O24" s="95">
        <f ca="1">IF(OR(G24=0,G24="Férias",G24="Falta Justificada",G24="Feriado",G24="Folga (DSR)"),0,IF(G24="Falta Injustificada",HLOOKUP($F24,Jornada!$X$7:$AD$37,VLOOKUP(INDIRECT($C$5),Jornada!$C$8:$W$37,21,0),0),IF(HLOOKUP($F24,Jornada!$X$7:$AD$37,VLOOKUP(INDIRECT($C$5),Jornada!$C$8:$W$37,21,0),0)-M24&gt;0,HLOOKUP($F24,Jornada!$X$7:$AD$37,VLOOKUP(INDIRECT($C$5),Jornada!$C$8:$W$37,21,0),0)-M24,0)))</f>
        <v>0</v>
      </c>
      <c r="P24" s="193">
        <f ca="1">IF(HLOOKUP($F24,Jornada!$X$7:$AD$37,VLOOKUP(INDIRECT($C$5),Jornada!$C$8:$W$37,21,0),0)-M24&lt;0,ABS(HLOOKUP($F24,Jornada!$X$7:$AD$37,VLOOKUP(INDIRECT($C$5),Jornada!$C$8:$W$37,21,0),0)-M24),0)</f>
        <v>0</v>
      </c>
      <c r="Q24" s="95">
        <f t="shared" si="0"/>
        <v>0</v>
      </c>
      <c r="R24" s="2">
        <f t="shared" si="2"/>
        <v>0</v>
      </c>
      <c r="S24" s="296"/>
      <c r="T24" s="297"/>
      <c r="U24" s="298"/>
      <c r="X24" s="177"/>
      <c r="AB24" s="177">
        <f t="shared" si="10"/>
        <v>17</v>
      </c>
      <c r="AC24" s="2">
        <f t="shared" si="3"/>
        <v>3</v>
      </c>
      <c r="AG24" s="220">
        <f t="shared" si="4"/>
        <v>0</v>
      </c>
      <c r="AH24" s="220">
        <f ca="1">IF(HLOOKUP($F24,Jornada!$X$7:$AD$37,VLOOKUP(INDIRECT($C$5),Jornada!$C$8:$W$37,21,0),0)=0,0,VLOOKUP(INDIRECT($C$5),Jornada!$C$8:$H$37,4,0))</f>
        <v>0</v>
      </c>
      <c r="AI24" s="155">
        <f ca="1">IF(AND(I24=0,J24=0,OR(H24&lt;&gt;0,K24&lt;&gt;0),HLOOKUP($F24,Jornada!$X$7:$AD$37,VLOOKUP(INDIRECT($C$5),Jornada!$C$8:$W$37,21,0),0)&gt;$AK$5,M24&gt;$AK$5),VLOOKUP(INDIRECT($C$5),Jornada!$C$8:$H$37,6,0),IF(AG24&gt;VLOOKUP(INDIRECT($C$5),Jornada!$C$8:$H$37,6,0),IF(VLOOKUP(INDIRECT($C$5),Jornada!$C$8:$H$37,6,0)&lt;AG24,0,ABS(VLOOKUP(INDIRECT($C$5),Jornada!$C$8:$H$37,6,0))-AG24),0))</f>
        <v>0</v>
      </c>
      <c r="AJ24" s="155">
        <f t="shared" si="5"/>
        <v>1</v>
      </c>
      <c r="AK24" s="155">
        <f t="shared" si="6"/>
        <v>0</v>
      </c>
      <c r="AL24" s="155">
        <f ca="1">HLOOKUP($F24,Jornada!$I$5:$V$37,VLOOKUP(INDIRECT($C$5),Jornada!$C$8:$W$37,21,0)+2,0)</f>
        <v>0</v>
      </c>
      <c r="AM24" s="155">
        <f ca="1">HLOOKUP($F24,Jornada!$I$4:$V$37,VLOOKUP(INDIRECT($C$5),Jornada!$C$8:$W$37,21,0)+3,0)</f>
        <v>0</v>
      </c>
      <c r="AN24" s="155">
        <f t="shared" ca="1" si="7"/>
        <v>0</v>
      </c>
      <c r="AO24" s="155">
        <f t="shared" si="8"/>
        <v>0</v>
      </c>
      <c r="AP24" s="155">
        <f t="shared" si="9"/>
        <v>0</v>
      </c>
      <c r="BE24" s="14"/>
      <c r="BF24" s="14"/>
      <c r="BG24" s="14"/>
    </row>
    <row r="25" spans="1:59" s="2" customFormat="1" ht="30" customHeight="1" thickTop="1" thickBot="1" x14ac:dyDescent="0.25">
      <c r="A25" s="1"/>
      <c r="B25"/>
      <c r="C25" s="172" t="str">
        <f>IF(Funcionários!C24=0,"",Funcionários!C24)</f>
        <v/>
      </c>
      <c r="D25"/>
      <c r="E25" s="115">
        <f>Lanç!E25</f>
        <v>18</v>
      </c>
      <c r="F25" s="189" t="str">
        <f>Lanç!F25</f>
        <v>Qua</v>
      </c>
      <c r="G25" s="80"/>
      <c r="H25" s="94"/>
      <c r="I25" s="94"/>
      <c r="J25" s="94"/>
      <c r="K25" s="94"/>
      <c r="L25" s="197"/>
      <c r="M25" s="95">
        <f t="shared" si="1"/>
        <v>0</v>
      </c>
      <c r="N25" s="196"/>
      <c r="O25" s="95">
        <f ca="1">IF(OR(G25=0,G25="Férias",G25="Falta Justificada",G25="Feriado",G25="Folga (DSR)"),0,IF(G25="Falta Injustificada",HLOOKUP($F25,Jornada!$X$7:$AD$37,VLOOKUP(INDIRECT($C$5),Jornada!$C$8:$W$37,21,0),0),IF(HLOOKUP($F25,Jornada!$X$7:$AD$37,VLOOKUP(INDIRECT($C$5),Jornada!$C$8:$W$37,21,0),0)-M25&gt;0,HLOOKUP($F25,Jornada!$X$7:$AD$37,VLOOKUP(INDIRECT($C$5),Jornada!$C$8:$W$37,21,0),0)-M25,0)))</f>
        <v>0</v>
      </c>
      <c r="P25" s="193">
        <f ca="1">IF(HLOOKUP($F25,Jornada!$X$7:$AD$37,VLOOKUP(INDIRECT($C$5),Jornada!$C$8:$W$37,21,0),0)-M25&lt;0,ABS(HLOOKUP($F25,Jornada!$X$7:$AD$37,VLOOKUP(INDIRECT($C$5),Jornada!$C$8:$W$37,21,0),0)-M25),0)</f>
        <v>0</v>
      </c>
      <c r="Q25" s="95">
        <f t="shared" si="0"/>
        <v>0</v>
      </c>
      <c r="R25" s="2">
        <f t="shared" si="2"/>
        <v>0</v>
      </c>
      <c r="S25" s="296"/>
      <c r="T25" s="297"/>
      <c r="U25" s="298"/>
      <c r="X25" s="177"/>
      <c r="Z25" s="2">
        <f>IF(SUM(R8:R38)&gt;0,1,0)</f>
        <v>0</v>
      </c>
      <c r="AB25" s="177">
        <f t="shared" si="10"/>
        <v>18</v>
      </c>
      <c r="AC25" s="2">
        <f t="shared" si="3"/>
        <v>4</v>
      </c>
      <c r="AG25" s="220">
        <f t="shared" si="4"/>
        <v>0</v>
      </c>
      <c r="AH25" s="220">
        <f ca="1">IF(HLOOKUP($F25,Jornada!$X$7:$AD$37,VLOOKUP(INDIRECT($C$5),Jornada!$C$8:$W$37,21,0),0)=0,0,VLOOKUP(INDIRECT($C$5),Jornada!$C$8:$H$37,4,0))</f>
        <v>0</v>
      </c>
      <c r="AI25" s="155">
        <f ca="1">IF(AND(I25=0,J25=0,OR(H25&lt;&gt;0,K25&lt;&gt;0),HLOOKUP($F25,Jornada!$X$7:$AD$37,VLOOKUP(INDIRECT($C$5),Jornada!$C$8:$W$37,21,0),0)&gt;$AK$5,M25&gt;$AK$5),VLOOKUP(INDIRECT($C$5),Jornada!$C$8:$H$37,6,0),IF(AG25&gt;VLOOKUP(INDIRECT($C$5),Jornada!$C$8:$H$37,6,0),IF(VLOOKUP(INDIRECT($C$5),Jornada!$C$8:$H$37,6,0)&lt;AG25,0,ABS(VLOOKUP(INDIRECT($C$5),Jornada!$C$8:$H$37,6,0))-AG25),0))</f>
        <v>0</v>
      </c>
      <c r="AJ25" s="155">
        <f t="shared" si="5"/>
        <v>1</v>
      </c>
      <c r="AK25" s="155">
        <f t="shared" si="6"/>
        <v>0</v>
      </c>
      <c r="AL25" s="155">
        <f ca="1">HLOOKUP($F25,Jornada!$I$5:$V$37,VLOOKUP(INDIRECT($C$5),Jornada!$C$8:$W$37,21,0)+2,0)</f>
        <v>0</v>
      </c>
      <c r="AM25" s="155">
        <f ca="1">HLOOKUP($F25,Jornada!$I$4:$V$37,VLOOKUP(INDIRECT($C$5),Jornada!$C$8:$W$37,21,0)+3,0)</f>
        <v>0</v>
      </c>
      <c r="AN25" s="155">
        <f t="shared" ca="1" si="7"/>
        <v>0</v>
      </c>
      <c r="AO25" s="155">
        <f t="shared" si="8"/>
        <v>0</v>
      </c>
      <c r="AP25" s="155">
        <f t="shared" si="9"/>
        <v>0</v>
      </c>
      <c r="BE25" s="14"/>
      <c r="BF25" s="14"/>
      <c r="BG25" s="14"/>
    </row>
    <row r="26" spans="1:59" s="2" customFormat="1" ht="30" customHeight="1" thickTop="1" thickBot="1" x14ac:dyDescent="0.25">
      <c r="A26" s="1"/>
      <c r="B26"/>
      <c r="C26" s="172" t="str">
        <f>IF(Funcionários!C25=0,"",Funcionários!C25)</f>
        <v/>
      </c>
      <c r="D26"/>
      <c r="E26" s="115">
        <f>Lanç!E26</f>
        <v>19</v>
      </c>
      <c r="F26" s="189" t="str">
        <f>Lanç!F26</f>
        <v>Qui</v>
      </c>
      <c r="G26" s="80"/>
      <c r="H26" s="94"/>
      <c r="I26" s="94"/>
      <c r="J26" s="94"/>
      <c r="K26" s="94"/>
      <c r="L26" s="197"/>
      <c r="M26" s="95">
        <f t="shared" si="1"/>
        <v>0</v>
      </c>
      <c r="N26" s="196"/>
      <c r="O26" s="95">
        <f ca="1">IF(OR(G26=0,G26="Férias",G26="Falta Justificada",G26="Feriado",G26="Folga (DSR)"),0,IF(G26="Falta Injustificada",HLOOKUP($F26,Jornada!$X$7:$AD$37,VLOOKUP(INDIRECT($C$5),Jornada!$C$8:$W$37,21,0),0),IF(HLOOKUP($F26,Jornada!$X$7:$AD$37,VLOOKUP(INDIRECT($C$5),Jornada!$C$8:$W$37,21,0),0)-M26&gt;0,HLOOKUP($F26,Jornada!$X$7:$AD$37,VLOOKUP(INDIRECT($C$5),Jornada!$C$8:$W$37,21,0),0)-M26,0)))</f>
        <v>0</v>
      </c>
      <c r="P26" s="193">
        <f ca="1">IF(HLOOKUP($F26,Jornada!$X$7:$AD$37,VLOOKUP(INDIRECT($C$5),Jornada!$C$8:$W$37,21,0),0)-M26&lt;0,ABS(HLOOKUP($F26,Jornada!$X$7:$AD$37,VLOOKUP(INDIRECT($C$5),Jornada!$C$8:$W$37,21,0),0)-M26),0)</f>
        <v>0</v>
      </c>
      <c r="Q26" s="95">
        <f t="shared" si="0"/>
        <v>0</v>
      </c>
      <c r="R26" s="2">
        <f t="shared" si="2"/>
        <v>0</v>
      </c>
      <c r="S26" s="296" t="str">
        <f>IF(COUNTIF(G8:G38,"Folga (DSR)")&lt;DAY(E39)/8,"O mês não está contemplando um DSR (Descanso Semanal Remunerado) por semana. Isso pode configurar uma irregularidade segundo as leis trabalhistas.","Parabéns!! Sua folha de pagamento contempla uma DSR por semana conforme a lei trabalhista.")</f>
        <v>O mês não está contemplando um DSR (Descanso Semanal Remunerado) por semana. Isso pode configurar uma irregularidade segundo as leis trabalhistas.</v>
      </c>
      <c r="T26" s="297"/>
      <c r="U26" s="298"/>
      <c r="X26" s="177"/>
      <c r="AB26" s="177">
        <f t="shared" si="10"/>
        <v>19</v>
      </c>
      <c r="AC26" s="2">
        <f t="shared" si="3"/>
        <v>5</v>
      </c>
      <c r="AG26" s="220">
        <f t="shared" si="4"/>
        <v>0</v>
      </c>
      <c r="AH26" s="220">
        <f ca="1">IF(HLOOKUP($F26,Jornada!$X$7:$AD$37,VLOOKUP(INDIRECT($C$5),Jornada!$C$8:$W$37,21,0),0)=0,0,VLOOKUP(INDIRECT($C$5),Jornada!$C$8:$H$37,4,0))</f>
        <v>0</v>
      </c>
      <c r="AI26" s="155">
        <f ca="1">IF(AND(I26=0,J26=0,OR(H26&lt;&gt;0,K26&lt;&gt;0),HLOOKUP($F26,Jornada!$X$7:$AD$37,VLOOKUP(INDIRECT($C$5),Jornada!$C$8:$W$37,21,0),0)&gt;$AK$5,M26&gt;$AK$5),VLOOKUP(INDIRECT($C$5),Jornada!$C$8:$H$37,6,0),IF(AG26&gt;VLOOKUP(INDIRECT($C$5),Jornada!$C$8:$H$37,6,0),IF(VLOOKUP(INDIRECT($C$5),Jornada!$C$8:$H$37,6,0)&lt;AG26,0,ABS(VLOOKUP(INDIRECT($C$5),Jornada!$C$8:$H$37,6,0))-AG26),0))</f>
        <v>0</v>
      </c>
      <c r="AJ26" s="155">
        <f t="shared" si="5"/>
        <v>1</v>
      </c>
      <c r="AK26" s="155">
        <f t="shared" si="6"/>
        <v>0</v>
      </c>
      <c r="AL26" s="155">
        <f ca="1">HLOOKUP($F26,Jornada!$I$5:$V$37,VLOOKUP(INDIRECT($C$5),Jornada!$C$8:$W$37,21,0)+2,0)</f>
        <v>0</v>
      </c>
      <c r="AM26" s="155">
        <f ca="1">HLOOKUP($F26,Jornada!$I$4:$V$37,VLOOKUP(INDIRECT($C$5),Jornada!$C$8:$W$37,21,0)+3,0)</f>
        <v>0</v>
      </c>
      <c r="AN26" s="155">
        <f t="shared" ca="1" si="7"/>
        <v>0</v>
      </c>
      <c r="AO26" s="155">
        <f t="shared" si="8"/>
        <v>0</v>
      </c>
      <c r="AP26" s="155">
        <f t="shared" si="9"/>
        <v>0</v>
      </c>
      <c r="BE26" s="14"/>
      <c r="BF26" s="14"/>
      <c r="BG26" s="14"/>
    </row>
    <row r="27" spans="1:59" s="2" customFormat="1" ht="30" customHeight="1" thickTop="1" thickBot="1" x14ac:dyDescent="0.25">
      <c r="A27" s="1"/>
      <c r="B27"/>
      <c r="C27" s="172" t="str">
        <f>IF(Funcionários!C26=0,"",Funcionários!C26)</f>
        <v/>
      </c>
      <c r="D27"/>
      <c r="E27" s="115">
        <f>Lanç!E27</f>
        <v>20</v>
      </c>
      <c r="F27" s="189" t="str">
        <f>Lanç!F27</f>
        <v>Sex</v>
      </c>
      <c r="G27" s="80"/>
      <c r="H27" s="94"/>
      <c r="I27" s="94"/>
      <c r="J27" s="94"/>
      <c r="K27" s="94"/>
      <c r="L27" s="197"/>
      <c r="M27" s="95">
        <f t="shared" si="1"/>
        <v>0</v>
      </c>
      <c r="N27" s="196"/>
      <c r="O27" s="95">
        <f ca="1">IF(OR(G27=0,G27="Férias",G27="Falta Justificada",G27="Feriado",G27="Folga (DSR)"),0,IF(G27="Falta Injustificada",HLOOKUP($F27,Jornada!$X$7:$AD$37,VLOOKUP(INDIRECT($C$5),Jornada!$C$8:$W$37,21,0),0),IF(HLOOKUP($F27,Jornada!$X$7:$AD$37,VLOOKUP(INDIRECT($C$5),Jornada!$C$8:$W$37,21,0),0)-M27&gt;0,HLOOKUP($F27,Jornada!$X$7:$AD$37,VLOOKUP(INDIRECT($C$5),Jornada!$C$8:$W$37,21,0),0)-M27,0)))</f>
        <v>0</v>
      </c>
      <c r="P27" s="193">
        <f ca="1">IF(HLOOKUP($F27,Jornada!$X$7:$AD$37,VLOOKUP(INDIRECT($C$5),Jornada!$C$8:$W$37,21,0),0)-M27&lt;0,ABS(HLOOKUP($F27,Jornada!$X$7:$AD$37,VLOOKUP(INDIRECT($C$5),Jornada!$C$8:$W$37,21,0),0)-M27),0)</f>
        <v>0</v>
      </c>
      <c r="Q27" s="95">
        <f t="shared" si="0"/>
        <v>0</v>
      </c>
      <c r="R27" s="2">
        <f t="shared" si="2"/>
        <v>0</v>
      </c>
      <c r="S27" s="296"/>
      <c r="T27" s="297"/>
      <c r="U27" s="298"/>
      <c r="X27" s="177"/>
      <c r="AB27" s="177">
        <f t="shared" si="10"/>
        <v>20</v>
      </c>
      <c r="AC27" s="2">
        <f t="shared" si="3"/>
        <v>6</v>
      </c>
      <c r="AG27" s="220">
        <f t="shared" si="4"/>
        <v>0</v>
      </c>
      <c r="AH27" s="220">
        <f ca="1">IF(HLOOKUP($F27,Jornada!$X$7:$AD$37,VLOOKUP(INDIRECT($C$5),Jornada!$C$8:$W$37,21,0),0)=0,0,VLOOKUP(INDIRECT($C$5),Jornada!$C$8:$H$37,4,0))</f>
        <v>0</v>
      </c>
      <c r="AI27" s="155">
        <f ca="1">IF(AND(I27=0,J27=0,OR(H27&lt;&gt;0,K27&lt;&gt;0),HLOOKUP($F27,Jornada!$X$7:$AD$37,VLOOKUP(INDIRECT($C$5),Jornada!$C$8:$W$37,21,0),0)&gt;$AK$5,M27&gt;$AK$5),VLOOKUP(INDIRECT($C$5),Jornada!$C$8:$H$37,6,0),IF(AG27&gt;VLOOKUP(INDIRECT($C$5),Jornada!$C$8:$H$37,6,0),IF(VLOOKUP(INDIRECT($C$5),Jornada!$C$8:$H$37,6,0)&lt;AG27,0,ABS(VLOOKUP(INDIRECT($C$5),Jornada!$C$8:$H$37,6,0))-AG27),0))</f>
        <v>0</v>
      </c>
      <c r="AJ27" s="155">
        <f t="shared" si="5"/>
        <v>1</v>
      </c>
      <c r="AK27" s="155">
        <f t="shared" si="6"/>
        <v>0</v>
      </c>
      <c r="AL27" s="155">
        <f ca="1">HLOOKUP($F27,Jornada!$I$5:$V$37,VLOOKUP(INDIRECT($C$5),Jornada!$C$8:$W$37,21,0)+2,0)</f>
        <v>0</v>
      </c>
      <c r="AM27" s="155">
        <f ca="1">HLOOKUP($F27,Jornada!$I$4:$V$37,VLOOKUP(INDIRECT($C$5),Jornada!$C$8:$W$37,21,0)+3,0)</f>
        <v>0</v>
      </c>
      <c r="AN27" s="155">
        <f t="shared" ca="1" si="7"/>
        <v>0</v>
      </c>
      <c r="AO27" s="155">
        <f t="shared" si="8"/>
        <v>0</v>
      </c>
      <c r="AP27" s="155">
        <f t="shared" si="9"/>
        <v>0</v>
      </c>
    </row>
    <row r="28" spans="1:59" s="2" customFormat="1" ht="30" customHeight="1" thickTop="1" thickBot="1" x14ac:dyDescent="0.25">
      <c r="A28" s="1"/>
      <c r="B28"/>
      <c r="C28" s="172" t="str">
        <f>IF(Funcionários!C27=0,"",Funcionários!C27)</f>
        <v/>
      </c>
      <c r="D28"/>
      <c r="E28" s="115">
        <f>Lanç!E28</f>
        <v>21</v>
      </c>
      <c r="F28" s="189" t="str">
        <f>Lanç!F28</f>
        <v>Sáb</v>
      </c>
      <c r="G28" s="80"/>
      <c r="H28" s="94"/>
      <c r="I28" s="94"/>
      <c r="J28" s="94"/>
      <c r="K28" s="94"/>
      <c r="L28" s="197"/>
      <c r="M28" s="95">
        <f t="shared" si="1"/>
        <v>0</v>
      </c>
      <c r="N28" s="196"/>
      <c r="O28" s="95">
        <f ca="1">IF(OR(G28=0,G28="Férias",G28="Falta Justificada",G28="Feriado",G28="Folga (DSR)"),0,IF(G28="Falta Injustificada",HLOOKUP($F28,Jornada!$X$7:$AD$37,VLOOKUP(INDIRECT($C$5),Jornada!$C$8:$W$37,21,0),0),IF(HLOOKUP($F28,Jornada!$X$7:$AD$37,VLOOKUP(INDIRECT($C$5),Jornada!$C$8:$W$37,21,0),0)-M28&gt;0,HLOOKUP($F28,Jornada!$X$7:$AD$37,VLOOKUP(INDIRECT($C$5),Jornada!$C$8:$W$37,21,0),0)-M28,0)))</f>
        <v>0</v>
      </c>
      <c r="P28" s="193">
        <f ca="1">IF(HLOOKUP($F28,Jornada!$X$7:$AD$37,VLOOKUP(INDIRECT($C$5),Jornada!$C$8:$W$37,21,0),0)-M28&lt;0,ABS(HLOOKUP($F28,Jornada!$X$7:$AD$37,VLOOKUP(INDIRECT($C$5),Jornada!$C$8:$W$37,21,0),0)-M28),0)</f>
        <v>0</v>
      </c>
      <c r="Q28" s="95">
        <f t="shared" si="0"/>
        <v>0</v>
      </c>
      <c r="R28" s="2">
        <f t="shared" si="2"/>
        <v>0</v>
      </c>
      <c r="S28" s="296"/>
      <c r="T28" s="297"/>
      <c r="U28" s="298"/>
      <c r="X28" s="177"/>
      <c r="AB28" s="177">
        <f t="shared" si="10"/>
        <v>21</v>
      </c>
      <c r="AC28" s="2">
        <f t="shared" si="3"/>
        <v>7</v>
      </c>
      <c r="AG28" s="220">
        <f t="shared" si="4"/>
        <v>0</v>
      </c>
      <c r="AH28" s="220">
        <f ca="1">IF(HLOOKUP($F28,Jornada!$X$7:$AD$37,VLOOKUP(INDIRECT($C$5),Jornada!$C$8:$W$37,21,0),0)=0,0,VLOOKUP(INDIRECT($C$5),Jornada!$C$8:$H$37,4,0))</f>
        <v>0</v>
      </c>
      <c r="AI28" s="155">
        <f ca="1">IF(AND(I28=0,J28=0,OR(H28&lt;&gt;0,K28&lt;&gt;0),HLOOKUP($F28,Jornada!$X$7:$AD$37,VLOOKUP(INDIRECT($C$5),Jornada!$C$8:$W$37,21,0),0)&gt;$AK$5,M28&gt;$AK$5),VLOOKUP(INDIRECT($C$5),Jornada!$C$8:$H$37,6,0),IF(AG28&gt;VLOOKUP(INDIRECT($C$5),Jornada!$C$8:$H$37,6,0),IF(VLOOKUP(INDIRECT($C$5),Jornada!$C$8:$H$37,6,0)&lt;AG28,0,ABS(VLOOKUP(INDIRECT($C$5),Jornada!$C$8:$H$37,6,0))-AG28),0))</f>
        <v>0</v>
      </c>
      <c r="AJ28" s="155">
        <f t="shared" si="5"/>
        <v>1</v>
      </c>
      <c r="AK28" s="155">
        <f t="shared" si="6"/>
        <v>0</v>
      </c>
      <c r="AL28" s="155">
        <f ca="1">HLOOKUP($F28,Jornada!$I$5:$V$37,VLOOKUP(INDIRECT($C$5),Jornada!$C$8:$W$37,21,0)+2,0)</f>
        <v>0</v>
      </c>
      <c r="AM28" s="155">
        <f ca="1">HLOOKUP($F28,Jornada!$I$4:$V$37,VLOOKUP(INDIRECT($C$5),Jornada!$C$8:$W$37,21,0)+3,0)</f>
        <v>0</v>
      </c>
      <c r="AN28" s="155">
        <f t="shared" ca="1" si="7"/>
        <v>0</v>
      </c>
      <c r="AO28" s="155">
        <f t="shared" si="8"/>
        <v>0</v>
      </c>
      <c r="AP28" s="155">
        <f t="shared" si="9"/>
        <v>0</v>
      </c>
    </row>
    <row r="29" spans="1:59" s="2" customFormat="1" ht="30" customHeight="1" thickTop="1" thickBot="1" x14ac:dyDescent="0.25">
      <c r="A29" s="1"/>
      <c r="B29"/>
      <c r="C29" s="172" t="str">
        <f>IF(Funcionários!C28=0,"",Funcionários!C28)</f>
        <v/>
      </c>
      <c r="D29"/>
      <c r="E29" s="115">
        <f>Lanç!E29</f>
        <v>22</v>
      </c>
      <c r="F29" s="189" t="str">
        <f>Lanç!F29</f>
        <v>Dom</v>
      </c>
      <c r="G29" s="80"/>
      <c r="H29" s="94"/>
      <c r="I29" s="94"/>
      <c r="J29" s="94"/>
      <c r="K29" s="94"/>
      <c r="L29" s="197"/>
      <c r="M29" s="95">
        <f t="shared" si="1"/>
        <v>0</v>
      </c>
      <c r="N29" s="196"/>
      <c r="O29" s="95">
        <f ca="1">IF(OR(G29=0,G29="Férias",G29="Falta Justificada",G29="Feriado",G29="Folga (DSR)"),0,IF(G29="Falta Injustificada",HLOOKUP($F29,Jornada!$X$7:$AD$37,VLOOKUP(INDIRECT($C$5),Jornada!$C$8:$W$37,21,0),0),IF(HLOOKUP($F29,Jornada!$X$7:$AD$37,VLOOKUP(INDIRECT($C$5),Jornada!$C$8:$W$37,21,0),0)-M29&gt;0,HLOOKUP($F29,Jornada!$X$7:$AD$37,VLOOKUP(INDIRECT($C$5),Jornada!$C$8:$W$37,21,0),0)-M29,0)))</f>
        <v>0</v>
      </c>
      <c r="P29" s="193">
        <f ca="1">IF(HLOOKUP($F29,Jornada!$X$7:$AD$37,VLOOKUP(INDIRECT($C$5),Jornada!$C$8:$W$37,21,0),0)-M29&lt;0,ABS(HLOOKUP($F29,Jornada!$X$7:$AD$37,VLOOKUP(INDIRECT($C$5),Jornada!$C$8:$W$37,21,0),0)-M29),0)</f>
        <v>0</v>
      </c>
      <c r="Q29" s="95">
        <f t="shared" si="0"/>
        <v>0</v>
      </c>
      <c r="R29" s="2">
        <f t="shared" si="2"/>
        <v>0</v>
      </c>
      <c r="S29" s="13"/>
      <c r="T29" s="74"/>
      <c r="U29" s="74"/>
      <c r="X29" s="177"/>
      <c r="AB29" s="177">
        <f t="shared" si="10"/>
        <v>22</v>
      </c>
      <c r="AC29" s="2">
        <f t="shared" si="3"/>
        <v>1</v>
      </c>
      <c r="AG29" s="220">
        <f t="shared" si="4"/>
        <v>0</v>
      </c>
      <c r="AH29" s="220">
        <f ca="1">IF(HLOOKUP($F29,Jornada!$X$7:$AD$37,VLOOKUP(INDIRECT($C$5),Jornada!$C$8:$W$37,21,0),0)=0,0,VLOOKUP(INDIRECT($C$5),Jornada!$C$8:$H$37,4,0))</f>
        <v>0</v>
      </c>
      <c r="AI29" s="155">
        <f ca="1">IF(AND(I29=0,J29=0,OR(H29&lt;&gt;0,K29&lt;&gt;0),HLOOKUP($F29,Jornada!$X$7:$AD$37,VLOOKUP(INDIRECT($C$5),Jornada!$C$8:$W$37,21,0),0)&gt;$AK$5,M29&gt;$AK$5),VLOOKUP(INDIRECT($C$5),Jornada!$C$8:$H$37,6,0),IF(AG29&gt;VLOOKUP(INDIRECT($C$5),Jornada!$C$8:$H$37,6,0),IF(VLOOKUP(INDIRECT($C$5),Jornada!$C$8:$H$37,6,0)&lt;AG29,0,ABS(VLOOKUP(INDIRECT($C$5),Jornada!$C$8:$H$37,6,0))-AG29),0))</f>
        <v>0</v>
      </c>
      <c r="AJ29" s="155">
        <f t="shared" si="5"/>
        <v>1</v>
      </c>
      <c r="AK29" s="155">
        <f t="shared" si="6"/>
        <v>0</v>
      </c>
      <c r="AL29" s="155">
        <f ca="1">HLOOKUP($F29,Jornada!$I$5:$V$37,VLOOKUP(INDIRECT($C$5),Jornada!$C$8:$W$37,21,0)+2,0)</f>
        <v>0</v>
      </c>
      <c r="AM29" s="155">
        <f ca="1">HLOOKUP($F29,Jornada!$I$4:$V$37,VLOOKUP(INDIRECT($C$5),Jornada!$C$8:$W$37,21,0)+3,0)</f>
        <v>0</v>
      </c>
      <c r="AN29" s="155">
        <f t="shared" ca="1" si="7"/>
        <v>0</v>
      </c>
      <c r="AO29" s="155">
        <f t="shared" si="8"/>
        <v>0</v>
      </c>
      <c r="AP29" s="155">
        <f t="shared" si="9"/>
        <v>0</v>
      </c>
    </row>
    <row r="30" spans="1:59" s="2" customFormat="1" ht="30" customHeight="1" thickTop="1" thickBot="1" x14ac:dyDescent="0.25">
      <c r="A30" s="1"/>
      <c r="B30"/>
      <c r="C30" s="172" t="str">
        <f>IF(Funcionários!C29=0,"",Funcionários!C29)</f>
        <v/>
      </c>
      <c r="D30"/>
      <c r="E30" s="173">
        <f>Lanç!E30</f>
        <v>23</v>
      </c>
      <c r="F30" s="189" t="str">
        <f>Lanç!F30</f>
        <v>Seg</v>
      </c>
      <c r="G30" s="80"/>
      <c r="H30" s="94"/>
      <c r="I30" s="94"/>
      <c r="J30" s="94"/>
      <c r="K30" s="94"/>
      <c r="L30" s="197"/>
      <c r="M30" s="95">
        <f t="shared" si="1"/>
        <v>0</v>
      </c>
      <c r="N30" s="196"/>
      <c r="O30" s="95">
        <f ca="1">IF(OR(G30=0,G30="Férias",G30="Falta Justificada",G30="Feriado",G30="Folga (DSR)"),0,IF(G30="Falta Injustificada",HLOOKUP($F30,Jornada!$X$7:$AD$37,VLOOKUP(INDIRECT($C$5),Jornada!$C$8:$W$37,21,0),0),IF(HLOOKUP($F30,Jornada!$X$7:$AD$37,VLOOKUP(INDIRECT($C$5),Jornada!$C$8:$W$37,21,0),0)-M30&gt;0,HLOOKUP($F30,Jornada!$X$7:$AD$37,VLOOKUP(INDIRECT($C$5),Jornada!$C$8:$W$37,21,0),0)-M30,0)))</f>
        <v>0</v>
      </c>
      <c r="P30" s="193">
        <f ca="1">IF(HLOOKUP($F30,Jornada!$X$7:$AD$37,VLOOKUP(INDIRECT($C$5),Jornada!$C$8:$W$37,21,0),0)-M30&lt;0,ABS(HLOOKUP($F30,Jornada!$X$7:$AD$37,VLOOKUP(INDIRECT($C$5),Jornada!$C$8:$W$37,21,0),0)-M30),0)</f>
        <v>0</v>
      </c>
      <c r="Q30" s="95">
        <f t="shared" si="0"/>
        <v>0</v>
      </c>
      <c r="R30" s="2">
        <f>IF(Q30&gt;$R$7,1,0)</f>
        <v>0</v>
      </c>
      <c r="S30" s="13"/>
      <c r="T30" s="74"/>
      <c r="U30" s="74"/>
      <c r="X30" s="177"/>
      <c r="AB30" s="177">
        <f t="shared" si="10"/>
        <v>23</v>
      </c>
      <c r="AC30" s="2">
        <f>WEEKDAY(AB30)</f>
        <v>2</v>
      </c>
      <c r="AG30" s="220">
        <f t="shared" si="4"/>
        <v>0</v>
      </c>
      <c r="AH30" s="220">
        <f ca="1">IF(HLOOKUP($F30,Jornada!$X$7:$AD$37,VLOOKUP(INDIRECT($C$5),Jornada!$C$8:$W$37,21,0),0)=0,0,VLOOKUP(INDIRECT($C$5),Jornada!$C$8:$H$37,4,0))</f>
        <v>0</v>
      </c>
      <c r="AI30" s="155">
        <f ca="1">IF(AND(I30=0,J30=0,OR(H30&lt;&gt;0,K30&lt;&gt;0),HLOOKUP($F30,Jornada!$X$7:$AD$37,VLOOKUP(INDIRECT($C$5),Jornada!$C$8:$W$37,21,0),0)&gt;$AK$5,M30&gt;$AK$5),VLOOKUP(INDIRECT($C$5),Jornada!$C$8:$H$37,6,0),IF(AG30&gt;VLOOKUP(INDIRECT($C$5),Jornada!$C$8:$H$37,6,0),IF(VLOOKUP(INDIRECT($C$5),Jornada!$C$8:$H$37,6,0)&lt;AG30,0,ABS(VLOOKUP(INDIRECT($C$5),Jornada!$C$8:$H$37,6,0))-AG30),0))</f>
        <v>0</v>
      </c>
      <c r="AJ30" s="155">
        <f>($AJ$7-K30)+H30</f>
        <v>1</v>
      </c>
      <c r="AK30" s="155">
        <f>IF(AJ30&lt;$AK$7,$AK$7-AJ30,$AI$7)</f>
        <v>0</v>
      </c>
      <c r="AL30" s="155">
        <f ca="1">HLOOKUP($F30,Jornada!$I$5:$V$37,VLOOKUP(INDIRECT($C$5),Jornada!$C$8:$W$37,21,0)+2,0)</f>
        <v>0</v>
      </c>
      <c r="AM30" s="155">
        <f ca="1">HLOOKUP($F30,Jornada!$I$4:$V$37,VLOOKUP(INDIRECT($C$5),Jornada!$C$8:$W$37,21,0)+3,0)</f>
        <v>0</v>
      </c>
      <c r="AN30" s="155">
        <f t="shared" ca="1" si="7"/>
        <v>0</v>
      </c>
      <c r="AO30" s="155">
        <f t="shared" si="8"/>
        <v>0</v>
      </c>
      <c r="AP30" s="155">
        <f t="shared" si="9"/>
        <v>0</v>
      </c>
    </row>
    <row r="31" spans="1:59" s="2" customFormat="1" ht="30" customHeight="1" thickTop="1" thickBot="1" x14ac:dyDescent="0.25">
      <c r="A31" s="1"/>
      <c r="B31"/>
      <c r="C31" s="172" t="str">
        <f>IF(Funcionários!C30=0,"",Funcionários!C30)</f>
        <v/>
      </c>
      <c r="D31"/>
      <c r="E31" s="173">
        <f>Lanç!E31</f>
        <v>24</v>
      </c>
      <c r="F31" s="189" t="str">
        <f>Lanç!F31</f>
        <v>Ter</v>
      </c>
      <c r="G31" s="80"/>
      <c r="H31" s="94"/>
      <c r="I31" s="94"/>
      <c r="J31" s="94"/>
      <c r="K31" s="94"/>
      <c r="L31" s="197"/>
      <c r="M31" s="95">
        <f t="shared" si="1"/>
        <v>0</v>
      </c>
      <c r="N31" s="196"/>
      <c r="O31" s="95">
        <f ca="1">IF(OR(G31=0,G31="Férias",G31="Falta Justificada",G31="Feriado",G31="Folga (DSR)"),0,IF(G31="Falta Injustificada",HLOOKUP($F31,Jornada!$X$7:$AD$37,VLOOKUP(INDIRECT($C$5),Jornada!$C$8:$W$37,21,0),0),IF(HLOOKUP($F31,Jornada!$X$7:$AD$37,VLOOKUP(INDIRECT($C$5),Jornada!$C$8:$W$37,21,0),0)-M31&gt;0,HLOOKUP($F31,Jornada!$X$7:$AD$37,VLOOKUP(INDIRECT($C$5),Jornada!$C$8:$W$37,21,0),0)-M31,0)))</f>
        <v>0</v>
      </c>
      <c r="P31" s="193">
        <f ca="1">IF(HLOOKUP($F31,Jornada!$X$7:$AD$37,VLOOKUP(INDIRECT($C$5),Jornada!$C$8:$W$37,21,0),0)-M31&lt;0,ABS(HLOOKUP($F31,Jornada!$X$7:$AD$37,VLOOKUP(INDIRECT($C$5),Jornada!$C$8:$W$37,21,0),0)-M31),0)</f>
        <v>0</v>
      </c>
      <c r="Q31" s="95">
        <f t="shared" si="0"/>
        <v>0</v>
      </c>
      <c r="R31" s="2">
        <f>IF(Q31&gt;$R$7,1,0)</f>
        <v>0</v>
      </c>
      <c r="S31" s="13"/>
      <c r="T31" s="74"/>
      <c r="U31" s="74"/>
      <c r="X31" s="177"/>
      <c r="AB31" s="177">
        <f t="shared" si="10"/>
        <v>24</v>
      </c>
      <c r="AC31" s="2">
        <f>WEEKDAY(AB31)</f>
        <v>3</v>
      </c>
      <c r="AG31" s="220">
        <f t="shared" si="4"/>
        <v>0</v>
      </c>
      <c r="AH31" s="220">
        <f ca="1">IF(HLOOKUP($F31,Jornada!$X$7:$AD$37,VLOOKUP(INDIRECT($C$5),Jornada!$C$8:$W$37,21,0),0)=0,0,VLOOKUP(INDIRECT($C$5),Jornada!$C$8:$H$37,4,0))</f>
        <v>0</v>
      </c>
      <c r="AI31" s="155">
        <f ca="1">IF(AND(I31=0,J31=0,OR(H31&lt;&gt;0,K31&lt;&gt;0),HLOOKUP($F31,Jornada!$X$7:$AD$37,VLOOKUP(INDIRECT($C$5),Jornada!$C$8:$W$37,21,0),0)&gt;$AK$5,M31&gt;$AK$5),VLOOKUP(INDIRECT($C$5),Jornada!$C$8:$H$37,6,0),IF(AG31&gt;VLOOKUP(INDIRECT($C$5),Jornada!$C$8:$H$37,6,0),IF(VLOOKUP(INDIRECT($C$5),Jornada!$C$8:$H$37,6,0)&lt;AG31,0,ABS(VLOOKUP(INDIRECT($C$5),Jornada!$C$8:$H$37,6,0))-AG31),0))</f>
        <v>0</v>
      </c>
      <c r="AJ31" s="155">
        <f>($AJ$7-K31)+H31</f>
        <v>1</v>
      </c>
      <c r="AK31" s="155">
        <f>IF(AJ31&lt;$AK$7,$AK$7-AJ31,$AI$7)</f>
        <v>0</v>
      </c>
      <c r="AL31" s="155">
        <f ca="1">HLOOKUP($F31,Jornada!$I$5:$V$37,VLOOKUP(INDIRECT($C$5),Jornada!$C$8:$W$37,21,0)+2,0)</f>
        <v>0</v>
      </c>
      <c r="AM31" s="155">
        <f ca="1">HLOOKUP($F31,Jornada!$I$4:$V$37,VLOOKUP(INDIRECT($C$5),Jornada!$C$8:$W$37,21,0)+3,0)</f>
        <v>0</v>
      </c>
      <c r="AN31" s="155">
        <f t="shared" ca="1" si="7"/>
        <v>0</v>
      </c>
      <c r="AO31" s="155">
        <f t="shared" si="8"/>
        <v>0</v>
      </c>
      <c r="AP31" s="155">
        <f t="shared" si="9"/>
        <v>0</v>
      </c>
    </row>
    <row r="32" spans="1:59" s="2" customFormat="1" ht="30" customHeight="1" thickTop="1" thickBot="1" x14ac:dyDescent="0.25">
      <c r="A32" s="1"/>
      <c r="B32"/>
      <c r="C32" s="172" t="str">
        <f>IF(Funcionários!C31=0,"",Funcionários!C31)</f>
        <v/>
      </c>
      <c r="D32"/>
      <c r="E32" s="115">
        <f>Lanç!E32</f>
        <v>25</v>
      </c>
      <c r="F32" s="189" t="str">
        <f>Lanç!F32</f>
        <v>Qua</v>
      </c>
      <c r="G32" s="80"/>
      <c r="H32" s="94"/>
      <c r="I32" s="94"/>
      <c r="J32" s="94"/>
      <c r="K32" s="94"/>
      <c r="L32" s="197"/>
      <c r="M32" s="95">
        <f t="shared" si="1"/>
        <v>0</v>
      </c>
      <c r="N32" s="196"/>
      <c r="O32" s="95">
        <f ca="1">IF(OR(G32=0,G32="Férias",G32="Falta Justificada",G32="Feriado",G32="Folga (DSR)"),0,IF(G32="Falta Injustificada",HLOOKUP($F32,Jornada!$X$7:$AD$37,VLOOKUP(INDIRECT($C$5),Jornada!$C$8:$W$37,21,0),0),IF(HLOOKUP($F32,Jornada!$X$7:$AD$37,VLOOKUP(INDIRECT($C$5),Jornada!$C$8:$W$37,21,0),0)-M32&gt;0,HLOOKUP($F32,Jornada!$X$7:$AD$37,VLOOKUP(INDIRECT($C$5),Jornada!$C$8:$W$37,21,0),0)-M32,0)))</f>
        <v>0</v>
      </c>
      <c r="P32" s="193">
        <f ca="1">IF(HLOOKUP($F32,Jornada!$X$7:$AD$37,VLOOKUP(INDIRECT($C$5),Jornada!$C$8:$W$37,21,0),0)-M32&lt;0,ABS(HLOOKUP($F32,Jornada!$X$7:$AD$37,VLOOKUP(INDIRECT($C$5),Jornada!$C$8:$W$37,21,0),0)-M32),0)</f>
        <v>0</v>
      </c>
      <c r="Q32" s="95">
        <f t="shared" si="0"/>
        <v>0</v>
      </c>
      <c r="R32" s="2">
        <f t="shared" si="2"/>
        <v>0</v>
      </c>
      <c r="S32" s="74"/>
      <c r="T32" s="74"/>
      <c r="U32" s="74"/>
      <c r="X32" s="177"/>
      <c r="AB32" s="177">
        <f t="shared" si="10"/>
        <v>25</v>
      </c>
      <c r="AC32" s="2">
        <f t="shared" si="3"/>
        <v>4</v>
      </c>
      <c r="AG32" s="220">
        <f t="shared" si="4"/>
        <v>0</v>
      </c>
      <c r="AH32" s="220">
        <f ca="1">IF(HLOOKUP($F32,Jornada!$X$7:$AD$37,VLOOKUP(INDIRECT($C$5),Jornada!$C$8:$W$37,21,0),0)=0,0,VLOOKUP(INDIRECT($C$5),Jornada!$C$8:$H$37,4,0))</f>
        <v>0</v>
      </c>
      <c r="AI32" s="155">
        <f ca="1">IF(AND(I32=0,J32=0,OR(H32&lt;&gt;0,K32&lt;&gt;0),HLOOKUP($F32,Jornada!$X$7:$AD$37,VLOOKUP(INDIRECT($C$5),Jornada!$C$8:$W$37,21,0),0)&gt;$AK$5,M32&gt;$AK$5),VLOOKUP(INDIRECT($C$5),Jornada!$C$8:$H$37,6,0),IF(AG32&gt;VLOOKUP(INDIRECT($C$5),Jornada!$C$8:$H$37,6,0),IF(VLOOKUP(INDIRECT($C$5),Jornada!$C$8:$H$37,6,0)&lt;AG32,0,ABS(VLOOKUP(INDIRECT($C$5),Jornada!$C$8:$H$37,6,0))-AG32),0))</f>
        <v>0</v>
      </c>
      <c r="AJ32" s="155">
        <f t="shared" si="5"/>
        <v>1</v>
      </c>
      <c r="AK32" s="155">
        <f t="shared" si="6"/>
        <v>0</v>
      </c>
      <c r="AL32" s="155">
        <f ca="1">HLOOKUP($F32,Jornada!$I$5:$V$37,VLOOKUP(INDIRECT($C$5),Jornada!$C$8:$W$37,21,0)+2,0)</f>
        <v>0</v>
      </c>
      <c r="AM32" s="155">
        <f ca="1">HLOOKUP($F32,Jornada!$I$4:$V$37,VLOOKUP(INDIRECT($C$5),Jornada!$C$8:$W$37,21,0)+3,0)</f>
        <v>0</v>
      </c>
      <c r="AN32" s="155">
        <f t="shared" ca="1" si="7"/>
        <v>0</v>
      </c>
      <c r="AO32" s="155">
        <f t="shared" si="8"/>
        <v>0</v>
      </c>
      <c r="AP32" s="155">
        <f t="shared" si="9"/>
        <v>0</v>
      </c>
    </row>
    <row r="33" spans="1:42" s="2" customFormat="1" ht="30" customHeight="1" thickTop="1" thickBot="1" x14ac:dyDescent="0.25">
      <c r="A33" s="1"/>
      <c r="B33"/>
      <c r="C33" s="172" t="str">
        <f>IF(Funcionários!C32=0,"",Funcionários!C32)</f>
        <v/>
      </c>
      <c r="D33"/>
      <c r="E33" s="115">
        <f>Lanç!E33</f>
        <v>26</v>
      </c>
      <c r="F33" s="189" t="str">
        <f>Lanç!F33</f>
        <v>Qui</v>
      </c>
      <c r="G33" s="80"/>
      <c r="H33" s="94"/>
      <c r="I33" s="94"/>
      <c r="J33" s="94"/>
      <c r="K33" s="94"/>
      <c r="L33" s="197"/>
      <c r="M33" s="95">
        <f t="shared" si="1"/>
        <v>0</v>
      </c>
      <c r="N33" s="196"/>
      <c r="O33" s="95">
        <f ca="1">IF(OR(G33=0,G33="Férias",G33="Falta Justificada",G33="Feriado",G33="Folga (DSR)"),0,IF(G33="Falta Injustificada",HLOOKUP($F33,Jornada!$X$7:$AD$37,VLOOKUP(INDIRECT($C$5),Jornada!$C$8:$W$37,21,0),0),IF(HLOOKUP($F33,Jornada!$X$7:$AD$37,VLOOKUP(INDIRECT($C$5),Jornada!$C$8:$W$37,21,0),0)-M33&gt;0,HLOOKUP($F33,Jornada!$X$7:$AD$37,VLOOKUP(INDIRECT($C$5),Jornada!$C$8:$W$37,21,0),0)-M33,0)))</f>
        <v>0</v>
      </c>
      <c r="P33" s="193">
        <f ca="1">IF(HLOOKUP($F33,Jornada!$X$7:$AD$37,VLOOKUP(INDIRECT($C$5),Jornada!$C$8:$W$37,21,0),0)-M33&lt;0,ABS(HLOOKUP($F33,Jornada!$X$7:$AD$37,VLOOKUP(INDIRECT($C$5),Jornada!$C$8:$W$37,21,0),0)-M33),0)</f>
        <v>0</v>
      </c>
      <c r="Q33" s="95">
        <f t="shared" si="0"/>
        <v>0</v>
      </c>
      <c r="R33" s="2">
        <f t="shared" si="2"/>
        <v>0</v>
      </c>
      <c r="S33" s="74"/>
      <c r="T33" s="74"/>
      <c r="U33" s="74"/>
      <c r="X33" s="177"/>
      <c r="AB33" s="177">
        <f t="shared" si="10"/>
        <v>26</v>
      </c>
      <c r="AC33" s="2">
        <f t="shared" si="3"/>
        <v>5</v>
      </c>
      <c r="AG33" s="220">
        <f t="shared" si="4"/>
        <v>0</v>
      </c>
      <c r="AH33" s="220">
        <f ca="1">IF(HLOOKUP($F33,Jornada!$X$7:$AD$37,VLOOKUP(INDIRECT($C$5),Jornada!$C$8:$W$37,21,0),0)=0,0,VLOOKUP(INDIRECT($C$5),Jornada!$C$8:$H$37,4,0))</f>
        <v>0</v>
      </c>
      <c r="AI33" s="155">
        <f ca="1">IF(AND(I33=0,J33=0,OR(H33&lt;&gt;0,K33&lt;&gt;0),HLOOKUP($F33,Jornada!$X$7:$AD$37,VLOOKUP(INDIRECT($C$5),Jornada!$C$8:$W$37,21,0),0)&gt;$AK$5,M33&gt;$AK$5),VLOOKUP(INDIRECT($C$5),Jornada!$C$8:$H$37,6,0),IF(AG33&gt;VLOOKUP(INDIRECT($C$5),Jornada!$C$8:$H$37,6,0),IF(VLOOKUP(INDIRECT($C$5),Jornada!$C$8:$H$37,6,0)&lt;AG33,0,ABS(VLOOKUP(INDIRECT($C$5),Jornada!$C$8:$H$37,6,0))-AG33),0))</f>
        <v>0</v>
      </c>
      <c r="AJ33" s="155">
        <f t="shared" si="5"/>
        <v>1</v>
      </c>
      <c r="AK33" s="155">
        <f t="shared" si="6"/>
        <v>0</v>
      </c>
      <c r="AL33" s="155">
        <f ca="1">HLOOKUP($F33,Jornada!$I$5:$V$37,VLOOKUP(INDIRECT($C$5),Jornada!$C$8:$W$37,21,0)+2,0)</f>
        <v>0</v>
      </c>
      <c r="AM33" s="155">
        <f ca="1">HLOOKUP($F33,Jornada!$I$4:$V$37,VLOOKUP(INDIRECT($C$5),Jornada!$C$8:$W$37,21,0)+3,0)</f>
        <v>0</v>
      </c>
      <c r="AN33" s="155">
        <f t="shared" ca="1" si="7"/>
        <v>0</v>
      </c>
      <c r="AO33" s="155">
        <f t="shared" si="8"/>
        <v>0</v>
      </c>
      <c r="AP33" s="155">
        <f t="shared" si="9"/>
        <v>0</v>
      </c>
    </row>
    <row r="34" spans="1:42" s="2" customFormat="1" ht="30" customHeight="1" thickTop="1" thickBot="1" x14ac:dyDescent="0.25">
      <c r="A34" s="1"/>
      <c r="B34"/>
      <c r="C34" s="172" t="str">
        <f>IF(Funcionários!C33=0,"",Funcionários!C33)</f>
        <v/>
      </c>
      <c r="D34"/>
      <c r="E34" s="115">
        <f>Lanç!E34</f>
        <v>27</v>
      </c>
      <c r="F34" s="189" t="str">
        <f>Lanç!F34</f>
        <v>Sex</v>
      </c>
      <c r="G34" s="80"/>
      <c r="H34" s="94"/>
      <c r="I34" s="94"/>
      <c r="J34" s="94"/>
      <c r="K34" s="94"/>
      <c r="L34" s="197"/>
      <c r="M34" s="95">
        <f t="shared" si="1"/>
        <v>0</v>
      </c>
      <c r="N34" s="196"/>
      <c r="O34" s="95">
        <f ca="1">IF(OR(G34=0,G34="Férias",G34="Falta Justificada",G34="Feriado",G34="Folga (DSR)"),0,IF(G34="Falta Injustificada",HLOOKUP($F34,Jornada!$X$7:$AD$37,VLOOKUP(INDIRECT($C$5),Jornada!$C$8:$W$37,21,0),0),IF(HLOOKUP($F34,Jornada!$X$7:$AD$37,VLOOKUP(INDIRECT($C$5),Jornada!$C$8:$W$37,21,0),0)-M34&gt;0,HLOOKUP($F34,Jornada!$X$7:$AD$37,VLOOKUP(INDIRECT($C$5),Jornada!$C$8:$W$37,21,0),0)-M34,0)))</f>
        <v>0</v>
      </c>
      <c r="P34" s="193">
        <f ca="1">IF(HLOOKUP($F34,Jornada!$X$7:$AD$37,VLOOKUP(INDIRECT($C$5),Jornada!$C$8:$W$37,21,0),0)-M34&lt;0,ABS(HLOOKUP($F34,Jornada!$X$7:$AD$37,VLOOKUP(INDIRECT($C$5),Jornada!$C$8:$W$37,21,0),0)-M34),0)</f>
        <v>0</v>
      </c>
      <c r="Q34" s="95">
        <f t="shared" si="0"/>
        <v>0</v>
      </c>
      <c r="R34" s="2">
        <f t="shared" si="2"/>
        <v>0</v>
      </c>
      <c r="S34" s="74"/>
      <c r="T34" s="74"/>
      <c r="U34" s="74"/>
      <c r="X34" s="177"/>
      <c r="AB34" s="177">
        <f t="shared" si="10"/>
        <v>27</v>
      </c>
      <c r="AC34" s="2">
        <f t="shared" si="3"/>
        <v>6</v>
      </c>
      <c r="AG34" s="220">
        <f t="shared" si="4"/>
        <v>0</v>
      </c>
      <c r="AH34" s="220">
        <f ca="1">IF(HLOOKUP($F34,Jornada!$X$7:$AD$37,VLOOKUP(INDIRECT($C$5),Jornada!$C$8:$W$37,21,0),0)=0,0,VLOOKUP(INDIRECT($C$5),Jornada!$C$8:$H$37,4,0))</f>
        <v>0</v>
      </c>
      <c r="AI34" s="155">
        <f ca="1">IF(AND(I34=0,J34=0,OR(H34&lt;&gt;0,K34&lt;&gt;0),HLOOKUP($F34,Jornada!$X$7:$AD$37,VLOOKUP(INDIRECT($C$5),Jornada!$C$8:$W$37,21,0),0)&gt;$AK$5,M34&gt;$AK$5),VLOOKUP(INDIRECT($C$5),Jornada!$C$8:$H$37,6,0),IF(AG34&gt;VLOOKUP(INDIRECT($C$5),Jornada!$C$8:$H$37,6,0),IF(VLOOKUP(INDIRECT($C$5),Jornada!$C$8:$H$37,6,0)&lt;AG34,0,ABS(VLOOKUP(INDIRECT($C$5),Jornada!$C$8:$H$37,6,0))-AG34),0))</f>
        <v>0</v>
      </c>
      <c r="AJ34" s="155">
        <f t="shared" si="5"/>
        <v>1</v>
      </c>
      <c r="AK34" s="155">
        <f t="shared" si="6"/>
        <v>0</v>
      </c>
      <c r="AL34" s="155">
        <f ca="1">HLOOKUP($F34,Jornada!$I$5:$V$37,VLOOKUP(INDIRECT($C$5),Jornada!$C$8:$W$37,21,0)+2,0)</f>
        <v>0</v>
      </c>
      <c r="AM34" s="155">
        <f ca="1">HLOOKUP($F34,Jornada!$I$4:$V$37,VLOOKUP(INDIRECT($C$5),Jornada!$C$8:$W$37,21,0)+3,0)</f>
        <v>0</v>
      </c>
      <c r="AN34" s="155">
        <f t="shared" ca="1" si="7"/>
        <v>0</v>
      </c>
      <c r="AO34" s="155">
        <f t="shared" si="8"/>
        <v>0</v>
      </c>
      <c r="AP34" s="155">
        <f t="shared" si="9"/>
        <v>0</v>
      </c>
    </row>
    <row r="35" spans="1:42" s="2" customFormat="1" ht="30" customHeight="1" thickTop="1" thickBot="1" x14ac:dyDescent="0.25">
      <c r="A35" s="1"/>
      <c r="B35"/>
      <c r="C35" s="172" t="str">
        <f>IF(Funcionários!C34=0,"",Funcionários!C34)</f>
        <v/>
      </c>
      <c r="D35"/>
      <c r="E35" s="115">
        <f>Lanç!E35</f>
        <v>28</v>
      </c>
      <c r="F35" s="189" t="str">
        <f>Lanç!F35</f>
        <v>Sáb</v>
      </c>
      <c r="G35" s="80"/>
      <c r="H35" s="94"/>
      <c r="I35" s="94"/>
      <c r="J35" s="94"/>
      <c r="K35" s="94"/>
      <c r="L35" s="197"/>
      <c r="M35" s="95">
        <f t="shared" si="1"/>
        <v>0</v>
      </c>
      <c r="N35" s="196"/>
      <c r="O35" s="95">
        <f ca="1">IF(OR(G35=0,G35="Férias",G35="Falta Justificada",G35="Feriado",G35="Folga (DSR)"),0,IF(G35="Falta Injustificada",HLOOKUP($F35,Jornada!$X$7:$AD$37,VLOOKUP(INDIRECT($C$5),Jornada!$C$8:$W$37,21,0),0),IF(HLOOKUP($F35,Jornada!$X$7:$AD$37,VLOOKUP(INDIRECT($C$5),Jornada!$C$8:$W$37,21,0),0)-M35&gt;0,HLOOKUP($F35,Jornada!$X$7:$AD$37,VLOOKUP(INDIRECT($C$5),Jornada!$C$8:$W$37,21,0),0)-M35,0)))</f>
        <v>0</v>
      </c>
      <c r="P35" s="193">
        <f ca="1">IF(HLOOKUP($F35,Jornada!$X$7:$AD$37,VLOOKUP(INDIRECT($C$5),Jornada!$C$8:$W$37,21,0),0)-M35&lt;0,ABS(HLOOKUP($F35,Jornada!$X$7:$AD$37,VLOOKUP(INDIRECT($C$5),Jornada!$C$8:$W$37,21,0),0)-M35),0)</f>
        <v>0</v>
      </c>
      <c r="Q35" s="95">
        <f t="shared" si="0"/>
        <v>0</v>
      </c>
      <c r="R35" s="2">
        <f t="shared" si="2"/>
        <v>0</v>
      </c>
      <c r="S35"/>
      <c r="T35"/>
      <c r="U35"/>
      <c r="X35" s="177"/>
      <c r="AB35" s="177">
        <f>IF(MONTH(AB34+1)&lt;&gt;MONTH(AB34),"",AB34+1)</f>
        <v>28</v>
      </c>
      <c r="AC35" s="2">
        <f t="shared" si="3"/>
        <v>7</v>
      </c>
      <c r="AG35" s="220">
        <f t="shared" si="4"/>
        <v>0</v>
      </c>
      <c r="AH35" s="220">
        <f ca="1">IF(HLOOKUP($F35,Jornada!$X$7:$AD$37,VLOOKUP(INDIRECT($C$5),Jornada!$C$8:$W$37,21,0),0)=0,0,VLOOKUP(INDIRECT($C$5),Jornada!$C$8:$H$37,4,0))</f>
        <v>0</v>
      </c>
      <c r="AI35" s="155">
        <f ca="1">IF(AND(I35=0,J35=0,OR(H35&lt;&gt;0,K35&lt;&gt;0),HLOOKUP($F35,Jornada!$X$7:$AD$37,VLOOKUP(INDIRECT($C$5),Jornada!$C$8:$W$37,21,0),0)&gt;$AK$5,M35&gt;$AK$5),VLOOKUP(INDIRECT($C$5),Jornada!$C$8:$H$37,6,0),IF(AG35&gt;VLOOKUP(INDIRECT($C$5),Jornada!$C$8:$H$37,6,0),IF(VLOOKUP(INDIRECT($C$5),Jornada!$C$8:$H$37,6,0)&lt;AG35,0,ABS(VLOOKUP(INDIRECT($C$5),Jornada!$C$8:$H$37,6,0))-AG35),0))</f>
        <v>0</v>
      </c>
      <c r="AJ35" s="155">
        <f t="shared" si="5"/>
        <v>1</v>
      </c>
      <c r="AK35" s="155">
        <f t="shared" si="6"/>
        <v>0</v>
      </c>
      <c r="AL35" s="155">
        <f ca="1">HLOOKUP($F35,Jornada!$I$5:$V$37,VLOOKUP(INDIRECT($C$5),Jornada!$C$8:$W$37,21,0)+2,0)</f>
        <v>0</v>
      </c>
      <c r="AM35" s="155">
        <f ca="1">HLOOKUP($F35,Jornada!$I$4:$V$37,VLOOKUP(INDIRECT($C$5),Jornada!$C$8:$W$37,21,0)+3,0)</f>
        <v>0</v>
      </c>
      <c r="AN35" s="155">
        <f t="shared" ca="1" si="7"/>
        <v>0</v>
      </c>
      <c r="AO35" s="155">
        <f t="shared" si="8"/>
        <v>0</v>
      </c>
      <c r="AP35" s="155">
        <f t="shared" si="9"/>
        <v>0</v>
      </c>
    </row>
    <row r="36" spans="1:42" s="2" customFormat="1" ht="30" customHeight="1" thickTop="1" thickBot="1" x14ac:dyDescent="0.25">
      <c r="A36" s="1"/>
      <c r="B36"/>
      <c r="C36" s="172" t="str">
        <f>IF(Funcionários!C35=0,"",Funcionários!C35)</f>
        <v/>
      </c>
      <c r="D36"/>
      <c r="E36" s="115">
        <f>Lanç!E36</f>
        <v>29</v>
      </c>
      <c r="F36" s="189" t="str">
        <f>Lanç!F36</f>
        <v>Dom</v>
      </c>
      <c r="G36" s="80"/>
      <c r="H36" s="94"/>
      <c r="I36" s="94"/>
      <c r="J36" s="94"/>
      <c r="K36" s="94"/>
      <c r="L36" s="197"/>
      <c r="M36" s="95">
        <f t="shared" si="1"/>
        <v>0</v>
      </c>
      <c r="N36" s="196"/>
      <c r="O36" s="95">
        <f ca="1">IF(OR(G36=0,G36="Férias",G36="Falta Justificada",G36="Feriado",G36="Folga (DSR)"),0,IF(G36="Falta Injustificada",HLOOKUP($F36,Jornada!$X$7:$AD$37,VLOOKUP(INDIRECT($C$5),Jornada!$C$8:$W$37,21,0),0),IF(HLOOKUP($F36,Jornada!$X$7:$AD$37,VLOOKUP(INDIRECT($C$5),Jornada!$C$8:$W$37,21,0),0)-M36&gt;0,HLOOKUP($F36,Jornada!$X$7:$AD$37,VLOOKUP(INDIRECT($C$5),Jornada!$C$8:$W$37,21,0),0)-M36,0)))</f>
        <v>0</v>
      </c>
      <c r="P36" s="193">
        <f ca="1">IF(HLOOKUP($F36,Jornada!$X$7:$AD$37,VLOOKUP(INDIRECT($C$5),Jornada!$C$8:$W$37,21,0),0)-M36&lt;0,ABS(HLOOKUP($F36,Jornada!$X$7:$AD$37,VLOOKUP(INDIRECT($C$5),Jornada!$C$8:$W$37,21,0),0)-M36),0)</f>
        <v>0</v>
      </c>
      <c r="Q36" s="95">
        <f t="shared" si="0"/>
        <v>0</v>
      </c>
      <c r="R36" s="2">
        <f t="shared" si="2"/>
        <v>0</v>
      </c>
      <c r="S36"/>
      <c r="T36"/>
      <c r="U36"/>
      <c r="X36" s="177"/>
      <c r="AB36" s="177">
        <f>IF(MONTH(AB35+1)&lt;&gt;MONTH(AB35),"",IF(AB35="","",AB35+1))</f>
        <v>29</v>
      </c>
      <c r="AC36" s="2">
        <f>IF(ISERROR(WEEKDAY(AB36)),"",WEEKDAY(AB36))</f>
        <v>1</v>
      </c>
      <c r="AG36" s="220">
        <f t="shared" si="4"/>
        <v>0</v>
      </c>
      <c r="AH36" s="220">
        <f ca="1">IF(HLOOKUP($F36,Jornada!$X$7:$AD$37,VLOOKUP(INDIRECT($C$5),Jornada!$C$8:$W$37,21,0),0)=0,0,VLOOKUP(INDIRECT($C$5),Jornada!$C$8:$H$37,4,0))</f>
        <v>0</v>
      </c>
      <c r="AI36" s="155">
        <f ca="1">IF(AND(I36=0,J36=0,OR(H36&lt;&gt;0,K36&lt;&gt;0),HLOOKUP($F36,Jornada!$X$7:$AD$37,VLOOKUP(INDIRECT($C$5),Jornada!$C$8:$W$37,21,0),0)&gt;$AK$5,M36&gt;$AK$5),VLOOKUP(INDIRECT($C$5),Jornada!$C$8:$H$37,6,0),IF(AG36&gt;VLOOKUP(INDIRECT($C$5),Jornada!$C$8:$H$37,6,0),IF(VLOOKUP(INDIRECT($C$5),Jornada!$C$8:$H$37,6,0)&lt;AG36,0,ABS(VLOOKUP(INDIRECT($C$5),Jornada!$C$8:$H$37,6,0))-AG36),0))</f>
        <v>0</v>
      </c>
      <c r="AJ36" s="155">
        <f t="shared" si="5"/>
        <v>1</v>
      </c>
      <c r="AK36" s="155">
        <f t="shared" si="6"/>
        <v>0</v>
      </c>
      <c r="AL36" s="155">
        <f ca="1">HLOOKUP($F36,Jornada!$I$5:$V$37,VLOOKUP(INDIRECT($C$5),Jornada!$C$8:$W$37,21,0)+2,0)</f>
        <v>0</v>
      </c>
      <c r="AM36" s="155">
        <f ca="1">HLOOKUP($F36,Jornada!$I$4:$V$37,VLOOKUP(INDIRECT($C$5),Jornada!$C$8:$W$37,21,0)+3,0)</f>
        <v>0</v>
      </c>
      <c r="AN36" s="155">
        <f t="shared" ca="1" si="7"/>
        <v>0</v>
      </c>
      <c r="AO36" s="155">
        <f t="shared" si="8"/>
        <v>0</v>
      </c>
      <c r="AP36" s="155">
        <f t="shared" si="9"/>
        <v>0</v>
      </c>
    </row>
    <row r="37" spans="1:42" s="2" customFormat="1" ht="30" customHeight="1" thickTop="1" thickBot="1" x14ac:dyDescent="0.25">
      <c r="A37" s="1"/>
      <c r="B37"/>
      <c r="C37" s="172" t="str">
        <f>IF(Funcionários!C36=0,"",Funcionários!C36)</f>
        <v/>
      </c>
      <c r="D37"/>
      <c r="E37" s="115">
        <f>Lanç!E37</f>
        <v>30</v>
      </c>
      <c r="F37" s="189" t="str">
        <f>Lanç!F37</f>
        <v>Seg</v>
      </c>
      <c r="G37" s="81"/>
      <c r="H37" s="94"/>
      <c r="I37" s="94"/>
      <c r="J37" s="94"/>
      <c r="K37" s="94"/>
      <c r="L37" s="197"/>
      <c r="M37" s="95">
        <f t="shared" si="1"/>
        <v>0</v>
      </c>
      <c r="N37" s="196"/>
      <c r="O37" s="95">
        <f ca="1">IF(OR(G37=0,G37="Férias",G37="Falta Justificada",G37="Feriado",G37="Folga (DSR)"),0,IF(G37="Falta Injustificada",HLOOKUP($F37,Jornada!$X$7:$AD$37,VLOOKUP(INDIRECT($C$5),Jornada!$C$8:$W$37,21,0),0),IF(HLOOKUP($F37,Jornada!$X$7:$AD$37,VLOOKUP(INDIRECT($C$5),Jornada!$C$8:$W$37,21,0),0)-M37&gt;0,HLOOKUP($F37,Jornada!$X$7:$AD$37,VLOOKUP(INDIRECT($C$5),Jornada!$C$8:$W$37,21,0),0)-M37,0)))</f>
        <v>0</v>
      </c>
      <c r="P37" s="193">
        <f ca="1">IF(HLOOKUP($F37,Jornada!$X$7:$AD$37,VLOOKUP(INDIRECT($C$5),Jornada!$C$8:$W$37,21,0),0)-M37&lt;0,ABS(HLOOKUP($F37,Jornada!$X$7:$AD$37,VLOOKUP(INDIRECT($C$5),Jornada!$C$8:$W$37,21,0),0)-M37),0)</f>
        <v>0</v>
      </c>
      <c r="Q37" s="95">
        <f t="shared" si="0"/>
        <v>0</v>
      </c>
      <c r="R37" s="2">
        <f t="shared" si="2"/>
        <v>0</v>
      </c>
      <c r="S37"/>
      <c r="T37"/>
      <c r="U37"/>
      <c r="X37" s="177"/>
      <c r="AB37" s="177">
        <f>IF(AB36="","",IF(MONTH(AB36+1)&lt;&gt;MONTH(AB36),"",AB36+1))</f>
        <v>30</v>
      </c>
      <c r="AC37" s="2">
        <f>IF(ISERROR(WEEKDAY(AB37)),"",WEEKDAY(AB37))</f>
        <v>2</v>
      </c>
      <c r="AG37" s="220">
        <f t="shared" si="4"/>
        <v>0</v>
      </c>
      <c r="AH37" s="220">
        <f ca="1">IF(HLOOKUP($F37,Jornada!$X$7:$AD$37,VLOOKUP(INDIRECT($C$5),Jornada!$C$8:$W$37,21,0),0)=0,0,VLOOKUP(INDIRECT($C$5),Jornada!$C$8:$H$37,4,0))</f>
        <v>0</v>
      </c>
      <c r="AI37" s="155">
        <f ca="1">IF(AND(I37=0,J37=0,OR(H37&lt;&gt;0,K37&lt;&gt;0),HLOOKUP($F37,Jornada!$X$7:$AD$37,VLOOKUP(INDIRECT($C$5),Jornada!$C$8:$W$37,21,0),0)&gt;$AK$5,M37&gt;$AK$5),VLOOKUP(INDIRECT($C$5),Jornada!$C$8:$H$37,6,0),IF(AG37&gt;VLOOKUP(INDIRECT($C$5),Jornada!$C$8:$H$37,6,0),IF(VLOOKUP(INDIRECT($C$5),Jornada!$C$8:$H$37,6,0)&lt;AG37,0,ABS(VLOOKUP(INDIRECT($C$5),Jornada!$C$8:$H$37,6,0))-AG37),0))</f>
        <v>0</v>
      </c>
      <c r="AJ37" s="155">
        <f t="shared" si="5"/>
        <v>1</v>
      </c>
      <c r="AK37" s="155">
        <f t="shared" si="6"/>
        <v>0</v>
      </c>
      <c r="AL37" s="155">
        <f ca="1">HLOOKUP($F37,Jornada!$I$5:$V$37,VLOOKUP(INDIRECT($C$5),Jornada!$C$8:$W$37,21,0)+2,0)</f>
        <v>0</v>
      </c>
      <c r="AM37" s="155">
        <f ca="1">HLOOKUP($F37,Jornada!$I$4:$V$37,VLOOKUP(INDIRECT($C$5),Jornada!$C$8:$W$37,21,0)+3,0)</f>
        <v>0</v>
      </c>
      <c r="AN37" s="155">
        <f t="shared" ca="1" si="7"/>
        <v>0</v>
      </c>
      <c r="AO37" s="155">
        <f t="shared" si="8"/>
        <v>0</v>
      </c>
      <c r="AP37" s="155">
        <f t="shared" si="9"/>
        <v>0</v>
      </c>
    </row>
    <row r="38" spans="1:42" s="2" customFormat="1" ht="30" customHeight="1" thickTop="1" thickBot="1" x14ac:dyDescent="0.25">
      <c r="A38" s="1"/>
      <c r="B38"/>
      <c r="C38"/>
      <c r="D38" s="2">
        <f t="shared" ref="D38" si="11">IF(D37=7,1,D37+1)</f>
        <v>1</v>
      </c>
      <c r="E38" s="210">
        <f>Lanç!E38</f>
        <v>31</v>
      </c>
      <c r="F38" s="210" t="str">
        <f>Lanç!F38</f>
        <v>Ter</v>
      </c>
      <c r="G38" s="81"/>
      <c r="H38" s="94"/>
      <c r="I38" s="94"/>
      <c r="J38" s="94"/>
      <c r="K38" s="94"/>
      <c r="L38" s="197"/>
      <c r="M38" s="95">
        <f t="shared" si="1"/>
        <v>0</v>
      </c>
      <c r="N38" s="196"/>
      <c r="O38" s="95">
        <f ca="1">IF(OR(G38=0,G38="Férias",G38="Falta Justificada",G38="Feriado",G38="Folga (DSR)"),0,IF(G38="Falta Injustificada",HLOOKUP($F38,Jornada!$X$7:$AD$37,VLOOKUP(INDIRECT($C$5),Jornada!$C$8:$W$37,21,0),0),IF(HLOOKUP($F38,Jornada!$X$7:$AD$37,VLOOKUP(INDIRECT($C$5),Jornada!$C$8:$W$37,21,0),0)-M38&gt;0,HLOOKUP($F38,Jornada!$X$7:$AD$37,VLOOKUP(INDIRECT($C$5),Jornada!$C$8:$W$37,21,0),0)-M38,0)))</f>
        <v>0</v>
      </c>
      <c r="P38" s="201">
        <f ca="1">IF(HLOOKUP($F38,Jornada!$X$7:$AD$37,VLOOKUP(INDIRECT($C$5),Jornada!$C$8:$W$37,21,0),0)-M38&lt;0,ABS(HLOOKUP($F38,Jornada!$X$7:$AD$37,VLOOKUP(INDIRECT($C$5),Jornada!$C$8:$W$37,21,0),0)-M38),0)</f>
        <v>0</v>
      </c>
      <c r="Q38" s="95">
        <f t="shared" si="0"/>
        <v>0</v>
      </c>
      <c r="R38" s="2">
        <f t="shared" si="2"/>
        <v>0</v>
      </c>
      <c r="X38" s="177"/>
      <c r="AB38" s="177">
        <f>IF(AB37="","",IF(MONTH(AB37+1)&lt;&gt;MONTH(AB37),"",AB37+1))</f>
        <v>31</v>
      </c>
      <c r="AC38" s="2">
        <f>IF(ISERROR(WEEKDAY(AB38)),"",WEEKDAY(AB38))</f>
        <v>3</v>
      </c>
      <c r="AG38" s="220">
        <f t="shared" si="4"/>
        <v>0</v>
      </c>
      <c r="AH38" s="220">
        <f ca="1">IF(HLOOKUP($F38,Jornada!$X$7:$AD$37,VLOOKUP(INDIRECT($C$5),Jornada!$C$8:$W$37,21,0),0)=0,0,VLOOKUP(INDIRECT($C$5),Jornada!$C$8:$H$37,4,0))</f>
        <v>0</v>
      </c>
      <c r="AI38" s="155">
        <f ca="1">IF(AND(I38=0,J38=0,OR(H38&lt;&gt;0,K38&lt;&gt;0),HLOOKUP($F38,Jornada!$X$7:$AD$37,VLOOKUP(INDIRECT($C$5),Jornada!$C$8:$W$37,21,0),0)&gt;$AK$5,M38&gt;$AK$5),VLOOKUP(INDIRECT($C$5),Jornada!$C$8:$H$37,6,0),IF(AG38&gt;VLOOKUP(INDIRECT($C$5),Jornada!$C$8:$H$37,6,0),IF(VLOOKUP(INDIRECT($C$5),Jornada!$C$8:$H$37,6,0)&lt;AG38,0,ABS(VLOOKUP(INDIRECT($C$5),Jornada!$C$8:$H$37,6,0))-AG38),0))</f>
        <v>0</v>
      </c>
      <c r="AJ38" s="155">
        <f t="shared" si="5"/>
        <v>1</v>
      </c>
      <c r="AK38" s="155">
        <f t="shared" si="6"/>
        <v>0</v>
      </c>
      <c r="AL38" s="155">
        <f ca="1">HLOOKUP($F38,Jornada!$I$5:$V$37,VLOOKUP(INDIRECT($C$5),Jornada!$C$8:$W$37,21,0)+2,0)</f>
        <v>0</v>
      </c>
      <c r="AM38" s="155">
        <f ca="1">HLOOKUP($F38,Jornada!$I$4:$V$37,VLOOKUP(INDIRECT($C$5),Jornada!$C$8:$W$37,21,0)+3,0)</f>
        <v>0</v>
      </c>
      <c r="AN38" s="155">
        <f t="shared" ca="1" si="7"/>
        <v>0</v>
      </c>
      <c r="AO38" s="155">
        <f t="shared" si="8"/>
        <v>0</v>
      </c>
      <c r="AP38" s="155">
        <f t="shared" si="9"/>
        <v>0</v>
      </c>
    </row>
    <row r="39" spans="1:42" s="2" customFormat="1" ht="30" customHeight="1" thickTop="1" x14ac:dyDescent="0.2">
      <c r="A39" s="9"/>
      <c r="B39" s="234"/>
      <c r="C39" s="234"/>
      <c r="D39" s="234"/>
      <c r="E39" s="236">
        <f>EOMONTH(AB8,0)</f>
        <v>31</v>
      </c>
      <c r="F39" s="234">
        <f>DAY(E39)</f>
        <v>31</v>
      </c>
      <c r="G39" s="237">
        <f>COUNTIF(F8:F38,"Dom")+COUNTIF(G8:G38,"Feriado")</f>
        <v>5</v>
      </c>
      <c r="H39" s="238">
        <f>(SUM(Q8:Q38)/(F39-G39))*G39</f>
        <v>0</v>
      </c>
      <c r="I39" s="234"/>
      <c r="J39" s="234"/>
      <c r="K39" s="234"/>
      <c r="L39" s="234"/>
      <c r="M39" s="234"/>
      <c r="Z39" s="219"/>
    </row>
    <row r="40" spans="1:42" s="2" customFormat="1" ht="30" customHeight="1" x14ac:dyDescent="0.2">
      <c r="A40" s="9"/>
      <c r="B40" s="234"/>
      <c r="C40" s="239"/>
      <c r="D40" s="239"/>
      <c r="E40" s="239"/>
      <c r="F40" s="240"/>
      <c r="G40" s="241"/>
      <c r="H40" s="234">
        <f ca="1">IF(INDIRECT($C$5)="",0,VLOOKUP(INDIRECT($C$5),Funcionários!$C$7:$E$36,3,0)+IF(VLOOKUP(INDIRECT($C$5),Jornada!$C$8:$E$37,2,0)="Sim",IF('P Gerais'!$I$8&lt;&gt;0,VLOOKUP(INDIRECT($C$5),Funcionários!$C$7:$E$36,3,0)*'P Gerais'!$L$14,'P Gerais'!$I$8*'P Gerais'!$L$14),0)+IF(VLOOKUP(INDIRECT($C$5),Jornada!$C$8:$E$37,3,0)="Sim",VLOOKUP(INDIRECT($C$5),Funcionários!$C$7:$E$36,3,0)*'P Gerais'!$K$14,0))</f>
        <v>0</v>
      </c>
      <c r="I40" s="234">
        <f ca="1">VLOOKUP(INDIRECT($C$5),Jornada!$C$8:$AF$37,30,0)</f>
        <v>0</v>
      </c>
      <c r="J40" s="234" t="s">
        <v>298</v>
      </c>
      <c r="K40" s="242">
        <f ca="1">IF(I40=0,0,H40/I40)</f>
        <v>0</v>
      </c>
      <c r="L40" s="234"/>
      <c r="M40" s="234"/>
      <c r="Z40" s="219"/>
    </row>
    <row r="41" spans="1:42" s="2" customFormat="1" ht="30" customHeight="1" x14ac:dyDescent="0.2">
      <c r="A41" s="9"/>
      <c r="B41" s="234" t="s">
        <v>52</v>
      </c>
      <c r="C41" s="292" t="s">
        <v>75</v>
      </c>
      <c r="D41" s="292"/>
      <c r="E41" s="292"/>
      <c r="F41" s="243">
        <f t="shared" ref="F41:F47" si="12">SUMIFS($Q$8:$Q$38,$F$8:$F$38,$B41,$G$8:$G$38,"Normal")</f>
        <v>0</v>
      </c>
      <c r="G41" s="244">
        <f>IF($M$41="Sistema de banco de horas",0,'P Gerais'!$C$14)</f>
        <v>0.5</v>
      </c>
      <c r="H41" s="245">
        <f t="shared" ref="H41:H48" ca="1" si="13">IF($M$41="Sistema de banco de horas",0,$K$40*(1+G41)*(F41*24))</f>
        <v>0</v>
      </c>
      <c r="I41" s="243">
        <f t="shared" ref="I41:I47" ca="1" si="14">IF(SUMIF($F$8:$F$38,$B41,$Q$8:$Q$38)-SUMIFS($M$8:$M$38,$F$8:$F$38,$B41,$G$8:$G$38,"Feriado")-SUMIFS($M$8:$M$38,$F$8:$F$38,$B41,$G$8:$G$38,"Folga (DSR)")-SUMIFS($M$8:$M$38,$F$8:$F$38,$B41,$G$8:$G$38,"Férias")-SUMIF($F$8:$F$38,$B41,$AN$8:$AN$38)-SUMIF($F$8:$F$38,$B41,$AO$8:$AO$38)&lt;0,0,SUMIF($F$8:$F$38,$B41,$Q$8:$Q$38)-SUMIFS($M$8:$M$38,$F$8:$F$38,$B41,$G$8:$G$38,"Feriado")-SUMIFS($M$8:$M$38,$F$8:$F$38,$B41,$G$8:$G$38,"Folga (DSR)")-SUMIFS($M$8:$M$38,$F$8:$F$38,$B41,$G$8:$G$38,"Férias")-SUMIF($F$8:$F$38,$B41,$AN$8:$AN$38)-SUMIF($F$8:$F$38,$B41,$AO$8:$AO$38))</f>
        <v>0</v>
      </c>
      <c r="J41" s="245">
        <f ca="1">H41</f>
        <v>0</v>
      </c>
      <c r="K41" s="234"/>
      <c r="L41" s="234"/>
      <c r="M41" s="234">
        <f>'P Gerais'!I10</f>
        <v>0</v>
      </c>
      <c r="Z41" s="219"/>
    </row>
    <row r="42" spans="1:42" s="2" customFormat="1" ht="30" customHeight="1" x14ac:dyDescent="0.2">
      <c r="A42" s="9"/>
      <c r="B42" s="234" t="s">
        <v>53</v>
      </c>
      <c r="C42" s="292" t="s">
        <v>76</v>
      </c>
      <c r="D42" s="292"/>
      <c r="E42" s="292"/>
      <c r="F42" s="243">
        <f t="shared" si="12"/>
        <v>0</v>
      </c>
      <c r="G42" s="244">
        <f>IF($M$41="Sistema de banco de horas",0,'P Gerais'!$C$14)</f>
        <v>0.5</v>
      </c>
      <c r="H42" s="245">
        <f t="shared" ca="1" si="13"/>
        <v>0</v>
      </c>
      <c r="I42" s="243">
        <f t="shared" ca="1" si="14"/>
        <v>0</v>
      </c>
      <c r="J42" s="245">
        <f t="shared" ref="J42:J51" ca="1" si="15">H42</f>
        <v>0</v>
      </c>
      <c r="K42" s="234"/>
      <c r="L42" s="234"/>
      <c r="M42" s="234"/>
      <c r="Z42" s="219"/>
    </row>
    <row r="43" spans="1:42" s="2" customFormat="1" ht="30" customHeight="1" x14ac:dyDescent="0.2">
      <c r="A43" s="9"/>
      <c r="B43" s="234" t="s">
        <v>54</v>
      </c>
      <c r="C43" s="292" t="s">
        <v>77</v>
      </c>
      <c r="D43" s="292"/>
      <c r="E43" s="292"/>
      <c r="F43" s="243">
        <f t="shared" si="12"/>
        <v>0</v>
      </c>
      <c r="G43" s="244">
        <f>IF($M$41="Sistema de banco de horas",0,'P Gerais'!$C$14)</f>
        <v>0.5</v>
      </c>
      <c r="H43" s="245">
        <f t="shared" ca="1" si="13"/>
        <v>0</v>
      </c>
      <c r="I43" s="243">
        <f t="shared" ca="1" si="14"/>
        <v>0</v>
      </c>
      <c r="J43" s="245">
        <f t="shared" ca="1" si="15"/>
        <v>0</v>
      </c>
      <c r="K43" s="234"/>
      <c r="L43" s="234"/>
      <c r="M43" s="234"/>
      <c r="Z43" s="219"/>
    </row>
    <row r="44" spans="1:42" s="2" customFormat="1" ht="30" customHeight="1" x14ac:dyDescent="0.2">
      <c r="A44" s="9"/>
      <c r="B44" s="234" t="s">
        <v>55</v>
      </c>
      <c r="C44" s="292" t="s">
        <v>78</v>
      </c>
      <c r="D44" s="292"/>
      <c r="E44" s="292"/>
      <c r="F44" s="243">
        <f t="shared" si="12"/>
        <v>0</v>
      </c>
      <c r="G44" s="244">
        <f>IF($M$41="Sistema de banco de horas",0,'P Gerais'!$C$14)</f>
        <v>0.5</v>
      </c>
      <c r="H44" s="245">
        <f t="shared" ca="1" si="13"/>
        <v>0</v>
      </c>
      <c r="I44" s="243">
        <f t="shared" ca="1" si="14"/>
        <v>0</v>
      </c>
      <c r="J44" s="245">
        <f t="shared" ca="1" si="15"/>
        <v>0</v>
      </c>
      <c r="K44" s="234"/>
      <c r="L44" s="234"/>
      <c r="M44" s="234"/>
      <c r="Z44" s="219"/>
    </row>
    <row r="45" spans="1:42" s="2" customFormat="1" ht="30" customHeight="1" x14ac:dyDescent="0.2">
      <c r="A45" s="9"/>
      <c r="B45" s="234" t="s">
        <v>56</v>
      </c>
      <c r="C45" s="292" t="s">
        <v>79</v>
      </c>
      <c r="D45" s="292"/>
      <c r="E45" s="292"/>
      <c r="F45" s="243">
        <f t="shared" si="12"/>
        <v>0</v>
      </c>
      <c r="G45" s="244">
        <f>IF($M$41="Sistema de banco de horas",0,'P Gerais'!$C$14)</f>
        <v>0.5</v>
      </c>
      <c r="H45" s="245">
        <f t="shared" ca="1" si="13"/>
        <v>0</v>
      </c>
      <c r="I45" s="243">
        <f t="shared" ca="1" si="14"/>
        <v>0</v>
      </c>
      <c r="J45" s="245">
        <f t="shared" ca="1" si="15"/>
        <v>0</v>
      </c>
      <c r="K45" s="234"/>
      <c r="L45" s="234"/>
      <c r="M45" s="234"/>
      <c r="Z45" s="219"/>
    </row>
    <row r="46" spans="1:42" s="2" customFormat="1" ht="30" customHeight="1" x14ac:dyDescent="0.2">
      <c r="A46" s="9"/>
      <c r="B46" s="234" t="s">
        <v>57</v>
      </c>
      <c r="C46" s="292" t="s">
        <v>82</v>
      </c>
      <c r="D46" s="292"/>
      <c r="E46" s="292"/>
      <c r="F46" s="243">
        <f t="shared" si="12"/>
        <v>0</v>
      </c>
      <c r="G46" s="244">
        <f>IF($M$41="Sistema de banco de horas",0,'P Gerais'!$E$14)</f>
        <v>0.5</v>
      </c>
      <c r="H46" s="245">
        <f t="shared" ca="1" si="13"/>
        <v>0</v>
      </c>
      <c r="I46" s="243">
        <f t="shared" ca="1" si="14"/>
        <v>0</v>
      </c>
      <c r="J46" s="245">
        <f t="shared" ca="1" si="15"/>
        <v>0</v>
      </c>
      <c r="K46" s="234"/>
      <c r="L46" s="234"/>
      <c r="M46" s="234"/>
      <c r="Z46" s="219"/>
    </row>
    <row r="47" spans="1:42" s="2" customFormat="1" ht="30" customHeight="1" x14ac:dyDescent="0.2">
      <c r="A47" s="9"/>
      <c r="B47" s="234" t="s">
        <v>51</v>
      </c>
      <c r="C47" s="292" t="s">
        <v>81</v>
      </c>
      <c r="D47" s="292"/>
      <c r="E47" s="292"/>
      <c r="F47" s="243">
        <f t="shared" si="12"/>
        <v>0</v>
      </c>
      <c r="G47" s="244">
        <f>IF($M$41="Sistema de banco de horas",0,'P Gerais'!$F$14)</f>
        <v>1</v>
      </c>
      <c r="H47" s="245">
        <f t="shared" ca="1" si="13"/>
        <v>0</v>
      </c>
      <c r="I47" s="243">
        <f t="shared" ca="1" si="14"/>
        <v>0</v>
      </c>
      <c r="J47" s="245">
        <f t="shared" ca="1" si="15"/>
        <v>0</v>
      </c>
      <c r="K47" s="234"/>
      <c r="L47" s="234"/>
      <c r="M47" s="234"/>
      <c r="Z47" s="219"/>
    </row>
    <row r="48" spans="1:42" s="2" customFormat="1" ht="30" customHeight="1" x14ac:dyDescent="0.2">
      <c r="A48" s="9"/>
      <c r="B48" s="234"/>
      <c r="C48" s="292" t="s">
        <v>80</v>
      </c>
      <c r="D48" s="292"/>
      <c r="E48" s="292"/>
      <c r="F48" s="243">
        <f>SUMIFS($Q$8:$Q$38,$G$8:$G$38,"Feriado")</f>
        <v>0</v>
      </c>
      <c r="G48" s="244">
        <f>IF($M$41="Sistema de banco de horas",0,'P Gerais'!$I$14)</f>
        <v>1</v>
      </c>
      <c r="H48" s="245">
        <f t="shared" ca="1" si="13"/>
        <v>0</v>
      </c>
      <c r="I48" s="243"/>
      <c r="J48" s="245">
        <f t="shared" ca="1" si="15"/>
        <v>0</v>
      </c>
      <c r="K48" s="234"/>
      <c r="L48" s="234"/>
      <c r="M48" s="234"/>
      <c r="Z48" s="219"/>
    </row>
    <row r="49" spans="1:26" s="2" customFormat="1" ht="15" x14ac:dyDescent="0.2">
      <c r="A49" s="9"/>
      <c r="B49" s="234"/>
      <c r="C49" s="292" t="s">
        <v>146</v>
      </c>
      <c r="D49" s="292"/>
      <c r="E49" s="292"/>
      <c r="F49" s="243">
        <f>SUMIFS($Q$8:$Q$38,$G$8:$G$38,"Folga (DSR)")</f>
        <v>0</v>
      </c>
      <c r="G49" s="244">
        <f>IF($M$41="Sistema de banco de horas",0,'P Gerais'!H14)</f>
        <v>1</v>
      </c>
      <c r="H49" s="245">
        <f ca="1">((F53/(F39-G39))*G39)</f>
        <v>0</v>
      </c>
      <c r="I49" s="243"/>
      <c r="J49" s="245">
        <f t="shared" ca="1" si="15"/>
        <v>0</v>
      </c>
      <c r="K49" s="234"/>
      <c r="L49" s="234"/>
      <c r="M49" s="234"/>
      <c r="Z49" s="219"/>
    </row>
    <row r="50" spans="1:26" s="2" customFormat="1" ht="15" x14ac:dyDescent="0.2">
      <c r="A50" s="9"/>
      <c r="B50" s="234"/>
      <c r="C50" s="292" t="s">
        <v>84</v>
      </c>
      <c r="D50" s="292"/>
      <c r="E50" s="292"/>
      <c r="F50" s="243">
        <f ca="1">IF($M$41="Sistema de banco de horas",(SUM(AI$8:AI$38)*(1+G50)),SUM(AI$8:AI$38))</f>
        <v>0</v>
      </c>
      <c r="G50" s="244">
        <f>IF($M$41="Sistema de banco de horas",0,'P Gerais'!$I$17)</f>
        <v>0.5</v>
      </c>
      <c r="H50" s="245">
        <f ca="1">IF($M$41="Sistema de banco de horas",0,$K$40*(1+G50)*(F50*24))</f>
        <v>0</v>
      </c>
      <c r="I50" s="243">
        <f ca="1">IF(SUM($AN$8:$AO$38)&gt;SUM(AI$8:AI$38),0,SUM(AI$8:AI$38)-SUM($AN$8:$AO$38))</f>
        <v>0</v>
      </c>
      <c r="J50" s="245">
        <f t="shared" ca="1" si="15"/>
        <v>0</v>
      </c>
      <c r="K50" s="234"/>
      <c r="L50" s="234"/>
      <c r="M50" s="234"/>
      <c r="Z50" s="219"/>
    </row>
    <row r="51" spans="1:26" s="2" customFormat="1" ht="15" x14ac:dyDescent="0.2">
      <c r="A51" s="9"/>
      <c r="B51" s="234"/>
      <c r="C51" s="292" t="s">
        <v>85</v>
      </c>
      <c r="D51" s="292"/>
      <c r="E51" s="292"/>
      <c r="F51" s="243">
        <f>IF($M$41="Sistema de banco de horas",(SUM(AK$8:AK$38)*(1+G51)),SUM(AK$8:AK$38))</f>
        <v>0</v>
      </c>
      <c r="G51" s="244">
        <f>IF($M$41="Sistema de banco de horas",0,'P Gerais'!$C$17)</f>
        <v>1</v>
      </c>
      <c r="H51" s="245">
        <f ca="1">IF($M$41="Sistema de banco de horas",0,$K$40*(1+G51)*(F51*24))</f>
        <v>0</v>
      </c>
      <c r="I51" s="243"/>
      <c r="J51" s="245">
        <f t="shared" ca="1" si="15"/>
        <v>0</v>
      </c>
      <c r="K51" s="234"/>
      <c r="L51" s="234"/>
      <c r="M51" s="234"/>
      <c r="Z51" s="219"/>
    </row>
    <row r="52" spans="1:26" s="2" customFormat="1" ht="15" customHeight="1" x14ac:dyDescent="0.2">
      <c r="A52" s="9"/>
      <c r="B52" s="234"/>
      <c r="C52" s="292" t="s">
        <v>87</v>
      </c>
      <c r="D52" s="292"/>
      <c r="E52" s="292"/>
      <c r="F52" s="243">
        <f ca="1">U12</f>
        <v>0</v>
      </c>
      <c r="G52" s="246"/>
      <c r="H52" s="234"/>
      <c r="I52" s="234"/>
      <c r="J52" s="234"/>
      <c r="K52" s="234"/>
      <c r="L52" s="234"/>
      <c r="M52" s="234"/>
      <c r="Z52" s="219"/>
    </row>
    <row r="53" spans="1:26" s="2" customFormat="1" ht="15" x14ac:dyDescent="0.2">
      <c r="A53" s="9"/>
      <c r="B53" s="234"/>
      <c r="C53" s="292" t="s">
        <v>299</v>
      </c>
      <c r="D53" s="292"/>
      <c r="E53" s="292"/>
      <c r="F53" s="247">
        <f ca="1">SUM(H48)+J50+H51+SUM(J41:J47)</f>
        <v>0</v>
      </c>
      <c r="G53" s="248"/>
      <c r="H53" s="234"/>
      <c r="I53" s="234"/>
      <c r="J53" s="234"/>
      <c r="K53" s="234"/>
      <c r="L53" s="234"/>
      <c r="M53" s="234"/>
      <c r="Z53" s="219"/>
    </row>
    <row r="54" spans="1:26" s="2" customFormat="1" ht="15" x14ac:dyDescent="0.2">
      <c r="A54" s="9"/>
      <c r="B54" s="234"/>
      <c r="C54" s="292" t="s">
        <v>88</v>
      </c>
      <c r="D54" s="292"/>
      <c r="E54" s="292"/>
      <c r="F54" s="247">
        <f ca="1">F53+(H49*(1+G49))</f>
        <v>0</v>
      </c>
      <c r="G54" s="248"/>
      <c r="H54" s="249"/>
      <c r="I54" s="234"/>
      <c r="J54" s="234"/>
      <c r="K54" s="234"/>
      <c r="L54" s="234"/>
      <c r="M54" s="234"/>
      <c r="Z54" s="219"/>
    </row>
    <row r="55" spans="1:26" s="2" customFormat="1" ht="15" x14ac:dyDescent="0.2">
      <c r="A55" s="9"/>
      <c r="B55" s="234"/>
      <c r="C55" s="292" t="s">
        <v>89</v>
      </c>
      <c r="D55" s="292"/>
      <c r="E55" s="292"/>
      <c r="F55" s="247">
        <f ca="1">H40+F54</f>
        <v>0</v>
      </c>
      <c r="G55" s="246"/>
      <c r="H55" s="234"/>
      <c r="I55" s="234"/>
      <c r="J55" s="234"/>
      <c r="K55" s="234"/>
      <c r="L55" s="234"/>
      <c r="M55" s="234"/>
      <c r="Z55" s="219"/>
    </row>
    <row r="56" spans="1:26" s="2" customFormat="1" ht="15" x14ac:dyDescent="0.2">
      <c r="A56" s="9"/>
      <c r="B56" s="234"/>
      <c r="C56" s="292" t="s">
        <v>178</v>
      </c>
      <c r="D56" s="292"/>
      <c r="E56" s="292"/>
      <c r="F56" s="243">
        <f>IF($M$41="Sistema de banco de horas",(SUMIF($G$8:$G$38,"Férias",Q8:Q38))*(1+G48),SUMIF($G$8:$G$38,"Férias",Q8:Q38))</f>
        <v>0</v>
      </c>
      <c r="G56" s="246"/>
      <c r="H56" s="234"/>
      <c r="I56" s="234"/>
      <c r="J56" s="234"/>
      <c r="K56" s="234"/>
      <c r="L56" s="234"/>
      <c r="M56" s="234"/>
      <c r="Z56" s="219"/>
    </row>
    <row r="57" spans="1:26" s="2" customFormat="1" ht="15" x14ac:dyDescent="0.2">
      <c r="A57" s="9"/>
      <c r="B57" s="234"/>
      <c r="C57" s="239"/>
      <c r="D57" s="239"/>
      <c r="E57" s="239"/>
      <c r="F57" s="250">
        <f ca="1">U14</f>
        <v>0</v>
      </c>
      <c r="G57" s="246"/>
      <c r="H57" s="234"/>
      <c r="I57" s="234"/>
      <c r="J57" s="234"/>
      <c r="K57" s="234"/>
      <c r="L57" s="234"/>
      <c r="M57" s="234"/>
      <c r="Z57" s="219"/>
    </row>
    <row r="58" spans="1:26" s="2" customFormat="1" ht="15" x14ac:dyDescent="0.2">
      <c r="A58" s="9"/>
      <c r="B58" s="234"/>
      <c r="C58" s="239"/>
      <c r="D58" s="239"/>
      <c r="E58" s="239"/>
      <c r="F58" s="243">
        <f ca="1">SUM(F41:F51)</f>
        <v>0</v>
      </c>
      <c r="G58" s="246"/>
      <c r="H58" s="234"/>
      <c r="I58" s="234"/>
      <c r="J58" s="234"/>
      <c r="K58" s="234"/>
      <c r="L58" s="234"/>
      <c r="M58" s="234"/>
      <c r="Z58" s="219"/>
    </row>
    <row r="59" spans="1:26" s="2" customFormat="1" ht="15" x14ac:dyDescent="0.2">
      <c r="A59" s="9"/>
      <c r="Z59" s="219"/>
    </row>
    <row r="60" spans="1:26" s="2" customFormat="1" ht="15" x14ac:dyDescent="0.2">
      <c r="A60" s="9"/>
      <c r="G60" s="178"/>
      <c r="Z60" s="219"/>
    </row>
    <row r="61" spans="1:26" ht="15" x14ac:dyDescent="0.2"/>
    <row r="62" spans="1:26" ht="15" x14ac:dyDescent="0.2"/>
    <row r="63" spans="1:26" ht="15" x14ac:dyDescent="0.2"/>
    <row r="64" spans="1:26" ht="15" x14ac:dyDescent="0.2"/>
    <row r="65" ht="15" x14ac:dyDescent="0.2"/>
    <row r="66" ht="15" x14ac:dyDescent="0.2"/>
    <row r="67" ht="15" x14ac:dyDescent="0.2"/>
    <row r="68" ht="15" x14ac:dyDescent="0.2"/>
    <row r="69" ht="15" x14ac:dyDescent="0.2"/>
    <row r="70" ht="15" x14ac:dyDescent="0.2"/>
    <row r="71" ht="15" x14ac:dyDescent="0.2"/>
    <row r="72" ht="15" x14ac:dyDescent="0.2"/>
    <row r="73" ht="15" x14ac:dyDescent="0.2"/>
    <row r="74" ht="15" x14ac:dyDescent="0.2"/>
    <row r="75" ht="15" x14ac:dyDescent="0.2"/>
    <row r="76" ht="15" x14ac:dyDescent="0.2"/>
    <row r="77" ht="15" x14ac:dyDescent="0.2"/>
    <row r="78" ht="15" x14ac:dyDescent="0.2"/>
    <row r="79" ht="15" x14ac:dyDescent="0.2"/>
    <row r="80" ht="15" x14ac:dyDescent="0.2"/>
    <row r="81" ht="15" x14ac:dyDescent="0.2"/>
    <row r="82" ht="15" x14ac:dyDescent="0.2"/>
    <row r="83" ht="15" x14ac:dyDescent="0.2"/>
    <row r="84" ht="15" x14ac:dyDescent="0.2"/>
    <row r="85" ht="15" x14ac:dyDescent="0.2"/>
    <row r="86" ht="15" x14ac:dyDescent="0.2"/>
    <row r="87" ht="15" x14ac:dyDescent="0.2"/>
    <row r="88" ht="15" x14ac:dyDescent="0.2"/>
    <row r="89" ht="15" x14ac:dyDescent="0.2"/>
    <row r="90" ht="15" x14ac:dyDescent="0.2"/>
    <row r="91" ht="15" x14ac:dyDescent="0.2"/>
    <row r="92" ht="15" x14ac:dyDescent="0.2"/>
    <row r="93" ht="15" x14ac:dyDescent="0.2"/>
    <row r="94" ht="15" x14ac:dyDescent="0.2"/>
    <row r="95" ht="15" x14ac:dyDescent="0.2"/>
    <row r="96" ht="15" x14ac:dyDescent="0.2"/>
    <row r="97" ht="15" x14ac:dyDescent="0.2"/>
    <row r="98" ht="15" x14ac:dyDescent="0.2"/>
    <row r="99" ht="15" x14ac:dyDescent="0.2"/>
    <row r="100" ht="15" x14ac:dyDescent="0.2"/>
    <row r="101" ht="15" x14ac:dyDescent="0.2"/>
    <row r="102" ht="15" x14ac:dyDescent="0.2"/>
    <row r="103" ht="15" x14ac:dyDescent="0.2"/>
  </sheetData>
  <sheetProtection sheet="1" objects="1" scenarios="1" selectLockedCells="1"/>
  <mergeCells count="34">
    <mergeCell ref="C56:E56"/>
    <mergeCell ref="C48:E48"/>
    <mergeCell ref="C49:E49"/>
    <mergeCell ref="C50:E50"/>
    <mergeCell ref="C52:E52"/>
    <mergeCell ref="C53:E53"/>
    <mergeCell ref="C54:E54"/>
    <mergeCell ref="C51:E51"/>
    <mergeCell ref="C44:E44"/>
    <mergeCell ref="C55:E55"/>
    <mergeCell ref="C45:E45"/>
    <mergeCell ref="C46:E46"/>
    <mergeCell ref="C47:E47"/>
    <mergeCell ref="S22:U22"/>
    <mergeCell ref="C41:E41"/>
    <mergeCell ref="C42:E42"/>
    <mergeCell ref="C43:E43"/>
    <mergeCell ref="S26:U28"/>
    <mergeCell ref="S23:U25"/>
    <mergeCell ref="E7:F7"/>
    <mergeCell ref="I7:J7"/>
    <mergeCell ref="S7:U7"/>
    <mergeCell ref="S8:T9"/>
    <mergeCell ref="U8:U9"/>
    <mergeCell ref="S16:T17"/>
    <mergeCell ref="U16:U17"/>
    <mergeCell ref="S18:T19"/>
    <mergeCell ref="S10:T11"/>
    <mergeCell ref="U10:U11"/>
    <mergeCell ref="S12:T13"/>
    <mergeCell ref="U12:U13"/>
    <mergeCell ref="S14:T15"/>
    <mergeCell ref="U14:U15"/>
    <mergeCell ref="U18:U19"/>
  </mergeCells>
  <phoneticPr fontId="50" type="noConversion"/>
  <conditionalFormatting sqref="M8:M37">
    <cfRule type="cellIs" dxfId="980" priority="183" operator="greaterThan">
      <formula>0</formula>
    </cfRule>
  </conditionalFormatting>
  <conditionalFormatting sqref="L36:L37 N36:N37">
    <cfRule type="expression" dxfId="979" priority="150">
      <formula>AND($E36&lt;$E$35,$E$8=1)</formula>
    </cfRule>
    <cfRule type="expression" dxfId="978" priority="151">
      <formula>AND($E36&gt;=$E$8,$E$8&lt;&gt;1)</formula>
    </cfRule>
  </conditionalFormatting>
  <conditionalFormatting sqref="E36:E38">
    <cfRule type="expression" dxfId="977" priority="148">
      <formula>AND($E36&lt;$E$35,$E$8=1)</formula>
    </cfRule>
    <cfRule type="expression" dxfId="976" priority="149">
      <formula>AND($E36&gt;=$E$8,$E$8&lt;&gt;1)</formula>
    </cfRule>
  </conditionalFormatting>
  <conditionalFormatting sqref="O8:O37">
    <cfRule type="cellIs" dxfId="975" priority="143" operator="greaterThan">
      <formula>0.000001</formula>
    </cfRule>
  </conditionalFormatting>
  <conditionalFormatting sqref="O36:O37">
    <cfRule type="expression" dxfId="974" priority="141">
      <formula>AND($E36&lt;$E$35,$E$8=1)</formula>
    </cfRule>
    <cfRule type="expression" dxfId="973" priority="142">
      <formula>AND($E36&gt;=$E$8,$E$8&lt;&gt;1)</formula>
    </cfRule>
  </conditionalFormatting>
  <conditionalFormatting sqref="F8:F38">
    <cfRule type="containsText" dxfId="972" priority="139" operator="containsText" text="Dom">
      <formula>NOT(ISERROR(SEARCH("Dom",F8)))</formula>
    </cfRule>
    <cfRule type="containsText" dxfId="971" priority="140" operator="containsText" text="Sáb">
      <formula>NOT(ISERROR(SEARCH("Sáb",F8)))</formula>
    </cfRule>
  </conditionalFormatting>
  <conditionalFormatting sqref="Q8:Q37">
    <cfRule type="cellIs" dxfId="970" priority="136" operator="greaterThan">
      <formula>0.000001</formula>
    </cfRule>
  </conditionalFormatting>
  <conditionalFormatting sqref="O38">
    <cfRule type="cellIs" dxfId="969" priority="54" operator="greaterThan">
      <formula>0.000001</formula>
    </cfRule>
  </conditionalFormatting>
  <conditionalFormatting sqref="M38">
    <cfRule type="cellIs" dxfId="968" priority="55" operator="greaterThan">
      <formula>0</formula>
    </cfRule>
  </conditionalFormatting>
  <conditionalFormatting sqref="L38:O38">
    <cfRule type="expression" dxfId="967" priority="53">
      <formula>AND($E38&gt;=$E$8,$E$8&lt;&gt;1)</formula>
    </cfRule>
  </conditionalFormatting>
  <conditionalFormatting sqref="G38:K38">
    <cfRule type="expression" dxfId="966" priority="40">
      <formula>OR($G38="Férias",$G38="Falta Injustificada")</formula>
    </cfRule>
    <cfRule type="expression" dxfId="965" priority="41">
      <formula>$G38="Folga (DSR)"</formula>
    </cfRule>
    <cfRule type="expression" dxfId="964" priority="42">
      <formula>$G38="Feriado"</formula>
    </cfRule>
    <cfRule type="expression" dxfId="963" priority="43">
      <formula>$F38="Dom"</formula>
    </cfRule>
  </conditionalFormatting>
  <conditionalFormatting sqref="H38:K38">
    <cfRule type="expression" dxfId="962" priority="39">
      <formula>OR($G38="Falta Justificada",$G38="Falta Injustificada")</formula>
    </cfRule>
  </conditionalFormatting>
  <conditionalFormatting sqref="Q38">
    <cfRule type="cellIs" dxfId="961" priority="36" operator="greaterThan">
      <formula>0.000001</formula>
    </cfRule>
  </conditionalFormatting>
  <conditionalFormatting sqref="L38:Q38">
    <cfRule type="expression" dxfId="960" priority="52">
      <formula>AND($E38&lt;$E$35,$E$8=1)</formula>
    </cfRule>
  </conditionalFormatting>
  <conditionalFormatting sqref="G38:Q38">
    <cfRule type="expression" dxfId="959" priority="37">
      <formula>AND($E38&lt;$E$35,$E$8=1)</formula>
    </cfRule>
    <cfRule type="expression" dxfId="958" priority="38">
      <formula>AND($E38&gt;=$E$8,$E$8&lt;&gt;1)</formula>
    </cfRule>
  </conditionalFormatting>
  <conditionalFormatting sqref="G8:K8 H9:K35 G9:G36">
    <cfRule type="expression" dxfId="957" priority="29">
      <formula>OR($G8="Férias",$G8="Falta Injustificada")</formula>
    </cfRule>
    <cfRule type="expression" dxfId="956" priority="30">
      <formula>$G8="Folga (DSR)"</formula>
    </cfRule>
    <cfRule type="expression" dxfId="955" priority="31">
      <formula>$G8="Feriado"</formula>
    </cfRule>
    <cfRule type="expression" dxfId="954" priority="32">
      <formula>$F8="Dom"</formula>
    </cfRule>
  </conditionalFormatting>
  <conditionalFormatting sqref="H8:K35">
    <cfRule type="expression" dxfId="953" priority="28">
      <formula>OR($G8="Falta Justificada",$G8="Falta Injustificada")</formula>
    </cfRule>
  </conditionalFormatting>
  <conditionalFormatting sqref="G37:K37 H36:K36">
    <cfRule type="expression" dxfId="952" priority="24">
      <formula>OR($G36="Férias",$G36="Falta Injustificada")</formula>
    </cfRule>
    <cfRule type="expression" dxfId="951" priority="25">
      <formula>$G36="Folga (DSR)"</formula>
    </cfRule>
    <cfRule type="expression" dxfId="950" priority="26">
      <formula>$G36="Feriado"</formula>
    </cfRule>
    <cfRule type="expression" dxfId="949" priority="27">
      <formula>$F36="Dom"</formula>
    </cfRule>
  </conditionalFormatting>
  <conditionalFormatting sqref="G37:K37 H36:K36">
    <cfRule type="expression" dxfId="948" priority="21">
      <formula>AND($E36&lt;$E$35,$E$8=1)</formula>
    </cfRule>
    <cfRule type="expression" dxfId="947" priority="22">
      <formula>AND($E36&gt;=$E$8,$E$8&lt;&gt;1)</formula>
    </cfRule>
  </conditionalFormatting>
  <conditionalFormatting sqref="H36:K37">
    <cfRule type="expression" dxfId="946" priority="23">
      <formula>OR($G36="Falta Justificada",$G36="Falta Injustificada")</formula>
    </cfRule>
  </conditionalFormatting>
  <conditionalFormatting sqref="U10:U11">
    <cfRule type="expression" dxfId="945" priority="8">
      <formula>$V$11="Negativo"</formula>
    </cfRule>
  </conditionalFormatting>
  <conditionalFormatting sqref="U12:U13">
    <cfRule type="expression" dxfId="944" priority="560">
      <formula>$U$14&gt;$F$58</formula>
    </cfRule>
  </conditionalFormatting>
  <conditionalFormatting sqref="F40">
    <cfRule type="expression" dxfId="943" priority="561">
      <formula>$E40="Folga(DSR)"</formula>
    </cfRule>
    <cfRule type="expression" dxfId="942" priority="562">
      <formula>$E40="Feriado"</formula>
    </cfRule>
    <cfRule type="expression" dxfId="941" priority="563">
      <formula>$D40="Dom"</formula>
    </cfRule>
  </conditionalFormatting>
  <dataValidations count="3">
    <dataValidation type="list" allowBlank="1" showInputMessage="1" showErrorMessage="1" sqref="G8:G38">
      <formula1>"Normal,Feriado,Folga (DSR),Falta Justificada,Férias,Falta Injustificada"</formula1>
    </dataValidation>
    <dataValidation type="time" allowBlank="1" showInputMessage="1" showErrorMessage="1" sqref="H8:K38">
      <formula1>0</formula1>
      <formula2>0.999988425925926</formula2>
    </dataValidation>
    <dataValidation type="list" allowBlank="1" showInputMessage="1" showErrorMessage="1" sqref="E9:E35">
      <formula1>"1,5,10,16"</formula1>
    </dataValidation>
  </dataValidations>
  <hyperlinks>
    <hyperlink ref="C8" location="Lanç!A1" display="Lanç!A1"/>
    <hyperlink ref="C9" location="'Lanç (2)'!A1" display="'Lanç (2)'!A1"/>
    <hyperlink ref="C10" location="'Lanç (3)'!A1" display="'Lanç (3)'!A1"/>
    <hyperlink ref="C11" location="'Lanç (4)'!A1" display="'Lanç (4)'!A1"/>
    <hyperlink ref="C12" location="'Lanç (5)'!A1" display="'Lanç (5)'!A1"/>
    <hyperlink ref="C13" location="'Lanç (6)'!A1" display="'Lanç (6)'!A1"/>
    <hyperlink ref="C14" location="'Lanç (7)'!A1" display="'Lanç (7)'!A1"/>
    <hyperlink ref="C15" location="'Lanç (8)'!A1" display="'Lanç (8)'!A1"/>
    <hyperlink ref="C16" location="'Lanç (9)'!A1" display="'Lanç (9)'!A1"/>
    <hyperlink ref="C17" location="'Lanç (10)'!A1" display="'Lanç (10)'!A1"/>
    <hyperlink ref="C18" location="'Lanç (11)'!A1" display="'Lanç (11)'!A1"/>
    <hyperlink ref="C19" location="'Lanç (12)'!A1" display="'Lanç (12)'!A1"/>
    <hyperlink ref="C20" location="'Lanç (13)'!A1" display="'Lanç (13)'!A1"/>
    <hyperlink ref="C21" location="'Lanç (14)'!A1" display="'Lanç (14)'!A1"/>
    <hyperlink ref="C22" location="'Lanç (15)'!A1" display="'Lanç (15)'!A1"/>
    <hyperlink ref="C23" location="'Lanç (16)'!A1" display="'Lanç (16)'!A1"/>
    <hyperlink ref="C24" location="'Lanç (17)'!A1" display="'Lanç (17)'!A1"/>
    <hyperlink ref="C25" location="'Lanç (18)'!A1" display="'Lanç (18)'!A1"/>
    <hyperlink ref="C26" location="'Lanç (19)'!A1" display="'Lanç (19)'!A1"/>
    <hyperlink ref="C27" location="'Lanç (20)'!A1" display="'Lanç (20)'!A1"/>
    <hyperlink ref="C28" location="'Lanç (21)'!A1" display="'Lanç (21)'!A1"/>
    <hyperlink ref="C29" location="'Lanç (22)'!A1" display="'Lanç (22)'!A1"/>
    <hyperlink ref="C30" location="'Lanç (23)'!A1" display="'Lanç (23)'!A1"/>
    <hyperlink ref="C31" location="'Lanç (24)'!A1" display="'Lanç (24)'!A1"/>
    <hyperlink ref="C32" location="'Lanç (25)'!A1" display="'Lanç (25)'!A1"/>
    <hyperlink ref="C33" location="'Lanç (26)'!A1" display="'Lanç (26)'!A1"/>
    <hyperlink ref="C34" location="'Lanç (27)'!A1" display="'Lanç (27)'!A1"/>
    <hyperlink ref="C35" location="'Lanç (28)'!A1" display="'Lanç (28)'!A1"/>
    <hyperlink ref="C36" location="'Lanç (29)'!A1" display="'Lanç (29)'!A1"/>
    <hyperlink ref="C37" location="'Lanç (30)'!A1" display="'Lanç (30)'!A1"/>
  </hyperlinks>
  <printOptions horizontalCentered="1"/>
  <pageMargins left="0.23622047244094502" right="0.23622047244094502" top="0.74803149606299202" bottom="0.74803149606299202" header="0.31496062992126" footer="0.31496062992126"/>
  <pageSetup paperSize="9" scale="53" orientation="portrait" cellComments="atEnd"/>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129" id="{83AC5D2C-237D-B84D-8B95-F425BE966946}">
            <xm:f>'P Gerais'!$I$10:$M$10="Pagas em Dinheiro"</xm:f>
            <x14:dxf>
              <font>
                <color theme="0"/>
              </font>
              <fill>
                <patternFill>
                  <bgColor theme="0"/>
                </patternFill>
              </fill>
              <border>
                <left/>
                <right/>
                <top/>
                <bottom/>
              </border>
            </x14:dxf>
          </x14:cfRule>
          <xm:sqref>S10:T13</xm:sqref>
        </x14:conditionalFormatting>
        <x14:conditionalFormatting xmlns:xm="http://schemas.microsoft.com/office/excel/2006/main">
          <x14:cfRule type="expression" priority="128" id="{0900677E-EF1B-F640-83B9-088439717045}">
            <xm:f>'P Gerais'!$I$10:$M$10="Sistema de banco de horas"</xm:f>
            <x14:dxf>
              <font>
                <color theme="0"/>
              </font>
              <fill>
                <patternFill>
                  <bgColor theme="0"/>
                </patternFill>
              </fill>
              <border>
                <left/>
                <right/>
                <top/>
                <bottom/>
              </border>
            </x14:dxf>
          </x14:cfRule>
          <xm:sqref>S18:T19</xm:sqref>
        </x14:conditionalFormatting>
        <x14:conditionalFormatting xmlns:xm="http://schemas.microsoft.com/office/excel/2006/main">
          <x14:cfRule type="expression" priority="10" id="{24871F44-E679-3142-B5CC-7C25C00CCAFD}">
            <xm:f>'P Gerais'!$I$10:$M$10="Sistema de banco de horas"</xm:f>
            <x14:dxf>
              <font>
                <color theme="0"/>
              </font>
              <fill>
                <patternFill>
                  <bgColor theme="0"/>
                </patternFill>
              </fill>
              <border>
                <left/>
                <right/>
                <top/>
                <bottom/>
              </border>
            </x14:dxf>
          </x14:cfRule>
          <xm:sqref>U18:U19</xm:sqref>
        </x14:conditionalFormatting>
        <x14:conditionalFormatting xmlns:xm="http://schemas.microsoft.com/office/excel/2006/main">
          <x14:cfRule type="expression" priority="7" id="{2C351272-D097-324A-A5B1-35AEBD8A85D9}">
            <xm:f>'P Gerais'!$I$10:$M$10="Pagas em Dinheiro"</xm:f>
            <x14:dxf>
              <font>
                <color theme="0"/>
              </font>
              <fill>
                <patternFill>
                  <bgColor theme="0"/>
                </patternFill>
              </fill>
              <border>
                <left/>
                <right/>
                <top/>
                <bottom/>
              </border>
            </x14:dxf>
          </x14:cfRule>
          <xm:sqref>U10:U13</xm:sqref>
        </x14:conditionalFormatting>
      </x14:conditionalFormatting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14" enableFormatConditionsCalculation="0"/>
  <dimension ref="A1:BG103"/>
  <sheetViews>
    <sheetView showGridLines="0" zoomScale="90" zoomScaleNormal="90" zoomScalePageLayoutView="90" workbookViewId="0">
      <selection activeCell="H11" sqref="H11"/>
    </sheetView>
  </sheetViews>
  <sheetFormatPr baseColWidth="10" defaultColWidth="0" defaultRowHeight="0" customHeight="1" zeroHeight="1" x14ac:dyDescent="0.2"/>
  <cols>
    <col min="1" max="1" width="27.83203125" style="194" customWidth="1"/>
    <col min="2" max="2" width="3.83203125" style="14" customWidth="1"/>
    <col min="3" max="3" width="33.33203125" style="14" customWidth="1"/>
    <col min="4" max="4" width="2.83203125" style="14" customWidth="1"/>
    <col min="5" max="5" width="5.83203125" style="14" customWidth="1"/>
    <col min="6" max="6" width="11.83203125" style="14" customWidth="1"/>
    <col min="7" max="7" width="14.33203125" style="195" customWidth="1"/>
    <col min="8" max="11" width="9.83203125" style="14" customWidth="1"/>
    <col min="12" max="12" width="1.83203125" style="14" customWidth="1"/>
    <col min="13" max="13" width="13.33203125" style="14" customWidth="1"/>
    <col min="14" max="14" width="1.83203125" style="14" customWidth="1"/>
    <col min="15" max="15" width="13.33203125" style="14" customWidth="1"/>
    <col min="16" max="16" width="1.83203125" style="14" customWidth="1"/>
    <col min="17" max="17" width="13.33203125" style="14" customWidth="1"/>
    <col min="18" max="18" width="4.83203125" style="2" bestFit="1" customWidth="1"/>
    <col min="19" max="21" width="11.83203125" style="14" customWidth="1"/>
    <col min="22" max="23" width="8.83203125" style="2" customWidth="1"/>
    <col min="24" max="24" width="11.33203125" style="2" bestFit="1" customWidth="1"/>
    <col min="25" max="25" width="8.83203125" style="2" customWidth="1"/>
    <col min="26" max="26" width="8.1640625" style="219" bestFit="1" customWidth="1"/>
    <col min="27" max="27" width="8.83203125" style="2" customWidth="1"/>
    <col min="28" max="28" width="11.33203125" style="2" bestFit="1" customWidth="1"/>
    <col min="29" max="43" width="8.83203125" style="2" customWidth="1"/>
    <col min="44" max="50" width="11.33203125" style="2" customWidth="1"/>
    <col min="51" max="57" width="11.33203125" style="14" customWidth="1"/>
    <col min="58" max="16384" width="8.83203125" style="14" hidden="1"/>
  </cols>
  <sheetData>
    <row r="1" spans="1:59" s="15" customFormat="1" ht="33.75" customHeight="1" x14ac:dyDescent="0.3">
      <c r="A1" s="56"/>
      <c r="B1" s="3"/>
      <c r="C1" s="4" t="s">
        <v>30</v>
      </c>
      <c r="D1" s="3"/>
      <c r="E1" s="3"/>
      <c r="F1" s="3"/>
      <c r="G1" s="77"/>
      <c r="H1" s="3"/>
      <c r="I1" s="3"/>
      <c r="J1" s="3"/>
      <c r="K1" s="3"/>
      <c r="M1" s="3"/>
      <c r="O1" s="3"/>
      <c r="Q1" s="3"/>
      <c r="S1" s="3"/>
      <c r="T1" s="3"/>
      <c r="U1" s="3"/>
      <c r="Z1" s="174"/>
    </row>
    <row r="2" spans="1:59" s="15" customFormat="1" ht="21.5" customHeight="1" x14ac:dyDescent="0.2">
      <c r="A2" s="1"/>
      <c r="B2" s="3"/>
      <c r="C2" s="3"/>
      <c r="D2" s="3"/>
      <c r="E2" s="3"/>
      <c r="F2" s="3"/>
      <c r="G2" s="77"/>
      <c r="H2" s="3"/>
      <c r="I2" s="3"/>
      <c r="J2" s="3"/>
      <c r="K2" s="3"/>
      <c r="M2" s="3"/>
      <c r="O2" s="3"/>
      <c r="Q2" s="3"/>
      <c r="S2" s="3"/>
      <c r="T2" s="3"/>
      <c r="U2" s="3"/>
      <c r="Z2" s="174"/>
    </row>
    <row r="3" spans="1:59" s="15" customFormat="1" ht="21.5" customHeight="1" x14ac:dyDescent="0.2">
      <c r="A3" s="1"/>
      <c r="B3" s="3"/>
      <c r="C3" s="3"/>
      <c r="D3" s="3"/>
      <c r="E3" s="3"/>
      <c r="F3" s="3"/>
      <c r="G3" s="77"/>
      <c r="H3" s="3"/>
      <c r="I3" s="3"/>
      <c r="J3" s="3"/>
      <c r="K3" s="3"/>
      <c r="M3" s="3"/>
      <c r="O3" s="3"/>
      <c r="Q3" s="3"/>
      <c r="S3" s="3"/>
      <c r="T3" s="3"/>
      <c r="U3" s="3"/>
      <c r="Z3" s="174"/>
    </row>
    <row r="4" spans="1:59" s="2" customFormat="1" ht="30" customHeight="1" x14ac:dyDescent="0.2">
      <c r="A4" s="1"/>
      <c r="B4"/>
      <c r="C4"/>
      <c r="D4"/>
      <c r="E4"/>
      <c r="F4"/>
      <c r="G4" s="78"/>
      <c r="H4"/>
      <c r="I4"/>
      <c r="J4"/>
      <c r="K4"/>
      <c r="M4"/>
      <c r="O4" s="13"/>
      <c r="Q4"/>
      <c r="S4"/>
      <c r="T4"/>
      <c r="U4"/>
      <c r="Z4" s="219"/>
      <c r="AN4" s="175"/>
    </row>
    <row r="5" spans="1:59" s="2" customFormat="1" ht="30" customHeight="1" x14ac:dyDescent="0.2">
      <c r="A5" s="9"/>
      <c r="C5" s="160" t="s">
        <v>195</v>
      </c>
      <c r="K5" s="157">
        <f ca="1">IF(ISERROR(VLOOKUP(INDIRECT($C$5),Jornada!$C$8:$F$37,4,0)),0,VLOOKUP(INDIRECT($C$5),Jornada!$C$8:$F$37,4,0))</f>
        <v>0</v>
      </c>
      <c r="L5" s="158"/>
      <c r="M5" s="157">
        <f ca="1">IF(ISERROR(VLOOKUP(INDIRECT($C$5),Jornada!$C$8:$G$37,5,0)),0,VLOOKUP(INDIRECT($C$5),Jornada!$C$8:$G$37,5,0))</f>
        <v>0</v>
      </c>
      <c r="O5" s="12"/>
      <c r="U5" s="12"/>
      <c r="Z5" s="219"/>
      <c r="AC5" s="12"/>
      <c r="AK5" s="179">
        <v>0.25</v>
      </c>
      <c r="AL5" s="155">
        <v>0.91666666666666663</v>
      </c>
      <c r="AM5" s="155">
        <v>0.20833333333333334</v>
      </c>
      <c r="AN5" s="155">
        <v>1</v>
      </c>
      <c r="AO5" s="155">
        <v>0.70833333333333337</v>
      </c>
    </row>
    <row r="6" spans="1:59" s="2" customFormat="1" ht="8" customHeight="1" thickBot="1" x14ac:dyDescent="0.25">
      <c r="A6" s="9"/>
      <c r="C6" s="198"/>
      <c r="G6" s="178"/>
      <c r="M6" s="220">
        <v>1</v>
      </c>
      <c r="O6" s="156"/>
      <c r="Q6" s="156"/>
      <c r="Z6" s="176"/>
    </row>
    <row r="7" spans="1:59" s="2" customFormat="1" ht="30" customHeight="1" thickTop="1" thickBot="1" x14ac:dyDescent="0.25">
      <c r="A7" s="1"/>
      <c r="B7"/>
      <c r="C7" s="76" t="s">
        <v>176</v>
      </c>
      <c r="D7"/>
      <c r="E7" s="281" t="str">
        <f>Lanç!E7</f>
        <v>Janeiro</v>
      </c>
      <c r="F7" s="283"/>
      <c r="G7" s="79" t="s">
        <v>58</v>
      </c>
      <c r="H7" s="82" t="s">
        <v>0</v>
      </c>
      <c r="I7" s="293" t="s">
        <v>59</v>
      </c>
      <c r="J7" s="293"/>
      <c r="K7" s="82" t="s">
        <v>60</v>
      </c>
      <c r="M7" s="73" t="s">
        <v>61</v>
      </c>
      <c r="O7" s="73" t="s">
        <v>62</v>
      </c>
      <c r="Q7" s="73" t="s">
        <v>63</v>
      </c>
      <c r="R7" s="155">
        <v>8.3333333333333329E-2</v>
      </c>
      <c r="S7" s="293" t="s">
        <v>64</v>
      </c>
      <c r="T7" s="293"/>
      <c r="U7" s="293"/>
      <c r="W7" s="2" t="s">
        <v>90</v>
      </c>
      <c r="X7" s="156">
        <v>1</v>
      </c>
      <c r="AB7" s="2">
        <f>VLOOKUP($E$7,$W$7:$X$18,2,0)</f>
        <v>1</v>
      </c>
      <c r="AG7" s="176" t="s">
        <v>167</v>
      </c>
      <c r="AH7" s="176" t="s">
        <v>168</v>
      </c>
      <c r="AI7" s="155">
        <v>0</v>
      </c>
      <c r="AJ7" s="155">
        <v>1</v>
      </c>
      <c r="AK7" s="155">
        <v>0.45833333333333331</v>
      </c>
      <c r="AL7" s="2" t="s">
        <v>0</v>
      </c>
      <c r="AM7" s="2" t="s">
        <v>162</v>
      </c>
      <c r="AN7" s="2" t="s">
        <v>184</v>
      </c>
      <c r="BE7" s="14"/>
      <c r="BF7" s="14"/>
      <c r="BG7" s="14"/>
    </row>
    <row r="8" spans="1:59" s="2" customFormat="1" ht="30" customHeight="1" thickTop="1" thickBot="1" x14ac:dyDescent="0.25">
      <c r="A8" s="1"/>
      <c r="B8"/>
      <c r="C8" s="172" t="str">
        <f>IF(Funcionários!C7=0,"",Funcionários!C7)</f>
        <v/>
      </c>
      <c r="D8"/>
      <c r="E8" s="115">
        <f>Lanç!E8</f>
        <v>1</v>
      </c>
      <c r="F8" s="189" t="str">
        <f>Lanç!F8</f>
        <v>Dom</v>
      </c>
      <c r="G8" s="80"/>
      <c r="H8" s="93"/>
      <c r="I8" s="93"/>
      <c r="J8" s="93"/>
      <c r="K8" s="93"/>
      <c r="L8" s="197"/>
      <c r="M8" s="95">
        <f>IF(AND(H8=K8,H8&lt;&gt;0),$M$6-IF(J8&lt;I8,$AJ$7+J8-I8,J8-I8),IF(H8&gt;K8,(K8+1-H8)-IF(J8&lt;I8,$AJ$7+J8-I8,J8-I8),(K8-H8)-IF(J8&lt;I8,$AJ$7+J8-I8,J8-I8)))</f>
        <v>0</v>
      </c>
      <c r="N8" s="196"/>
      <c r="O8" s="95">
        <f ca="1">IF(OR(G8=0,G8="Férias",G8="Falta Justificada",G8="Feriado",G8="Folga (DSR)"),0,IF(G8="Falta Injustificada",HLOOKUP($F8,Jornada!$X$7:$AD$37,VLOOKUP(INDIRECT($C$5),Jornada!$C$8:$W$37,21,0),0),IF(HLOOKUP($F8,Jornada!$X$7:$AD$37,VLOOKUP(INDIRECT($C$5),Jornada!$C$8:$W$37,21,0),0)-M8&gt;0,HLOOKUP($F8,Jornada!$X$7:$AD$37,VLOOKUP(INDIRECT($C$5),Jornada!$C$8:$W$37,21,0),0)-M8,0)))</f>
        <v>0</v>
      </c>
      <c r="P8" s="193">
        <f ca="1">IF(HLOOKUP($F8,Jornada!$X$7:$AD$37,VLOOKUP(INDIRECT($C$5),Jornada!$C$8:$W$37,21,0),0)-M8&lt;0,ABS(HLOOKUP($F8,Jornada!$X$7:$AD$37,VLOOKUP(INDIRECT($C$5),Jornada!$C$8:$W$37,21,0),0)-M8),0)</f>
        <v>0</v>
      </c>
      <c r="Q8" s="95">
        <f t="shared" ref="Q8:Q38" si="0">IF(G8="Normal",P8,IF(G8=0,0,IF(OR(G8="Feriado",G8="Férias"),IF(H8&gt;K8,(K8+1-H8)-IF(J8&lt;I8,$AJ$7+J8-I8,J8-I8),(K8-H8)-IF(J8&lt;I8,$AJ$7+J8-I8,J8-I8)),IF(G8="Folga (DSR)",IF(H8&gt;K8,(K8+1-H8)-IF(J8&lt;I8,$AJ$7+J8-I8,J8-I8),(K8-H8)-IF(J8&lt;I8,$AJ$7+J8-I8,J8-I8)),IF(G8="Falta Justificada",IF(H8&gt;K8,(K8+1-H8)-IF(J8&lt;I8,$AJ$7+J8-I8,J8-I8),(K8-H8)-IF(J8&lt;I8,$AJ$7+J8-I8,J8-I8)),0)))))</f>
        <v>0</v>
      </c>
      <c r="R8" s="2">
        <f>IF(Q8&gt;$R$7,1,0)</f>
        <v>0</v>
      </c>
      <c r="S8" s="294" t="s">
        <v>65</v>
      </c>
      <c r="T8" s="294"/>
      <c r="U8" s="295">
        <f>SUM(M8:M38)</f>
        <v>0</v>
      </c>
      <c r="W8" s="2" t="s">
        <v>91</v>
      </c>
      <c r="X8" s="156">
        <v>2</v>
      </c>
      <c r="AB8" s="177">
        <f>DATE('P Gerais'!$D$6,AB7,1)</f>
        <v>1</v>
      </c>
      <c r="AC8" s="2">
        <f>WEEKDAY(AB8)</f>
        <v>1</v>
      </c>
      <c r="AE8" s="2">
        <v>1</v>
      </c>
      <c r="AF8" s="2" t="s">
        <v>51</v>
      </c>
      <c r="AG8" s="220">
        <f>IF(J8&lt;I8,$AJ$7+J8-I8,J8-I8)</f>
        <v>0</v>
      </c>
      <c r="AH8" s="220">
        <f ca="1">IF(HLOOKUP($F8,Jornada!$X$7:$AD$37,VLOOKUP(INDIRECT($C$5),Jornada!$C$8:$W$37,21,0),0)=0,0,VLOOKUP(INDIRECT($C$5),Jornada!$C$8:$H$37,4,0))</f>
        <v>0</v>
      </c>
      <c r="AI8" s="155">
        <f ca="1">IF(AND(I8=0,J8=0,OR(H8&lt;&gt;0,K8&lt;&gt;0),HLOOKUP($F8,Jornada!$X$7:$AD$37,VLOOKUP(INDIRECT($C$5),Jornada!$C$8:$W$37,21,0),0)&gt;$AK$5,M8&gt;$AK$5),VLOOKUP(INDIRECT($C$5),Jornada!$C$8:$H$37,6,0),IF(AG8&gt;VLOOKUP(INDIRECT($C$5),Jornada!$C$8:$H$37,6,0),IF(VLOOKUP(INDIRECT($C$5),Jornada!$C$8:$H$37,6,0)&lt;AG8,0,ABS(VLOOKUP(INDIRECT($C$5),Jornada!$C$8:$H$37,6,0))-AG8),0))</f>
        <v>0</v>
      </c>
      <c r="AJ8" s="155">
        <f>($AJ$7-K8)+H8</f>
        <v>1</v>
      </c>
      <c r="AK8" s="155">
        <f>IF(AJ8&lt;$AK$7,$AK$7-AJ8,$AI$7)</f>
        <v>0</v>
      </c>
      <c r="AL8" s="155">
        <f ca="1">HLOOKUP($F8,Jornada!$I$5:$V$37,VLOOKUP(INDIRECT($C$5),Jornada!$C$8:$W$37,21,0)+2,0)</f>
        <v>0</v>
      </c>
      <c r="AM8" s="155">
        <f ca="1">HLOOKUP($F8,Jornada!$I$4:$V$37,VLOOKUP(INDIRECT($C$5),Jornada!$C$8:$W$37,21,0)+3,0)</f>
        <v>0</v>
      </c>
      <c r="AN8" s="155">
        <f ca="1">IF(AND(AL8&gt;=$AL$5,AL8&lt;$AN$5,H8&gt;=$AL$5,H8&lt;AL8),AL8-H8,IF(AND(AL8&gt;$AI$7,AL8&lt;=$AM$5,H8&gt;=$AL$5,H8&lt;=$AN$5),$AN$5-H8+AL8,IF(AND(AL8&gt;=$AI$7,AL8&lt;=$AM$5,H8&gt;=$AI$7,H8&lt;=$AM$5,H8&lt;AL8),H8-AL8,0)))</f>
        <v>0</v>
      </c>
      <c r="AO8" s="155">
        <f>IF(AP8&gt;Q8,0,AP8)</f>
        <v>0</v>
      </c>
      <c r="AP8" s="155">
        <f>IF(Q8=0,0,IF(AND(AM8&gt;=$AL$5,AM8&lt;$AN$5,K8&gt;=$AL$5,K8&lt;$AM$5,K8&gt;AM8),K8-AM8,IF(AND(AM8&gt;=$AL$5,AM8&lt;$AN$5,K8&lt;$AN$5,K8&gt;AM8),K8-$AL$5,IF(AND(AM8&gt;=$AI$7,AM8&lt;$AM$5,K8&lt;$AM$5),K8-AM8,IF(AND(AM8&lt;&gt;AI7,AM8&gt;=$AI$7,AM8&lt;=$AM$5,K8&gt;$AM$5,K8&gt;AM8),$AM$5-AM8,IF(AND(K8&gt;$AL$5,K8&lt;$AN$5),K8-$AL$5,IF(AND(K8&gt;$AI$7,K8&lt;$AM$5),$AN$5-$AL$5+K8,IF(AND(OR(K8&gt;$AL$5,H8&gt;$AO$5),AM8&gt;=$AI$7,AM8&lt;$AM$5,K8&gt;$AM$5),(1+$AM$5-$AL$5)-AG8,0))))))))</f>
        <v>0</v>
      </c>
      <c r="BE8" s="14"/>
      <c r="BF8" s="14"/>
      <c r="BG8" s="14"/>
    </row>
    <row r="9" spans="1:59" s="2" customFormat="1" ht="30" customHeight="1" thickTop="1" thickBot="1" x14ac:dyDescent="0.25">
      <c r="A9" s="1"/>
      <c r="B9"/>
      <c r="C9" s="172" t="str">
        <f>IF(Funcionários!C8=0,"",Funcionários!C8)</f>
        <v/>
      </c>
      <c r="D9"/>
      <c r="E9" s="115">
        <f>Lanç!E9</f>
        <v>2</v>
      </c>
      <c r="F9" s="189" t="str">
        <f>Lanç!F9</f>
        <v>Seg</v>
      </c>
      <c r="G9" s="80"/>
      <c r="H9" s="94"/>
      <c r="I9" s="94"/>
      <c r="J9" s="94"/>
      <c r="K9" s="94"/>
      <c r="L9" s="197"/>
      <c r="M9" s="95">
        <f t="shared" ref="M9:M38" si="1">IF(AND(H9=K9,H9&lt;&gt;0),$M$6-IF(J9&lt;I9,$AJ$7+J9-I9,J9-I9),IF(H9&gt;K9,(K9+1-H9)-IF(J9&lt;I9,$AJ$7+J9-I9,J9-I9),(K9-H9)-IF(J9&lt;I9,$AJ$7+J9-I9,J9-I9)))</f>
        <v>0</v>
      </c>
      <c r="N9" s="196"/>
      <c r="O9" s="95">
        <f ca="1">IF(OR(G9=0,G9="Férias",G9="Falta Justificada",G9="Feriado",G9="Folga (DSR)"),0,IF(G9="Falta Injustificada",HLOOKUP($F9,Jornada!$X$7:$AD$37,VLOOKUP(INDIRECT($C$5),Jornada!$C$8:$W$37,21,0),0),IF(HLOOKUP($F9,Jornada!$X$7:$AD$37,VLOOKUP(INDIRECT($C$5),Jornada!$C$8:$W$37,21,0),0)-M9&gt;0,HLOOKUP($F9,Jornada!$X$7:$AD$37,VLOOKUP(INDIRECT($C$5),Jornada!$C$8:$W$37,21,0),0)-M9,0)))</f>
        <v>0</v>
      </c>
      <c r="P9" s="193">
        <f ca="1">IF(HLOOKUP($F9,Jornada!$X$7:$AD$37,VLOOKUP(INDIRECT($C$5),Jornada!$C$8:$W$37,21,0),0)-M9&lt;0,ABS(HLOOKUP($F9,Jornada!$X$7:$AD$37,VLOOKUP(INDIRECT($C$5),Jornada!$C$8:$W$37,21,0),0)-M9),0)</f>
        <v>0</v>
      </c>
      <c r="Q9" s="95">
        <f t="shared" si="0"/>
        <v>0</v>
      </c>
      <c r="R9" s="2">
        <f t="shared" ref="R9:R38" si="2">IF(Q9&gt;$R$7,1,0)</f>
        <v>0</v>
      </c>
      <c r="S9" s="294"/>
      <c r="T9" s="294"/>
      <c r="U9" s="295"/>
      <c r="W9" s="2" t="s">
        <v>92</v>
      </c>
      <c r="X9" s="156">
        <v>3</v>
      </c>
      <c r="AB9" s="177">
        <f>AB8+1</f>
        <v>2</v>
      </c>
      <c r="AC9" s="2">
        <f t="shared" ref="AC9:AC35" si="3">WEEKDAY(AB9)</f>
        <v>2</v>
      </c>
      <c r="AE9" s="2">
        <v>2</v>
      </c>
      <c r="AF9" s="2" t="s">
        <v>52</v>
      </c>
      <c r="AG9" s="220">
        <f t="shared" ref="AG9:AG38" si="4">IF(J9&lt;I9,$AJ$7+J9-I9,J9-I9)</f>
        <v>0</v>
      </c>
      <c r="AH9" s="220">
        <f ca="1">IF(HLOOKUP($F9,Jornada!$X$7:$AD$37,VLOOKUP(INDIRECT($C$5),Jornada!$C$8:$W$37,21,0),0)=0,0,VLOOKUP(INDIRECT($C$5),Jornada!$C$8:$H$37,4,0))</f>
        <v>0</v>
      </c>
      <c r="AI9" s="155">
        <f ca="1">IF(AND(I9=0,J9=0,OR(H9&lt;&gt;0,K9&lt;&gt;0),HLOOKUP($F9,Jornada!$X$7:$AD$37,VLOOKUP(INDIRECT($C$5),Jornada!$C$8:$W$37,21,0),0)&gt;$AK$5,M9&gt;$AK$5),VLOOKUP(INDIRECT($C$5),Jornada!$C$8:$H$37,6,0),IF(AG9&gt;VLOOKUP(INDIRECT($C$5),Jornada!$C$8:$H$37,6,0),IF(VLOOKUP(INDIRECT($C$5),Jornada!$C$8:$H$37,6,0)&lt;AG9,0,ABS(VLOOKUP(INDIRECT($C$5),Jornada!$C$8:$H$37,6,0))-AG9),0))</f>
        <v>0</v>
      </c>
      <c r="AJ9" s="155">
        <f t="shared" ref="AJ9:AJ38" si="5">($AJ$7-K9)+H9</f>
        <v>1</v>
      </c>
      <c r="AK9" s="155">
        <f t="shared" ref="AK9:AK38" si="6">IF(AJ9&lt;$AK$7,$AK$7-AJ9,$AI$7)</f>
        <v>0</v>
      </c>
      <c r="AL9" s="155">
        <f ca="1">HLOOKUP($F9,Jornada!$I$5:$V$37,VLOOKUP(INDIRECT($C$5),Jornada!$C$8:$W$37,21,0)+2,0)</f>
        <v>0</v>
      </c>
      <c r="AM9" s="155">
        <f ca="1">HLOOKUP($F9,Jornada!$I$4:$V$37,VLOOKUP(INDIRECT($C$5),Jornada!$C$8:$W$37,21,0)+3,0)</f>
        <v>0</v>
      </c>
      <c r="AN9" s="155">
        <f t="shared" ref="AN9:AN38" ca="1" si="7">IF(AND(AL9&gt;=$AL$5,AL9&lt;$AN$5,H9&gt;=$AL$5,H9&lt;AL9),AL9-H9,IF(AND(AL9&gt;$AI$7,AL9&lt;=$AM$5,H9&gt;=$AL$5,H9&lt;=$AN$5),$AN$5-H9+AL9,IF(AND(AL9&gt;=$AI$7,AL9&lt;=$AM$5,H9&gt;=$AI$7,H9&lt;=$AM$5,H9&lt;AL9),H9-AL9,0)))</f>
        <v>0</v>
      </c>
      <c r="AO9" s="155">
        <f t="shared" ref="AO9:AO38" si="8">IF(AP9&gt;Q9,0,AP9)</f>
        <v>0</v>
      </c>
      <c r="AP9" s="155">
        <f t="shared" ref="AP9:AP38" si="9">IF(Q9=0,0,IF(AND(AM9&gt;=$AL$5,AM9&lt;$AN$5,K9&gt;=$AL$5,K9&lt;$AM$5,K9&gt;AM9),K9-AM9,IF(AND(AM9&gt;=$AL$5,AM9&lt;$AN$5,K9&lt;$AN$5,K9&gt;AM9),K9-$AL$5,IF(AND(AM9&gt;=$AI$7,AM9&lt;$AM$5,K9&lt;$AM$5),K9-AM9,IF(AND(AM9&lt;&gt;AI8,AM9&gt;=$AI$7,AM9&lt;=$AM$5,K9&gt;$AM$5,K9&gt;AM9),$AM$5-AM9,IF(AND(K9&gt;$AL$5,K9&lt;$AN$5),K9-$AL$5,IF(AND(K9&gt;$AI$7,K9&lt;$AM$5),$AN$5-$AL$5+K9,IF(AND(OR(K9&gt;$AL$5,H9&gt;$AO$5),AM9&gt;=$AI$7,AM9&lt;$AM$5,K9&gt;$AM$5),(1+$AM$5-$AL$5)-AG9,0))))))))</f>
        <v>0</v>
      </c>
      <c r="BE9" s="14"/>
      <c r="BF9" s="14"/>
      <c r="BG9" s="14"/>
    </row>
    <row r="10" spans="1:59" s="2" customFormat="1" ht="30" customHeight="1" thickTop="1" thickBot="1" x14ac:dyDescent="0.25">
      <c r="A10" s="1"/>
      <c r="B10"/>
      <c r="C10" s="172" t="str">
        <f>IF(Funcionários!C9=0,"",Funcionários!C9)</f>
        <v/>
      </c>
      <c r="D10"/>
      <c r="E10" s="115">
        <f>Lanç!E10</f>
        <v>3</v>
      </c>
      <c r="F10" s="189" t="str">
        <f>Lanç!F10</f>
        <v>Ter</v>
      </c>
      <c r="G10" s="80"/>
      <c r="H10" s="94"/>
      <c r="I10" s="94"/>
      <c r="J10" s="94"/>
      <c r="K10" s="94"/>
      <c r="L10" s="197"/>
      <c r="M10" s="95">
        <f t="shared" si="1"/>
        <v>0</v>
      </c>
      <c r="N10" s="196"/>
      <c r="O10" s="95">
        <f ca="1">IF(OR(G10=0,G10="Férias",G10="Falta Justificada",G10="Feriado",G10="Folga (DSR)"),0,IF(G10="Falta Injustificada",HLOOKUP($F10,Jornada!$X$7:$AD$37,VLOOKUP(INDIRECT($C$5),Jornada!$C$8:$W$37,21,0),0),IF(HLOOKUP($F10,Jornada!$X$7:$AD$37,VLOOKUP(INDIRECT($C$5),Jornada!$C$8:$W$37,21,0),0)-M10&gt;0,HLOOKUP($F10,Jornada!$X$7:$AD$37,VLOOKUP(INDIRECT($C$5),Jornada!$C$8:$W$37,21,0),0)-M10,0)))</f>
        <v>0</v>
      </c>
      <c r="P10" s="193">
        <f ca="1">IF(HLOOKUP($F10,Jornada!$X$7:$AD$37,VLOOKUP(INDIRECT($C$5),Jornada!$C$8:$W$37,21,0),0)-M10&lt;0,ABS(HLOOKUP($F10,Jornada!$X$7:$AD$37,VLOOKUP(INDIRECT($C$5),Jornada!$C$8:$W$37,21,0),0)-M10),0)</f>
        <v>0</v>
      </c>
      <c r="Q10" s="95">
        <f t="shared" si="0"/>
        <v>0</v>
      </c>
      <c r="R10" s="2">
        <f t="shared" si="2"/>
        <v>0</v>
      </c>
      <c r="S10" s="294" t="s">
        <v>66</v>
      </c>
      <c r="T10" s="294"/>
      <c r="U10" s="295">
        <f ca="1">IF(M5="Horas devidas",ABS(-K5+F58-U14),ABS(K5+F58-U14))</f>
        <v>0</v>
      </c>
      <c r="W10" s="2" t="s">
        <v>93</v>
      </c>
      <c r="X10" s="156">
        <v>4</v>
      </c>
      <c r="AB10" s="177">
        <f t="shared" ref="AB10:AB34" si="10">AB9+1</f>
        <v>3</v>
      </c>
      <c r="AC10" s="2">
        <f t="shared" si="3"/>
        <v>3</v>
      </c>
      <c r="AE10" s="2">
        <v>3</v>
      </c>
      <c r="AF10" s="2" t="s">
        <v>53</v>
      </c>
      <c r="AG10" s="220">
        <f t="shared" si="4"/>
        <v>0</v>
      </c>
      <c r="AH10" s="220">
        <f ca="1">IF(HLOOKUP($F10,Jornada!$X$7:$AD$37,VLOOKUP(INDIRECT($C$5),Jornada!$C$8:$W$37,21,0),0)=0,0,VLOOKUP(INDIRECT($C$5),Jornada!$C$8:$H$37,4,0))</f>
        <v>0</v>
      </c>
      <c r="AI10" s="155">
        <f ca="1">IF(AND(I10=0,J10=0,OR(H10&lt;&gt;0,K10&lt;&gt;0),HLOOKUP($F10,Jornada!$X$7:$AD$37,VLOOKUP(INDIRECT($C$5),Jornada!$C$8:$W$37,21,0),0)&gt;$AK$5,M10&gt;$AK$5),VLOOKUP(INDIRECT($C$5),Jornada!$C$8:$H$37,6,0),IF(AG10&gt;VLOOKUP(INDIRECT($C$5),Jornada!$C$8:$H$37,6,0),IF(VLOOKUP(INDIRECT($C$5),Jornada!$C$8:$H$37,6,0)&lt;AG10,0,ABS(VLOOKUP(INDIRECT($C$5),Jornada!$C$8:$H$37,6,0))-AG10),0))</f>
        <v>0</v>
      </c>
      <c r="AJ10" s="155">
        <f t="shared" si="5"/>
        <v>1</v>
      </c>
      <c r="AK10" s="155">
        <f t="shared" si="6"/>
        <v>0</v>
      </c>
      <c r="AL10" s="155">
        <f ca="1">HLOOKUP($F10,Jornada!$I$5:$V$37,VLOOKUP(INDIRECT($C$5),Jornada!$C$8:$W$37,21,0)+2,0)</f>
        <v>0</v>
      </c>
      <c r="AM10" s="155">
        <f ca="1">HLOOKUP($F10,Jornada!$I$4:$V$37,VLOOKUP(INDIRECT($C$5),Jornada!$C$8:$W$37,21,0)+3,0)</f>
        <v>0</v>
      </c>
      <c r="AN10" s="155">
        <f t="shared" ca="1" si="7"/>
        <v>0</v>
      </c>
      <c r="AO10" s="155">
        <f t="shared" si="8"/>
        <v>0</v>
      </c>
      <c r="AP10" s="155">
        <f t="shared" si="9"/>
        <v>0</v>
      </c>
      <c r="BE10" s="14"/>
      <c r="BF10" s="14"/>
      <c r="BG10" s="14"/>
    </row>
    <row r="11" spans="1:59" s="2" customFormat="1" ht="30" customHeight="1" thickTop="1" thickBot="1" x14ac:dyDescent="0.25">
      <c r="A11" s="1"/>
      <c r="B11"/>
      <c r="C11" s="172" t="str">
        <f>IF(Funcionários!C10=0,"",Funcionários!C10)</f>
        <v/>
      </c>
      <c r="D11"/>
      <c r="E11" s="115">
        <f>Lanç!E11</f>
        <v>4</v>
      </c>
      <c r="F11" s="189" t="str">
        <f>Lanç!F11</f>
        <v>Qua</v>
      </c>
      <c r="G11" s="80"/>
      <c r="H11" s="94"/>
      <c r="I11" s="94"/>
      <c r="J11" s="94"/>
      <c r="K11" s="94"/>
      <c r="L11" s="197"/>
      <c r="M11" s="95">
        <f t="shared" si="1"/>
        <v>0</v>
      </c>
      <c r="N11" s="196"/>
      <c r="O11" s="95">
        <f ca="1">IF(OR(G11=0,G11="Férias",G11="Falta Justificada",G11="Feriado",G11="Folga (DSR)"),0,IF(G11="Falta Injustificada",HLOOKUP($F11,Jornada!$X$7:$AD$37,VLOOKUP(INDIRECT($C$5),Jornada!$C$8:$W$37,21,0),0),IF(HLOOKUP($F11,Jornada!$X$7:$AD$37,VLOOKUP(INDIRECT($C$5),Jornada!$C$8:$W$37,21,0),0)-M11&gt;0,HLOOKUP($F11,Jornada!$X$7:$AD$37,VLOOKUP(INDIRECT($C$5),Jornada!$C$8:$W$37,21,0),0)-M11,0)))</f>
        <v>0</v>
      </c>
      <c r="P11" s="193">
        <f ca="1">IF(HLOOKUP($F11,Jornada!$X$7:$AD$37,VLOOKUP(INDIRECT($C$5),Jornada!$C$8:$W$37,21,0),0)-M11&lt;0,ABS(HLOOKUP($F11,Jornada!$X$7:$AD$37,VLOOKUP(INDIRECT($C$5),Jornada!$C$8:$W$37,21,0),0)-M11),0)</f>
        <v>0</v>
      </c>
      <c r="Q11" s="95">
        <f t="shared" si="0"/>
        <v>0</v>
      </c>
      <c r="R11" s="2">
        <f t="shared" si="2"/>
        <v>0</v>
      </c>
      <c r="S11" s="294"/>
      <c r="T11" s="294"/>
      <c r="U11" s="295"/>
      <c r="V11" s="2">
        <f ca="1">IF(AND(K5&gt;U12,M5="Horas devidas"),"Negativo",IF(AND(U12&gt;K5,U14&gt;F58),"Negativo",0))</f>
        <v>0</v>
      </c>
      <c r="W11" s="2" t="s">
        <v>94</v>
      </c>
      <c r="X11" s="156">
        <v>5</v>
      </c>
      <c r="Z11" s="2" t="str">
        <f ca="1">IF(AND(M5="horas extras",Z13="positivo"),"positivo",IF(AND(M5="horas devidas",Z13="Negativo"),"Negativo",IF(AND(Z13="positivo",M5="horas devidas",U12&gt;K5),"Positivo","Negativo")))</f>
        <v>Negativo</v>
      </c>
      <c r="AB11" s="177">
        <f t="shared" si="10"/>
        <v>4</v>
      </c>
      <c r="AC11" s="2">
        <f t="shared" si="3"/>
        <v>4</v>
      </c>
      <c r="AE11" s="2">
        <v>4</v>
      </c>
      <c r="AF11" s="2" t="s">
        <v>54</v>
      </c>
      <c r="AG11" s="220">
        <f t="shared" si="4"/>
        <v>0</v>
      </c>
      <c r="AH11" s="220">
        <f ca="1">IF(HLOOKUP($F11,Jornada!$X$7:$AD$37,VLOOKUP(INDIRECT($C$5),Jornada!$C$8:$W$37,21,0),0)=0,0,VLOOKUP(INDIRECT($C$5),Jornada!$C$8:$H$37,4,0))</f>
        <v>0</v>
      </c>
      <c r="AI11" s="155">
        <f ca="1">IF(AND(I11=0,J11=0,OR(H11&lt;&gt;0,K11&lt;&gt;0),HLOOKUP($F11,Jornada!$X$7:$AD$37,VLOOKUP(INDIRECT($C$5),Jornada!$C$8:$W$37,21,0),0)&gt;$AK$5,M11&gt;$AK$5),VLOOKUP(INDIRECT($C$5),Jornada!$C$8:$H$37,6,0),IF(AG11&gt;VLOOKUP(INDIRECT($C$5),Jornada!$C$8:$H$37,6,0),IF(VLOOKUP(INDIRECT($C$5),Jornada!$C$8:$H$37,6,0)&lt;AG11,0,ABS(VLOOKUP(INDIRECT($C$5),Jornada!$C$8:$H$37,6,0))-AG11),0))</f>
        <v>0</v>
      </c>
      <c r="AJ11" s="155">
        <f t="shared" si="5"/>
        <v>1</v>
      </c>
      <c r="AK11" s="155">
        <f t="shared" si="6"/>
        <v>0</v>
      </c>
      <c r="AL11" s="155">
        <f ca="1">HLOOKUP($F11,Jornada!$I$5:$V$37,VLOOKUP(INDIRECT($C$5),Jornada!$C$8:$W$37,21,0)+2,0)</f>
        <v>0</v>
      </c>
      <c r="AM11" s="155">
        <f ca="1">HLOOKUP($F11,Jornada!$I$4:$V$37,VLOOKUP(INDIRECT($C$5),Jornada!$C$8:$W$37,21,0)+3,0)</f>
        <v>0</v>
      </c>
      <c r="AN11" s="155">
        <f t="shared" ca="1" si="7"/>
        <v>0</v>
      </c>
      <c r="AO11" s="155">
        <f t="shared" si="8"/>
        <v>0</v>
      </c>
      <c r="AP11" s="155">
        <f t="shared" si="9"/>
        <v>0</v>
      </c>
      <c r="BE11" s="14"/>
      <c r="BF11" s="14"/>
      <c r="BG11" s="14"/>
    </row>
    <row r="12" spans="1:59" s="2" customFormat="1" ht="30" customHeight="1" thickTop="1" thickBot="1" x14ac:dyDescent="0.25">
      <c r="A12" s="1"/>
      <c r="B12"/>
      <c r="C12" s="172" t="str">
        <f>IF(Funcionários!C11=0,"",Funcionários!C11)</f>
        <v/>
      </c>
      <c r="D12"/>
      <c r="E12" s="115">
        <f>Lanç!E12</f>
        <v>5</v>
      </c>
      <c r="F12" s="189" t="str">
        <f>Lanç!F12</f>
        <v>Qui</v>
      </c>
      <c r="G12" s="80"/>
      <c r="H12" s="94"/>
      <c r="I12" s="94"/>
      <c r="J12" s="94"/>
      <c r="K12" s="94"/>
      <c r="L12" s="197"/>
      <c r="M12" s="95">
        <f t="shared" si="1"/>
        <v>0</v>
      </c>
      <c r="N12" s="196"/>
      <c r="O12" s="95">
        <f ca="1">IF(OR(G12=0,G12="Férias",G12="Falta Justificada",G12="Feriado",G12="Folga (DSR)"),0,IF(G12="Falta Injustificada",HLOOKUP($F12,Jornada!$X$7:$AD$37,VLOOKUP(INDIRECT($C$5),Jornada!$C$8:$W$37,21,0),0),IF(HLOOKUP($F12,Jornada!$X$7:$AD$37,VLOOKUP(INDIRECT($C$5),Jornada!$C$8:$W$37,21,0),0)-M12&gt;0,HLOOKUP($F12,Jornada!$X$7:$AD$37,VLOOKUP(INDIRECT($C$5),Jornada!$C$8:$W$37,21,0),0)-M12,0)))</f>
        <v>0</v>
      </c>
      <c r="P12" s="193">
        <f ca="1">IF(HLOOKUP($F12,Jornada!$X$7:$AD$37,VLOOKUP(INDIRECT($C$5),Jornada!$C$8:$W$37,21,0),0)-M12&lt;0,ABS(HLOOKUP($F12,Jornada!$X$7:$AD$37,VLOOKUP(INDIRECT($C$5),Jornada!$C$8:$W$37,21,0),0)-M12),0)</f>
        <v>0</v>
      </c>
      <c r="Q12" s="95">
        <f t="shared" si="0"/>
        <v>0</v>
      </c>
      <c r="R12" s="2">
        <f t="shared" si="2"/>
        <v>0</v>
      </c>
      <c r="S12" s="294" t="s">
        <v>175</v>
      </c>
      <c r="T12" s="294"/>
      <c r="U12" s="295">
        <f ca="1">IF(U14&gt;=F58,(U14)-F58,(F58-U14))</f>
        <v>0</v>
      </c>
      <c r="W12" s="2" t="s">
        <v>95</v>
      </c>
      <c r="X12" s="156">
        <v>6</v>
      </c>
      <c r="AB12" s="177">
        <f t="shared" si="10"/>
        <v>5</v>
      </c>
      <c r="AC12" s="2">
        <f t="shared" si="3"/>
        <v>5</v>
      </c>
      <c r="AE12" s="2">
        <v>5</v>
      </c>
      <c r="AF12" s="2" t="s">
        <v>55</v>
      </c>
      <c r="AG12" s="220">
        <f t="shared" si="4"/>
        <v>0</v>
      </c>
      <c r="AH12" s="220">
        <f ca="1">IF(HLOOKUP($F12,Jornada!$X$7:$AD$37,VLOOKUP(INDIRECT($C$5),Jornada!$C$8:$W$37,21,0),0)=0,0,VLOOKUP(INDIRECT($C$5),Jornada!$C$8:$H$37,4,0))</f>
        <v>0</v>
      </c>
      <c r="AI12" s="155">
        <f ca="1">IF(AND(I12=0,J12=0,OR(H12&lt;&gt;0,K12&lt;&gt;0),HLOOKUP($F12,Jornada!$X$7:$AD$37,VLOOKUP(INDIRECT($C$5),Jornada!$C$8:$W$37,21,0),0)&gt;$AK$5,M12&gt;$AK$5),VLOOKUP(INDIRECT($C$5),Jornada!$C$8:$H$37,6,0),IF(AG12&gt;VLOOKUP(INDIRECT($C$5),Jornada!$C$8:$H$37,6,0),IF(VLOOKUP(INDIRECT($C$5),Jornada!$C$8:$H$37,6,0)&lt;AG12,0,ABS(VLOOKUP(INDIRECT($C$5),Jornada!$C$8:$H$37,6,0))-AG12),0))</f>
        <v>0</v>
      </c>
      <c r="AJ12" s="155">
        <f t="shared" si="5"/>
        <v>1</v>
      </c>
      <c r="AK12" s="155">
        <f t="shared" si="6"/>
        <v>0</v>
      </c>
      <c r="AL12" s="155">
        <f ca="1">HLOOKUP($F12,Jornada!$I$5:$V$37,VLOOKUP(INDIRECT($C$5),Jornada!$C$8:$W$37,21,0)+2,0)</f>
        <v>0</v>
      </c>
      <c r="AM12" s="155">
        <f ca="1">HLOOKUP($F12,Jornada!$I$4:$V$37,VLOOKUP(INDIRECT($C$5),Jornada!$C$8:$W$37,21,0)+3,0)</f>
        <v>0</v>
      </c>
      <c r="AN12" s="155">
        <f t="shared" ca="1" si="7"/>
        <v>0</v>
      </c>
      <c r="AO12" s="155">
        <f t="shared" si="8"/>
        <v>0</v>
      </c>
      <c r="AP12" s="155">
        <f t="shared" si="9"/>
        <v>0</v>
      </c>
      <c r="BE12" s="14"/>
      <c r="BF12" s="14"/>
      <c r="BG12" s="14"/>
    </row>
    <row r="13" spans="1:59" s="2" customFormat="1" ht="30" customHeight="1" thickTop="1" thickBot="1" x14ac:dyDescent="0.25">
      <c r="A13" s="1"/>
      <c r="B13"/>
      <c r="C13" s="172" t="str">
        <f>IF(Funcionários!C12=0,"",Funcionários!C12)</f>
        <v/>
      </c>
      <c r="D13"/>
      <c r="E13" s="115">
        <f>Lanç!E13</f>
        <v>6</v>
      </c>
      <c r="F13" s="189" t="str">
        <f>Lanç!F13</f>
        <v>Sex</v>
      </c>
      <c r="G13" s="80"/>
      <c r="H13" s="94"/>
      <c r="I13" s="94"/>
      <c r="J13" s="94"/>
      <c r="K13" s="94"/>
      <c r="L13" s="197"/>
      <c r="M13" s="95">
        <f t="shared" si="1"/>
        <v>0</v>
      </c>
      <c r="N13" s="196"/>
      <c r="O13" s="95">
        <f ca="1">IF(OR(G13=0,G13="Férias",G13="Falta Justificada",G13="Feriado",G13="Folga (DSR)"),0,IF(G13="Falta Injustificada",HLOOKUP($F13,Jornada!$X$7:$AD$37,VLOOKUP(INDIRECT($C$5),Jornada!$C$8:$W$37,21,0),0),IF(HLOOKUP($F13,Jornada!$X$7:$AD$37,VLOOKUP(INDIRECT($C$5),Jornada!$C$8:$W$37,21,0),0)-M13&gt;0,HLOOKUP($F13,Jornada!$X$7:$AD$37,VLOOKUP(INDIRECT($C$5),Jornada!$C$8:$W$37,21,0),0)-M13,0)))</f>
        <v>0</v>
      </c>
      <c r="P13" s="193">
        <f ca="1">IF(HLOOKUP($F13,Jornada!$X$7:$AD$37,VLOOKUP(INDIRECT($C$5),Jornada!$C$8:$W$37,21,0),0)-M13&lt;0,ABS(HLOOKUP($F13,Jornada!$X$7:$AD$37,VLOOKUP(INDIRECT($C$5),Jornada!$C$8:$W$37,21,0),0)-M13),0)</f>
        <v>0</v>
      </c>
      <c r="Q13" s="95">
        <f t="shared" si="0"/>
        <v>0</v>
      </c>
      <c r="R13" s="2">
        <f t="shared" si="2"/>
        <v>0</v>
      </c>
      <c r="S13" s="294"/>
      <c r="T13" s="294"/>
      <c r="U13" s="295"/>
      <c r="W13" s="2" t="s">
        <v>96</v>
      </c>
      <c r="X13" s="156">
        <v>7</v>
      </c>
      <c r="Z13" s="2" t="str">
        <f ca="1">IF(U14&gt;F58,"Negativo","Positivo")</f>
        <v>Positivo</v>
      </c>
      <c r="AB13" s="177">
        <f t="shared" si="10"/>
        <v>6</v>
      </c>
      <c r="AC13" s="2">
        <f t="shared" si="3"/>
        <v>6</v>
      </c>
      <c r="AE13" s="2">
        <v>6</v>
      </c>
      <c r="AF13" s="2" t="s">
        <v>56</v>
      </c>
      <c r="AG13" s="220">
        <f t="shared" si="4"/>
        <v>0</v>
      </c>
      <c r="AH13" s="220">
        <f ca="1">IF(HLOOKUP($F13,Jornada!$X$7:$AD$37,VLOOKUP(INDIRECT($C$5),Jornada!$C$8:$W$37,21,0),0)=0,0,VLOOKUP(INDIRECT($C$5),Jornada!$C$8:$H$37,4,0))</f>
        <v>0</v>
      </c>
      <c r="AI13" s="155">
        <f ca="1">IF(AND(I13=0,J13=0,OR(H13&lt;&gt;0,K13&lt;&gt;0),HLOOKUP($F13,Jornada!$X$7:$AD$37,VLOOKUP(INDIRECT($C$5),Jornada!$C$8:$W$37,21,0),0)&gt;$AK$5,M13&gt;$AK$5),VLOOKUP(INDIRECT($C$5),Jornada!$C$8:$H$37,6,0),IF(AG13&gt;VLOOKUP(INDIRECT($C$5),Jornada!$C$8:$H$37,6,0),IF(VLOOKUP(INDIRECT($C$5),Jornada!$C$8:$H$37,6,0)&lt;AG13,0,ABS(VLOOKUP(INDIRECT($C$5),Jornada!$C$8:$H$37,6,0))-AG13),0))</f>
        <v>0</v>
      </c>
      <c r="AJ13" s="155">
        <f t="shared" si="5"/>
        <v>1</v>
      </c>
      <c r="AK13" s="155">
        <f t="shared" si="6"/>
        <v>0</v>
      </c>
      <c r="AL13" s="155">
        <f ca="1">HLOOKUP($F13,Jornada!$I$5:$V$37,VLOOKUP(INDIRECT($C$5),Jornada!$C$8:$W$37,21,0)+2,0)</f>
        <v>0</v>
      </c>
      <c r="AM13" s="155">
        <f ca="1">HLOOKUP($F13,Jornada!$I$4:$V$37,VLOOKUP(INDIRECT($C$5),Jornada!$C$8:$W$37,21,0)+3,0)</f>
        <v>0</v>
      </c>
      <c r="AN13" s="155">
        <f t="shared" ca="1" si="7"/>
        <v>0</v>
      </c>
      <c r="AO13" s="155">
        <f t="shared" si="8"/>
        <v>0</v>
      </c>
      <c r="AP13" s="155">
        <f t="shared" si="9"/>
        <v>0</v>
      </c>
      <c r="BE13" s="14"/>
      <c r="BF13" s="14"/>
      <c r="BG13" s="14"/>
    </row>
    <row r="14" spans="1:59" s="2" customFormat="1" ht="30" customHeight="1" thickTop="1" thickBot="1" x14ac:dyDescent="0.25">
      <c r="A14" s="1"/>
      <c r="B14"/>
      <c r="C14" s="172" t="str">
        <f>IF(Funcionários!C13=0,"",Funcionários!C13)</f>
        <v/>
      </c>
      <c r="D14"/>
      <c r="E14" s="115">
        <f>Lanç!E14</f>
        <v>7</v>
      </c>
      <c r="F14" s="189" t="str">
        <f>Lanç!F14</f>
        <v>Sáb</v>
      </c>
      <c r="G14" s="80"/>
      <c r="H14" s="94"/>
      <c r="I14" s="94"/>
      <c r="J14" s="94"/>
      <c r="K14" s="94"/>
      <c r="L14" s="197"/>
      <c r="M14" s="95">
        <f t="shared" si="1"/>
        <v>0</v>
      </c>
      <c r="N14" s="196"/>
      <c r="O14" s="95">
        <f ca="1">IF(OR(G14=0,G14="Férias",G14="Falta Justificada",G14="Feriado",G14="Folga (DSR)"),0,IF(G14="Falta Injustificada",HLOOKUP($F14,Jornada!$X$7:$AD$37,VLOOKUP(INDIRECT($C$5),Jornada!$C$8:$W$37,21,0),0),IF(HLOOKUP($F14,Jornada!$X$7:$AD$37,VLOOKUP(INDIRECT($C$5),Jornada!$C$8:$W$37,21,0),0)-M14&gt;0,HLOOKUP($F14,Jornada!$X$7:$AD$37,VLOOKUP(INDIRECT($C$5),Jornada!$C$8:$W$37,21,0),0)-M14,0)))</f>
        <v>0</v>
      </c>
      <c r="P14" s="193">
        <f ca="1">IF(HLOOKUP($F14,Jornada!$X$7:$AD$37,VLOOKUP(INDIRECT($C$5),Jornada!$C$8:$W$37,21,0),0)-M14&lt;0,ABS(HLOOKUP($F14,Jornada!$X$7:$AD$37,VLOOKUP(INDIRECT($C$5),Jornada!$C$8:$W$37,21,0),0)-M14),0)</f>
        <v>0</v>
      </c>
      <c r="Q14" s="95">
        <f t="shared" si="0"/>
        <v>0</v>
      </c>
      <c r="R14" s="2">
        <f t="shared" si="2"/>
        <v>0</v>
      </c>
      <c r="S14" s="294" t="s">
        <v>68</v>
      </c>
      <c r="T14" s="294"/>
      <c r="U14" s="295">
        <f ca="1">SUM(O8:O38)</f>
        <v>0</v>
      </c>
      <c r="W14" s="2" t="s">
        <v>97</v>
      </c>
      <c r="X14" s="156">
        <v>8</v>
      </c>
      <c r="AB14" s="177">
        <f t="shared" si="10"/>
        <v>7</v>
      </c>
      <c r="AC14" s="2">
        <f t="shared" si="3"/>
        <v>7</v>
      </c>
      <c r="AE14" s="2">
        <v>7</v>
      </c>
      <c r="AF14" s="2" t="s">
        <v>57</v>
      </c>
      <c r="AG14" s="220">
        <f t="shared" si="4"/>
        <v>0</v>
      </c>
      <c r="AH14" s="220">
        <f ca="1">IF(HLOOKUP($F14,Jornada!$X$7:$AD$37,VLOOKUP(INDIRECT($C$5),Jornada!$C$8:$W$37,21,0),0)=0,0,VLOOKUP(INDIRECT($C$5),Jornada!$C$8:$H$37,4,0))</f>
        <v>0</v>
      </c>
      <c r="AI14" s="155">
        <f ca="1">IF(AND(I14=0,J14=0,OR(H14&lt;&gt;0,K14&lt;&gt;0),HLOOKUP($F14,Jornada!$X$7:$AD$37,VLOOKUP(INDIRECT($C$5),Jornada!$C$8:$W$37,21,0),0)&gt;$AK$5,M14&gt;$AK$5),VLOOKUP(INDIRECT($C$5),Jornada!$C$8:$H$37,6,0),IF(AG14&gt;VLOOKUP(INDIRECT($C$5),Jornada!$C$8:$H$37,6,0),IF(VLOOKUP(INDIRECT($C$5),Jornada!$C$8:$H$37,6,0)&lt;AG14,0,ABS(VLOOKUP(INDIRECT($C$5),Jornada!$C$8:$H$37,6,0))-AG14),0))</f>
        <v>0</v>
      </c>
      <c r="AJ14" s="155">
        <f t="shared" si="5"/>
        <v>1</v>
      </c>
      <c r="AK14" s="155">
        <f t="shared" si="6"/>
        <v>0</v>
      </c>
      <c r="AL14" s="155">
        <f ca="1">HLOOKUP($F14,Jornada!$I$5:$V$37,VLOOKUP(INDIRECT($C$5),Jornada!$C$8:$W$37,21,0)+2,0)</f>
        <v>0</v>
      </c>
      <c r="AM14" s="155">
        <f ca="1">HLOOKUP($F14,Jornada!$I$4:$V$37,VLOOKUP(INDIRECT($C$5),Jornada!$C$8:$W$37,21,0)+3,0)</f>
        <v>0</v>
      </c>
      <c r="AN14" s="155">
        <f t="shared" ca="1" si="7"/>
        <v>0</v>
      </c>
      <c r="AO14" s="155">
        <f t="shared" si="8"/>
        <v>0</v>
      </c>
      <c r="AP14" s="155">
        <f t="shared" si="9"/>
        <v>0</v>
      </c>
      <c r="BE14" s="14"/>
      <c r="BF14" s="14"/>
      <c r="BG14" s="14"/>
    </row>
    <row r="15" spans="1:59" s="2" customFormat="1" ht="30" customHeight="1" thickTop="1" thickBot="1" x14ac:dyDescent="0.25">
      <c r="A15" s="1"/>
      <c r="B15"/>
      <c r="C15" s="172" t="str">
        <f>IF(Funcionários!C14=0,"",Funcionários!C14)</f>
        <v/>
      </c>
      <c r="D15"/>
      <c r="E15" s="115">
        <f>Lanç!E15</f>
        <v>8</v>
      </c>
      <c r="F15" s="189" t="str">
        <f>Lanç!F15</f>
        <v>Dom</v>
      </c>
      <c r="G15" s="80"/>
      <c r="H15" s="94"/>
      <c r="I15" s="94"/>
      <c r="J15" s="94"/>
      <c r="K15" s="94"/>
      <c r="L15" s="197"/>
      <c r="M15" s="95">
        <f t="shared" si="1"/>
        <v>0</v>
      </c>
      <c r="N15" s="196"/>
      <c r="O15" s="95">
        <f ca="1">IF(OR(G15=0,G15="Férias",G15="Falta Justificada",G15="Feriado",G15="Folga (DSR)"),0,IF(G15="Falta Injustificada",HLOOKUP($F15,Jornada!$X$7:$AD$37,VLOOKUP(INDIRECT($C$5),Jornada!$C$8:$W$37,21,0),0),IF(HLOOKUP($F15,Jornada!$X$7:$AD$37,VLOOKUP(INDIRECT($C$5),Jornada!$C$8:$W$37,21,0),0)-M15&gt;0,HLOOKUP($F15,Jornada!$X$7:$AD$37,VLOOKUP(INDIRECT($C$5),Jornada!$C$8:$W$37,21,0),0)-M15,0)))</f>
        <v>0</v>
      </c>
      <c r="P15" s="193">
        <f ca="1">IF(HLOOKUP($F15,Jornada!$X$7:$AD$37,VLOOKUP(INDIRECT($C$5),Jornada!$C$8:$W$37,21,0),0)-M15&lt;0,ABS(HLOOKUP($F15,Jornada!$X$7:$AD$37,VLOOKUP(INDIRECT($C$5),Jornada!$C$8:$W$37,21,0),0)-M15),0)</f>
        <v>0</v>
      </c>
      <c r="Q15" s="95">
        <f t="shared" si="0"/>
        <v>0</v>
      </c>
      <c r="R15" s="2">
        <f t="shared" si="2"/>
        <v>0</v>
      </c>
      <c r="S15" s="294"/>
      <c r="T15" s="294"/>
      <c r="U15" s="295"/>
      <c r="W15" s="2" t="s">
        <v>98</v>
      </c>
      <c r="X15" s="156">
        <v>9</v>
      </c>
      <c r="AB15" s="177">
        <f t="shared" si="10"/>
        <v>8</v>
      </c>
      <c r="AC15" s="2">
        <f t="shared" si="3"/>
        <v>1</v>
      </c>
      <c r="AG15" s="220">
        <f t="shared" si="4"/>
        <v>0</v>
      </c>
      <c r="AH15" s="220">
        <f ca="1">IF(HLOOKUP($F15,Jornada!$X$7:$AD$37,VLOOKUP(INDIRECT($C$5),Jornada!$C$8:$W$37,21,0),0)=0,0,VLOOKUP(INDIRECT($C$5),Jornada!$C$8:$H$37,4,0))</f>
        <v>0</v>
      </c>
      <c r="AI15" s="155">
        <f ca="1">IF(AND(I15=0,J15=0,OR(H15&lt;&gt;0,K15&lt;&gt;0),HLOOKUP($F15,Jornada!$X$7:$AD$37,VLOOKUP(INDIRECT($C$5),Jornada!$C$8:$W$37,21,0),0)&gt;$AK$5,M15&gt;$AK$5),VLOOKUP(INDIRECT($C$5),Jornada!$C$8:$H$37,6,0),IF(AG15&gt;VLOOKUP(INDIRECT($C$5),Jornada!$C$8:$H$37,6,0),IF(VLOOKUP(INDIRECT($C$5),Jornada!$C$8:$H$37,6,0)&lt;AG15,0,ABS(VLOOKUP(INDIRECT($C$5),Jornada!$C$8:$H$37,6,0))-AG15),0))</f>
        <v>0</v>
      </c>
      <c r="AJ15" s="155">
        <f t="shared" si="5"/>
        <v>1</v>
      </c>
      <c r="AK15" s="155">
        <f t="shared" si="6"/>
        <v>0</v>
      </c>
      <c r="AL15" s="155">
        <f ca="1">HLOOKUP($F15,Jornada!$I$5:$V$37,VLOOKUP(INDIRECT($C$5),Jornada!$C$8:$W$37,21,0)+2,0)</f>
        <v>0</v>
      </c>
      <c r="AM15" s="155">
        <f ca="1">HLOOKUP($F15,Jornada!$I$4:$V$37,VLOOKUP(INDIRECT($C$5),Jornada!$C$8:$W$37,21,0)+3,0)</f>
        <v>0</v>
      </c>
      <c r="AN15" s="155">
        <f t="shared" ca="1" si="7"/>
        <v>0</v>
      </c>
      <c r="AO15" s="155">
        <f t="shared" si="8"/>
        <v>0</v>
      </c>
      <c r="AP15" s="155">
        <f t="shared" si="9"/>
        <v>0</v>
      </c>
      <c r="BE15" s="14"/>
      <c r="BF15" s="14"/>
      <c r="BG15" s="14"/>
    </row>
    <row r="16" spans="1:59" s="2" customFormat="1" ht="30" customHeight="1" thickTop="1" thickBot="1" x14ac:dyDescent="0.25">
      <c r="A16" s="1"/>
      <c r="B16"/>
      <c r="C16" s="172" t="str">
        <f>IF(Funcionários!C15=0,"",Funcionários!C15)</f>
        <v/>
      </c>
      <c r="D16"/>
      <c r="E16" s="115">
        <f>Lanç!E16</f>
        <v>9</v>
      </c>
      <c r="F16" s="189" t="str">
        <f>Lanç!F16</f>
        <v>Seg</v>
      </c>
      <c r="G16" s="80"/>
      <c r="H16" s="94"/>
      <c r="I16" s="94"/>
      <c r="J16" s="94"/>
      <c r="K16" s="94"/>
      <c r="L16" s="197"/>
      <c r="M16" s="95">
        <f t="shared" si="1"/>
        <v>0</v>
      </c>
      <c r="N16" s="196"/>
      <c r="O16" s="95">
        <f ca="1">IF(OR(G16=0,G16="Férias",G16="Falta Justificada",G16="Feriado",G16="Folga (DSR)"),0,IF(G16="Falta Injustificada",HLOOKUP($F16,Jornada!$X$7:$AD$37,VLOOKUP(INDIRECT($C$5),Jornada!$C$8:$W$37,21,0),0),IF(HLOOKUP($F16,Jornada!$X$7:$AD$37,VLOOKUP(INDIRECT($C$5),Jornada!$C$8:$W$37,21,0),0)-M16&gt;0,HLOOKUP($F16,Jornada!$X$7:$AD$37,VLOOKUP(INDIRECT($C$5),Jornada!$C$8:$W$37,21,0),0)-M16,0)))</f>
        <v>0</v>
      </c>
      <c r="P16" s="193">
        <f ca="1">IF(HLOOKUP($F16,Jornada!$X$7:$AD$37,VLOOKUP(INDIRECT($C$5),Jornada!$C$8:$W$37,21,0),0)-M16&lt;0,ABS(HLOOKUP($F16,Jornada!$X$7:$AD$37,VLOOKUP(INDIRECT($C$5),Jornada!$C$8:$W$37,21,0),0)-M16),0)</f>
        <v>0</v>
      </c>
      <c r="Q16" s="95">
        <f t="shared" si="0"/>
        <v>0</v>
      </c>
      <c r="R16" s="2">
        <f t="shared" si="2"/>
        <v>0</v>
      </c>
      <c r="S16" s="294" t="s">
        <v>67</v>
      </c>
      <c r="T16" s="294"/>
      <c r="U16" s="295">
        <f>SUM(Q8:Q38)</f>
        <v>0</v>
      </c>
      <c r="W16" s="2" t="s">
        <v>99</v>
      </c>
      <c r="X16" s="156">
        <v>10</v>
      </c>
      <c r="AB16" s="177">
        <f t="shared" si="10"/>
        <v>9</v>
      </c>
      <c r="AC16" s="2">
        <f t="shared" si="3"/>
        <v>2</v>
      </c>
      <c r="AG16" s="220">
        <f t="shared" si="4"/>
        <v>0</v>
      </c>
      <c r="AH16" s="220">
        <f ca="1">IF(HLOOKUP($F16,Jornada!$X$7:$AD$37,VLOOKUP(INDIRECT($C$5),Jornada!$C$8:$W$37,21,0),0)=0,0,VLOOKUP(INDIRECT($C$5),Jornada!$C$8:$H$37,4,0))</f>
        <v>0</v>
      </c>
      <c r="AI16" s="155">
        <f ca="1">IF(AND(I16=0,J16=0,OR(H16&lt;&gt;0,K16&lt;&gt;0),HLOOKUP($F16,Jornada!$X$7:$AD$37,VLOOKUP(INDIRECT($C$5),Jornada!$C$8:$W$37,21,0),0)&gt;$AK$5,M16&gt;$AK$5),VLOOKUP(INDIRECT($C$5),Jornada!$C$8:$H$37,6,0),IF(AG16&gt;VLOOKUP(INDIRECT($C$5),Jornada!$C$8:$H$37,6,0),IF(VLOOKUP(INDIRECT($C$5),Jornada!$C$8:$H$37,6,0)&lt;AG16,0,ABS(VLOOKUP(INDIRECT($C$5),Jornada!$C$8:$H$37,6,0))-AG16),0))</f>
        <v>0</v>
      </c>
      <c r="AJ16" s="155">
        <f t="shared" si="5"/>
        <v>1</v>
      </c>
      <c r="AK16" s="155">
        <f t="shared" si="6"/>
        <v>0</v>
      </c>
      <c r="AL16" s="155">
        <f ca="1">HLOOKUP($F16,Jornada!$I$5:$V$37,VLOOKUP(INDIRECT($C$5),Jornada!$C$8:$W$37,21,0)+2,0)</f>
        <v>0</v>
      </c>
      <c r="AM16" s="155">
        <f ca="1">HLOOKUP($F16,Jornada!$I$4:$V$37,VLOOKUP(INDIRECT($C$5),Jornada!$C$8:$W$37,21,0)+3,0)</f>
        <v>0</v>
      </c>
      <c r="AN16" s="155">
        <f t="shared" ca="1" si="7"/>
        <v>0</v>
      </c>
      <c r="AO16" s="155">
        <f t="shared" si="8"/>
        <v>0</v>
      </c>
      <c r="AP16" s="155">
        <f t="shared" si="9"/>
        <v>0</v>
      </c>
      <c r="BE16" s="14"/>
      <c r="BF16" s="14"/>
      <c r="BG16" s="14"/>
    </row>
    <row r="17" spans="1:59" s="2" customFormat="1" ht="30" customHeight="1" thickTop="1" thickBot="1" x14ac:dyDescent="0.25">
      <c r="A17" s="1"/>
      <c r="B17"/>
      <c r="C17" s="172" t="str">
        <f>IF(Funcionários!C16=0,"",Funcionários!C16)</f>
        <v/>
      </c>
      <c r="D17"/>
      <c r="E17" s="115">
        <f>Lanç!E17</f>
        <v>10</v>
      </c>
      <c r="F17" s="189" t="str">
        <f>Lanç!F17</f>
        <v>Ter</v>
      </c>
      <c r="G17" s="80"/>
      <c r="H17" s="94"/>
      <c r="I17" s="94"/>
      <c r="J17" s="94"/>
      <c r="K17" s="94"/>
      <c r="L17" s="197"/>
      <c r="M17" s="95">
        <f t="shared" si="1"/>
        <v>0</v>
      </c>
      <c r="N17" s="196"/>
      <c r="O17" s="95">
        <f ca="1">IF(OR(G17=0,G17="Férias",G17="Falta Justificada",G17="Feriado",G17="Folga (DSR)"),0,IF(G17="Falta Injustificada",HLOOKUP($F17,Jornada!$X$7:$AD$37,VLOOKUP(INDIRECT($C$5),Jornada!$C$8:$W$37,21,0),0),IF(HLOOKUP($F17,Jornada!$X$7:$AD$37,VLOOKUP(INDIRECT($C$5),Jornada!$C$8:$W$37,21,0),0)-M17&gt;0,HLOOKUP($F17,Jornada!$X$7:$AD$37,VLOOKUP(INDIRECT($C$5),Jornada!$C$8:$W$37,21,0),0)-M17,0)))</f>
        <v>0</v>
      </c>
      <c r="P17" s="193">
        <f ca="1">IF(HLOOKUP($F17,Jornada!$X$7:$AD$37,VLOOKUP(INDIRECT($C$5),Jornada!$C$8:$W$37,21,0),0)-M17&lt;0,ABS(HLOOKUP($F17,Jornada!$X$7:$AD$37,VLOOKUP(INDIRECT($C$5),Jornada!$C$8:$W$37,21,0),0)-M17),0)</f>
        <v>0</v>
      </c>
      <c r="Q17" s="95">
        <f t="shared" si="0"/>
        <v>0</v>
      </c>
      <c r="R17" s="2">
        <f t="shared" si="2"/>
        <v>0</v>
      </c>
      <c r="S17" s="294"/>
      <c r="T17" s="294"/>
      <c r="U17" s="295"/>
      <c r="W17" s="2" t="s">
        <v>100</v>
      </c>
      <c r="X17" s="156">
        <v>11</v>
      </c>
      <c r="AB17" s="177">
        <f t="shared" si="10"/>
        <v>10</v>
      </c>
      <c r="AC17" s="2">
        <f t="shared" si="3"/>
        <v>3</v>
      </c>
      <c r="AG17" s="220">
        <f t="shared" si="4"/>
        <v>0</v>
      </c>
      <c r="AH17" s="220">
        <f ca="1">IF(HLOOKUP($F17,Jornada!$X$7:$AD$37,VLOOKUP(INDIRECT($C$5),Jornada!$C$8:$W$37,21,0),0)=0,0,VLOOKUP(INDIRECT($C$5),Jornada!$C$8:$H$37,4,0))</f>
        <v>0</v>
      </c>
      <c r="AI17" s="155">
        <f ca="1">IF(AND(I17=0,J17=0,OR(H17&lt;&gt;0,K17&lt;&gt;0),HLOOKUP($F17,Jornada!$X$7:$AD$37,VLOOKUP(INDIRECT($C$5),Jornada!$C$8:$W$37,21,0),0)&gt;$AK$5,M17&gt;$AK$5),VLOOKUP(INDIRECT($C$5),Jornada!$C$8:$H$37,6,0),IF(AG17&gt;VLOOKUP(INDIRECT($C$5),Jornada!$C$8:$H$37,6,0),IF(VLOOKUP(INDIRECT($C$5),Jornada!$C$8:$H$37,6,0)&lt;AG17,0,ABS(VLOOKUP(INDIRECT($C$5),Jornada!$C$8:$H$37,6,0))-AG17),0))</f>
        <v>0</v>
      </c>
      <c r="AJ17" s="155">
        <f t="shared" si="5"/>
        <v>1</v>
      </c>
      <c r="AK17" s="155">
        <f t="shared" si="6"/>
        <v>0</v>
      </c>
      <c r="AL17" s="155">
        <f ca="1">HLOOKUP($F17,Jornada!$I$5:$V$37,VLOOKUP(INDIRECT($C$5),Jornada!$C$8:$W$37,21,0)+2,0)</f>
        <v>0</v>
      </c>
      <c r="AM17" s="155">
        <f ca="1">HLOOKUP($F17,Jornada!$I$4:$V$37,VLOOKUP(INDIRECT($C$5),Jornada!$C$8:$W$37,21,0)+3,0)</f>
        <v>0</v>
      </c>
      <c r="AN17" s="155">
        <f t="shared" ca="1" si="7"/>
        <v>0</v>
      </c>
      <c r="AO17" s="155">
        <f t="shared" si="8"/>
        <v>0</v>
      </c>
      <c r="AP17" s="155">
        <f t="shared" si="9"/>
        <v>0</v>
      </c>
      <c r="BE17" s="14"/>
      <c r="BF17" s="14"/>
      <c r="BG17" s="14"/>
    </row>
    <row r="18" spans="1:59" s="2" customFormat="1" ht="30" customHeight="1" thickTop="1" thickBot="1" x14ac:dyDescent="0.25">
      <c r="A18" s="1"/>
      <c r="B18"/>
      <c r="C18" s="172" t="str">
        <f>IF(Funcionários!C17=0,"",Funcionários!C17)</f>
        <v/>
      </c>
      <c r="D18"/>
      <c r="E18" s="115">
        <f>Lanç!E18</f>
        <v>11</v>
      </c>
      <c r="F18" s="189" t="str">
        <f>Lanç!F18</f>
        <v>Qua</v>
      </c>
      <c r="G18" s="81"/>
      <c r="H18" s="94"/>
      <c r="I18" s="94"/>
      <c r="J18" s="94"/>
      <c r="K18" s="94"/>
      <c r="L18" s="197"/>
      <c r="M18" s="95">
        <f t="shared" si="1"/>
        <v>0</v>
      </c>
      <c r="N18" s="196"/>
      <c r="O18" s="95">
        <f ca="1">IF(OR(G18=0,G18="Férias",G18="Falta Justificada",G18="Feriado",G18="Folga (DSR)"),0,IF(G18="Falta Injustificada",HLOOKUP($F18,Jornada!$X$7:$AD$37,VLOOKUP(INDIRECT($C$5),Jornada!$C$8:$W$37,21,0),0),IF(HLOOKUP($F18,Jornada!$X$7:$AD$37,VLOOKUP(INDIRECT($C$5),Jornada!$C$8:$W$37,21,0),0)-M18&gt;0,HLOOKUP($F18,Jornada!$X$7:$AD$37,VLOOKUP(INDIRECT($C$5),Jornada!$C$8:$W$37,21,0),0)-M18,0)))</f>
        <v>0</v>
      </c>
      <c r="P18" s="193">
        <f ca="1">IF(HLOOKUP($F18,Jornada!$X$7:$AD$37,VLOOKUP(INDIRECT($C$5),Jornada!$C$8:$W$37,21,0),0)-M18&lt;0,ABS(HLOOKUP($F18,Jornada!$X$7:$AD$37,VLOOKUP(INDIRECT($C$5),Jornada!$C$8:$W$37,21,0),0)-M18),0)</f>
        <v>0</v>
      </c>
      <c r="Q18" s="95">
        <f t="shared" si="0"/>
        <v>0</v>
      </c>
      <c r="R18" s="2">
        <f t="shared" si="2"/>
        <v>0</v>
      </c>
      <c r="S18" s="294" t="s">
        <v>69</v>
      </c>
      <c r="T18" s="294"/>
      <c r="U18" s="299">
        <f ca="1">F54</f>
        <v>0</v>
      </c>
      <c r="W18" s="2" t="s">
        <v>101</v>
      </c>
      <c r="X18" s="156">
        <v>12</v>
      </c>
      <c r="AB18" s="177">
        <f t="shared" si="10"/>
        <v>11</v>
      </c>
      <c r="AC18" s="2">
        <f t="shared" si="3"/>
        <v>4</v>
      </c>
      <c r="AG18" s="220">
        <f t="shared" si="4"/>
        <v>0</v>
      </c>
      <c r="AH18" s="220">
        <f ca="1">IF(HLOOKUP($F18,Jornada!$X$7:$AD$37,VLOOKUP(INDIRECT($C$5),Jornada!$C$8:$W$37,21,0),0)=0,0,VLOOKUP(INDIRECT($C$5),Jornada!$C$8:$H$37,4,0))</f>
        <v>0</v>
      </c>
      <c r="AI18" s="155">
        <f ca="1">IF(AND(I18=0,J18=0,OR(H18&lt;&gt;0,K18&lt;&gt;0),HLOOKUP($F18,Jornada!$X$7:$AD$37,VLOOKUP(INDIRECT($C$5),Jornada!$C$8:$W$37,21,0),0)&gt;$AK$5,M18&gt;$AK$5),VLOOKUP(INDIRECT($C$5),Jornada!$C$8:$H$37,6,0),IF(AG18&gt;VLOOKUP(INDIRECT($C$5),Jornada!$C$8:$H$37,6,0),IF(VLOOKUP(INDIRECT($C$5),Jornada!$C$8:$H$37,6,0)&lt;AG18,0,ABS(VLOOKUP(INDIRECT($C$5),Jornada!$C$8:$H$37,6,0))-AG18),0))</f>
        <v>0</v>
      </c>
      <c r="AJ18" s="155">
        <f t="shared" si="5"/>
        <v>1</v>
      </c>
      <c r="AK18" s="155">
        <f t="shared" si="6"/>
        <v>0</v>
      </c>
      <c r="AL18" s="155">
        <f ca="1">HLOOKUP($F18,Jornada!$I$5:$V$37,VLOOKUP(INDIRECT($C$5),Jornada!$C$8:$W$37,21,0)+2,0)</f>
        <v>0</v>
      </c>
      <c r="AM18" s="155">
        <f ca="1">HLOOKUP($F18,Jornada!$I$4:$V$37,VLOOKUP(INDIRECT($C$5),Jornada!$C$8:$W$37,21,0)+3,0)</f>
        <v>0</v>
      </c>
      <c r="AN18" s="155">
        <f t="shared" ca="1" si="7"/>
        <v>0</v>
      </c>
      <c r="AO18" s="155">
        <f t="shared" si="8"/>
        <v>0</v>
      </c>
      <c r="AP18" s="155">
        <f t="shared" si="9"/>
        <v>0</v>
      </c>
      <c r="BE18" s="14"/>
      <c r="BF18" s="14"/>
      <c r="BG18" s="14"/>
    </row>
    <row r="19" spans="1:59" s="2" customFormat="1" ht="30" customHeight="1" thickTop="1" thickBot="1" x14ac:dyDescent="0.25">
      <c r="A19" s="1"/>
      <c r="B19"/>
      <c r="C19" s="171" t="str">
        <f>IF(Funcionários!C18=0,"",Funcionários!C18)</f>
        <v/>
      </c>
      <c r="D19"/>
      <c r="E19" s="115">
        <f>Lanç!E19</f>
        <v>12</v>
      </c>
      <c r="F19" s="189" t="str">
        <f>Lanç!F19</f>
        <v>Qui</v>
      </c>
      <c r="G19" s="81"/>
      <c r="H19" s="94"/>
      <c r="I19" s="94"/>
      <c r="J19" s="94"/>
      <c r="K19" s="94"/>
      <c r="L19" s="197"/>
      <c r="M19" s="95">
        <f t="shared" si="1"/>
        <v>0</v>
      </c>
      <c r="N19" s="196"/>
      <c r="O19" s="95">
        <f ca="1">IF(OR(G19=0,G19="Férias",G19="Falta Justificada",G19="Feriado",G19="Folga (DSR)"),0,IF(G19="Falta Injustificada",HLOOKUP($F19,Jornada!$X$7:$AD$37,VLOOKUP(INDIRECT($C$5),Jornada!$C$8:$W$37,21,0),0),IF(HLOOKUP($F19,Jornada!$X$7:$AD$37,VLOOKUP(INDIRECT($C$5),Jornada!$C$8:$W$37,21,0),0)-M19&gt;0,HLOOKUP($F19,Jornada!$X$7:$AD$37,VLOOKUP(INDIRECT($C$5),Jornada!$C$8:$W$37,21,0),0)-M19,0)))</f>
        <v>0</v>
      </c>
      <c r="P19" s="193">
        <f ca="1">IF(HLOOKUP($F19,Jornada!$X$7:$AD$37,VLOOKUP(INDIRECT($C$5),Jornada!$C$8:$W$37,21,0),0)-M19&lt;0,ABS(HLOOKUP($F19,Jornada!$X$7:$AD$37,VLOOKUP(INDIRECT($C$5),Jornada!$C$8:$W$37,21,0),0)-M19),0)</f>
        <v>0</v>
      </c>
      <c r="Q19" s="95">
        <f t="shared" si="0"/>
        <v>0</v>
      </c>
      <c r="R19" s="2">
        <f t="shared" si="2"/>
        <v>0</v>
      </c>
      <c r="S19" s="294"/>
      <c r="T19" s="294"/>
      <c r="U19" s="299"/>
      <c r="X19" s="177"/>
      <c r="AB19" s="177">
        <f t="shared" si="10"/>
        <v>12</v>
      </c>
      <c r="AC19" s="2">
        <f t="shared" si="3"/>
        <v>5</v>
      </c>
      <c r="AG19" s="220">
        <f t="shared" si="4"/>
        <v>0</v>
      </c>
      <c r="AH19" s="220">
        <f ca="1">IF(HLOOKUP($F19,Jornada!$X$7:$AD$37,VLOOKUP(INDIRECT($C$5),Jornada!$C$8:$W$37,21,0),0)=0,0,VLOOKUP(INDIRECT($C$5),Jornada!$C$8:$H$37,4,0))</f>
        <v>0</v>
      </c>
      <c r="AI19" s="155">
        <f ca="1">IF(AND(I19=0,J19=0,OR(H19&lt;&gt;0,K19&lt;&gt;0),HLOOKUP($F19,Jornada!$X$7:$AD$37,VLOOKUP(INDIRECT($C$5),Jornada!$C$8:$W$37,21,0),0)&gt;$AK$5,M19&gt;$AK$5),VLOOKUP(INDIRECT($C$5),Jornada!$C$8:$H$37,6,0),IF(AG19&gt;VLOOKUP(INDIRECT($C$5),Jornada!$C$8:$H$37,6,0),IF(VLOOKUP(INDIRECT($C$5),Jornada!$C$8:$H$37,6,0)&lt;AG19,0,ABS(VLOOKUP(INDIRECT($C$5),Jornada!$C$8:$H$37,6,0))-AG19),0))</f>
        <v>0</v>
      </c>
      <c r="AJ19" s="155">
        <f t="shared" si="5"/>
        <v>1</v>
      </c>
      <c r="AK19" s="155">
        <f t="shared" si="6"/>
        <v>0</v>
      </c>
      <c r="AL19" s="155">
        <f ca="1">HLOOKUP($F19,Jornada!$I$5:$V$37,VLOOKUP(INDIRECT($C$5),Jornada!$C$8:$W$37,21,0)+2,0)</f>
        <v>0</v>
      </c>
      <c r="AM19" s="155">
        <f ca="1">HLOOKUP($F19,Jornada!$I$4:$V$37,VLOOKUP(INDIRECT($C$5),Jornada!$C$8:$W$37,21,0)+3,0)</f>
        <v>0</v>
      </c>
      <c r="AN19" s="155">
        <f t="shared" ca="1" si="7"/>
        <v>0</v>
      </c>
      <c r="AO19" s="155">
        <f t="shared" si="8"/>
        <v>0</v>
      </c>
      <c r="AP19" s="155">
        <f t="shared" si="9"/>
        <v>0</v>
      </c>
      <c r="BE19" s="14"/>
      <c r="BF19" s="14"/>
      <c r="BG19" s="14"/>
    </row>
    <row r="20" spans="1:59" s="2" customFormat="1" ht="30" customHeight="1" thickTop="1" thickBot="1" x14ac:dyDescent="0.25">
      <c r="A20" s="1"/>
      <c r="B20"/>
      <c r="C20" s="172" t="str">
        <f>IF(Funcionários!C19=0,"",Funcionários!C19)</f>
        <v/>
      </c>
      <c r="D20"/>
      <c r="E20" s="115">
        <f>Lanç!E20</f>
        <v>13</v>
      </c>
      <c r="F20" s="189" t="str">
        <f>Lanç!F20</f>
        <v>Sex</v>
      </c>
      <c r="G20" s="81"/>
      <c r="H20" s="94"/>
      <c r="I20" s="94"/>
      <c r="J20" s="94"/>
      <c r="K20" s="94"/>
      <c r="L20" s="197"/>
      <c r="M20" s="95">
        <f t="shared" si="1"/>
        <v>0</v>
      </c>
      <c r="N20" s="196"/>
      <c r="O20" s="95">
        <f ca="1">IF(OR(G20=0,G20="Férias",G20="Falta Justificada",G20="Feriado",G20="Folga (DSR)"),0,IF(G20="Falta Injustificada",HLOOKUP($F20,Jornada!$X$7:$AD$37,VLOOKUP(INDIRECT($C$5),Jornada!$C$8:$W$37,21,0),0),IF(HLOOKUP($F20,Jornada!$X$7:$AD$37,VLOOKUP(INDIRECT($C$5),Jornada!$C$8:$W$37,21,0),0)-M20&gt;0,HLOOKUP($F20,Jornada!$X$7:$AD$37,VLOOKUP(INDIRECT($C$5),Jornada!$C$8:$W$37,21,0),0)-M20,0)))</f>
        <v>0</v>
      </c>
      <c r="P20" s="193">
        <f ca="1">IF(HLOOKUP($F20,Jornada!$X$7:$AD$37,VLOOKUP(INDIRECT($C$5),Jornada!$C$8:$W$37,21,0),0)-M20&lt;0,ABS(HLOOKUP($F20,Jornada!$X$7:$AD$37,VLOOKUP(INDIRECT($C$5),Jornada!$C$8:$W$37,21,0),0)-M20),0)</f>
        <v>0</v>
      </c>
      <c r="Q20" s="95">
        <f t="shared" si="0"/>
        <v>0</v>
      </c>
      <c r="R20" s="2">
        <f t="shared" si="2"/>
        <v>0</v>
      </c>
      <c r="S20"/>
      <c r="T20"/>
      <c r="U20"/>
      <c r="X20" s="177"/>
      <c r="AB20" s="177">
        <f t="shared" si="10"/>
        <v>13</v>
      </c>
      <c r="AC20" s="2">
        <f t="shared" si="3"/>
        <v>6</v>
      </c>
      <c r="AG20" s="220">
        <f t="shared" si="4"/>
        <v>0</v>
      </c>
      <c r="AH20" s="220">
        <f ca="1">IF(HLOOKUP($F20,Jornada!$X$7:$AD$37,VLOOKUP(INDIRECT($C$5),Jornada!$C$8:$W$37,21,0),0)=0,0,VLOOKUP(INDIRECT($C$5),Jornada!$C$8:$H$37,4,0))</f>
        <v>0</v>
      </c>
      <c r="AI20" s="155">
        <f ca="1">IF(AND(I20=0,J20=0,OR(H20&lt;&gt;0,K20&lt;&gt;0),HLOOKUP($F20,Jornada!$X$7:$AD$37,VLOOKUP(INDIRECT($C$5),Jornada!$C$8:$W$37,21,0),0)&gt;$AK$5,M20&gt;$AK$5),VLOOKUP(INDIRECT($C$5),Jornada!$C$8:$H$37,6,0),IF(AG20&gt;VLOOKUP(INDIRECT($C$5),Jornada!$C$8:$H$37,6,0),IF(VLOOKUP(INDIRECT($C$5),Jornada!$C$8:$H$37,6,0)&lt;AG20,0,ABS(VLOOKUP(INDIRECT($C$5),Jornada!$C$8:$H$37,6,0))-AG20),0))</f>
        <v>0</v>
      </c>
      <c r="AJ20" s="155">
        <f t="shared" si="5"/>
        <v>1</v>
      </c>
      <c r="AK20" s="155">
        <f t="shared" si="6"/>
        <v>0</v>
      </c>
      <c r="AL20" s="155">
        <f ca="1">HLOOKUP($F20,Jornada!$I$5:$V$37,VLOOKUP(INDIRECT($C$5),Jornada!$C$8:$W$37,21,0)+2,0)</f>
        <v>0</v>
      </c>
      <c r="AM20" s="155">
        <f ca="1">HLOOKUP($F20,Jornada!$I$4:$V$37,VLOOKUP(INDIRECT($C$5),Jornada!$C$8:$W$37,21,0)+3,0)</f>
        <v>0</v>
      </c>
      <c r="AN20" s="155">
        <f t="shared" ca="1" si="7"/>
        <v>0</v>
      </c>
      <c r="AO20" s="155">
        <f t="shared" si="8"/>
        <v>0</v>
      </c>
      <c r="AP20" s="155">
        <f t="shared" si="9"/>
        <v>0</v>
      </c>
      <c r="BE20" s="14"/>
      <c r="BF20" s="14"/>
      <c r="BG20" s="14"/>
    </row>
    <row r="21" spans="1:59" s="2" customFormat="1" ht="30" customHeight="1" thickTop="1" thickBot="1" x14ac:dyDescent="0.25">
      <c r="A21" s="1"/>
      <c r="B21"/>
      <c r="C21" s="172" t="str">
        <f>IF(Funcionários!C20=0,"",Funcionários!C20)</f>
        <v/>
      </c>
      <c r="D21"/>
      <c r="E21" s="115">
        <f>Lanç!E21</f>
        <v>14</v>
      </c>
      <c r="F21" s="189" t="str">
        <f>Lanç!F21</f>
        <v>Sáb</v>
      </c>
      <c r="G21" s="81"/>
      <c r="H21" s="94"/>
      <c r="I21" s="94"/>
      <c r="J21" s="94"/>
      <c r="K21" s="94"/>
      <c r="L21" s="197"/>
      <c r="M21" s="95">
        <f t="shared" si="1"/>
        <v>0</v>
      </c>
      <c r="N21" s="196"/>
      <c r="O21" s="95">
        <f ca="1">IF(OR(G21=0,G21="Férias",G21="Falta Justificada",G21="Feriado",G21="Folga (DSR)"),0,IF(G21="Falta Injustificada",HLOOKUP($F21,Jornada!$X$7:$AD$37,VLOOKUP(INDIRECT($C$5),Jornada!$C$8:$W$37,21,0),0),IF(HLOOKUP($F21,Jornada!$X$7:$AD$37,VLOOKUP(INDIRECT($C$5),Jornada!$C$8:$W$37,21,0),0)-M21&gt;0,HLOOKUP($F21,Jornada!$X$7:$AD$37,VLOOKUP(INDIRECT($C$5),Jornada!$C$8:$W$37,21,0),0)-M21,0)))</f>
        <v>0</v>
      </c>
      <c r="P21" s="193">
        <f ca="1">IF(HLOOKUP($F21,Jornada!$X$7:$AD$37,VLOOKUP(INDIRECT($C$5),Jornada!$C$8:$W$37,21,0),0)-M21&lt;0,ABS(HLOOKUP($F21,Jornada!$X$7:$AD$37,VLOOKUP(INDIRECT($C$5),Jornada!$C$8:$W$37,21,0),0)-M21),0)</f>
        <v>0</v>
      </c>
      <c r="Q21" s="95">
        <f t="shared" si="0"/>
        <v>0</v>
      </c>
      <c r="R21" s="2">
        <f t="shared" si="2"/>
        <v>0</v>
      </c>
      <c r="S21"/>
      <c r="T21"/>
      <c r="U21"/>
      <c r="X21" s="177"/>
      <c r="AB21" s="177">
        <f t="shared" si="10"/>
        <v>14</v>
      </c>
      <c r="AC21" s="2">
        <f t="shared" si="3"/>
        <v>7</v>
      </c>
      <c r="AG21" s="220">
        <f t="shared" si="4"/>
        <v>0</v>
      </c>
      <c r="AH21" s="220">
        <f ca="1">IF(HLOOKUP($F21,Jornada!$X$7:$AD$37,VLOOKUP(INDIRECT($C$5),Jornada!$C$8:$W$37,21,0),0)=0,0,VLOOKUP(INDIRECT($C$5),Jornada!$C$8:$H$37,4,0))</f>
        <v>0</v>
      </c>
      <c r="AI21" s="155">
        <f ca="1">IF(AND(I21=0,J21=0,OR(H21&lt;&gt;0,K21&lt;&gt;0),HLOOKUP($F21,Jornada!$X$7:$AD$37,VLOOKUP(INDIRECT($C$5),Jornada!$C$8:$W$37,21,0),0)&gt;$AK$5,M21&gt;$AK$5),VLOOKUP(INDIRECT($C$5),Jornada!$C$8:$H$37,6,0),IF(AG21&gt;VLOOKUP(INDIRECT($C$5),Jornada!$C$8:$H$37,6,0),IF(VLOOKUP(INDIRECT($C$5),Jornada!$C$8:$H$37,6,0)&lt;AG21,0,ABS(VLOOKUP(INDIRECT($C$5),Jornada!$C$8:$H$37,6,0))-AG21),0))</f>
        <v>0</v>
      </c>
      <c r="AJ21" s="155">
        <f t="shared" si="5"/>
        <v>1</v>
      </c>
      <c r="AK21" s="155">
        <f t="shared" si="6"/>
        <v>0</v>
      </c>
      <c r="AL21" s="155">
        <f ca="1">HLOOKUP($F21,Jornada!$I$5:$V$37,VLOOKUP(INDIRECT($C$5),Jornada!$C$8:$W$37,21,0)+2,0)</f>
        <v>0</v>
      </c>
      <c r="AM21" s="155">
        <f ca="1">HLOOKUP($F21,Jornada!$I$4:$V$37,VLOOKUP(INDIRECT($C$5),Jornada!$C$8:$W$37,21,0)+3,0)</f>
        <v>0</v>
      </c>
      <c r="AN21" s="155">
        <f t="shared" ca="1" si="7"/>
        <v>0</v>
      </c>
      <c r="AO21" s="155">
        <f t="shared" si="8"/>
        <v>0</v>
      </c>
      <c r="AP21" s="155">
        <f t="shared" si="9"/>
        <v>0</v>
      </c>
      <c r="BE21" s="14"/>
      <c r="BF21" s="14"/>
      <c r="BG21" s="14"/>
    </row>
    <row r="22" spans="1:59" s="2" customFormat="1" ht="30" customHeight="1" thickTop="1" thickBot="1" x14ac:dyDescent="0.25">
      <c r="A22" s="1"/>
      <c r="B22"/>
      <c r="C22" s="172" t="str">
        <f>IF(Funcionários!C21=0,"",Funcionários!C21)</f>
        <v/>
      </c>
      <c r="D22"/>
      <c r="E22" s="115">
        <f>Lanç!E22</f>
        <v>15</v>
      </c>
      <c r="F22" s="189" t="str">
        <f>Lanç!F22</f>
        <v>Dom</v>
      </c>
      <c r="G22" s="81"/>
      <c r="H22" s="94"/>
      <c r="I22" s="94"/>
      <c r="J22" s="94"/>
      <c r="K22" s="94"/>
      <c r="L22" s="197"/>
      <c r="M22" s="95">
        <f t="shared" si="1"/>
        <v>0</v>
      </c>
      <c r="N22" s="196"/>
      <c r="O22" s="95">
        <f ca="1">IF(OR(G22=0,G22="Férias",G22="Falta Justificada",G22="Feriado",G22="Folga (DSR)"),0,IF(G22="Falta Injustificada",HLOOKUP($F22,Jornada!$X$7:$AD$37,VLOOKUP(INDIRECT($C$5),Jornada!$C$8:$W$37,21,0),0),IF(HLOOKUP($F22,Jornada!$X$7:$AD$37,VLOOKUP(INDIRECT($C$5),Jornada!$C$8:$W$37,21,0),0)-M22&gt;0,HLOOKUP($F22,Jornada!$X$7:$AD$37,VLOOKUP(INDIRECT($C$5),Jornada!$C$8:$W$37,21,0),0)-M22,0)))</f>
        <v>0</v>
      </c>
      <c r="P22" s="193">
        <f ca="1">IF(HLOOKUP($F22,Jornada!$X$7:$AD$37,VLOOKUP(INDIRECT($C$5),Jornada!$C$8:$W$37,21,0),0)-M22&lt;0,ABS(HLOOKUP($F22,Jornada!$X$7:$AD$37,VLOOKUP(INDIRECT($C$5),Jornada!$C$8:$W$37,21,0),0)-M22),0)</f>
        <v>0</v>
      </c>
      <c r="Q22" s="95">
        <f t="shared" si="0"/>
        <v>0</v>
      </c>
      <c r="R22" s="2">
        <f t="shared" si="2"/>
        <v>0</v>
      </c>
      <c r="S22" s="300" t="s">
        <v>63</v>
      </c>
      <c r="T22" s="301"/>
      <c r="U22" s="302"/>
      <c r="X22" s="177"/>
      <c r="AB22" s="177">
        <f t="shared" si="10"/>
        <v>15</v>
      </c>
      <c r="AC22" s="2">
        <f t="shared" si="3"/>
        <v>1</v>
      </c>
      <c r="AG22" s="220">
        <f t="shared" si="4"/>
        <v>0</v>
      </c>
      <c r="AH22" s="220">
        <f ca="1">IF(HLOOKUP($F22,Jornada!$X$7:$AD$37,VLOOKUP(INDIRECT($C$5),Jornada!$C$8:$W$37,21,0),0)=0,0,VLOOKUP(INDIRECT($C$5),Jornada!$C$8:$H$37,4,0))</f>
        <v>0</v>
      </c>
      <c r="AI22" s="155">
        <f ca="1">IF(AND(I22=0,J22=0,OR(H22&lt;&gt;0,K22&lt;&gt;0),HLOOKUP($F22,Jornada!$X$7:$AD$37,VLOOKUP(INDIRECT($C$5),Jornada!$C$8:$W$37,21,0),0)&gt;$AK$5,M22&gt;$AK$5),VLOOKUP(INDIRECT($C$5),Jornada!$C$8:$H$37,6,0),IF(AG22&gt;VLOOKUP(INDIRECT($C$5),Jornada!$C$8:$H$37,6,0),IF(VLOOKUP(INDIRECT($C$5),Jornada!$C$8:$H$37,6,0)&lt;AG22,0,ABS(VLOOKUP(INDIRECT($C$5),Jornada!$C$8:$H$37,6,0))-AG22),0))</f>
        <v>0</v>
      </c>
      <c r="AJ22" s="155">
        <f t="shared" si="5"/>
        <v>1</v>
      </c>
      <c r="AK22" s="155">
        <f t="shared" si="6"/>
        <v>0</v>
      </c>
      <c r="AL22" s="155">
        <f ca="1">HLOOKUP($F22,Jornada!$I$5:$V$37,VLOOKUP(INDIRECT($C$5),Jornada!$C$8:$W$37,21,0)+2,0)</f>
        <v>0</v>
      </c>
      <c r="AM22" s="155">
        <f ca="1">HLOOKUP($F22,Jornada!$I$4:$V$37,VLOOKUP(INDIRECT($C$5),Jornada!$C$8:$W$37,21,0)+3,0)</f>
        <v>0</v>
      </c>
      <c r="AN22" s="155">
        <f t="shared" ca="1" si="7"/>
        <v>0</v>
      </c>
      <c r="AO22" s="155">
        <f t="shared" si="8"/>
        <v>0</v>
      </c>
      <c r="AP22" s="155">
        <f t="shared" si="9"/>
        <v>0</v>
      </c>
      <c r="BE22" s="14"/>
      <c r="BF22" s="14"/>
      <c r="BG22" s="14"/>
    </row>
    <row r="23" spans="1:59" s="2" customFormat="1" ht="30" customHeight="1" thickTop="1" thickBot="1" x14ac:dyDescent="0.25">
      <c r="A23" s="1"/>
      <c r="B23"/>
      <c r="C23" s="172" t="str">
        <f>IF(Funcionários!C22=0,"",Funcionários!C22)</f>
        <v/>
      </c>
      <c r="D23"/>
      <c r="E23" s="115">
        <f>Lanç!E23</f>
        <v>16</v>
      </c>
      <c r="F23" s="189" t="str">
        <f>Lanç!F23</f>
        <v>Seg</v>
      </c>
      <c r="G23" s="81"/>
      <c r="H23" s="94"/>
      <c r="I23" s="94"/>
      <c r="J23" s="94"/>
      <c r="K23" s="94"/>
      <c r="L23" s="197"/>
      <c r="M23" s="95">
        <f t="shared" si="1"/>
        <v>0</v>
      </c>
      <c r="N23" s="196"/>
      <c r="O23" s="95">
        <f ca="1">IF(OR(G23=0,G23="Férias",G23="Falta Justificada",G23="Feriado",G23="Folga (DSR)"),0,IF(G23="Falta Injustificada",HLOOKUP($F23,Jornada!$X$7:$AD$37,VLOOKUP(INDIRECT($C$5),Jornada!$C$8:$W$37,21,0),0),IF(HLOOKUP($F23,Jornada!$X$7:$AD$37,VLOOKUP(INDIRECT($C$5),Jornada!$C$8:$W$37,21,0),0)-M23&gt;0,HLOOKUP($F23,Jornada!$X$7:$AD$37,VLOOKUP(INDIRECT($C$5),Jornada!$C$8:$W$37,21,0),0)-M23,0)))</f>
        <v>0</v>
      </c>
      <c r="P23" s="193">
        <f ca="1">IF(HLOOKUP($F23,Jornada!$X$7:$AD$37,VLOOKUP(INDIRECT($C$5),Jornada!$C$8:$W$37,21,0),0)-M23&lt;0,ABS(HLOOKUP($F23,Jornada!$X$7:$AD$37,VLOOKUP(INDIRECT($C$5),Jornada!$C$8:$W$37,21,0),0)-M23),0)</f>
        <v>0</v>
      </c>
      <c r="Q23" s="95">
        <f t="shared" si="0"/>
        <v>0</v>
      </c>
      <c r="R23" s="2">
        <f t="shared" si="2"/>
        <v>0</v>
      </c>
      <c r="S23" s="296" t="str">
        <f>IF(SUM(R8:R38)&gt;0,"Segundo o art 59 da CLT, o máximo de horas extras permitidas por dia são 2 horas.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T23" s="297"/>
      <c r="U23" s="298"/>
      <c r="X23" s="177"/>
      <c r="AB23" s="177">
        <f t="shared" si="10"/>
        <v>16</v>
      </c>
      <c r="AC23" s="2">
        <f t="shared" si="3"/>
        <v>2</v>
      </c>
      <c r="AG23" s="220">
        <f t="shared" si="4"/>
        <v>0</v>
      </c>
      <c r="AH23" s="220">
        <f ca="1">IF(HLOOKUP($F23,Jornada!$X$7:$AD$37,VLOOKUP(INDIRECT($C$5),Jornada!$C$8:$W$37,21,0),0)=0,0,VLOOKUP(INDIRECT($C$5),Jornada!$C$8:$H$37,4,0))</f>
        <v>0</v>
      </c>
      <c r="AI23" s="155">
        <f ca="1">IF(AND(I23=0,J23=0,OR(H23&lt;&gt;0,K23&lt;&gt;0),HLOOKUP($F23,Jornada!$X$7:$AD$37,VLOOKUP(INDIRECT($C$5),Jornada!$C$8:$W$37,21,0),0)&gt;$AK$5,M23&gt;$AK$5),VLOOKUP(INDIRECT($C$5),Jornada!$C$8:$H$37,6,0),IF(AG23&gt;VLOOKUP(INDIRECT($C$5),Jornada!$C$8:$H$37,6,0),IF(VLOOKUP(INDIRECT($C$5),Jornada!$C$8:$H$37,6,0)&lt;AG23,0,ABS(VLOOKUP(INDIRECT($C$5),Jornada!$C$8:$H$37,6,0))-AG23),0))</f>
        <v>0</v>
      </c>
      <c r="AJ23" s="155">
        <f t="shared" si="5"/>
        <v>1</v>
      </c>
      <c r="AK23" s="155">
        <f t="shared" si="6"/>
        <v>0</v>
      </c>
      <c r="AL23" s="155">
        <f ca="1">HLOOKUP($F23,Jornada!$I$5:$V$37,VLOOKUP(INDIRECT($C$5),Jornada!$C$8:$W$37,21,0)+2,0)</f>
        <v>0</v>
      </c>
      <c r="AM23" s="155">
        <f ca="1">HLOOKUP($F23,Jornada!$I$4:$V$37,VLOOKUP(INDIRECT($C$5),Jornada!$C$8:$W$37,21,0)+3,0)</f>
        <v>0</v>
      </c>
      <c r="AN23" s="155">
        <f t="shared" ca="1" si="7"/>
        <v>0</v>
      </c>
      <c r="AO23" s="155">
        <f t="shared" si="8"/>
        <v>0</v>
      </c>
      <c r="AP23" s="155">
        <f t="shared" si="9"/>
        <v>0</v>
      </c>
      <c r="BE23" s="14"/>
      <c r="BF23" s="14"/>
      <c r="BG23" s="14"/>
    </row>
    <row r="24" spans="1:59" s="2" customFormat="1" ht="30" customHeight="1" thickTop="1" thickBot="1" x14ac:dyDescent="0.25">
      <c r="A24" s="1"/>
      <c r="B24"/>
      <c r="C24" s="172" t="str">
        <f>IF(Funcionários!C23=0,"",Funcionários!C23)</f>
        <v/>
      </c>
      <c r="D24"/>
      <c r="E24" s="115">
        <f>Lanç!E24</f>
        <v>17</v>
      </c>
      <c r="F24" s="189" t="str">
        <f>Lanç!F24</f>
        <v>Ter</v>
      </c>
      <c r="G24" s="81"/>
      <c r="H24" s="94"/>
      <c r="I24" s="94"/>
      <c r="J24" s="94"/>
      <c r="K24" s="94"/>
      <c r="L24" s="197"/>
      <c r="M24" s="95">
        <f t="shared" si="1"/>
        <v>0</v>
      </c>
      <c r="N24" s="196"/>
      <c r="O24" s="95">
        <f ca="1">IF(OR(G24=0,G24="Férias",G24="Falta Justificada",G24="Feriado",G24="Folga (DSR)"),0,IF(G24="Falta Injustificada",HLOOKUP($F24,Jornada!$X$7:$AD$37,VLOOKUP(INDIRECT($C$5),Jornada!$C$8:$W$37,21,0),0),IF(HLOOKUP($F24,Jornada!$X$7:$AD$37,VLOOKUP(INDIRECT($C$5),Jornada!$C$8:$W$37,21,0),0)-M24&gt;0,HLOOKUP($F24,Jornada!$X$7:$AD$37,VLOOKUP(INDIRECT($C$5),Jornada!$C$8:$W$37,21,0),0)-M24,0)))</f>
        <v>0</v>
      </c>
      <c r="P24" s="193">
        <f ca="1">IF(HLOOKUP($F24,Jornada!$X$7:$AD$37,VLOOKUP(INDIRECT($C$5),Jornada!$C$8:$W$37,21,0),0)-M24&lt;0,ABS(HLOOKUP($F24,Jornada!$X$7:$AD$37,VLOOKUP(INDIRECT($C$5),Jornada!$C$8:$W$37,21,0),0)-M24),0)</f>
        <v>0</v>
      </c>
      <c r="Q24" s="95">
        <f t="shared" si="0"/>
        <v>0</v>
      </c>
      <c r="R24" s="2">
        <f t="shared" si="2"/>
        <v>0</v>
      </c>
      <c r="S24" s="296"/>
      <c r="T24" s="297"/>
      <c r="U24" s="298"/>
      <c r="X24" s="177"/>
      <c r="AB24" s="177">
        <f t="shared" si="10"/>
        <v>17</v>
      </c>
      <c r="AC24" s="2">
        <f t="shared" si="3"/>
        <v>3</v>
      </c>
      <c r="AG24" s="220">
        <f t="shared" si="4"/>
        <v>0</v>
      </c>
      <c r="AH24" s="220">
        <f ca="1">IF(HLOOKUP($F24,Jornada!$X$7:$AD$37,VLOOKUP(INDIRECT($C$5),Jornada!$C$8:$W$37,21,0),0)=0,0,VLOOKUP(INDIRECT($C$5),Jornada!$C$8:$H$37,4,0))</f>
        <v>0</v>
      </c>
      <c r="AI24" s="155">
        <f ca="1">IF(AND(I24=0,J24=0,OR(H24&lt;&gt;0,K24&lt;&gt;0),HLOOKUP($F24,Jornada!$X$7:$AD$37,VLOOKUP(INDIRECT($C$5),Jornada!$C$8:$W$37,21,0),0)&gt;$AK$5,M24&gt;$AK$5),VLOOKUP(INDIRECT($C$5),Jornada!$C$8:$H$37,6,0),IF(AG24&gt;VLOOKUP(INDIRECT($C$5),Jornada!$C$8:$H$37,6,0),IF(VLOOKUP(INDIRECT($C$5),Jornada!$C$8:$H$37,6,0)&lt;AG24,0,ABS(VLOOKUP(INDIRECT($C$5),Jornada!$C$8:$H$37,6,0))-AG24),0))</f>
        <v>0</v>
      </c>
      <c r="AJ24" s="155">
        <f t="shared" si="5"/>
        <v>1</v>
      </c>
      <c r="AK24" s="155">
        <f t="shared" si="6"/>
        <v>0</v>
      </c>
      <c r="AL24" s="155">
        <f ca="1">HLOOKUP($F24,Jornada!$I$5:$V$37,VLOOKUP(INDIRECT($C$5),Jornada!$C$8:$W$37,21,0)+2,0)</f>
        <v>0</v>
      </c>
      <c r="AM24" s="155">
        <f ca="1">HLOOKUP($F24,Jornada!$I$4:$V$37,VLOOKUP(INDIRECT($C$5),Jornada!$C$8:$W$37,21,0)+3,0)</f>
        <v>0</v>
      </c>
      <c r="AN24" s="155">
        <f t="shared" ca="1" si="7"/>
        <v>0</v>
      </c>
      <c r="AO24" s="155">
        <f t="shared" si="8"/>
        <v>0</v>
      </c>
      <c r="AP24" s="155">
        <f t="shared" si="9"/>
        <v>0</v>
      </c>
      <c r="BE24" s="14"/>
      <c r="BF24" s="14"/>
      <c r="BG24" s="14"/>
    </row>
    <row r="25" spans="1:59" s="2" customFormat="1" ht="30" customHeight="1" thickTop="1" thickBot="1" x14ac:dyDescent="0.25">
      <c r="A25" s="1"/>
      <c r="B25"/>
      <c r="C25" s="172" t="str">
        <f>IF(Funcionários!C24=0,"",Funcionários!C24)</f>
        <v/>
      </c>
      <c r="D25"/>
      <c r="E25" s="115">
        <f>Lanç!E25</f>
        <v>18</v>
      </c>
      <c r="F25" s="189" t="str">
        <f>Lanç!F25</f>
        <v>Qua</v>
      </c>
      <c r="G25" s="81"/>
      <c r="H25" s="94"/>
      <c r="I25" s="94"/>
      <c r="J25" s="94"/>
      <c r="K25" s="94"/>
      <c r="L25" s="197"/>
      <c r="M25" s="95">
        <f t="shared" si="1"/>
        <v>0</v>
      </c>
      <c r="N25" s="196"/>
      <c r="O25" s="95">
        <f ca="1">IF(OR(G25=0,G25="Férias",G25="Falta Justificada",G25="Feriado",G25="Folga (DSR)"),0,IF(G25="Falta Injustificada",HLOOKUP($F25,Jornada!$X$7:$AD$37,VLOOKUP(INDIRECT($C$5),Jornada!$C$8:$W$37,21,0),0),IF(HLOOKUP($F25,Jornada!$X$7:$AD$37,VLOOKUP(INDIRECT($C$5),Jornada!$C$8:$W$37,21,0),0)-M25&gt;0,HLOOKUP($F25,Jornada!$X$7:$AD$37,VLOOKUP(INDIRECT($C$5),Jornada!$C$8:$W$37,21,0),0)-M25,0)))</f>
        <v>0</v>
      </c>
      <c r="P25" s="193">
        <f ca="1">IF(HLOOKUP($F25,Jornada!$X$7:$AD$37,VLOOKUP(INDIRECT($C$5),Jornada!$C$8:$W$37,21,0),0)-M25&lt;0,ABS(HLOOKUP($F25,Jornada!$X$7:$AD$37,VLOOKUP(INDIRECT($C$5),Jornada!$C$8:$W$37,21,0),0)-M25),0)</f>
        <v>0</v>
      </c>
      <c r="Q25" s="95">
        <f t="shared" si="0"/>
        <v>0</v>
      </c>
      <c r="R25" s="2">
        <f t="shared" si="2"/>
        <v>0</v>
      </c>
      <c r="S25" s="296"/>
      <c r="T25" s="297"/>
      <c r="U25" s="298"/>
      <c r="X25" s="177"/>
      <c r="Z25" s="2">
        <f>IF(SUM(R8:R38)&gt;0,1,0)</f>
        <v>0</v>
      </c>
      <c r="AB25" s="177">
        <f t="shared" si="10"/>
        <v>18</v>
      </c>
      <c r="AC25" s="2">
        <f t="shared" si="3"/>
        <v>4</v>
      </c>
      <c r="AG25" s="220">
        <f t="shared" si="4"/>
        <v>0</v>
      </c>
      <c r="AH25" s="220">
        <f ca="1">IF(HLOOKUP($F25,Jornada!$X$7:$AD$37,VLOOKUP(INDIRECT($C$5),Jornada!$C$8:$W$37,21,0),0)=0,0,VLOOKUP(INDIRECT($C$5),Jornada!$C$8:$H$37,4,0))</f>
        <v>0</v>
      </c>
      <c r="AI25" s="155">
        <f ca="1">IF(AND(I25=0,J25=0,OR(H25&lt;&gt;0,K25&lt;&gt;0),HLOOKUP($F25,Jornada!$X$7:$AD$37,VLOOKUP(INDIRECT($C$5),Jornada!$C$8:$W$37,21,0),0)&gt;$AK$5,M25&gt;$AK$5),VLOOKUP(INDIRECT($C$5),Jornada!$C$8:$H$37,6,0),IF(AG25&gt;VLOOKUP(INDIRECT($C$5),Jornada!$C$8:$H$37,6,0),IF(VLOOKUP(INDIRECT($C$5),Jornada!$C$8:$H$37,6,0)&lt;AG25,0,ABS(VLOOKUP(INDIRECT($C$5),Jornada!$C$8:$H$37,6,0))-AG25),0))</f>
        <v>0</v>
      </c>
      <c r="AJ25" s="155">
        <f t="shared" si="5"/>
        <v>1</v>
      </c>
      <c r="AK25" s="155">
        <f t="shared" si="6"/>
        <v>0</v>
      </c>
      <c r="AL25" s="155">
        <f ca="1">HLOOKUP($F25,Jornada!$I$5:$V$37,VLOOKUP(INDIRECT($C$5),Jornada!$C$8:$W$37,21,0)+2,0)</f>
        <v>0</v>
      </c>
      <c r="AM25" s="155">
        <f ca="1">HLOOKUP($F25,Jornada!$I$4:$V$37,VLOOKUP(INDIRECT($C$5),Jornada!$C$8:$W$37,21,0)+3,0)</f>
        <v>0</v>
      </c>
      <c r="AN25" s="155">
        <f t="shared" ca="1" si="7"/>
        <v>0</v>
      </c>
      <c r="AO25" s="155">
        <f t="shared" si="8"/>
        <v>0</v>
      </c>
      <c r="AP25" s="155">
        <f t="shared" si="9"/>
        <v>0</v>
      </c>
      <c r="BE25" s="14"/>
      <c r="BF25" s="14"/>
      <c r="BG25" s="14"/>
    </row>
    <row r="26" spans="1:59" s="2" customFormat="1" ht="30" customHeight="1" thickTop="1" thickBot="1" x14ac:dyDescent="0.25">
      <c r="A26" s="1"/>
      <c r="B26"/>
      <c r="C26" s="172" t="str">
        <f>IF(Funcionários!C25=0,"",Funcionários!C25)</f>
        <v/>
      </c>
      <c r="D26"/>
      <c r="E26" s="115">
        <f>Lanç!E26</f>
        <v>19</v>
      </c>
      <c r="F26" s="189" t="str">
        <f>Lanç!F26</f>
        <v>Qui</v>
      </c>
      <c r="G26" s="81"/>
      <c r="H26" s="94"/>
      <c r="I26" s="94"/>
      <c r="J26" s="94"/>
      <c r="K26" s="94"/>
      <c r="L26" s="197"/>
      <c r="M26" s="95">
        <f t="shared" si="1"/>
        <v>0</v>
      </c>
      <c r="N26" s="196"/>
      <c r="O26" s="95">
        <f ca="1">IF(OR(G26=0,G26="Férias",G26="Falta Justificada",G26="Feriado",G26="Folga (DSR)"),0,IF(G26="Falta Injustificada",HLOOKUP($F26,Jornada!$X$7:$AD$37,VLOOKUP(INDIRECT($C$5),Jornada!$C$8:$W$37,21,0),0),IF(HLOOKUP($F26,Jornada!$X$7:$AD$37,VLOOKUP(INDIRECT($C$5),Jornada!$C$8:$W$37,21,0),0)-M26&gt;0,HLOOKUP($F26,Jornada!$X$7:$AD$37,VLOOKUP(INDIRECT($C$5),Jornada!$C$8:$W$37,21,0),0)-M26,0)))</f>
        <v>0</v>
      </c>
      <c r="P26" s="193">
        <f ca="1">IF(HLOOKUP($F26,Jornada!$X$7:$AD$37,VLOOKUP(INDIRECT($C$5),Jornada!$C$8:$W$37,21,0),0)-M26&lt;0,ABS(HLOOKUP($F26,Jornada!$X$7:$AD$37,VLOOKUP(INDIRECT($C$5),Jornada!$C$8:$W$37,21,0),0)-M26),0)</f>
        <v>0</v>
      </c>
      <c r="Q26" s="95">
        <f t="shared" si="0"/>
        <v>0</v>
      </c>
      <c r="R26" s="2">
        <f t="shared" si="2"/>
        <v>0</v>
      </c>
      <c r="S26" s="296" t="str">
        <f>IF(COUNTIF(G8:G38,"Folga (DSR)")&lt;DAY(E39)/8,"O mês não está contemplando um DSR (Descanso Semanal Remunerado) por semana. Isso pode configurar uma irregularidade segundo as leis trabalhistas.","Parabéns!! Sua folha de pagamento contempla uma DSR por semana conforme a lei trabalhista.")</f>
        <v>O mês não está contemplando um DSR (Descanso Semanal Remunerado) por semana. Isso pode configurar uma irregularidade segundo as leis trabalhistas.</v>
      </c>
      <c r="T26" s="297"/>
      <c r="U26" s="298"/>
      <c r="X26" s="177"/>
      <c r="AB26" s="177">
        <f t="shared" si="10"/>
        <v>19</v>
      </c>
      <c r="AC26" s="2">
        <f t="shared" si="3"/>
        <v>5</v>
      </c>
      <c r="AG26" s="220">
        <f t="shared" si="4"/>
        <v>0</v>
      </c>
      <c r="AH26" s="220">
        <f ca="1">IF(HLOOKUP($F26,Jornada!$X$7:$AD$37,VLOOKUP(INDIRECT($C$5),Jornada!$C$8:$W$37,21,0),0)=0,0,VLOOKUP(INDIRECT($C$5),Jornada!$C$8:$H$37,4,0))</f>
        <v>0</v>
      </c>
      <c r="AI26" s="155">
        <f ca="1">IF(AND(I26=0,J26=0,OR(H26&lt;&gt;0,K26&lt;&gt;0),HLOOKUP($F26,Jornada!$X$7:$AD$37,VLOOKUP(INDIRECT($C$5),Jornada!$C$8:$W$37,21,0),0)&gt;$AK$5,M26&gt;$AK$5),VLOOKUP(INDIRECT($C$5),Jornada!$C$8:$H$37,6,0),IF(AG26&gt;VLOOKUP(INDIRECT($C$5),Jornada!$C$8:$H$37,6,0),IF(VLOOKUP(INDIRECT($C$5),Jornada!$C$8:$H$37,6,0)&lt;AG26,0,ABS(VLOOKUP(INDIRECT($C$5),Jornada!$C$8:$H$37,6,0))-AG26),0))</f>
        <v>0</v>
      </c>
      <c r="AJ26" s="155">
        <f t="shared" si="5"/>
        <v>1</v>
      </c>
      <c r="AK26" s="155">
        <f t="shared" si="6"/>
        <v>0</v>
      </c>
      <c r="AL26" s="155">
        <f ca="1">HLOOKUP($F26,Jornada!$I$5:$V$37,VLOOKUP(INDIRECT($C$5),Jornada!$C$8:$W$37,21,0)+2,0)</f>
        <v>0</v>
      </c>
      <c r="AM26" s="155">
        <f ca="1">HLOOKUP($F26,Jornada!$I$4:$V$37,VLOOKUP(INDIRECT($C$5),Jornada!$C$8:$W$37,21,0)+3,0)</f>
        <v>0</v>
      </c>
      <c r="AN26" s="155">
        <f t="shared" ca="1" si="7"/>
        <v>0</v>
      </c>
      <c r="AO26" s="155">
        <f t="shared" si="8"/>
        <v>0</v>
      </c>
      <c r="AP26" s="155">
        <f t="shared" si="9"/>
        <v>0</v>
      </c>
      <c r="BE26" s="14"/>
      <c r="BF26" s="14"/>
      <c r="BG26" s="14"/>
    </row>
    <row r="27" spans="1:59" s="2" customFormat="1" ht="30" customHeight="1" thickTop="1" thickBot="1" x14ac:dyDescent="0.25">
      <c r="A27" s="1"/>
      <c r="B27"/>
      <c r="C27" s="172" t="str">
        <f>IF(Funcionários!C26=0,"",Funcionários!C26)</f>
        <v/>
      </c>
      <c r="D27"/>
      <c r="E27" s="115">
        <f>Lanç!E27</f>
        <v>20</v>
      </c>
      <c r="F27" s="189" t="str">
        <f>Lanç!F27</f>
        <v>Sex</v>
      </c>
      <c r="G27" s="81"/>
      <c r="H27" s="94"/>
      <c r="I27" s="94"/>
      <c r="J27" s="94"/>
      <c r="K27" s="94"/>
      <c r="L27" s="197"/>
      <c r="M27" s="95">
        <f t="shared" si="1"/>
        <v>0</v>
      </c>
      <c r="N27" s="196"/>
      <c r="O27" s="95">
        <f ca="1">IF(OR(G27=0,G27="Férias",G27="Falta Justificada",G27="Feriado",G27="Folga (DSR)"),0,IF(G27="Falta Injustificada",HLOOKUP($F27,Jornada!$X$7:$AD$37,VLOOKUP(INDIRECT($C$5),Jornada!$C$8:$W$37,21,0),0),IF(HLOOKUP($F27,Jornada!$X$7:$AD$37,VLOOKUP(INDIRECT($C$5),Jornada!$C$8:$W$37,21,0),0)-M27&gt;0,HLOOKUP($F27,Jornada!$X$7:$AD$37,VLOOKUP(INDIRECT($C$5),Jornada!$C$8:$W$37,21,0),0)-M27,0)))</f>
        <v>0</v>
      </c>
      <c r="P27" s="193">
        <f ca="1">IF(HLOOKUP($F27,Jornada!$X$7:$AD$37,VLOOKUP(INDIRECT($C$5),Jornada!$C$8:$W$37,21,0),0)-M27&lt;0,ABS(HLOOKUP($F27,Jornada!$X$7:$AD$37,VLOOKUP(INDIRECT($C$5),Jornada!$C$8:$W$37,21,0),0)-M27),0)</f>
        <v>0</v>
      </c>
      <c r="Q27" s="95">
        <f t="shared" si="0"/>
        <v>0</v>
      </c>
      <c r="R27" s="2">
        <f t="shared" si="2"/>
        <v>0</v>
      </c>
      <c r="S27" s="296"/>
      <c r="T27" s="297"/>
      <c r="U27" s="298"/>
      <c r="X27" s="177"/>
      <c r="AB27" s="177">
        <f t="shared" si="10"/>
        <v>20</v>
      </c>
      <c r="AC27" s="2">
        <f t="shared" si="3"/>
        <v>6</v>
      </c>
      <c r="AG27" s="220">
        <f t="shared" si="4"/>
        <v>0</v>
      </c>
      <c r="AH27" s="220">
        <f ca="1">IF(HLOOKUP($F27,Jornada!$X$7:$AD$37,VLOOKUP(INDIRECT($C$5),Jornada!$C$8:$W$37,21,0),0)=0,0,VLOOKUP(INDIRECT($C$5),Jornada!$C$8:$H$37,4,0))</f>
        <v>0</v>
      </c>
      <c r="AI27" s="155">
        <f ca="1">IF(AND(I27=0,J27=0,OR(H27&lt;&gt;0,K27&lt;&gt;0),HLOOKUP($F27,Jornada!$X$7:$AD$37,VLOOKUP(INDIRECT($C$5),Jornada!$C$8:$W$37,21,0),0)&gt;$AK$5,M27&gt;$AK$5),VLOOKUP(INDIRECT($C$5),Jornada!$C$8:$H$37,6,0),IF(AG27&gt;VLOOKUP(INDIRECT($C$5),Jornada!$C$8:$H$37,6,0),IF(VLOOKUP(INDIRECT($C$5),Jornada!$C$8:$H$37,6,0)&lt;AG27,0,ABS(VLOOKUP(INDIRECT($C$5),Jornada!$C$8:$H$37,6,0))-AG27),0))</f>
        <v>0</v>
      </c>
      <c r="AJ27" s="155">
        <f t="shared" si="5"/>
        <v>1</v>
      </c>
      <c r="AK27" s="155">
        <f t="shared" si="6"/>
        <v>0</v>
      </c>
      <c r="AL27" s="155">
        <f ca="1">HLOOKUP($F27,Jornada!$I$5:$V$37,VLOOKUP(INDIRECT($C$5),Jornada!$C$8:$W$37,21,0)+2,0)</f>
        <v>0</v>
      </c>
      <c r="AM27" s="155">
        <f ca="1">HLOOKUP($F27,Jornada!$I$4:$V$37,VLOOKUP(INDIRECT($C$5),Jornada!$C$8:$W$37,21,0)+3,0)</f>
        <v>0</v>
      </c>
      <c r="AN27" s="155">
        <f t="shared" ca="1" si="7"/>
        <v>0</v>
      </c>
      <c r="AO27" s="155">
        <f t="shared" si="8"/>
        <v>0</v>
      </c>
      <c r="AP27" s="155">
        <f t="shared" si="9"/>
        <v>0</v>
      </c>
    </row>
    <row r="28" spans="1:59" s="2" customFormat="1" ht="30" customHeight="1" thickTop="1" thickBot="1" x14ac:dyDescent="0.25">
      <c r="A28" s="1"/>
      <c r="B28"/>
      <c r="C28" s="172" t="str">
        <f>IF(Funcionários!C27=0,"",Funcionários!C27)</f>
        <v/>
      </c>
      <c r="D28"/>
      <c r="E28" s="115">
        <f>Lanç!E28</f>
        <v>21</v>
      </c>
      <c r="F28" s="189" t="str">
        <f>Lanç!F28</f>
        <v>Sáb</v>
      </c>
      <c r="G28" s="81"/>
      <c r="H28" s="94"/>
      <c r="I28" s="94"/>
      <c r="J28" s="94"/>
      <c r="K28" s="94"/>
      <c r="L28" s="197"/>
      <c r="M28" s="95">
        <f t="shared" si="1"/>
        <v>0</v>
      </c>
      <c r="N28" s="196"/>
      <c r="O28" s="95">
        <f ca="1">IF(OR(G28=0,G28="Férias",G28="Falta Justificada",G28="Feriado",G28="Folga (DSR)"),0,IF(G28="Falta Injustificada",HLOOKUP($F28,Jornada!$X$7:$AD$37,VLOOKUP(INDIRECT($C$5),Jornada!$C$8:$W$37,21,0),0),IF(HLOOKUP($F28,Jornada!$X$7:$AD$37,VLOOKUP(INDIRECT($C$5),Jornada!$C$8:$W$37,21,0),0)-M28&gt;0,HLOOKUP($F28,Jornada!$X$7:$AD$37,VLOOKUP(INDIRECT($C$5),Jornada!$C$8:$W$37,21,0),0)-M28,0)))</f>
        <v>0</v>
      </c>
      <c r="P28" s="193">
        <f ca="1">IF(HLOOKUP($F28,Jornada!$X$7:$AD$37,VLOOKUP(INDIRECT($C$5),Jornada!$C$8:$W$37,21,0),0)-M28&lt;0,ABS(HLOOKUP($F28,Jornada!$X$7:$AD$37,VLOOKUP(INDIRECT($C$5),Jornada!$C$8:$W$37,21,0),0)-M28),0)</f>
        <v>0</v>
      </c>
      <c r="Q28" s="95">
        <f t="shared" si="0"/>
        <v>0</v>
      </c>
      <c r="R28" s="2">
        <f t="shared" si="2"/>
        <v>0</v>
      </c>
      <c r="S28" s="296"/>
      <c r="T28" s="297"/>
      <c r="U28" s="298"/>
      <c r="X28" s="177"/>
      <c r="AB28" s="177">
        <f t="shared" si="10"/>
        <v>21</v>
      </c>
      <c r="AC28" s="2">
        <f t="shared" si="3"/>
        <v>7</v>
      </c>
      <c r="AG28" s="220">
        <f t="shared" si="4"/>
        <v>0</v>
      </c>
      <c r="AH28" s="220">
        <f ca="1">IF(HLOOKUP($F28,Jornada!$X$7:$AD$37,VLOOKUP(INDIRECT($C$5),Jornada!$C$8:$W$37,21,0),0)=0,0,VLOOKUP(INDIRECT($C$5),Jornada!$C$8:$H$37,4,0))</f>
        <v>0</v>
      </c>
      <c r="AI28" s="155">
        <f ca="1">IF(AND(I28=0,J28=0,OR(H28&lt;&gt;0,K28&lt;&gt;0),HLOOKUP($F28,Jornada!$X$7:$AD$37,VLOOKUP(INDIRECT($C$5),Jornada!$C$8:$W$37,21,0),0)&gt;$AK$5,M28&gt;$AK$5),VLOOKUP(INDIRECT($C$5),Jornada!$C$8:$H$37,6,0),IF(AG28&gt;VLOOKUP(INDIRECT($C$5),Jornada!$C$8:$H$37,6,0),IF(VLOOKUP(INDIRECT($C$5),Jornada!$C$8:$H$37,6,0)&lt;AG28,0,ABS(VLOOKUP(INDIRECT($C$5),Jornada!$C$8:$H$37,6,0))-AG28),0))</f>
        <v>0</v>
      </c>
      <c r="AJ28" s="155">
        <f t="shared" si="5"/>
        <v>1</v>
      </c>
      <c r="AK28" s="155">
        <f t="shared" si="6"/>
        <v>0</v>
      </c>
      <c r="AL28" s="155">
        <f ca="1">HLOOKUP($F28,Jornada!$I$5:$V$37,VLOOKUP(INDIRECT($C$5),Jornada!$C$8:$W$37,21,0)+2,0)</f>
        <v>0</v>
      </c>
      <c r="AM28" s="155">
        <f ca="1">HLOOKUP($F28,Jornada!$I$4:$V$37,VLOOKUP(INDIRECT($C$5),Jornada!$C$8:$W$37,21,0)+3,0)</f>
        <v>0</v>
      </c>
      <c r="AN28" s="155">
        <f t="shared" ca="1" si="7"/>
        <v>0</v>
      </c>
      <c r="AO28" s="155">
        <f t="shared" si="8"/>
        <v>0</v>
      </c>
      <c r="AP28" s="155">
        <f t="shared" si="9"/>
        <v>0</v>
      </c>
    </row>
    <row r="29" spans="1:59" s="2" customFormat="1" ht="30" customHeight="1" thickTop="1" thickBot="1" x14ac:dyDescent="0.25">
      <c r="A29" s="1"/>
      <c r="B29"/>
      <c r="C29" s="172" t="str">
        <f>IF(Funcionários!C28=0,"",Funcionários!C28)</f>
        <v/>
      </c>
      <c r="D29"/>
      <c r="E29" s="115">
        <f>Lanç!E29</f>
        <v>22</v>
      </c>
      <c r="F29" s="189" t="str">
        <f>Lanç!F29</f>
        <v>Dom</v>
      </c>
      <c r="G29" s="81"/>
      <c r="H29" s="94"/>
      <c r="I29" s="94"/>
      <c r="J29" s="94"/>
      <c r="K29" s="94"/>
      <c r="L29" s="197"/>
      <c r="M29" s="95">
        <f t="shared" si="1"/>
        <v>0</v>
      </c>
      <c r="N29" s="196"/>
      <c r="O29" s="95">
        <f ca="1">IF(OR(G29=0,G29="Férias",G29="Falta Justificada",G29="Feriado",G29="Folga (DSR)"),0,IF(G29="Falta Injustificada",HLOOKUP($F29,Jornada!$X$7:$AD$37,VLOOKUP(INDIRECT($C$5),Jornada!$C$8:$W$37,21,0),0),IF(HLOOKUP($F29,Jornada!$X$7:$AD$37,VLOOKUP(INDIRECT($C$5),Jornada!$C$8:$W$37,21,0),0)-M29&gt;0,HLOOKUP($F29,Jornada!$X$7:$AD$37,VLOOKUP(INDIRECT($C$5),Jornada!$C$8:$W$37,21,0),0)-M29,0)))</f>
        <v>0</v>
      </c>
      <c r="P29" s="193">
        <f ca="1">IF(HLOOKUP($F29,Jornada!$X$7:$AD$37,VLOOKUP(INDIRECT($C$5),Jornada!$C$8:$W$37,21,0),0)-M29&lt;0,ABS(HLOOKUP($F29,Jornada!$X$7:$AD$37,VLOOKUP(INDIRECT($C$5),Jornada!$C$8:$W$37,21,0),0)-M29),0)</f>
        <v>0</v>
      </c>
      <c r="Q29" s="95">
        <f t="shared" si="0"/>
        <v>0</v>
      </c>
      <c r="R29" s="2">
        <f t="shared" si="2"/>
        <v>0</v>
      </c>
      <c r="S29" s="13"/>
      <c r="T29" s="74"/>
      <c r="U29" s="74"/>
      <c r="X29" s="177"/>
      <c r="AB29" s="177">
        <f t="shared" si="10"/>
        <v>22</v>
      </c>
      <c r="AC29" s="2">
        <f t="shared" si="3"/>
        <v>1</v>
      </c>
      <c r="AG29" s="220">
        <f t="shared" si="4"/>
        <v>0</v>
      </c>
      <c r="AH29" s="220">
        <f ca="1">IF(HLOOKUP($F29,Jornada!$X$7:$AD$37,VLOOKUP(INDIRECT($C$5),Jornada!$C$8:$W$37,21,0),0)=0,0,VLOOKUP(INDIRECT($C$5),Jornada!$C$8:$H$37,4,0))</f>
        <v>0</v>
      </c>
      <c r="AI29" s="155">
        <f ca="1">IF(AND(I29=0,J29=0,OR(H29&lt;&gt;0,K29&lt;&gt;0),HLOOKUP($F29,Jornada!$X$7:$AD$37,VLOOKUP(INDIRECT($C$5),Jornada!$C$8:$W$37,21,0),0)&gt;$AK$5,M29&gt;$AK$5),VLOOKUP(INDIRECT($C$5),Jornada!$C$8:$H$37,6,0),IF(AG29&gt;VLOOKUP(INDIRECT($C$5),Jornada!$C$8:$H$37,6,0),IF(VLOOKUP(INDIRECT($C$5),Jornada!$C$8:$H$37,6,0)&lt;AG29,0,ABS(VLOOKUP(INDIRECT($C$5),Jornada!$C$8:$H$37,6,0))-AG29),0))</f>
        <v>0</v>
      </c>
      <c r="AJ29" s="155">
        <f t="shared" si="5"/>
        <v>1</v>
      </c>
      <c r="AK29" s="155">
        <f t="shared" si="6"/>
        <v>0</v>
      </c>
      <c r="AL29" s="155">
        <f ca="1">HLOOKUP($F29,Jornada!$I$5:$V$37,VLOOKUP(INDIRECT($C$5),Jornada!$C$8:$W$37,21,0)+2,0)</f>
        <v>0</v>
      </c>
      <c r="AM29" s="155">
        <f ca="1">HLOOKUP($F29,Jornada!$I$4:$V$37,VLOOKUP(INDIRECT($C$5),Jornada!$C$8:$W$37,21,0)+3,0)</f>
        <v>0</v>
      </c>
      <c r="AN29" s="155">
        <f t="shared" ca="1" si="7"/>
        <v>0</v>
      </c>
      <c r="AO29" s="155">
        <f t="shared" si="8"/>
        <v>0</v>
      </c>
      <c r="AP29" s="155">
        <f t="shared" si="9"/>
        <v>0</v>
      </c>
    </row>
    <row r="30" spans="1:59" s="2" customFormat="1" ht="30" customHeight="1" thickTop="1" thickBot="1" x14ac:dyDescent="0.25">
      <c r="A30" s="1"/>
      <c r="B30"/>
      <c r="C30" s="172" t="str">
        <f>IF(Funcionários!C29=0,"",Funcionários!C29)</f>
        <v/>
      </c>
      <c r="D30"/>
      <c r="E30" s="173">
        <f>Lanç!E30</f>
        <v>23</v>
      </c>
      <c r="F30" s="189" t="str">
        <f>Lanç!F30</f>
        <v>Seg</v>
      </c>
      <c r="G30" s="81"/>
      <c r="H30" s="94"/>
      <c r="I30" s="94"/>
      <c r="J30" s="94"/>
      <c r="K30" s="94"/>
      <c r="L30" s="197"/>
      <c r="M30" s="95">
        <f t="shared" si="1"/>
        <v>0</v>
      </c>
      <c r="N30" s="196"/>
      <c r="O30" s="95">
        <f ca="1">IF(OR(G30=0,G30="Férias",G30="Falta Justificada",G30="Feriado",G30="Folga (DSR)"),0,IF(G30="Falta Injustificada",HLOOKUP($F30,Jornada!$X$7:$AD$37,VLOOKUP(INDIRECT($C$5),Jornada!$C$8:$W$37,21,0),0),IF(HLOOKUP($F30,Jornada!$X$7:$AD$37,VLOOKUP(INDIRECT($C$5),Jornada!$C$8:$W$37,21,0),0)-M30&gt;0,HLOOKUP($F30,Jornada!$X$7:$AD$37,VLOOKUP(INDIRECT($C$5),Jornada!$C$8:$W$37,21,0),0)-M30,0)))</f>
        <v>0</v>
      </c>
      <c r="P30" s="193">
        <f ca="1">IF(HLOOKUP($F30,Jornada!$X$7:$AD$37,VLOOKUP(INDIRECT($C$5),Jornada!$C$8:$W$37,21,0),0)-M30&lt;0,ABS(HLOOKUP($F30,Jornada!$X$7:$AD$37,VLOOKUP(INDIRECT($C$5),Jornada!$C$8:$W$37,21,0),0)-M30),0)</f>
        <v>0</v>
      </c>
      <c r="Q30" s="95">
        <f t="shared" si="0"/>
        <v>0</v>
      </c>
      <c r="R30" s="2">
        <f>IF(Q30&gt;$R$7,1,0)</f>
        <v>0</v>
      </c>
      <c r="S30" s="13"/>
      <c r="T30" s="74"/>
      <c r="U30" s="74"/>
      <c r="X30" s="177"/>
      <c r="AB30" s="177">
        <f t="shared" si="10"/>
        <v>23</v>
      </c>
      <c r="AC30" s="2">
        <f>WEEKDAY(AB30)</f>
        <v>2</v>
      </c>
      <c r="AG30" s="220">
        <f t="shared" si="4"/>
        <v>0</v>
      </c>
      <c r="AH30" s="220">
        <f ca="1">IF(HLOOKUP($F30,Jornada!$X$7:$AD$37,VLOOKUP(INDIRECT($C$5),Jornada!$C$8:$W$37,21,0),0)=0,0,VLOOKUP(INDIRECT($C$5),Jornada!$C$8:$H$37,4,0))</f>
        <v>0</v>
      </c>
      <c r="AI30" s="155">
        <f ca="1">IF(AND(I30=0,J30=0,OR(H30&lt;&gt;0,K30&lt;&gt;0),HLOOKUP($F30,Jornada!$X$7:$AD$37,VLOOKUP(INDIRECT($C$5),Jornada!$C$8:$W$37,21,0),0)&gt;$AK$5,M30&gt;$AK$5),VLOOKUP(INDIRECT($C$5),Jornada!$C$8:$H$37,6,0),IF(AG30&gt;VLOOKUP(INDIRECT($C$5),Jornada!$C$8:$H$37,6,0),IF(VLOOKUP(INDIRECT($C$5),Jornada!$C$8:$H$37,6,0)&lt;AG30,0,ABS(VLOOKUP(INDIRECT($C$5),Jornada!$C$8:$H$37,6,0))-AG30),0))</f>
        <v>0</v>
      </c>
      <c r="AJ30" s="155">
        <f>($AJ$7-K30)+H30</f>
        <v>1</v>
      </c>
      <c r="AK30" s="155">
        <f>IF(AJ30&lt;$AK$7,$AK$7-AJ30,$AI$7)</f>
        <v>0</v>
      </c>
      <c r="AL30" s="155">
        <f ca="1">HLOOKUP($F30,Jornada!$I$5:$V$37,VLOOKUP(INDIRECT($C$5),Jornada!$C$8:$W$37,21,0)+2,0)</f>
        <v>0</v>
      </c>
      <c r="AM30" s="155">
        <f ca="1">HLOOKUP($F30,Jornada!$I$4:$V$37,VLOOKUP(INDIRECT($C$5),Jornada!$C$8:$W$37,21,0)+3,0)</f>
        <v>0</v>
      </c>
      <c r="AN30" s="155">
        <f t="shared" ca="1" si="7"/>
        <v>0</v>
      </c>
      <c r="AO30" s="155">
        <f t="shared" si="8"/>
        <v>0</v>
      </c>
      <c r="AP30" s="155">
        <f t="shared" si="9"/>
        <v>0</v>
      </c>
    </row>
    <row r="31" spans="1:59" s="2" customFormat="1" ht="30" customHeight="1" thickTop="1" thickBot="1" x14ac:dyDescent="0.25">
      <c r="A31" s="1"/>
      <c r="B31"/>
      <c r="C31" s="172" t="str">
        <f>IF(Funcionários!C30=0,"",Funcionários!C30)</f>
        <v/>
      </c>
      <c r="D31"/>
      <c r="E31" s="173">
        <f>Lanç!E31</f>
        <v>24</v>
      </c>
      <c r="F31" s="189" t="str">
        <f>Lanç!F31</f>
        <v>Ter</v>
      </c>
      <c r="G31" s="81"/>
      <c r="H31" s="94"/>
      <c r="I31" s="94"/>
      <c r="J31" s="94"/>
      <c r="K31" s="94"/>
      <c r="L31" s="197"/>
      <c r="M31" s="95">
        <f t="shared" si="1"/>
        <v>0</v>
      </c>
      <c r="N31" s="196"/>
      <c r="O31" s="95">
        <f ca="1">IF(OR(G31=0,G31="Férias",G31="Falta Justificada",G31="Feriado",G31="Folga (DSR)"),0,IF(G31="Falta Injustificada",HLOOKUP($F31,Jornada!$X$7:$AD$37,VLOOKUP(INDIRECT($C$5),Jornada!$C$8:$W$37,21,0),0),IF(HLOOKUP($F31,Jornada!$X$7:$AD$37,VLOOKUP(INDIRECT($C$5),Jornada!$C$8:$W$37,21,0),0)-M31&gt;0,HLOOKUP($F31,Jornada!$X$7:$AD$37,VLOOKUP(INDIRECT($C$5),Jornada!$C$8:$W$37,21,0),0)-M31,0)))</f>
        <v>0</v>
      </c>
      <c r="P31" s="193">
        <f ca="1">IF(HLOOKUP($F31,Jornada!$X$7:$AD$37,VLOOKUP(INDIRECT($C$5),Jornada!$C$8:$W$37,21,0),0)-M31&lt;0,ABS(HLOOKUP($F31,Jornada!$X$7:$AD$37,VLOOKUP(INDIRECT($C$5),Jornada!$C$8:$W$37,21,0),0)-M31),0)</f>
        <v>0</v>
      </c>
      <c r="Q31" s="95">
        <f t="shared" si="0"/>
        <v>0</v>
      </c>
      <c r="R31" s="2">
        <f>IF(Q31&gt;$R$7,1,0)</f>
        <v>0</v>
      </c>
      <c r="S31" s="13"/>
      <c r="T31" s="74"/>
      <c r="U31" s="74"/>
      <c r="X31" s="177"/>
      <c r="AB31" s="177">
        <f t="shared" si="10"/>
        <v>24</v>
      </c>
      <c r="AC31" s="2">
        <f>WEEKDAY(AB31)</f>
        <v>3</v>
      </c>
      <c r="AG31" s="220">
        <f t="shared" si="4"/>
        <v>0</v>
      </c>
      <c r="AH31" s="220">
        <f ca="1">IF(HLOOKUP($F31,Jornada!$X$7:$AD$37,VLOOKUP(INDIRECT($C$5),Jornada!$C$8:$W$37,21,0),0)=0,0,VLOOKUP(INDIRECT($C$5),Jornada!$C$8:$H$37,4,0))</f>
        <v>0</v>
      </c>
      <c r="AI31" s="155">
        <f ca="1">IF(AND(I31=0,J31=0,OR(H31&lt;&gt;0,K31&lt;&gt;0),HLOOKUP($F31,Jornada!$X$7:$AD$37,VLOOKUP(INDIRECT($C$5),Jornada!$C$8:$W$37,21,0),0)&gt;$AK$5,M31&gt;$AK$5),VLOOKUP(INDIRECT($C$5),Jornada!$C$8:$H$37,6,0),IF(AG31&gt;VLOOKUP(INDIRECT($C$5),Jornada!$C$8:$H$37,6,0),IF(VLOOKUP(INDIRECT($C$5),Jornada!$C$8:$H$37,6,0)&lt;AG31,0,ABS(VLOOKUP(INDIRECT($C$5),Jornada!$C$8:$H$37,6,0))-AG31),0))</f>
        <v>0</v>
      </c>
      <c r="AJ31" s="155">
        <f>($AJ$7-K31)+H31</f>
        <v>1</v>
      </c>
      <c r="AK31" s="155">
        <f>IF(AJ31&lt;$AK$7,$AK$7-AJ31,$AI$7)</f>
        <v>0</v>
      </c>
      <c r="AL31" s="155">
        <f ca="1">HLOOKUP($F31,Jornada!$I$5:$V$37,VLOOKUP(INDIRECT($C$5),Jornada!$C$8:$W$37,21,0)+2,0)</f>
        <v>0</v>
      </c>
      <c r="AM31" s="155">
        <f ca="1">HLOOKUP($F31,Jornada!$I$4:$V$37,VLOOKUP(INDIRECT($C$5),Jornada!$C$8:$W$37,21,0)+3,0)</f>
        <v>0</v>
      </c>
      <c r="AN31" s="155">
        <f t="shared" ca="1" si="7"/>
        <v>0</v>
      </c>
      <c r="AO31" s="155">
        <f t="shared" si="8"/>
        <v>0</v>
      </c>
      <c r="AP31" s="155">
        <f t="shared" si="9"/>
        <v>0</v>
      </c>
    </row>
    <row r="32" spans="1:59" s="2" customFormat="1" ht="30" customHeight="1" thickTop="1" thickBot="1" x14ac:dyDescent="0.25">
      <c r="A32" s="1"/>
      <c r="B32"/>
      <c r="C32" s="172" t="str">
        <f>IF(Funcionários!C31=0,"",Funcionários!C31)</f>
        <v/>
      </c>
      <c r="D32"/>
      <c r="E32" s="115">
        <f>Lanç!E32</f>
        <v>25</v>
      </c>
      <c r="F32" s="189" t="str">
        <f>Lanç!F32</f>
        <v>Qua</v>
      </c>
      <c r="G32" s="81"/>
      <c r="H32" s="94"/>
      <c r="I32" s="94"/>
      <c r="J32" s="94"/>
      <c r="K32" s="94"/>
      <c r="L32" s="197"/>
      <c r="M32" s="95">
        <f t="shared" si="1"/>
        <v>0</v>
      </c>
      <c r="N32" s="196"/>
      <c r="O32" s="95">
        <f ca="1">IF(OR(G32=0,G32="Férias",G32="Falta Justificada",G32="Feriado",G32="Folga (DSR)"),0,IF(G32="Falta Injustificada",HLOOKUP($F32,Jornada!$X$7:$AD$37,VLOOKUP(INDIRECT($C$5),Jornada!$C$8:$W$37,21,0),0),IF(HLOOKUP($F32,Jornada!$X$7:$AD$37,VLOOKUP(INDIRECT($C$5),Jornada!$C$8:$W$37,21,0),0)-M32&gt;0,HLOOKUP($F32,Jornada!$X$7:$AD$37,VLOOKUP(INDIRECT($C$5),Jornada!$C$8:$W$37,21,0),0)-M32,0)))</f>
        <v>0</v>
      </c>
      <c r="P32" s="193">
        <f ca="1">IF(HLOOKUP($F32,Jornada!$X$7:$AD$37,VLOOKUP(INDIRECT($C$5),Jornada!$C$8:$W$37,21,0),0)-M32&lt;0,ABS(HLOOKUP($F32,Jornada!$X$7:$AD$37,VLOOKUP(INDIRECT($C$5),Jornada!$C$8:$W$37,21,0),0)-M32),0)</f>
        <v>0</v>
      </c>
      <c r="Q32" s="95">
        <f t="shared" si="0"/>
        <v>0</v>
      </c>
      <c r="R32" s="2">
        <f t="shared" si="2"/>
        <v>0</v>
      </c>
      <c r="S32" s="74"/>
      <c r="T32" s="74"/>
      <c r="U32" s="74"/>
      <c r="X32" s="177"/>
      <c r="AB32" s="177">
        <f t="shared" si="10"/>
        <v>25</v>
      </c>
      <c r="AC32" s="2">
        <f t="shared" si="3"/>
        <v>4</v>
      </c>
      <c r="AG32" s="220">
        <f t="shared" si="4"/>
        <v>0</v>
      </c>
      <c r="AH32" s="220">
        <f ca="1">IF(HLOOKUP($F32,Jornada!$X$7:$AD$37,VLOOKUP(INDIRECT($C$5),Jornada!$C$8:$W$37,21,0),0)=0,0,VLOOKUP(INDIRECT($C$5),Jornada!$C$8:$H$37,4,0))</f>
        <v>0</v>
      </c>
      <c r="AI32" s="155">
        <f ca="1">IF(AND(I32=0,J32=0,OR(H32&lt;&gt;0,K32&lt;&gt;0),HLOOKUP($F32,Jornada!$X$7:$AD$37,VLOOKUP(INDIRECT($C$5),Jornada!$C$8:$W$37,21,0),0)&gt;$AK$5,M32&gt;$AK$5),VLOOKUP(INDIRECT($C$5),Jornada!$C$8:$H$37,6,0),IF(AG32&gt;VLOOKUP(INDIRECT($C$5),Jornada!$C$8:$H$37,6,0),IF(VLOOKUP(INDIRECT($C$5),Jornada!$C$8:$H$37,6,0)&lt;AG32,0,ABS(VLOOKUP(INDIRECT($C$5),Jornada!$C$8:$H$37,6,0))-AG32),0))</f>
        <v>0</v>
      </c>
      <c r="AJ32" s="155">
        <f t="shared" si="5"/>
        <v>1</v>
      </c>
      <c r="AK32" s="155">
        <f t="shared" si="6"/>
        <v>0</v>
      </c>
      <c r="AL32" s="155">
        <f ca="1">HLOOKUP($F32,Jornada!$I$5:$V$37,VLOOKUP(INDIRECT($C$5),Jornada!$C$8:$W$37,21,0)+2,0)</f>
        <v>0</v>
      </c>
      <c r="AM32" s="155">
        <f ca="1">HLOOKUP($F32,Jornada!$I$4:$V$37,VLOOKUP(INDIRECT($C$5),Jornada!$C$8:$W$37,21,0)+3,0)</f>
        <v>0</v>
      </c>
      <c r="AN32" s="155">
        <f t="shared" ca="1" si="7"/>
        <v>0</v>
      </c>
      <c r="AO32" s="155">
        <f t="shared" si="8"/>
        <v>0</v>
      </c>
      <c r="AP32" s="155">
        <f t="shared" si="9"/>
        <v>0</v>
      </c>
    </row>
    <row r="33" spans="1:42" s="2" customFormat="1" ht="30" customHeight="1" thickTop="1" thickBot="1" x14ac:dyDescent="0.25">
      <c r="A33" s="1"/>
      <c r="B33"/>
      <c r="C33" s="172" t="str">
        <f>IF(Funcionários!C32=0,"",Funcionários!C32)</f>
        <v/>
      </c>
      <c r="D33"/>
      <c r="E33" s="115">
        <f>Lanç!E33</f>
        <v>26</v>
      </c>
      <c r="F33" s="189" t="str">
        <f>Lanç!F33</f>
        <v>Qui</v>
      </c>
      <c r="G33" s="81"/>
      <c r="H33" s="94"/>
      <c r="I33" s="94"/>
      <c r="J33" s="94"/>
      <c r="K33" s="94"/>
      <c r="L33" s="197"/>
      <c r="M33" s="95">
        <f t="shared" si="1"/>
        <v>0</v>
      </c>
      <c r="N33" s="196"/>
      <c r="O33" s="95">
        <f ca="1">IF(OR(G33=0,G33="Férias",G33="Falta Justificada",G33="Feriado",G33="Folga (DSR)"),0,IF(G33="Falta Injustificada",HLOOKUP($F33,Jornada!$X$7:$AD$37,VLOOKUP(INDIRECT($C$5),Jornada!$C$8:$W$37,21,0),0),IF(HLOOKUP($F33,Jornada!$X$7:$AD$37,VLOOKUP(INDIRECT($C$5),Jornada!$C$8:$W$37,21,0),0)-M33&gt;0,HLOOKUP($F33,Jornada!$X$7:$AD$37,VLOOKUP(INDIRECT($C$5),Jornada!$C$8:$W$37,21,0),0)-M33,0)))</f>
        <v>0</v>
      </c>
      <c r="P33" s="193">
        <f ca="1">IF(HLOOKUP($F33,Jornada!$X$7:$AD$37,VLOOKUP(INDIRECT($C$5),Jornada!$C$8:$W$37,21,0),0)-M33&lt;0,ABS(HLOOKUP($F33,Jornada!$X$7:$AD$37,VLOOKUP(INDIRECT($C$5),Jornada!$C$8:$W$37,21,0),0)-M33),0)</f>
        <v>0</v>
      </c>
      <c r="Q33" s="95">
        <f t="shared" si="0"/>
        <v>0</v>
      </c>
      <c r="R33" s="2">
        <f t="shared" si="2"/>
        <v>0</v>
      </c>
      <c r="S33" s="74"/>
      <c r="T33" s="74"/>
      <c r="U33" s="74"/>
      <c r="X33" s="177"/>
      <c r="AB33" s="177">
        <f t="shared" si="10"/>
        <v>26</v>
      </c>
      <c r="AC33" s="2">
        <f t="shared" si="3"/>
        <v>5</v>
      </c>
      <c r="AG33" s="220">
        <f t="shared" si="4"/>
        <v>0</v>
      </c>
      <c r="AH33" s="220">
        <f ca="1">IF(HLOOKUP($F33,Jornada!$X$7:$AD$37,VLOOKUP(INDIRECT($C$5),Jornada!$C$8:$W$37,21,0),0)=0,0,VLOOKUP(INDIRECT($C$5),Jornada!$C$8:$H$37,4,0))</f>
        <v>0</v>
      </c>
      <c r="AI33" s="155">
        <f ca="1">IF(AND(I33=0,J33=0,OR(H33&lt;&gt;0,K33&lt;&gt;0),HLOOKUP($F33,Jornada!$X$7:$AD$37,VLOOKUP(INDIRECT($C$5),Jornada!$C$8:$W$37,21,0),0)&gt;$AK$5,M33&gt;$AK$5),VLOOKUP(INDIRECT($C$5),Jornada!$C$8:$H$37,6,0),IF(AG33&gt;VLOOKUP(INDIRECT($C$5),Jornada!$C$8:$H$37,6,0),IF(VLOOKUP(INDIRECT($C$5),Jornada!$C$8:$H$37,6,0)&lt;AG33,0,ABS(VLOOKUP(INDIRECT($C$5),Jornada!$C$8:$H$37,6,0))-AG33),0))</f>
        <v>0</v>
      </c>
      <c r="AJ33" s="155">
        <f t="shared" si="5"/>
        <v>1</v>
      </c>
      <c r="AK33" s="155">
        <f t="shared" si="6"/>
        <v>0</v>
      </c>
      <c r="AL33" s="155">
        <f ca="1">HLOOKUP($F33,Jornada!$I$5:$V$37,VLOOKUP(INDIRECT($C$5),Jornada!$C$8:$W$37,21,0)+2,0)</f>
        <v>0</v>
      </c>
      <c r="AM33" s="155">
        <f ca="1">HLOOKUP($F33,Jornada!$I$4:$V$37,VLOOKUP(INDIRECT($C$5),Jornada!$C$8:$W$37,21,0)+3,0)</f>
        <v>0</v>
      </c>
      <c r="AN33" s="155">
        <f t="shared" ca="1" si="7"/>
        <v>0</v>
      </c>
      <c r="AO33" s="155">
        <f t="shared" si="8"/>
        <v>0</v>
      </c>
      <c r="AP33" s="155">
        <f t="shared" si="9"/>
        <v>0</v>
      </c>
    </row>
    <row r="34" spans="1:42" s="2" customFormat="1" ht="30" customHeight="1" thickTop="1" thickBot="1" x14ac:dyDescent="0.25">
      <c r="A34" s="1"/>
      <c r="B34"/>
      <c r="C34" s="172" t="str">
        <f>IF(Funcionários!C33=0,"",Funcionários!C33)</f>
        <v/>
      </c>
      <c r="D34"/>
      <c r="E34" s="115">
        <f>Lanç!E34</f>
        <v>27</v>
      </c>
      <c r="F34" s="189" t="str">
        <f>Lanç!F34</f>
        <v>Sex</v>
      </c>
      <c r="G34" s="81"/>
      <c r="H34" s="94"/>
      <c r="I34" s="94"/>
      <c r="J34" s="94"/>
      <c r="K34" s="94"/>
      <c r="L34" s="197"/>
      <c r="M34" s="95">
        <f t="shared" si="1"/>
        <v>0</v>
      </c>
      <c r="N34" s="196"/>
      <c r="O34" s="95">
        <f ca="1">IF(OR(G34=0,G34="Férias",G34="Falta Justificada",G34="Feriado",G34="Folga (DSR)"),0,IF(G34="Falta Injustificada",HLOOKUP($F34,Jornada!$X$7:$AD$37,VLOOKUP(INDIRECT($C$5),Jornada!$C$8:$W$37,21,0),0),IF(HLOOKUP($F34,Jornada!$X$7:$AD$37,VLOOKUP(INDIRECT($C$5),Jornada!$C$8:$W$37,21,0),0)-M34&gt;0,HLOOKUP($F34,Jornada!$X$7:$AD$37,VLOOKUP(INDIRECT($C$5),Jornada!$C$8:$W$37,21,0),0)-M34,0)))</f>
        <v>0</v>
      </c>
      <c r="P34" s="193">
        <f ca="1">IF(HLOOKUP($F34,Jornada!$X$7:$AD$37,VLOOKUP(INDIRECT($C$5),Jornada!$C$8:$W$37,21,0),0)-M34&lt;0,ABS(HLOOKUP($F34,Jornada!$X$7:$AD$37,VLOOKUP(INDIRECT($C$5),Jornada!$C$8:$W$37,21,0),0)-M34),0)</f>
        <v>0</v>
      </c>
      <c r="Q34" s="95">
        <f t="shared" si="0"/>
        <v>0</v>
      </c>
      <c r="R34" s="2">
        <f t="shared" si="2"/>
        <v>0</v>
      </c>
      <c r="S34" s="74"/>
      <c r="T34" s="74"/>
      <c r="U34" s="74"/>
      <c r="X34" s="177"/>
      <c r="AB34" s="177">
        <f t="shared" si="10"/>
        <v>27</v>
      </c>
      <c r="AC34" s="2">
        <f t="shared" si="3"/>
        <v>6</v>
      </c>
      <c r="AG34" s="220">
        <f t="shared" si="4"/>
        <v>0</v>
      </c>
      <c r="AH34" s="220">
        <f ca="1">IF(HLOOKUP($F34,Jornada!$X$7:$AD$37,VLOOKUP(INDIRECT($C$5),Jornada!$C$8:$W$37,21,0),0)=0,0,VLOOKUP(INDIRECT($C$5),Jornada!$C$8:$H$37,4,0))</f>
        <v>0</v>
      </c>
      <c r="AI34" s="155">
        <f ca="1">IF(AND(I34=0,J34=0,OR(H34&lt;&gt;0,K34&lt;&gt;0),HLOOKUP($F34,Jornada!$X$7:$AD$37,VLOOKUP(INDIRECT($C$5),Jornada!$C$8:$W$37,21,0),0)&gt;$AK$5,M34&gt;$AK$5),VLOOKUP(INDIRECT($C$5),Jornada!$C$8:$H$37,6,0),IF(AG34&gt;VLOOKUP(INDIRECT($C$5),Jornada!$C$8:$H$37,6,0),IF(VLOOKUP(INDIRECT($C$5),Jornada!$C$8:$H$37,6,0)&lt;AG34,0,ABS(VLOOKUP(INDIRECT($C$5),Jornada!$C$8:$H$37,6,0))-AG34),0))</f>
        <v>0</v>
      </c>
      <c r="AJ34" s="155">
        <f t="shared" si="5"/>
        <v>1</v>
      </c>
      <c r="AK34" s="155">
        <f t="shared" si="6"/>
        <v>0</v>
      </c>
      <c r="AL34" s="155">
        <f ca="1">HLOOKUP($F34,Jornada!$I$5:$V$37,VLOOKUP(INDIRECT($C$5),Jornada!$C$8:$W$37,21,0)+2,0)</f>
        <v>0</v>
      </c>
      <c r="AM34" s="155">
        <f ca="1">HLOOKUP($F34,Jornada!$I$4:$V$37,VLOOKUP(INDIRECT($C$5),Jornada!$C$8:$W$37,21,0)+3,0)</f>
        <v>0</v>
      </c>
      <c r="AN34" s="155">
        <f t="shared" ca="1" si="7"/>
        <v>0</v>
      </c>
      <c r="AO34" s="155">
        <f t="shared" si="8"/>
        <v>0</v>
      </c>
      <c r="AP34" s="155">
        <f t="shared" si="9"/>
        <v>0</v>
      </c>
    </row>
    <row r="35" spans="1:42" s="2" customFormat="1" ht="30" customHeight="1" thickTop="1" thickBot="1" x14ac:dyDescent="0.25">
      <c r="A35" s="1"/>
      <c r="B35"/>
      <c r="C35" s="172" t="str">
        <f>IF(Funcionários!C34=0,"",Funcionários!C34)</f>
        <v/>
      </c>
      <c r="D35"/>
      <c r="E35" s="115">
        <f>Lanç!E35</f>
        <v>28</v>
      </c>
      <c r="F35" s="189" t="str">
        <f>Lanç!F35</f>
        <v>Sáb</v>
      </c>
      <c r="G35" s="81"/>
      <c r="H35" s="94"/>
      <c r="I35" s="94"/>
      <c r="J35" s="94"/>
      <c r="K35" s="94"/>
      <c r="L35" s="197"/>
      <c r="M35" s="95">
        <f t="shared" si="1"/>
        <v>0</v>
      </c>
      <c r="N35" s="196"/>
      <c r="O35" s="95">
        <f ca="1">IF(OR(G35=0,G35="Férias",G35="Falta Justificada",G35="Feriado",G35="Folga (DSR)"),0,IF(G35="Falta Injustificada",HLOOKUP($F35,Jornada!$X$7:$AD$37,VLOOKUP(INDIRECT($C$5),Jornada!$C$8:$W$37,21,0),0),IF(HLOOKUP($F35,Jornada!$X$7:$AD$37,VLOOKUP(INDIRECT($C$5),Jornada!$C$8:$W$37,21,0),0)-M35&gt;0,HLOOKUP($F35,Jornada!$X$7:$AD$37,VLOOKUP(INDIRECT($C$5),Jornada!$C$8:$W$37,21,0),0)-M35,0)))</f>
        <v>0</v>
      </c>
      <c r="P35" s="193">
        <f ca="1">IF(HLOOKUP($F35,Jornada!$X$7:$AD$37,VLOOKUP(INDIRECT($C$5),Jornada!$C$8:$W$37,21,0),0)-M35&lt;0,ABS(HLOOKUP($F35,Jornada!$X$7:$AD$37,VLOOKUP(INDIRECT($C$5),Jornada!$C$8:$W$37,21,0),0)-M35),0)</f>
        <v>0</v>
      </c>
      <c r="Q35" s="95">
        <f t="shared" si="0"/>
        <v>0</v>
      </c>
      <c r="R35" s="2">
        <f t="shared" si="2"/>
        <v>0</v>
      </c>
      <c r="S35"/>
      <c r="T35"/>
      <c r="U35"/>
      <c r="X35" s="177"/>
      <c r="AB35" s="177">
        <f>IF(MONTH(AB34+1)&lt;&gt;MONTH(AB34),"",AB34+1)</f>
        <v>28</v>
      </c>
      <c r="AC35" s="2">
        <f t="shared" si="3"/>
        <v>7</v>
      </c>
      <c r="AG35" s="220">
        <f t="shared" si="4"/>
        <v>0</v>
      </c>
      <c r="AH35" s="220">
        <f ca="1">IF(HLOOKUP($F35,Jornada!$X$7:$AD$37,VLOOKUP(INDIRECT($C$5),Jornada!$C$8:$W$37,21,0),0)=0,0,VLOOKUP(INDIRECT($C$5),Jornada!$C$8:$H$37,4,0))</f>
        <v>0</v>
      </c>
      <c r="AI35" s="155">
        <f ca="1">IF(AND(I35=0,J35=0,OR(H35&lt;&gt;0,K35&lt;&gt;0),HLOOKUP($F35,Jornada!$X$7:$AD$37,VLOOKUP(INDIRECT($C$5),Jornada!$C$8:$W$37,21,0),0)&gt;$AK$5,M35&gt;$AK$5),VLOOKUP(INDIRECT($C$5),Jornada!$C$8:$H$37,6,0),IF(AG35&gt;VLOOKUP(INDIRECT($C$5),Jornada!$C$8:$H$37,6,0),IF(VLOOKUP(INDIRECT($C$5),Jornada!$C$8:$H$37,6,0)&lt;AG35,0,ABS(VLOOKUP(INDIRECT($C$5),Jornada!$C$8:$H$37,6,0))-AG35),0))</f>
        <v>0</v>
      </c>
      <c r="AJ35" s="155">
        <f t="shared" si="5"/>
        <v>1</v>
      </c>
      <c r="AK35" s="155">
        <f t="shared" si="6"/>
        <v>0</v>
      </c>
      <c r="AL35" s="155">
        <f ca="1">HLOOKUP($F35,Jornada!$I$5:$V$37,VLOOKUP(INDIRECT($C$5),Jornada!$C$8:$W$37,21,0)+2,0)</f>
        <v>0</v>
      </c>
      <c r="AM35" s="155">
        <f ca="1">HLOOKUP($F35,Jornada!$I$4:$V$37,VLOOKUP(INDIRECT($C$5),Jornada!$C$8:$W$37,21,0)+3,0)</f>
        <v>0</v>
      </c>
      <c r="AN35" s="155">
        <f t="shared" ca="1" si="7"/>
        <v>0</v>
      </c>
      <c r="AO35" s="155">
        <f t="shared" si="8"/>
        <v>0</v>
      </c>
      <c r="AP35" s="155">
        <f t="shared" si="9"/>
        <v>0</v>
      </c>
    </row>
    <row r="36" spans="1:42" s="2" customFormat="1" ht="30" customHeight="1" thickTop="1" thickBot="1" x14ac:dyDescent="0.25">
      <c r="A36" s="1"/>
      <c r="B36"/>
      <c r="C36" s="172" t="str">
        <f>IF(Funcionários!C35=0,"",Funcionários!C35)</f>
        <v/>
      </c>
      <c r="D36"/>
      <c r="E36" s="115">
        <f>Lanç!E36</f>
        <v>29</v>
      </c>
      <c r="F36" s="189" t="str">
        <f>Lanç!F36</f>
        <v>Dom</v>
      </c>
      <c r="G36" s="81"/>
      <c r="H36" s="94"/>
      <c r="I36" s="94"/>
      <c r="J36" s="94"/>
      <c r="K36" s="94"/>
      <c r="L36" s="197"/>
      <c r="M36" s="95">
        <f t="shared" si="1"/>
        <v>0</v>
      </c>
      <c r="N36" s="196"/>
      <c r="O36" s="95">
        <f ca="1">IF(OR(G36=0,G36="Férias",G36="Falta Justificada",G36="Feriado",G36="Folga (DSR)"),0,IF(G36="Falta Injustificada",HLOOKUP($F36,Jornada!$X$7:$AD$37,VLOOKUP(INDIRECT($C$5),Jornada!$C$8:$W$37,21,0),0),IF(HLOOKUP($F36,Jornada!$X$7:$AD$37,VLOOKUP(INDIRECT($C$5),Jornada!$C$8:$W$37,21,0),0)-M36&gt;0,HLOOKUP($F36,Jornada!$X$7:$AD$37,VLOOKUP(INDIRECT($C$5),Jornada!$C$8:$W$37,21,0),0)-M36,0)))</f>
        <v>0</v>
      </c>
      <c r="P36" s="193">
        <f ca="1">IF(HLOOKUP($F36,Jornada!$X$7:$AD$37,VLOOKUP(INDIRECT($C$5),Jornada!$C$8:$W$37,21,0),0)-M36&lt;0,ABS(HLOOKUP($F36,Jornada!$X$7:$AD$37,VLOOKUP(INDIRECT($C$5),Jornada!$C$8:$W$37,21,0),0)-M36),0)</f>
        <v>0</v>
      </c>
      <c r="Q36" s="95">
        <f t="shared" si="0"/>
        <v>0</v>
      </c>
      <c r="R36" s="2">
        <f t="shared" si="2"/>
        <v>0</v>
      </c>
      <c r="S36"/>
      <c r="T36"/>
      <c r="U36"/>
      <c r="X36" s="177"/>
      <c r="AB36" s="177">
        <f>IF(MONTH(AB35+1)&lt;&gt;MONTH(AB35),"",IF(AB35="","",AB35+1))</f>
        <v>29</v>
      </c>
      <c r="AC36" s="2">
        <f>IF(ISERROR(WEEKDAY(AB36)),"",WEEKDAY(AB36))</f>
        <v>1</v>
      </c>
      <c r="AG36" s="220">
        <f t="shared" si="4"/>
        <v>0</v>
      </c>
      <c r="AH36" s="220">
        <f ca="1">IF(HLOOKUP($F36,Jornada!$X$7:$AD$37,VLOOKUP(INDIRECT($C$5),Jornada!$C$8:$W$37,21,0),0)=0,0,VLOOKUP(INDIRECT($C$5),Jornada!$C$8:$H$37,4,0))</f>
        <v>0</v>
      </c>
      <c r="AI36" s="155">
        <f ca="1">IF(AND(I36=0,J36=0,OR(H36&lt;&gt;0,K36&lt;&gt;0),HLOOKUP($F36,Jornada!$X$7:$AD$37,VLOOKUP(INDIRECT($C$5),Jornada!$C$8:$W$37,21,0),0)&gt;$AK$5,M36&gt;$AK$5),VLOOKUP(INDIRECT($C$5),Jornada!$C$8:$H$37,6,0),IF(AG36&gt;VLOOKUP(INDIRECT($C$5),Jornada!$C$8:$H$37,6,0),IF(VLOOKUP(INDIRECT($C$5),Jornada!$C$8:$H$37,6,0)&lt;AG36,0,ABS(VLOOKUP(INDIRECT($C$5),Jornada!$C$8:$H$37,6,0))-AG36),0))</f>
        <v>0</v>
      </c>
      <c r="AJ36" s="155">
        <f t="shared" si="5"/>
        <v>1</v>
      </c>
      <c r="AK36" s="155">
        <f t="shared" si="6"/>
        <v>0</v>
      </c>
      <c r="AL36" s="155">
        <f ca="1">HLOOKUP($F36,Jornada!$I$5:$V$37,VLOOKUP(INDIRECT($C$5),Jornada!$C$8:$W$37,21,0)+2,0)</f>
        <v>0</v>
      </c>
      <c r="AM36" s="155">
        <f ca="1">HLOOKUP($F36,Jornada!$I$4:$V$37,VLOOKUP(INDIRECT($C$5),Jornada!$C$8:$W$37,21,0)+3,0)</f>
        <v>0</v>
      </c>
      <c r="AN36" s="155">
        <f t="shared" ca="1" si="7"/>
        <v>0</v>
      </c>
      <c r="AO36" s="155">
        <f t="shared" si="8"/>
        <v>0</v>
      </c>
      <c r="AP36" s="155">
        <f t="shared" si="9"/>
        <v>0</v>
      </c>
    </row>
    <row r="37" spans="1:42" s="2" customFormat="1" ht="30" customHeight="1" thickTop="1" thickBot="1" x14ac:dyDescent="0.25">
      <c r="A37" s="1"/>
      <c r="B37"/>
      <c r="C37" s="172" t="str">
        <f>IF(Funcionários!C36=0,"",Funcionários!C36)</f>
        <v/>
      </c>
      <c r="D37"/>
      <c r="E37" s="115">
        <f>Lanç!E37</f>
        <v>30</v>
      </c>
      <c r="F37" s="189" t="str">
        <f>Lanç!F37</f>
        <v>Seg</v>
      </c>
      <c r="G37" s="81"/>
      <c r="H37" s="94"/>
      <c r="I37" s="94"/>
      <c r="J37" s="94"/>
      <c r="K37" s="94"/>
      <c r="L37" s="197"/>
      <c r="M37" s="95">
        <f t="shared" si="1"/>
        <v>0</v>
      </c>
      <c r="N37" s="196"/>
      <c r="O37" s="95">
        <f ca="1">IF(OR(G37=0,G37="Férias",G37="Falta Justificada",G37="Feriado",G37="Folga (DSR)"),0,IF(G37="Falta Injustificada",HLOOKUP($F37,Jornada!$X$7:$AD$37,VLOOKUP(INDIRECT($C$5),Jornada!$C$8:$W$37,21,0),0),IF(HLOOKUP($F37,Jornada!$X$7:$AD$37,VLOOKUP(INDIRECT($C$5),Jornada!$C$8:$W$37,21,0),0)-M37&gt;0,HLOOKUP($F37,Jornada!$X$7:$AD$37,VLOOKUP(INDIRECT($C$5),Jornada!$C$8:$W$37,21,0),0)-M37,0)))</f>
        <v>0</v>
      </c>
      <c r="P37" s="193">
        <f ca="1">IF(HLOOKUP($F37,Jornada!$X$7:$AD$37,VLOOKUP(INDIRECT($C$5),Jornada!$C$8:$W$37,21,0),0)-M37&lt;0,ABS(HLOOKUP($F37,Jornada!$X$7:$AD$37,VLOOKUP(INDIRECT($C$5),Jornada!$C$8:$W$37,21,0),0)-M37),0)</f>
        <v>0</v>
      </c>
      <c r="Q37" s="95">
        <f t="shared" si="0"/>
        <v>0</v>
      </c>
      <c r="R37" s="2">
        <f t="shared" si="2"/>
        <v>0</v>
      </c>
      <c r="S37"/>
      <c r="T37"/>
      <c r="U37"/>
      <c r="X37" s="177"/>
      <c r="AB37" s="177">
        <f>IF(AB36="","",IF(MONTH(AB36+1)&lt;&gt;MONTH(AB36),"",AB36+1))</f>
        <v>30</v>
      </c>
      <c r="AC37" s="2">
        <f>IF(ISERROR(WEEKDAY(AB37)),"",WEEKDAY(AB37))</f>
        <v>2</v>
      </c>
      <c r="AG37" s="220">
        <f t="shared" si="4"/>
        <v>0</v>
      </c>
      <c r="AH37" s="220">
        <f ca="1">IF(HLOOKUP($F37,Jornada!$X$7:$AD$37,VLOOKUP(INDIRECT($C$5),Jornada!$C$8:$W$37,21,0),0)=0,0,VLOOKUP(INDIRECT($C$5),Jornada!$C$8:$H$37,4,0))</f>
        <v>0</v>
      </c>
      <c r="AI37" s="155">
        <f ca="1">IF(AND(I37=0,J37=0,OR(H37&lt;&gt;0,K37&lt;&gt;0),HLOOKUP($F37,Jornada!$X$7:$AD$37,VLOOKUP(INDIRECT($C$5),Jornada!$C$8:$W$37,21,0),0)&gt;$AK$5,M37&gt;$AK$5),VLOOKUP(INDIRECT($C$5),Jornada!$C$8:$H$37,6,0),IF(AG37&gt;VLOOKUP(INDIRECT($C$5),Jornada!$C$8:$H$37,6,0),IF(VLOOKUP(INDIRECT($C$5),Jornada!$C$8:$H$37,6,0)&lt;AG37,0,ABS(VLOOKUP(INDIRECT($C$5),Jornada!$C$8:$H$37,6,0))-AG37),0))</f>
        <v>0</v>
      </c>
      <c r="AJ37" s="155">
        <f t="shared" si="5"/>
        <v>1</v>
      </c>
      <c r="AK37" s="155">
        <f t="shared" si="6"/>
        <v>0</v>
      </c>
      <c r="AL37" s="155">
        <f ca="1">HLOOKUP($F37,Jornada!$I$5:$V$37,VLOOKUP(INDIRECT($C$5),Jornada!$C$8:$W$37,21,0)+2,0)</f>
        <v>0</v>
      </c>
      <c r="AM37" s="155">
        <f ca="1">HLOOKUP($F37,Jornada!$I$4:$V$37,VLOOKUP(INDIRECT($C$5),Jornada!$C$8:$W$37,21,0)+3,0)</f>
        <v>0</v>
      </c>
      <c r="AN37" s="155">
        <f t="shared" ca="1" si="7"/>
        <v>0</v>
      </c>
      <c r="AO37" s="155">
        <f t="shared" si="8"/>
        <v>0</v>
      </c>
      <c r="AP37" s="155">
        <f t="shared" si="9"/>
        <v>0</v>
      </c>
    </row>
    <row r="38" spans="1:42" s="2" customFormat="1" ht="30" customHeight="1" thickTop="1" thickBot="1" x14ac:dyDescent="0.25">
      <c r="A38" s="1"/>
      <c r="B38"/>
      <c r="C38"/>
      <c r="D38" s="2">
        <f t="shared" ref="D38" si="11">IF(D37=7,1,D37+1)</f>
        <v>1</v>
      </c>
      <c r="E38" s="210">
        <f>Lanç!E38</f>
        <v>31</v>
      </c>
      <c r="F38" s="210" t="str">
        <f>Lanç!F38</f>
        <v>Ter</v>
      </c>
      <c r="G38" s="81"/>
      <c r="H38" s="94"/>
      <c r="I38" s="94"/>
      <c r="J38" s="94"/>
      <c r="K38" s="94"/>
      <c r="L38" s="197"/>
      <c r="M38" s="95">
        <f t="shared" si="1"/>
        <v>0</v>
      </c>
      <c r="N38" s="196"/>
      <c r="O38" s="95">
        <f ca="1">IF(OR(G38=0,G38="Férias",G38="Falta Justificada",G38="Feriado",G38="Folga (DSR)"),0,IF(G38="Falta Injustificada",HLOOKUP($F38,Jornada!$X$7:$AD$37,VLOOKUP(INDIRECT($C$5),Jornada!$C$8:$W$37,21,0),0),IF(HLOOKUP($F38,Jornada!$X$7:$AD$37,VLOOKUP(INDIRECT($C$5),Jornada!$C$8:$W$37,21,0),0)-M38&gt;0,HLOOKUP($F38,Jornada!$X$7:$AD$37,VLOOKUP(INDIRECT($C$5),Jornada!$C$8:$W$37,21,0),0)-M38,0)))</f>
        <v>0</v>
      </c>
      <c r="P38" s="201">
        <f ca="1">IF(HLOOKUP($F38,Jornada!$X$7:$AD$37,VLOOKUP(INDIRECT($C$5),Jornada!$C$8:$W$37,21,0),0)-M38&lt;0,ABS(HLOOKUP($F38,Jornada!$X$7:$AD$37,VLOOKUP(INDIRECT($C$5),Jornada!$C$8:$W$37,21,0),0)-M38),0)</f>
        <v>0</v>
      </c>
      <c r="Q38" s="95">
        <f t="shared" si="0"/>
        <v>0</v>
      </c>
      <c r="R38" s="2">
        <f t="shared" si="2"/>
        <v>0</v>
      </c>
      <c r="X38" s="177"/>
      <c r="AB38" s="177">
        <f>IF(AB37="","",IF(MONTH(AB37+1)&lt;&gt;MONTH(AB37),"",AB37+1))</f>
        <v>31</v>
      </c>
      <c r="AC38" s="2">
        <f>IF(ISERROR(WEEKDAY(AB38)),"",WEEKDAY(AB38))</f>
        <v>3</v>
      </c>
      <c r="AG38" s="220">
        <f t="shared" si="4"/>
        <v>0</v>
      </c>
      <c r="AH38" s="220">
        <f ca="1">IF(HLOOKUP($F38,Jornada!$X$7:$AD$37,VLOOKUP(INDIRECT($C$5),Jornada!$C$8:$W$37,21,0),0)=0,0,VLOOKUP(INDIRECT($C$5),Jornada!$C$8:$H$37,4,0))</f>
        <v>0</v>
      </c>
      <c r="AI38" s="155">
        <f ca="1">IF(AND(I38=0,J38=0,OR(H38&lt;&gt;0,K38&lt;&gt;0),HLOOKUP($F38,Jornada!$X$7:$AD$37,VLOOKUP(INDIRECT($C$5),Jornada!$C$8:$W$37,21,0),0)&gt;$AK$5,M38&gt;$AK$5),VLOOKUP(INDIRECT($C$5),Jornada!$C$8:$H$37,6,0),IF(AG38&gt;VLOOKUP(INDIRECT($C$5),Jornada!$C$8:$H$37,6,0),IF(VLOOKUP(INDIRECT($C$5),Jornada!$C$8:$H$37,6,0)&lt;AG38,0,ABS(VLOOKUP(INDIRECT($C$5),Jornada!$C$8:$H$37,6,0))-AG38),0))</f>
        <v>0</v>
      </c>
      <c r="AJ38" s="155">
        <f t="shared" si="5"/>
        <v>1</v>
      </c>
      <c r="AK38" s="155">
        <f t="shared" si="6"/>
        <v>0</v>
      </c>
      <c r="AL38" s="155">
        <f ca="1">HLOOKUP($F38,Jornada!$I$5:$V$37,VLOOKUP(INDIRECT($C$5),Jornada!$C$8:$W$37,21,0)+2,0)</f>
        <v>0</v>
      </c>
      <c r="AM38" s="155">
        <f ca="1">HLOOKUP($F38,Jornada!$I$4:$V$37,VLOOKUP(INDIRECT($C$5),Jornada!$C$8:$W$37,21,0)+3,0)</f>
        <v>0</v>
      </c>
      <c r="AN38" s="155">
        <f t="shared" ca="1" si="7"/>
        <v>0</v>
      </c>
      <c r="AO38" s="155">
        <f t="shared" si="8"/>
        <v>0</v>
      </c>
      <c r="AP38" s="155">
        <f t="shared" si="9"/>
        <v>0</v>
      </c>
    </row>
    <row r="39" spans="1:42" s="2" customFormat="1" ht="30" customHeight="1" thickTop="1" x14ac:dyDescent="0.2">
      <c r="A39" s="9"/>
      <c r="B39" s="234"/>
      <c r="C39" s="234"/>
      <c r="D39" s="234"/>
      <c r="E39" s="236">
        <f>EOMONTH(AB8,0)</f>
        <v>31</v>
      </c>
      <c r="F39" s="234">
        <f>DAY(E39)</f>
        <v>31</v>
      </c>
      <c r="G39" s="237">
        <f>COUNTIF(F8:F38,"Dom")+COUNTIF(G8:G38,"Feriado")</f>
        <v>5</v>
      </c>
      <c r="H39" s="238">
        <f>(SUM(Q8:Q38)/(F39-G39))*G39</f>
        <v>0</v>
      </c>
      <c r="I39" s="234"/>
      <c r="J39" s="234"/>
      <c r="K39" s="234"/>
      <c r="L39" s="234"/>
      <c r="M39" s="234"/>
      <c r="Z39" s="219"/>
    </row>
    <row r="40" spans="1:42" s="2" customFormat="1" ht="30" customHeight="1" x14ac:dyDescent="0.2">
      <c r="A40" s="9"/>
      <c r="B40" s="234"/>
      <c r="C40" s="239"/>
      <c r="D40" s="239"/>
      <c r="E40" s="239"/>
      <c r="F40" s="240"/>
      <c r="G40" s="241"/>
      <c r="H40" s="234">
        <f ca="1">IF(INDIRECT($C$5)="",0,VLOOKUP(INDIRECT($C$5),Funcionários!$C$7:$E$36,3,0)+IF(VLOOKUP(INDIRECT($C$5),Jornada!$C$8:$E$37,2,0)="Sim",IF('P Gerais'!$I$8&lt;&gt;0,VLOOKUP(INDIRECT($C$5),Funcionários!$C$7:$E$36,3,0)*'P Gerais'!$L$14,'P Gerais'!$I$8*'P Gerais'!$L$14),0)+IF(VLOOKUP(INDIRECT($C$5),Jornada!$C$8:$E$37,3,0)="Sim",VLOOKUP(INDIRECT($C$5),Funcionários!$C$7:$E$36,3,0)*'P Gerais'!$K$14,0))</f>
        <v>0</v>
      </c>
      <c r="I40" s="234">
        <f ca="1">VLOOKUP(INDIRECT($C$5),Jornada!$C$8:$AF$37,30,0)</f>
        <v>0</v>
      </c>
      <c r="J40" s="234" t="s">
        <v>298</v>
      </c>
      <c r="K40" s="242">
        <f ca="1">IF(I40=0,0,H40/I40)</f>
        <v>0</v>
      </c>
      <c r="L40" s="234"/>
      <c r="M40" s="234"/>
      <c r="Z40" s="219"/>
    </row>
    <row r="41" spans="1:42" s="2" customFormat="1" ht="30" customHeight="1" x14ac:dyDescent="0.2">
      <c r="A41" s="9"/>
      <c r="B41" s="234" t="s">
        <v>52</v>
      </c>
      <c r="C41" s="292" t="s">
        <v>75</v>
      </c>
      <c r="D41" s="292"/>
      <c r="E41" s="292"/>
      <c r="F41" s="243">
        <f t="shared" ref="F41:F47" si="12">SUMIFS($Q$8:$Q$38,$F$8:$F$38,$B41,$G$8:$G$38,"Normal")</f>
        <v>0</v>
      </c>
      <c r="G41" s="244">
        <f>IF($M$41="Sistema de banco de horas",0,'P Gerais'!$C$14)</f>
        <v>0.5</v>
      </c>
      <c r="H41" s="245">
        <f t="shared" ref="H41:H48" ca="1" si="13">IF($M$41="Sistema de banco de horas",0,$K$40*(1+G41)*(F41*24))</f>
        <v>0</v>
      </c>
      <c r="I41" s="243">
        <f t="shared" ref="I41:I47" ca="1" si="14">IF(SUMIF($F$8:$F$38,$B41,$Q$8:$Q$38)-SUMIFS($M$8:$M$38,$F$8:$F$38,$B41,$G$8:$G$38,"Feriado")-SUMIFS($M$8:$M$38,$F$8:$F$38,$B41,$G$8:$G$38,"Folga (DSR)")-SUMIFS($M$8:$M$38,$F$8:$F$38,$B41,$G$8:$G$38,"Férias")-SUMIF($F$8:$F$38,$B41,$AN$8:$AN$38)-SUMIF($F$8:$F$38,$B41,$AO$8:$AO$38)&lt;0,0,SUMIF($F$8:$F$38,$B41,$Q$8:$Q$38)-SUMIFS($M$8:$M$38,$F$8:$F$38,$B41,$G$8:$G$38,"Feriado")-SUMIFS($M$8:$M$38,$F$8:$F$38,$B41,$G$8:$G$38,"Folga (DSR)")-SUMIFS($M$8:$M$38,$F$8:$F$38,$B41,$G$8:$G$38,"Férias")-SUMIF($F$8:$F$38,$B41,$AN$8:$AN$38)-SUMIF($F$8:$F$38,$B41,$AO$8:$AO$38))</f>
        <v>0</v>
      </c>
      <c r="J41" s="245">
        <f ca="1">H41</f>
        <v>0</v>
      </c>
      <c r="K41" s="234"/>
      <c r="L41" s="234"/>
      <c r="M41" s="234">
        <f>'P Gerais'!I10</f>
        <v>0</v>
      </c>
      <c r="Z41" s="219"/>
    </row>
    <row r="42" spans="1:42" s="2" customFormat="1" ht="30" customHeight="1" x14ac:dyDescent="0.2">
      <c r="A42" s="9"/>
      <c r="B42" s="234" t="s">
        <v>53</v>
      </c>
      <c r="C42" s="292" t="s">
        <v>76</v>
      </c>
      <c r="D42" s="292"/>
      <c r="E42" s="292"/>
      <c r="F42" s="243">
        <f t="shared" si="12"/>
        <v>0</v>
      </c>
      <c r="G42" s="244">
        <f>IF($M$41="Sistema de banco de horas",0,'P Gerais'!$C$14)</f>
        <v>0.5</v>
      </c>
      <c r="H42" s="245">
        <f t="shared" ca="1" si="13"/>
        <v>0</v>
      </c>
      <c r="I42" s="243">
        <f t="shared" ca="1" si="14"/>
        <v>0</v>
      </c>
      <c r="J42" s="245">
        <f t="shared" ref="J42:J51" ca="1" si="15">H42</f>
        <v>0</v>
      </c>
      <c r="K42" s="234"/>
      <c r="L42" s="234"/>
      <c r="M42" s="234"/>
      <c r="Z42" s="219"/>
    </row>
    <row r="43" spans="1:42" s="2" customFormat="1" ht="30" customHeight="1" x14ac:dyDescent="0.2">
      <c r="A43" s="9"/>
      <c r="B43" s="234" t="s">
        <v>54</v>
      </c>
      <c r="C43" s="292" t="s">
        <v>77</v>
      </c>
      <c r="D43" s="292"/>
      <c r="E43" s="292"/>
      <c r="F43" s="243">
        <f t="shared" si="12"/>
        <v>0</v>
      </c>
      <c r="G43" s="244">
        <f>IF($M$41="Sistema de banco de horas",0,'P Gerais'!$C$14)</f>
        <v>0.5</v>
      </c>
      <c r="H43" s="245">
        <f t="shared" ca="1" si="13"/>
        <v>0</v>
      </c>
      <c r="I43" s="243">
        <f t="shared" ca="1" si="14"/>
        <v>0</v>
      </c>
      <c r="J43" s="245">
        <f t="shared" ca="1" si="15"/>
        <v>0</v>
      </c>
      <c r="K43" s="234"/>
      <c r="L43" s="234"/>
      <c r="M43" s="234"/>
      <c r="Z43" s="219"/>
    </row>
    <row r="44" spans="1:42" s="2" customFormat="1" ht="30" customHeight="1" x14ac:dyDescent="0.2">
      <c r="A44" s="9"/>
      <c r="B44" s="234" t="s">
        <v>55</v>
      </c>
      <c r="C44" s="292" t="s">
        <v>78</v>
      </c>
      <c r="D44" s="292"/>
      <c r="E44" s="292"/>
      <c r="F44" s="243">
        <f t="shared" si="12"/>
        <v>0</v>
      </c>
      <c r="G44" s="244">
        <f>IF($M$41="Sistema de banco de horas",0,'P Gerais'!$C$14)</f>
        <v>0.5</v>
      </c>
      <c r="H44" s="245">
        <f t="shared" ca="1" si="13"/>
        <v>0</v>
      </c>
      <c r="I44" s="243">
        <f t="shared" ca="1" si="14"/>
        <v>0</v>
      </c>
      <c r="J44" s="245">
        <f t="shared" ca="1" si="15"/>
        <v>0</v>
      </c>
      <c r="K44" s="234"/>
      <c r="L44" s="234"/>
      <c r="M44" s="234"/>
      <c r="Z44" s="219"/>
    </row>
    <row r="45" spans="1:42" s="2" customFormat="1" ht="30" customHeight="1" x14ac:dyDescent="0.2">
      <c r="A45" s="9"/>
      <c r="B45" s="234" t="s">
        <v>56</v>
      </c>
      <c r="C45" s="292" t="s">
        <v>79</v>
      </c>
      <c r="D45" s="292"/>
      <c r="E45" s="292"/>
      <c r="F45" s="243">
        <f t="shared" si="12"/>
        <v>0</v>
      </c>
      <c r="G45" s="244">
        <f>IF($M$41="Sistema de banco de horas",0,'P Gerais'!$C$14)</f>
        <v>0.5</v>
      </c>
      <c r="H45" s="245">
        <f t="shared" ca="1" si="13"/>
        <v>0</v>
      </c>
      <c r="I45" s="243">
        <f t="shared" ca="1" si="14"/>
        <v>0</v>
      </c>
      <c r="J45" s="245">
        <f t="shared" ca="1" si="15"/>
        <v>0</v>
      </c>
      <c r="K45" s="234"/>
      <c r="L45" s="234"/>
      <c r="M45" s="234"/>
      <c r="Z45" s="219"/>
    </row>
    <row r="46" spans="1:42" s="2" customFormat="1" ht="30" customHeight="1" x14ac:dyDescent="0.2">
      <c r="A46" s="9"/>
      <c r="B46" s="234" t="s">
        <v>57</v>
      </c>
      <c r="C46" s="292" t="s">
        <v>82</v>
      </c>
      <c r="D46" s="292"/>
      <c r="E46" s="292"/>
      <c r="F46" s="243">
        <f t="shared" si="12"/>
        <v>0</v>
      </c>
      <c r="G46" s="244">
        <f>IF($M$41="Sistema de banco de horas",0,'P Gerais'!$E$14)</f>
        <v>0.5</v>
      </c>
      <c r="H46" s="245">
        <f t="shared" ca="1" si="13"/>
        <v>0</v>
      </c>
      <c r="I46" s="243">
        <f t="shared" ca="1" si="14"/>
        <v>0</v>
      </c>
      <c r="J46" s="245">
        <f t="shared" ca="1" si="15"/>
        <v>0</v>
      </c>
      <c r="K46" s="234"/>
      <c r="L46" s="234"/>
      <c r="M46" s="234"/>
      <c r="Z46" s="219"/>
    </row>
    <row r="47" spans="1:42" s="2" customFormat="1" ht="30" customHeight="1" x14ac:dyDescent="0.2">
      <c r="A47" s="9"/>
      <c r="B47" s="234" t="s">
        <v>51</v>
      </c>
      <c r="C47" s="292" t="s">
        <v>81</v>
      </c>
      <c r="D47" s="292"/>
      <c r="E47" s="292"/>
      <c r="F47" s="243">
        <f t="shared" si="12"/>
        <v>0</v>
      </c>
      <c r="G47" s="244">
        <f>IF($M$41="Sistema de banco de horas",0,'P Gerais'!$F$14)</f>
        <v>1</v>
      </c>
      <c r="H47" s="245">
        <f t="shared" ca="1" si="13"/>
        <v>0</v>
      </c>
      <c r="I47" s="243">
        <f t="shared" ca="1" si="14"/>
        <v>0</v>
      </c>
      <c r="J47" s="245">
        <f t="shared" ca="1" si="15"/>
        <v>0</v>
      </c>
      <c r="K47" s="234"/>
      <c r="L47" s="234"/>
      <c r="M47" s="234"/>
      <c r="Z47" s="219"/>
    </row>
    <row r="48" spans="1:42" s="2" customFormat="1" ht="30" customHeight="1" x14ac:dyDescent="0.2">
      <c r="A48" s="9"/>
      <c r="B48" s="234"/>
      <c r="C48" s="292" t="s">
        <v>80</v>
      </c>
      <c r="D48" s="292"/>
      <c r="E48" s="292"/>
      <c r="F48" s="243">
        <f>SUMIFS($Q$8:$Q$38,$G$8:$G$38,"Feriado")</f>
        <v>0</v>
      </c>
      <c r="G48" s="244">
        <f>IF($M$41="Sistema de banco de horas",0,'P Gerais'!$I$14)</f>
        <v>1</v>
      </c>
      <c r="H48" s="245">
        <f t="shared" ca="1" si="13"/>
        <v>0</v>
      </c>
      <c r="I48" s="243"/>
      <c r="J48" s="245">
        <f t="shared" ca="1" si="15"/>
        <v>0</v>
      </c>
      <c r="K48" s="234"/>
      <c r="L48" s="234"/>
      <c r="M48" s="234"/>
      <c r="Z48" s="219"/>
    </row>
    <row r="49" spans="1:26" s="2" customFormat="1" ht="15" x14ac:dyDescent="0.2">
      <c r="A49" s="9"/>
      <c r="B49" s="234"/>
      <c r="C49" s="292" t="s">
        <v>146</v>
      </c>
      <c r="D49" s="292"/>
      <c r="E49" s="292"/>
      <c r="F49" s="243">
        <f>SUMIFS($Q$8:$Q$38,$G$8:$G$38,"Folga (DSR)")</f>
        <v>0</v>
      </c>
      <c r="G49" s="244">
        <f>IF($M$41="Sistema de banco de horas",0,'P Gerais'!H14)</f>
        <v>1</v>
      </c>
      <c r="H49" s="245">
        <f ca="1">((F53/(F39-G39))*G39)</f>
        <v>0</v>
      </c>
      <c r="I49" s="243"/>
      <c r="J49" s="245">
        <f t="shared" ca="1" si="15"/>
        <v>0</v>
      </c>
      <c r="K49" s="234"/>
      <c r="L49" s="234"/>
      <c r="M49" s="234"/>
      <c r="Z49" s="219"/>
    </row>
    <row r="50" spans="1:26" s="2" customFormat="1" ht="15" x14ac:dyDescent="0.2">
      <c r="A50" s="9"/>
      <c r="B50" s="234"/>
      <c r="C50" s="292" t="s">
        <v>84</v>
      </c>
      <c r="D50" s="292"/>
      <c r="E50" s="292"/>
      <c r="F50" s="243">
        <f ca="1">IF($M$41="Sistema de banco de horas",(SUM(AI$8:AI$38)*(1+G50)),SUM(AI$8:AI$38))</f>
        <v>0</v>
      </c>
      <c r="G50" s="244">
        <f>IF($M$41="Sistema de banco de horas",0,'P Gerais'!$I$17)</f>
        <v>0.5</v>
      </c>
      <c r="H50" s="245">
        <f ca="1">IF($M$41="Sistema de banco de horas",0,$K$40*(1+G50)*(F50*24))</f>
        <v>0</v>
      </c>
      <c r="I50" s="243">
        <f ca="1">IF(SUM($AN$8:$AO$38)&gt;SUM(AI$8:AI$38),0,SUM(AI$8:AI$38)-SUM($AN$8:$AO$38))</f>
        <v>0</v>
      </c>
      <c r="J50" s="245">
        <f t="shared" ca="1" si="15"/>
        <v>0</v>
      </c>
      <c r="K50" s="234"/>
      <c r="L50" s="234"/>
      <c r="M50" s="234"/>
      <c r="Z50" s="219"/>
    </row>
    <row r="51" spans="1:26" s="2" customFormat="1" ht="15" x14ac:dyDescent="0.2">
      <c r="A51" s="9"/>
      <c r="B51" s="234"/>
      <c r="C51" s="292" t="s">
        <v>85</v>
      </c>
      <c r="D51" s="292"/>
      <c r="E51" s="292"/>
      <c r="F51" s="243">
        <f>IF($M$41="Sistema de banco de horas",(SUM(AK$8:AK$38)*(1+G51)),SUM(AK$8:AK$38))</f>
        <v>0</v>
      </c>
      <c r="G51" s="244">
        <f>IF($M$41="Sistema de banco de horas",0,'P Gerais'!$C$17)</f>
        <v>1</v>
      </c>
      <c r="H51" s="245">
        <f ca="1">IF($M$41="Sistema de banco de horas",0,$K$40*(1+G51)*(F51*24))</f>
        <v>0</v>
      </c>
      <c r="I51" s="243"/>
      <c r="J51" s="245">
        <f t="shared" ca="1" si="15"/>
        <v>0</v>
      </c>
      <c r="K51" s="234"/>
      <c r="L51" s="234"/>
      <c r="M51" s="234"/>
      <c r="Z51" s="219"/>
    </row>
    <row r="52" spans="1:26" s="2" customFormat="1" ht="15" customHeight="1" x14ac:dyDescent="0.2">
      <c r="A52" s="9"/>
      <c r="B52" s="234"/>
      <c r="C52" s="292" t="s">
        <v>87</v>
      </c>
      <c r="D52" s="292"/>
      <c r="E52" s="292"/>
      <c r="F52" s="243">
        <f ca="1">U12</f>
        <v>0</v>
      </c>
      <c r="G52" s="246"/>
      <c r="H52" s="234"/>
      <c r="I52" s="234"/>
      <c r="J52" s="234"/>
      <c r="K52" s="234"/>
      <c r="L52" s="234"/>
      <c r="M52" s="234"/>
      <c r="Z52" s="219"/>
    </row>
    <row r="53" spans="1:26" s="2" customFormat="1" ht="15" x14ac:dyDescent="0.2">
      <c r="A53" s="9"/>
      <c r="B53" s="234"/>
      <c r="C53" s="292" t="s">
        <v>299</v>
      </c>
      <c r="D53" s="292"/>
      <c r="E53" s="292"/>
      <c r="F53" s="247">
        <f ca="1">SUM(H48)+J50+H51+SUM(J41:J47)</f>
        <v>0</v>
      </c>
      <c r="G53" s="248"/>
      <c r="H53" s="234"/>
      <c r="I53" s="234"/>
      <c r="J53" s="234"/>
      <c r="K53" s="234"/>
      <c r="L53" s="234"/>
      <c r="M53" s="234"/>
      <c r="Z53" s="219"/>
    </row>
    <row r="54" spans="1:26" s="2" customFormat="1" ht="15" x14ac:dyDescent="0.2">
      <c r="A54" s="9"/>
      <c r="B54" s="234"/>
      <c r="C54" s="292" t="s">
        <v>88</v>
      </c>
      <c r="D54" s="292"/>
      <c r="E54" s="292"/>
      <c r="F54" s="247">
        <f ca="1">F53+(H49*(1+G49))</f>
        <v>0</v>
      </c>
      <c r="G54" s="248"/>
      <c r="H54" s="249"/>
      <c r="I54" s="234"/>
      <c r="J54" s="234"/>
      <c r="K54" s="234"/>
      <c r="L54" s="234"/>
      <c r="M54" s="234"/>
      <c r="Z54" s="219"/>
    </row>
    <row r="55" spans="1:26" s="2" customFormat="1" ht="15" x14ac:dyDescent="0.2">
      <c r="A55" s="9"/>
      <c r="B55" s="234"/>
      <c r="C55" s="292" t="s">
        <v>89</v>
      </c>
      <c r="D55" s="292"/>
      <c r="E55" s="292"/>
      <c r="F55" s="247">
        <f ca="1">H40+F54</f>
        <v>0</v>
      </c>
      <c r="G55" s="246"/>
      <c r="H55" s="234"/>
      <c r="I55" s="234"/>
      <c r="J55" s="234"/>
      <c r="K55" s="234"/>
      <c r="L55" s="234"/>
      <c r="M55" s="234"/>
      <c r="Z55" s="219"/>
    </row>
    <row r="56" spans="1:26" s="2" customFormat="1" ht="15" x14ac:dyDescent="0.2">
      <c r="A56" s="9"/>
      <c r="B56" s="234"/>
      <c r="C56" s="292" t="s">
        <v>178</v>
      </c>
      <c r="D56" s="292"/>
      <c r="E56" s="292"/>
      <c r="F56" s="243">
        <f>IF($M$41="Sistema de banco de horas",(SUMIF($G$8:$G$38,"Férias",Q8:Q38))*(1+G48),SUMIF($G$8:$G$38,"Férias",Q8:Q38))</f>
        <v>0</v>
      </c>
      <c r="G56" s="246"/>
      <c r="H56" s="234"/>
      <c r="I56" s="234"/>
      <c r="J56" s="234"/>
      <c r="K56" s="234"/>
      <c r="L56" s="234"/>
      <c r="M56" s="234"/>
      <c r="Z56" s="219"/>
    </row>
    <row r="57" spans="1:26" s="2" customFormat="1" ht="15" x14ac:dyDescent="0.2">
      <c r="A57" s="9"/>
      <c r="B57" s="234"/>
      <c r="C57" s="239"/>
      <c r="D57" s="239"/>
      <c r="E57" s="239"/>
      <c r="F57" s="250">
        <f ca="1">U14</f>
        <v>0</v>
      </c>
      <c r="G57" s="246"/>
      <c r="H57" s="234"/>
      <c r="I57" s="234"/>
      <c r="J57" s="234"/>
      <c r="K57" s="234"/>
      <c r="L57" s="234"/>
      <c r="M57" s="234"/>
      <c r="Z57" s="219"/>
    </row>
    <row r="58" spans="1:26" s="2" customFormat="1" ht="15" x14ac:dyDescent="0.2">
      <c r="A58" s="9"/>
      <c r="B58" s="234"/>
      <c r="C58" s="239"/>
      <c r="D58" s="239"/>
      <c r="E58" s="239"/>
      <c r="F58" s="243">
        <f ca="1">SUM(F41:F51)</f>
        <v>0</v>
      </c>
      <c r="G58" s="246"/>
      <c r="H58" s="234"/>
      <c r="I58" s="234"/>
      <c r="J58" s="234"/>
      <c r="K58" s="234"/>
      <c r="L58" s="234"/>
      <c r="M58" s="234"/>
      <c r="Z58" s="219"/>
    </row>
    <row r="59" spans="1:26" s="2" customFormat="1" ht="15" x14ac:dyDescent="0.2">
      <c r="A59" s="9"/>
      <c r="Z59" s="219"/>
    </row>
    <row r="60" spans="1:26" s="2" customFormat="1" ht="15" x14ac:dyDescent="0.2">
      <c r="A60" s="9"/>
      <c r="G60" s="178"/>
      <c r="Z60" s="219"/>
    </row>
    <row r="61" spans="1:26" ht="15" x14ac:dyDescent="0.2"/>
    <row r="62" spans="1:26" ht="15" x14ac:dyDescent="0.2"/>
    <row r="63" spans="1:26" ht="15" x14ac:dyDescent="0.2"/>
    <row r="64" spans="1:26" ht="15" x14ac:dyDescent="0.2"/>
    <row r="65" ht="15" x14ac:dyDescent="0.2"/>
    <row r="66" ht="15" x14ac:dyDescent="0.2"/>
    <row r="67" ht="15" x14ac:dyDescent="0.2"/>
    <row r="68" ht="15" x14ac:dyDescent="0.2"/>
    <row r="69" ht="15" x14ac:dyDescent="0.2"/>
    <row r="70" ht="15" x14ac:dyDescent="0.2"/>
    <row r="71" ht="15" x14ac:dyDescent="0.2"/>
    <row r="72" ht="15" x14ac:dyDescent="0.2"/>
    <row r="73" ht="15" x14ac:dyDescent="0.2"/>
    <row r="74" ht="15" x14ac:dyDescent="0.2"/>
    <row r="75" ht="15" x14ac:dyDescent="0.2"/>
    <row r="76" ht="15" x14ac:dyDescent="0.2"/>
    <row r="77" ht="15" x14ac:dyDescent="0.2"/>
    <row r="78" ht="15" x14ac:dyDescent="0.2"/>
    <row r="79" ht="15" x14ac:dyDescent="0.2"/>
    <row r="80" ht="15" x14ac:dyDescent="0.2"/>
    <row r="81" ht="15" x14ac:dyDescent="0.2"/>
    <row r="82" ht="15" x14ac:dyDescent="0.2"/>
    <row r="83" ht="15" x14ac:dyDescent="0.2"/>
    <row r="84" ht="15" x14ac:dyDescent="0.2"/>
    <row r="85" ht="15" x14ac:dyDescent="0.2"/>
    <row r="86" ht="15" x14ac:dyDescent="0.2"/>
    <row r="87" ht="15" x14ac:dyDescent="0.2"/>
    <row r="88" ht="15" x14ac:dyDescent="0.2"/>
    <row r="89" ht="15" x14ac:dyDescent="0.2"/>
    <row r="90" ht="15" x14ac:dyDescent="0.2"/>
    <row r="91" ht="15" x14ac:dyDescent="0.2"/>
    <row r="92" ht="15" x14ac:dyDescent="0.2"/>
    <row r="93" ht="15" x14ac:dyDescent="0.2"/>
    <row r="94" ht="15" x14ac:dyDescent="0.2"/>
    <row r="95" ht="15" x14ac:dyDescent="0.2"/>
    <row r="96" ht="15" x14ac:dyDescent="0.2"/>
    <row r="97" ht="15" x14ac:dyDescent="0.2"/>
    <row r="98" ht="15" x14ac:dyDescent="0.2"/>
    <row r="99" ht="15" x14ac:dyDescent="0.2"/>
    <row r="100" ht="15" x14ac:dyDescent="0.2"/>
    <row r="101" ht="15" x14ac:dyDescent="0.2"/>
    <row r="102" ht="15" x14ac:dyDescent="0.2"/>
    <row r="103" ht="15" x14ac:dyDescent="0.2"/>
  </sheetData>
  <sheetProtection sheet="1" objects="1" scenarios="1" selectLockedCells="1"/>
  <mergeCells count="34">
    <mergeCell ref="C56:E56"/>
    <mergeCell ref="C48:E48"/>
    <mergeCell ref="C49:E49"/>
    <mergeCell ref="C50:E50"/>
    <mergeCell ref="C52:E52"/>
    <mergeCell ref="C53:E53"/>
    <mergeCell ref="C54:E54"/>
    <mergeCell ref="C51:E51"/>
    <mergeCell ref="C44:E44"/>
    <mergeCell ref="C55:E55"/>
    <mergeCell ref="C45:E45"/>
    <mergeCell ref="C46:E46"/>
    <mergeCell ref="C47:E47"/>
    <mergeCell ref="S22:U22"/>
    <mergeCell ref="C41:E41"/>
    <mergeCell ref="C42:E42"/>
    <mergeCell ref="C43:E43"/>
    <mergeCell ref="S26:U28"/>
    <mergeCell ref="S23:U25"/>
    <mergeCell ref="E7:F7"/>
    <mergeCell ref="I7:J7"/>
    <mergeCell ref="S7:U7"/>
    <mergeCell ref="S8:T9"/>
    <mergeCell ref="U8:U9"/>
    <mergeCell ref="S16:T17"/>
    <mergeCell ref="U16:U17"/>
    <mergeCell ref="S18:T19"/>
    <mergeCell ref="S10:T11"/>
    <mergeCell ref="U10:U11"/>
    <mergeCell ref="S12:T13"/>
    <mergeCell ref="U12:U13"/>
    <mergeCell ref="S14:T15"/>
    <mergeCell ref="U14:U15"/>
    <mergeCell ref="U18:U19"/>
  </mergeCells>
  <phoneticPr fontId="50" type="noConversion"/>
  <conditionalFormatting sqref="M8:M37">
    <cfRule type="cellIs" dxfId="936" priority="175" operator="greaterThan">
      <formula>0</formula>
    </cfRule>
  </conditionalFormatting>
  <conditionalFormatting sqref="N36:N37 L36:L37">
    <cfRule type="expression" dxfId="935" priority="142">
      <formula>AND($E36&lt;$E$35,$E$8=1)</formula>
    </cfRule>
    <cfRule type="expression" dxfId="934" priority="143">
      <formula>AND($E36&gt;=$E$8,$E$8&lt;&gt;1)</formula>
    </cfRule>
  </conditionalFormatting>
  <conditionalFormatting sqref="E36:E38">
    <cfRule type="expression" dxfId="933" priority="140">
      <formula>AND($E36&lt;$E$35,$E$8=1)</formula>
    </cfRule>
    <cfRule type="expression" dxfId="932" priority="141">
      <formula>AND($E36&gt;=$E$8,$E$8&lt;&gt;1)</formula>
    </cfRule>
  </conditionalFormatting>
  <conditionalFormatting sqref="O8:O37">
    <cfRule type="cellIs" dxfId="931" priority="135" operator="greaterThan">
      <formula>0.000001</formula>
    </cfRule>
  </conditionalFormatting>
  <conditionalFormatting sqref="O36:O37">
    <cfRule type="expression" dxfId="930" priority="133">
      <formula>AND($E36&lt;$E$35,$E$8=1)</formula>
    </cfRule>
    <cfRule type="expression" dxfId="929" priority="134">
      <formula>AND($E36&gt;=$E$8,$E$8&lt;&gt;1)</formula>
    </cfRule>
  </conditionalFormatting>
  <conditionalFormatting sqref="F8:F38">
    <cfRule type="containsText" dxfId="928" priority="131" operator="containsText" text="Dom">
      <formula>NOT(ISERROR(SEARCH("Dom",F8)))</formula>
    </cfRule>
    <cfRule type="containsText" dxfId="927" priority="132" operator="containsText" text="Sáb">
      <formula>NOT(ISERROR(SEARCH("Sáb",F8)))</formula>
    </cfRule>
  </conditionalFormatting>
  <conditionalFormatting sqref="Q8:Q37">
    <cfRule type="cellIs" dxfId="926" priority="128" operator="greaterThan">
      <formula>0.000001</formula>
    </cfRule>
  </conditionalFormatting>
  <conditionalFormatting sqref="G36:G37 G8:K35">
    <cfRule type="expression" dxfId="925" priority="88">
      <formula>OR($G8="Férias",$G8="Falta Injustificada")</formula>
    </cfRule>
    <cfRule type="expression" dxfId="924" priority="89">
      <formula>$G8="Folga (DSR)"</formula>
    </cfRule>
    <cfRule type="expression" dxfId="923" priority="90">
      <formula>$G8="Feriado"</formula>
    </cfRule>
    <cfRule type="expression" dxfId="922" priority="91">
      <formula>$F8="Dom"</formula>
    </cfRule>
  </conditionalFormatting>
  <conditionalFormatting sqref="H8:K35">
    <cfRule type="expression" dxfId="921" priority="87">
      <formula>OR($G8="Falta Justificada",$G8="Falta Injustificada")</formula>
    </cfRule>
  </conditionalFormatting>
  <conditionalFormatting sqref="G36:K37">
    <cfRule type="expression" dxfId="920" priority="83">
      <formula>OR($G36="Férias",$G36="Falta Injustificada")</formula>
    </cfRule>
    <cfRule type="expression" dxfId="919" priority="84">
      <formula>$G36="Folga (DSR)"</formula>
    </cfRule>
    <cfRule type="expression" dxfId="918" priority="85">
      <formula>$G36="Feriado"</formula>
    </cfRule>
    <cfRule type="expression" dxfId="917" priority="86">
      <formula>$F36="Dom"</formula>
    </cfRule>
  </conditionalFormatting>
  <conditionalFormatting sqref="G36:K37">
    <cfRule type="expression" dxfId="916" priority="80">
      <formula>AND($E36&lt;$E$35,$E$8=1)</formula>
    </cfRule>
    <cfRule type="expression" dxfId="915" priority="81">
      <formula>AND($E36&gt;=$E$8,$E$8&lt;&gt;1)</formula>
    </cfRule>
  </conditionalFormatting>
  <conditionalFormatting sqref="H36:K37">
    <cfRule type="expression" dxfId="914" priority="82">
      <formula>OR($G36="Falta Justificada",$G36="Falta Injustificada")</formula>
    </cfRule>
  </conditionalFormatting>
  <conditionalFormatting sqref="G8:K25">
    <cfRule type="expression" dxfId="913" priority="76">
      <formula>OR($G8="Férias",$G8="Falta Injustificada")</formula>
    </cfRule>
    <cfRule type="expression" dxfId="912" priority="77">
      <formula>$G8="Folga (DSR)"</formula>
    </cfRule>
    <cfRule type="expression" dxfId="911" priority="78">
      <formula>$G8="Feriado"</formula>
    </cfRule>
    <cfRule type="expression" dxfId="910" priority="79">
      <formula>$F8="Dom"</formula>
    </cfRule>
  </conditionalFormatting>
  <conditionalFormatting sqref="H8:K25">
    <cfRule type="expression" dxfId="909" priority="75">
      <formula>OR($G8="Falta Justificada",$G8="Falta Injustificada")</formula>
    </cfRule>
  </conditionalFormatting>
  <conditionalFormatting sqref="G28:K29">
    <cfRule type="expression" dxfId="908" priority="71">
      <formula>OR($G28="Férias",$G28="Falta Injustificada")</formula>
    </cfRule>
    <cfRule type="expression" dxfId="907" priority="72">
      <formula>$G28="Folga (DSR)"</formula>
    </cfRule>
    <cfRule type="expression" dxfId="906" priority="73">
      <formula>$G28="Feriado"</formula>
    </cfRule>
    <cfRule type="expression" dxfId="905" priority="74">
      <formula>$F28="Dom"</formula>
    </cfRule>
  </conditionalFormatting>
  <conditionalFormatting sqref="H28:K29">
    <cfRule type="expression" dxfId="904" priority="70">
      <formula>OR($G28="Falta Justificada",$G28="Falta Injustificada")</formula>
    </cfRule>
  </conditionalFormatting>
  <conditionalFormatting sqref="G8:K32">
    <cfRule type="expression" dxfId="903" priority="66">
      <formula>OR($G8="Férias",$G8="Falta Injustificada")</formula>
    </cfRule>
    <cfRule type="expression" dxfId="902" priority="67">
      <formula>$G8="Folga (DSR)"</formula>
    </cfRule>
    <cfRule type="expression" dxfId="901" priority="68">
      <formula>$G8="Feriado"</formula>
    </cfRule>
    <cfRule type="expression" dxfId="900" priority="69">
      <formula>$F8="Dom"</formula>
    </cfRule>
  </conditionalFormatting>
  <conditionalFormatting sqref="H8:K32">
    <cfRule type="expression" dxfId="899" priority="65">
      <formula>OR($G8="Falta Justificada",$G8="Falta Injustificada")</formula>
    </cfRule>
  </conditionalFormatting>
  <conditionalFormatting sqref="G8:K25">
    <cfRule type="expression" dxfId="898" priority="61">
      <formula>OR($G8="Férias",$G8="Falta Injustificada")</formula>
    </cfRule>
    <cfRule type="expression" dxfId="897" priority="62">
      <formula>$G8="Folga (DSR)"</formula>
    </cfRule>
    <cfRule type="expression" dxfId="896" priority="63">
      <formula>$G8="Feriado"</formula>
    </cfRule>
    <cfRule type="expression" dxfId="895" priority="64">
      <formula>$F8="Dom"</formula>
    </cfRule>
  </conditionalFormatting>
  <conditionalFormatting sqref="H8:K25">
    <cfRule type="expression" dxfId="894" priority="60">
      <formula>OR($G8="Falta Justificada",$G8="Falta Injustificada")</formula>
    </cfRule>
  </conditionalFormatting>
  <conditionalFormatting sqref="G28:K29">
    <cfRule type="expression" dxfId="893" priority="56">
      <formula>OR($G28="Férias",$G28="Falta Injustificada")</formula>
    </cfRule>
    <cfRule type="expression" dxfId="892" priority="57">
      <formula>$G28="Folga (DSR)"</formula>
    </cfRule>
    <cfRule type="expression" dxfId="891" priority="58">
      <formula>$G28="Feriado"</formula>
    </cfRule>
    <cfRule type="expression" dxfId="890" priority="59">
      <formula>$F28="Dom"</formula>
    </cfRule>
  </conditionalFormatting>
  <conditionalFormatting sqref="H28:K29">
    <cfRule type="expression" dxfId="889" priority="55">
      <formula>OR($G28="Falta Justificada",$G28="Falta Injustificada")</formula>
    </cfRule>
  </conditionalFormatting>
  <conditionalFormatting sqref="G30:K32">
    <cfRule type="expression" dxfId="888" priority="51">
      <formula>OR($G30="Férias",$G30="Falta Injustificada")</formula>
    </cfRule>
    <cfRule type="expression" dxfId="887" priority="52">
      <formula>$G30="Folga (DSR)"</formula>
    </cfRule>
    <cfRule type="expression" dxfId="886" priority="53">
      <formula>$G30="Feriado"</formula>
    </cfRule>
    <cfRule type="expression" dxfId="885" priority="54">
      <formula>$F30="Dom"</formula>
    </cfRule>
  </conditionalFormatting>
  <conditionalFormatting sqref="H30:K32">
    <cfRule type="expression" dxfId="884" priority="50">
      <formula>OR($G30="Falta Justificada",$G30="Falta Injustificada")</formula>
    </cfRule>
  </conditionalFormatting>
  <conditionalFormatting sqref="G35:K35">
    <cfRule type="expression" dxfId="883" priority="46">
      <formula>OR($G35="Férias",$G35="Falta Injustificada")</formula>
    </cfRule>
    <cfRule type="expression" dxfId="882" priority="47">
      <formula>$G35="Folga (DSR)"</formula>
    </cfRule>
    <cfRule type="expression" dxfId="881" priority="48">
      <formula>$G35="Feriado"</formula>
    </cfRule>
    <cfRule type="expression" dxfId="880" priority="49">
      <formula>$F35="Dom"</formula>
    </cfRule>
  </conditionalFormatting>
  <conditionalFormatting sqref="H35:K35">
    <cfRule type="expression" dxfId="879" priority="45">
      <formula>OR($G35="Falta Justificada",$G35="Falta Injustificada")</formula>
    </cfRule>
  </conditionalFormatting>
  <conditionalFormatting sqref="G35:K35">
    <cfRule type="expression" dxfId="878" priority="41">
      <formula>OR($G35="Férias",$G35="Falta Injustificada")</formula>
    </cfRule>
    <cfRule type="expression" dxfId="877" priority="42">
      <formula>$G35="Folga (DSR)"</formula>
    </cfRule>
    <cfRule type="expression" dxfId="876" priority="43">
      <formula>$G35="Feriado"</formula>
    </cfRule>
    <cfRule type="expression" dxfId="875" priority="44">
      <formula>$F35="Dom"</formula>
    </cfRule>
  </conditionalFormatting>
  <conditionalFormatting sqref="H35:K35">
    <cfRule type="expression" dxfId="874" priority="40">
      <formula>OR($G35="Falta Justificada",$G35="Falta Injustificada")</formula>
    </cfRule>
  </conditionalFormatting>
  <conditionalFormatting sqref="O38">
    <cfRule type="cellIs" dxfId="873" priority="38" operator="greaterThan">
      <formula>0.000001</formula>
    </cfRule>
  </conditionalFormatting>
  <conditionalFormatting sqref="M38">
    <cfRule type="cellIs" dxfId="872" priority="39" operator="greaterThan">
      <formula>0</formula>
    </cfRule>
  </conditionalFormatting>
  <conditionalFormatting sqref="L38:O38">
    <cfRule type="expression" dxfId="871" priority="37">
      <formula>AND($E38&gt;=$E$8,$E$8&lt;&gt;1)</formula>
    </cfRule>
  </conditionalFormatting>
  <conditionalFormatting sqref="G38:K38">
    <cfRule type="expression" dxfId="870" priority="24">
      <formula>OR($G38="Férias",$G38="Falta Injustificada")</formula>
    </cfRule>
    <cfRule type="expression" dxfId="869" priority="25">
      <formula>$G38="Folga (DSR)"</formula>
    </cfRule>
    <cfRule type="expression" dxfId="868" priority="26">
      <formula>$G38="Feriado"</formula>
    </cfRule>
    <cfRule type="expression" dxfId="867" priority="27">
      <formula>$F38="Dom"</formula>
    </cfRule>
  </conditionalFormatting>
  <conditionalFormatting sqref="H38:K38">
    <cfRule type="expression" dxfId="866" priority="23">
      <formula>OR($G38="Falta Justificada",$G38="Falta Injustificada")</formula>
    </cfRule>
  </conditionalFormatting>
  <conditionalFormatting sqref="Q38">
    <cfRule type="cellIs" dxfId="865" priority="20" operator="greaterThan">
      <formula>0.000001</formula>
    </cfRule>
  </conditionalFormatting>
  <conditionalFormatting sqref="L38:Q38">
    <cfRule type="expression" dxfId="864" priority="36">
      <formula>AND($E38&lt;$E$35,$E$8=1)</formula>
    </cfRule>
  </conditionalFormatting>
  <conditionalFormatting sqref="G38:Q38">
    <cfRule type="expression" dxfId="863" priority="21">
      <formula>AND($E38&lt;$E$35,$E$8=1)</formula>
    </cfRule>
    <cfRule type="expression" dxfId="862" priority="22">
      <formula>AND($E38&gt;=$E$8,$E$8&lt;&gt;1)</formula>
    </cfRule>
  </conditionalFormatting>
  <conditionalFormatting sqref="U10:U11">
    <cfRule type="expression" dxfId="861" priority="8">
      <formula>$V$11="Negativo"</formula>
    </cfRule>
  </conditionalFormatting>
  <conditionalFormatting sqref="U12:U13">
    <cfRule type="expression" dxfId="860" priority="556">
      <formula>$U$14&gt;$F$58</formula>
    </cfRule>
  </conditionalFormatting>
  <conditionalFormatting sqref="F40">
    <cfRule type="expression" dxfId="859" priority="557">
      <formula>$E40="Folga(DSR)"</formula>
    </cfRule>
    <cfRule type="expression" dxfId="858" priority="558">
      <formula>$E40="Feriado"</formula>
    </cfRule>
    <cfRule type="expression" dxfId="857" priority="559">
      <formula>$D40="Dom"</formula>
    </cfRule>
  </conditionalFormatting>
  <dataValidations count="3">
    <dataValidation type="time" allowBlank="1" showInputMessage="1" showErrorMessage="1" sqref="H8:K38">
      <formula1>0</formula1>
      <formula2>0.999988425925926</formula2>
    </dataValidation>
    <dataValidation type="list" allowBlank="1" showInputMessage="1" showErrorMessage="1" sqref="G8:G38">
      <formula1>"Normal,Feriado,Folga (DSR),Falta Justificada,Férias,Falta Injustificada"</formula1>
    </dataValidation>
    <dataValidation type="list" allowBlank="1" showInputMessage="1" showErrorMessage="1" sqref="E9:E35">
      <formula1>"1,5,10,16"</formula1>
    </dataValidation>
  </dataValidations>
  <hyperlinks>
    <hyperlink ref="C8" location="Lanç!A1" display="Lanç!A1"/>
    <hyperlink ref="C9" location="'Lanç (2)'!A1" display="'Lanç (2)'!A1"/>
    <hyperlink ref="C10" location="'Lanç (3)'!A1" display="'Lanç (3)'!A1"/>
    <hyperlink ref="C11" location="'Lanç (4)'!A1" display="'Lanç (4)'!A1"/>
    <hyperlink ref="C12" location="'Lanç (5)'!A1" display="'Lanç (5)'!A1"/>
    <hyperlink ref="C13" location="'Lanç (6)'!A1" display="'Lanç (6)'!A1"/>
    <hyperlink ref="C14" location="'Lanç (7)'!A1" display="'Lanç (7)'!A1"/>
    <hyperlink ref="C15" location="'Lanç (8)'!A1" display="'Lanç (8)'!A1"/>
    <hyperlink ref="C16" location="'Lanç (9)'!A1" display="'Lanç (9)'!A1"/>
    <hyperlink ref="C17" location="'Lanç (10)'!A1" display="'Lanç (10)'!A1"/>
    <hyperlink ref="C18" location="'Lanç (11)'!A1" display="'Lanç (11)'!A1"/>
    <hyperlink ref="C19" location="'Lanç (12)'!A1" display="'Lanç (12)'!A1"/>
    <hyperlink ref="C20" location="'Lanç (13)'!A1" display="'Lanç (13)'!A1"/>
    <hyperlink ref="C21" location="'Lanç (14)'!A1" display="'Lanç (14)'!A1"/>
    <hyperlink ref="C22" location="'Lanç (15)'!A1" display="'Lanç (15)'!A1"/>
    <hyperlink ref="C23" location="'Lanç (16)'!A1" display="'Lanç (16)'!A1"/>
    <hyperlink ref="C24" location="'Lanç (17)'!A1" display="'Lanç (17)'!A1"/>
    <hyperlink ref="C25" location="'Lanç (18)'!A1" display="'Lanç (18)'!A1"/>
    <hyperlink ref="C26" location="'Lanç (19)'!A1" display="'Lanç (19)'!A1"/>
    <hyperlink ref="C27" location="'Lanç (20)'!A1" display="'Lanç (20)'!A1"/>
    <hyperlink ref="C28" location="'Lanç (21)'!A1" display="'Lanç (21)'!A1"/>
    <hyperlink ref="C29" location="'Lanç (22)'!A1" display="'Lanç (22)'!A1"/>
    <hyperlink ref="C30" location="'Lanç (23)'!A1" display="'Lanç (23)'!A1"/>
    <hyperlink ref="C31" location="'Lanç (24)'!A1" display="'Lanç (24)'!A1"/>
    <hyperlink ref="C32" location="'Lanç (25)'!A1" display="'Lanç (25)'!A1"/>
    <hyperlink ref="C33" location="'Lanç (26)'!A1" display="'Lanç (26)'!A1"/>
    <hyperlink ref="C34" location="'Lanç (27)'!A1" display="'Lanç (27)'!A1"/>
    <hyperlink ref="C35" location="'Lanç (28)'!A1" display="'Lanç (28)'!A1"/>
    <hyperlink ref="C36" location="'Lanç (29)'!A1" display="'Lanç (29)'!A1"/>
    <hyperlink ref="C37" location="'Lanç (30)'!A1" display="'Lanç (30)'!A1"/>
  </hyperlinks>
  <printOptions horizontalCentered="1"/>
  <pageMargins left="0.23622047244094502" right="0.23622047244094502" top="0.74803149606299202" bottom="0.74803149606299202" header="0.31496062992126" footer="0.31496062992126"/>
  <pageSetup paperSize="9" scale="53" orientation="portrait" cellComments="atEnd"/>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121" id="{49937AFB-D724-A245-A1FF-2E99E702F7EA}">
            <xm:f>'P Gerais'!$I$10:$M$10="Pagas em Dinheiro"</xm:f>
            <x14:dxf>
              <font>
                <color theme="0"/>
              </font>
              <fill>
                <patternFill>
                  <bgColor theme="0"/>
                </patternFill>
              </fill>
              <border>
                <left/>
                <right/>
                <top/>
                <bottom/>
              </border>
            </x14:dxf>
          </x14:cfRule>
          <xm:sqref>S10:T13</xm:sqref>
        </x14:conditionalFormatting>
        <x14:conditionalFormatting xmlns:xm="http://schemas.microsoft.com/office/excel/2006/main">
          <x14:cfRule type="expression" priority="120" id="{B3E6F664-8D42-E047-A759-EE372BA27F4F}">
            <xm:f>'P Gerais'!$I$10:$M$10="Sistema de banco de horas"</xm:f>
            <x14:dxf>
              <font>
                <color theme="0"/>
              </font>
              <fill>
                <patternFill>
                  <bgColor theme="0"/>
                </patternFill>
              </fill>
              <border>
                <left/>
                <right/>
                <top/>
                <bottom/>
              </border>
            </x14:dxf>
          </x14:cfRule>
          <xm:sqref>S18:T19</xm:sqref>
        </x14:conditionalFormatting>
        <x14:conditionalFormatting xmlns:xm="http://schemas.microsoft.com/office/excel/2006/main">
          <x14:cfRule type="expression" priority="10" id="{F2B8B650-9CFC-D84B-AFD7-16FECB989C55}">
            <xm:f>'P Gerais'!$I$10:$M$10="Sistema de banco de horas"</xm:f>
            <x14:dxf>
              <font>
                <color theme="0"/>
              </font>
              <fill>
                <patternFill>
                  <bgColor theme="0"/>
                </patternFill>
              </fill>
              <border>
                <left/>
                <right/>
                <top/>
                <bottom/>
              </border>
            </x14:dxf>
          </x14:cfRule>
          <xm:sqref>U18:U19</xm:sqref>
        </x14:conditionalFormatting>
        <x14:conditionalFormatting xmlns:xm="http://schemas.microsoft.com/office/excel/2006/main">
          <x14:cfRule type="expression" priority="7" id="{53808644-F0BA-9946-A47E-52AE2BED0FA8}">
            <xm:f>'P Gerais'!$I$10:$M$10="Pagas em Dinheiro"</xm:f>
            <x14:dxf>
              <font>
                <color theme="0"/>
              </font>
              <fill>
                <patternFill>
                  <bgColor theme="0"/>
                </patternFill>
              </fill>
              <border>
                <left/>
                <right/>
                <top/>
                <bottom/>
              </border>
            </x14:dxf>
          </x14:cfRule>
          <xm:sqref>U10:U13</xm:sqref>
        </x14:conditionalFormatting>
      </x14:conditionalFormatting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15" enableFormatConditionsCalculation="0"/>
  <dimension ref="A1:BG103"/>
  <sheetViews>
    <sheetView showGridLines="0" zoomScale="90" zoomScaleNormal="90" zoomScalePageLayoutView="90" workbookViewId="0">
      <selection activeCell="I14" sqref="I14"/>
    </sheetView>
  </sheetViews>
  <sheetFormatPr baseColWidth="10" defaultColWidth="0" defaultRowHeight="0" customHeight="1" zeroHeight="1" x14ac:dyDescent="0.2"/>
  <cols>
    <col min="1" max="1" width="27.83203125" style="194" customWidth="1"/>
    <col min="2" max="2" width="3.83203125" style="14" customWidth="1"/>
    <col min="3" max="3" width="33.33203125" style="14" customWidth="1"/>
    <col min="4" max="4" width="2.83203125" style="14" customWidth="1"/>
    <col min="5" max="5" width="5.83203125" style="14" customWidth="1"/>
    <col min="6" max="6" width="11.83203125" style="14" customWidth="1"/>
    <col min="7" max="7" width="14.33203125" style="195" customWidth="1"/>
    <col min="8" max="11" width="9.83203125" style="14" customWidth="1"/>
    <col min="12" max="12" width="1.83203125" style="14" customWidth="1"/>
    <col min="13" max="13" width="13.33203125" style="14" customWidth="1"/>
    <col min="14" max="14" width="1.83203125" style="14" customWidth="1"/>
    <col min="15" max="15" width="13.33203125" style="14" customWidth="1"/>
    <col min="16" max="16" width="1.83203125" style="14" customWidth="1"/>
    <col min="17" max="17" width="13.33203125" style="14" customWidth="1"/>
    <col min="18" max="18" width="4.83203125" style="2" bestFit="1" customWidth="1"/>
    <col min="19" max="21" width="11.83203125" style="14" customWidth="1"/>
    <col min="22" max="23" width="8.83203125" style="2" customWidth="1"/>
    <col min="24" max="24" width="11.33203125" style="2" bestFit="1" customWidth="1"/>
    <col min="25" max="25" width="8.83203125" style="2" customWidth="1"/>
    <col min="26" max="26" width="8.1640625" style="219" bestFit="1" customWidth="1"/>
    <col min="27" max="27" width="8.83203125" style="2" customWidth="1"/>
    <col min="28" max="28" width="11.33203125" style="2" bestFit="1" customWidth="1"/>
    <col min="29" max="43" width="8.83203125" style="2" customWidth="1"/>
    <col min="44" max="50" width="11.33203125" style="2" customWidth="1"/>
    <col min="51" max="57" width="11.33203125" style="14" customWidth="1"/>
    <col min="58" max="16384" width="8.83203125" style="14" hidden="1"/>
  </cols>
  <sheetData>
    <row r="1" spans="1:59" s="15" customFormat="1" ht="33.75" customHeight="1" x14ac:dyDescent="0.3">
      <c r="A1" s="56"/>
      <c r="B1" s="3"/>
      <c r="C1" s="4" t="s">
        <v>30</v>
      </c>
      <c r="D1" s="3"/>
      <c r="E1" s="3"/>
      <c r="F1" s="3"/>
      <c r="G1" s="77"/>
      <c r="H1" s="3"/>
      <c r="I1" s="3"/>
      <c r="J1" s="3"/>
      <c r="K1" s="3"/>
      <c r="M1" s="3"/>
      <c r="O1" s="3"/>
      <c r="Q1" s="3"/>
      <c r="S1" s="3"/>
      <c r="T1" s="3"/>
      <c r="U1" s="3"/>
      <c r="Z1" s="174"/>
    </row>
    <row r="2" spans="1:59" s="15" customFormat="1" ht="21.5" customHeight="1" x14ac:dyDescent="0.2">
      <c r="A2" s="1"/>
      <c r="B2" s="3"/>
      <c r="C2" s="3"/>
      <c r="D2" s="3"/>
      <c r="E2" s="3"/>
      <c r="F2" s="3"/>
      <c r="G2" s="77"/>
      <c r="H2" s="3"/>
      <c r="I2" s="3"/>
      <c r="J2" s="3"/>
      <c r="K2" s="3"/>
      <c r="M2" s="3"/>
      <c r="O2" s="3"/>
      <c r="Q2" s="3"/>
      <c r="S2" s="3"/>
      <c r="T2" s="3"/>
      <c r="U2" s="3"/>
      <c r="Z2" s="174"/>
    </row>
    <row r="3" spans="1:59" s="15" customFormat="1" ht="21.5" customHeight="1" x14ac:dyDescent="0.2">
      <c r="A3" s="1"/>
      <c r="B3" s="3"/>
      <c r="C3" s="3"/>
      <c r="D3" s="3"/>
      <c r="E3" s="3"/>
      <c r="F3" s="3"/>
      <c r="G3" s="77"/>
      <c r="H3" s="3"/>
      <c r="I3" s="3"/>
      <c r="J3" s="3"/>
      <c r="K3" s="3"/>
      <c r="M3" s="3"/>
      <c r="O3" s="3"/>
      <c r="Q3" s="3"/>
      <c r="S3" s="3"/>
      <c r="T3" s="3"/>
      <c r="U3" s="3"/>
      <c r="Z3" s="174"/>
    </row>
    <row r="4" spans="1:59" s="2" customFormat="1" ht="30" customHeight="1" x14ac:dyDescent="0.2">
      <c r="A4" s="1"/>
      <c r="B4"/>
      <c r="C4"/>
      <c r="D4"/>
      <c r="E4"/>
      <c r="F4"/>
      <c r="G4" s="78"/>
      <c r="H4"/>
      <c r="I4"/>
      <c r="J4"/>
      <c r="K4"/>
      <c r="M4"/>
      <c r="O4" s="13"/>
      <c r="Q4"/>
      <c r="S4"/>
      <c r="T4"/>
      <c r="U4"/>
      <c r="Z4" s="219"/>
      <c r="AN4" s="175"/>
    </row>
    <row r="5" spans="1:59" s="2" customFormat="1" ht="30" customHeight="1" x14ac:dyDescent="0.2">
      <c r="A5" s="9"/>
      <c r="C5" s="160" t="s">
        <v>196</v>
      </c>
      <c r="K5" s="157">
        <f ca="1">IF(ISERROR(VLOOKUP(INDIRECT($C$5),Jornada!$C$8:$F$37,4,0)),0,VLOOKUP(INDIRECT($C$5),Jornada!$C$8:$F$37,4,0))</f>
        <v>0</v>
      </c>
      <c r="L5" s="158"/>
      <c r="M5" s="157">
        <f ca="1">IF(ISERROR(VLOOKUP(INDIRECT($C$5),Jornada!$C$8:$G$37,5,0)),0,VLOOKUP(INDIRECT($C$5),Jornada!$C$8:$G$37,5,0))</f>
        <v>0</v>
      </c>
      <c r="O5" s="12"/>
      <c r="U5" s="12"/>
      <c r="Z5" s="219"/>
      <c r="AC5" s="12"/>
      <c r="AK5" s="179">
        <v>0.25</v>
      </c>
      <c r="AL5" s="155">
        <v>0.91666666666666663</v>
      </c>
      <c r="AM5" s="155">
        <v>0.20833333333333334</v>
      </c>
      <c r="AN5" s="155">
        <v>1</v>
      </c>
      <c r="AO5" s="155">
        <v>0.70833333333333337</v>
      </c>
    </row>
    <row r="6" spans="1:59" s="2" customFormat="1" ht="8" customHeight="1" thickBot="1" x14ac:dyDescent="0.25">
      <c r="A6" s="9"/>
      <c r="C6" s="198"/>
      <c r="G6" s="178"/>
      <c r="M6" s="220">
        <v>1</v>
      </c>
      <c r="O6" s="156"/>
      <c r="Q6" s="156"/>
      <c r="Z6" s="176"/>
    </row>
    <row r="7" spans="1:59" s="2" customFormat="1" ht="30" customHeight="1" thickTop="1" thickBot="1" x14ac:dyDescent="0.25">
      <c r="A7" s="1"/>
      <c r="B7"/>
      <c r="C7" s="76" t="s">
        <v>176</v>
      </c>
      <c r="D7"/>
      <c r="E7" s="281" t="str">
        <f>Lanç!E7</f>
        <v>Janeiro</v>
      </c>
      <c r="F7" s="283"/>
      <c r="G7" s="79" t="s">
        <v>58</v>
      </c>
      <c r="H7" s="82" t="s">
        <v>0</v>
      </c>
      <c r="I7" s="293" t="s">
        <v>59</v>
      </c>
      <c r="J7" s="293"/>
      <c r="K7" s="82" t="s">
        <v>60</v>
      </c>
      <c r="M7" s="73" t="s">
        <v>61</v>
      </c>
      <c r="O7" s="73" t="s">
        <v>62</v>
      </c>
      <c r="Q7" s="73" t="s">
        <v>63</v>
      </c>
      <c r="R7" s="155">
        <v>8.3333333333333329E-2</v>
      </c>
      <c r="S7" s="293" t="s">
        <v>64</v>
      </c>
      <c r="T7" s="293"/>
      <c r="U7" s="293"/>
      <c r="W7" s="2" t="s">
        <v>90</v>
      </c>
      <c r="X7" s="156">
        <v>1</v>
      </c>
      <c r="AB7" s="2">
        <f>VLOOKUP($E$7,$W$7:$X$18,2,0)</f>
        <v>1</v>
      </c>
      <c r="AG7" s="176" t="s">
        <v>167</v>
      </c>
      <c r="AH7" s="176" t="s">
        <v>168</v>
      </c>
      <c r="AI7" s="155">
        <v>0</v>
      </c>
      <c r="AJ7" s="155">
        <v>1</v>
      </c>
      <c r="AK7" s="155">
        <v>0.45833333333333331</v>
      </c>
      <c r="AL7" s="2" t="s">
        <v>0</v>
      </c>
      <c r="AM7" s="2" t="s">
        <v>162</v>
      </c>
      <c r="AN7" s="2" t="s">
        <v>184</v>
      </c>
      <c r="BE7" s="14"/>
      <c r="BF7" s="14"/>
      <c r="BG7" s="14"/>
    </row>
    <row r="8" spans="1:59" s="2" customFormat="1" ht="30" customHeight="1" thickTop="1" thickBot="1" x14ac:dyDescent="0.25">
      <c r="A8" s="1"/>
      <c r="B8"/>
      <c r="C8" s="172" t="str">
        <f>IF(Funcionários!C7=0,"",Funcionários!C7)</f>
        <v/>
      </c>
      <c r="D8"/>
      <c r="E8" s="115">
        <f>Lanç!E8</f>
        <v>1</v>
      </c>
      <c r="F8" s="189" t="str">
        <f>Lanç!F8</f>
        <v>Dom</v>
      </c>
      <c r="G8" s="80"/>
      <c r="H8" s="93"/>
      <c r="I8" s="93"/>
      <c r="J8" s="93"/>
      <c r="K8" s="93"/>
      <c r="L8" s="197"/>
      <c r="M8" s="95">
        <f>IF(AND(H8=K8,H8&lt;&gt;0),$M$6-IF(J8&lt;I8,$AJ$7+J8-I8,J8-I8),IF(H8&gt;K8,(K8+1-H8)-IF(J8&lt;I8,$AJ$7+J8-I8,J8-I8),(K8-H8)-IF(J8&lt;I8,$AJ$7+J8-I8,J8-I8)))</f>
        <v>0</v>
      </c>
      <c r="N8" s="196"/>
      <c r="O8" s="95">
        <f ca="1">IF(OR(G8=0,G8="Férias",G8="Falta Justificada",G8="Feriado",G8="Folga (DSR)"),0,IF(G8="Falta Injustificada",HLOOKUP($F8,Jornada!$X$7:$AD$37,VLOOKUP(INDIRECT($C$5),Jornada!$C$8:$W$37,21,0),0),IF(HLOOKUP($F8,Jornada!$X$7:$AD$37,VLOOKUP(INDIRECT($C$5),Jornada!$C$8:$W$37,21,0),0)-M8&gt;0,HLOOKUP($F8,Jornada!$X$7:$AD$37,VLOOKUP(INDIRECT($C$5),Jornada!$C$8:$W$37,21,0),0)-M8,0)))</f>
        <v>0</v>
      </c>
      <c r="P8" s="193">
        <f ca="1">IF(HLOOKUP($F8,Jornada!$X$7:$AD$37,VLOOKUP(INDIRECT($C$5),Jornada!$C$8:$W$37,21,0),0)-M8&lt;0,ABS(HLOOKUP($F8,Jornada!$X$7:$AD$37,VLOOKUP(INDIRECT($C$5),Jornada!$C$8:$W$37,21,0),0)-M8),0)</f>
        <v>0</v>
      </c>
      <c r="Q8" s="95">
        <f t="shared" ref="Q8:Q38" si="0">IF(G8="Normal",P8,IF(G8=0,0,IF(OR(G8="Feriado",G8="Férias"),IF(H8&gt;K8,(K8+1-H8)-IF(J8&lt;I8,$AJ$7+J8-I8,J8-I8),(K8-H8)-IF(J8&lt;I8,$AJ$7+J8-I8,J8-I8)),IF(G8="Folga (DSR)",IF(H8&gt;K8,(K8+1-H8)-IF(J8&lt;I8,$AJ$7+J8-I8,J8-I8),(K8-H8)-IF(J8&lt;I8,$AJ$7+J8-I8,J8-I8)),IF(G8="Falta Justificada",IF(H8&gt;K8,(K8+1-H8)-IF(J8&lt;I8,$AJ$7+J8-I8,J8-I8),(K8-H8)-IF(J8&lt;I8,$AJ$7+J8-I8,J8-I8)),0)))))</f>
        <v>0</v>
      </c>
      <c r="R8" s="2">
        <f>IF(Q8&gt;$R$7,1,0)</f>
        <v>0</v>
      </c>
      <c r="S8" s="294" t="s">
        <v>65</v>
      </c>
      <c r="T8" s="294"/>
      <c r="U8" s="295">
        <f>SUM(M8:M38)</f>
        <v>0</v>
      </c>
      <c r="W8" s="2" t="s">
        <v>91</v>
      </c>
      <c r="X8" s="156">
        <v>2</v>
      </c>
      <c r="AB8" s="177">
        <f>DATE('P Gerais'!$D$6,AB7,1)</f>
        <v>1</v>
      </c>
      <c r="AC8" s="2">
        <f>WEEKDAY(AB8)</f>
        <v>1</v>
      </c>
      <c r="AE8" s="2">
        <v>1</v>
      </c>
      <c r="AF8" s="2" t="s">
        <v>51</v>
      </c>
      <c r="AG8" s="220">
        <f>IF(J8&lt;I8,$AJ$7+J8-I8,J8-I8)</f>
        <v>0</v>
      </c>
      <c r="AH8" s="220">
        <f ca="1">IF(HLOOKUP($F8,Jornada!$X$7:$AD$37,VLOOKUP(INDIRECT($C$5),Jornada!$C$8:$W$37,21,0),0)=0,0,VLOOKUP(INDIRECT($C$5),Jornada!$C$8:$H$37,4,0))</f>
        <v>0</v>
      </c>
      <c r="AI8" s="155">
        <f ca="1">IF(AND(I8=0,J8=0,OR(H8&lt;&gt;0,K8&lt;&gt;0),HLOOKUP($F8,Jornada!$X$7:$AD$37,VLOOKUP(INDIRECT($C$5),Jornada!$C$8:$W$37,21,0),0)&gt;$AK$5,M8&gt;$AK$5),VLOOKUP(INDIRECT($C$5),Jornada!$C$8:$H$37,6,0),IF(AG8&gt;VLOOKUP(INDIRECT($C$5),Jornada!$C$8:$H$37,6,0),IF(VLOOKUP(INDIRECT($C$5),Jornada!$C$8:$H$37,6,0)&lt;AG8,0,ABS(VLOOKUP(INDIRECT($C$5),Jornada!$C$8:$H$37,6,0))-AG8),0))</f>
        <v>0</v>
      </c>
      <c r="AJ8" s="155">
        <f>($AJ$7-K8)+H8</f>
        <v>1</v>
      </c>
      <c r="AK8" s="155">
        <f>IF(AJ8&lt;$AK$7,$AK$7-AJ8,$AI$7)</f>
        <v>0</v>
      </c>
      <c r="AL8" s="155">
        <f ca="1">HLOOKUP($F8,Jornada!$I$5:$V$37,VLOOKUP(INDIRECT($C$5),Jornada!$C$8:$W$37,21,0)+2,0)</f>
        <v>0</v>
      </c>
      <c r="AM8" s="155">
        <f ca="1">HLOOKUP($F8,Jornada!$I$4:$V$37,VLOOKUP(INDIRECT($C$5),Jornada!$C$8:$W$37,21,0)+3,0)</f>
        <v>0</v>
      </c>
      <c r="AN8" s="155">
        <f ca="1">IF(AND(AL8&gt;=$AL$5,AL8&lt;$AN$5,H8&gt;=$AL$5,H8&lt;AL8),AL8-H8,IF(AND(AL8&gt;$AI$7,AL8&lt;=$AM$5,H8&gt;=$AL$5,H8&lt;=$AN$5),$AN$5-H8+AL8,IF(AND(AL8&gt;=$AI$7,AL8&lt;=$AM$5,H8&gt;=$AI$7,H8&lt;=$AM$5,H8&lt;AL8),H8-AL8,0)))</f>
        <v>0</v>
      </c>
      <c r="AO8" s="155">
        <f>IF(AP8&gt;Q8,0,AP8)</f>
        <v>0</v>
      </c>
      <c r="AP8" s="155">
        <f>IF(Q8=0,0,IF(AND(AM8&gt;=$AL$5,AM8&lt;$AN$5,K8&gt;=$AL$5,K8&lt;$AM$5,K8&gt;AM8),K8-AM8,IF(AND(AM8&gt;=$AL$5,AM8&lt;$AN$5,K8&lt;$AN$5,K8&gt;AM8),K8-$AL$5,IF(AND(AM8&gt;=$AI$7,AM8&lt;$AM$5,K8&lt;$AM$5),K8-AM8,IF(AND(AM8&lt;&gt;AI7,AM8&gt;=$AI$7,AM8&lt;=$AM$5,K8&gt;$AM$5,K8&gt;AM8),$AM$5-AM8,IF(AND(K8&gt;$AL$5,K8&lt;$AN$5),K8-$AL$5,IF(AND(K8&gt;$AI$7,K8&lt;$AM$5),$AN$5-$AL$5+K8,IF(AND(OR(K8&gt;$AL$5,H8&gt;$AO$5),AM8&gt;=$AI$7,AM8&lt;$AM$5,K8&gt;$AM$5),(1+$AM$5-$AL$5)-AG8,0))))))))</f>
        <v>0</v>
      </c>
      <c r="BE8" s="14"/>
      <c r="BF8" s="14"/>
      <c r="BG8" s="14"/>
    </row>
    <row r="9" spans="1:59" s="2" customFormat="1" ht="30" customHeight="1" thickTop="1" thickBot="1" x14ac:dyDescent="0.25">
      <c r="A9" s="1"/>
      <c r="B9"/>
      <c r="C9" s="172" t="str">
        <f>IF(Funcionários!C8=0,"",Funcionários!C8)</f>
        <v/>
      </c>
      <c r="D9"/>
      <c r="E9" s="115">
        <f>Lanç!E9</f>
        <v>2</v>
      </c>
      <c r="F9" s="189" t="str">
        <f>Lanç!F9</f>
        <v>Seg</v>
      </c>
      <c r="G9" s="80"/>
      <c r="H9" s="93"/>
      <c r="I9" s="93"/>
      <c r="J9" s="93"/>
      <c r="K9" s="93"/>
      <c r="L9" s="197"/>
      <c r="M9" s="95">
        <f t="shared" ref="M9:M38" si="1">IF(AND(H9=K9,H9&lt;&gt;0),$M$6-IF(J9&lt;I9,$AJ$7+J9-I9,J9-I9),IF(H9&gt;K9,(K9+1-H9)-IF(J9&lt;I9,$AJ$7+J9-I9,J9-I9),(K9-H9)-IF(J9&lt;I9,$AJ$7+J9-I9,J9-I9)))</f>
        <v>0</v>
      </c>
      <c r="N9" s="196"/>
      <c r="O9" s="95">
        <f ca="1">IF(OR(G9=0,G9="Férias",G9="Falta Justificada",G9="Feriado",G9="Folga (DSR)"),0,IF(G9="Falta Injustificada",HLOOKUP($F9,Jornada!$X$7:$AD$37,VLOOKUP(INDIRECT($C$5),Jornada!$C$8:$W$37,21,0),0),IF(HLOOKUP($F9,Jornada!$X$7:$AD$37,VLOOKUP(INDIRECT($C$5),Jornada!$C$8:$W$37,21,0),0)-M9&gt;0,HLOOKUP($F9,Jornada!$X$7:$AD$37,VLOOKUP(INDIRECT($C$5),Jornada!$C$8:$W$37,21,0),0)-M9,0)))</f>
        <v>0</v>
      </c>
      <c r="P9" s="193">
        <f ca="1">IF(HLOOKUP($F9,Jornada!$X$7:$AD$37,VLOOKUP(INDIRECT($C$5),Jornada!$C$8:$W$37,21,0),0)-M9&lt;0,ABS(HLOOKUP($F9,Jornada!$X$7:$AD$37,VLOOKUP(INDIRECT($C$5),Jornada!$C$8:$W$37,21,0),0)-M9),0)</f>
        <v>0</v>
      </c>
      <c r="Q9" s="95">
        <f t="shared" si="0"/>
        <v>0</v>
      </c>
      <c r="R9" s="2">
        <f t="shared" ref="R9:R38" si="2">IF(Q9&gt;$R$7,1,0)</f>
        <v>0</v>
      </c>
      <c r="S9" s="294"/>
      <c r="T9" s="294"/>
      <c r="U9" s="295"/>
      <c r="W9" s="2" t="s">
        <v>92</v>
      </c>
      <c r="X9" s="156">
        <v>3</v>
      </c>
      <c r="AB9" s="177">
        <f>AB8+1</f>
        <v>2</v>
      </c>
      <c r="AC9" s="2">
        <f t="shared" ref="AC9:AC35" si="3">WEEKDAY(AB9)</f>
        <v>2</v>
      </c>
      <c r="AE9" s="2">
        <v>2</v>
      </c>
      <c r="AF9" s="2" t="s">
        <v>52</v>
      </c>
      <c r="AG9" s="220">
        <f t="shared" ref="AG9:AG38" si="4">IF(J9&lt;I9,$AJ$7+J9-I9,J9-I9)</f>
        <v>0</v>
      </c>
      <c r="AH9" s="220">
        <f ca="1">IF(HLOOKUP($F9,Jornada!$X$7:$AD$37,VLOOKUP(INDIRECT($C$5),Jornada!$C$8:$W$37,21,0),0)=0,0,VLOOKUP(INDIRECT($C$5),Jornada!$C$8:$H$37,4,0))</f>
        <v>0</v>
      </c>
      <c r="AI9" s="155">
        <f ca="1">IF(AND(I9=0,J9=0,OR(H9&lt;&gt;0,K9&lt;&gt;0),HLOOKUP($F9,Jornada!$X$7:$AD$37,VLOOKUP(INDIRECT($C$5),Jornada!$C$8:$W$37,21,0),0)&gt;$AK$5,M9&gt;$AK$5),VLOOKUP(INDIRECT($C$5),Jornada!$C$8:$H$37,6,0),IF(AG9&gt;VLOOKUP(INDIRECT($C$5),Jornada!$C$8:$H$37,6,0),IF(VLOOKUP(INDIRECT($C$5),Jornada!$C$8:$H$37,6,0)&lt;AG9,0,ABS(VLOOKUP(INDIRECT($C$5),Jornada!$C$8:$H$37,6,0))-AG9),0))</f>
        <v>0</v>
      </c>
      <c r="AJ9" s="155">
        <f t="shared" ref="AJ9:AJ38" si="5">($AJ$7-K9)+H9</f>
        <v>1</v>
      </c>
      <c r="AK9" s="155">
        <f t="shared" ref="AK9:AK38" si="6">IF(AJ9&lt;$AK$7,$AK$7-AJ9,$AI$7)</f>
        <v>0</v>
      </c>
      <c r="AL9" s="155">
        <f ca="1">HLOOKUP($F9,Jornada!$I$5:$V$37,VLOOKUP(INDIRECT($C$5),Jornada!$C$8:$W$37,21,0)+2,0)</f>
        <v>0</v>
      </c>
      <c r="AM9" s="155">
        <f ca="1">HLOOKUP($F9,Jornada!$I$4:$V$37,VLOOKUP(INDIRECT($C$5),Jornada!$C$8:$W$37,21,0)+3,0)</f>
        <v>0</v>
      </c>
      <c r="AN9" s="155">
        <f t="shared" ref="AN9:AN38" ca="1" si="7">IF(AND(AL9&gt;=$AL$5,AL9&lt;$AN$5,H9&gt;=$AL$5,H9&lt;AL9),AL9-H9,IF(AND(AL9&gt;$AI$7,AL9&lt;=$AM$5,H9&gt;=$AL$5,H9&lt;=$AN$5),$AN$5-H9+AL9,IF(AND(AL9&gt;=$AI$7,AL9&lt;=$AM$5,H9&gt;=$AI$7,H9&lt;=$AM$5,H9&lt;AL9),H9-AL9,0)))</f>
        <v>0</v>
      </c>
      <c r="AO9" s="155">
        <f t="shared" ref="AO9:AO38" si="8">IF(AP9&gt;Q9,0,AP9)</f>
        <v>0</v>
      </c>
      <c r="AP9" s="155">
        <f t="shared" ref="AP9:AP38" si="9">IF(Q9=0,0,IF(AND(AM9&gt;=$AL$5,AM9&lt;$AN$5,K9&gt;=$AL$5,K9&lt;$AM$5,K9&gt;AM9),K9-AM9,IF(AND(AM9&gt;=$AL$5,AM9&lt;$AN$5,K9&lt;$AN$5,K9&gt;AM9),K9-$AL$5,IF(AND(AM9&gt;=$AI$7,AM9&lt;$AM$5,K9&lt;$AM$5),K9-AM9,IF(AND(AM9&lt;&gt;AI8,AM9&gt;=$AI$7,AM9&lt;=$AM$5,K9&gt;$AM$5,K9&gt;AM9),$AM$5-AM9,IF(AND(K9&gt;$AL$5,K9&lt;$AN$5),K9-$AL$5,IF(AND(K9&gt;$AI$7,K9&lt;$AM$5),$AN$5-$AL$5+K9,IF(AND(OR(K9&gt;$AL$5,H9&gt;$AO$5),AM9&gt;=$AI$7,AM9&lt;$AM$5,K9&gt;$AM$5),(1+$AM$5-$AL$5)-AG9,0))))))))</f>
        <v>0</v>
      </c>
      <c r="BE9" s="14"/>
      <c r="BF9" s="14"/>
      <c r="BG9" s="14"/>
    </row>
    <row r="10" spans="1:59" s="2" customFormat="1" ht="30" customHeight="1" thickTop="1" thickBot="1" x14ac:dyDescent="0.25">
      <c r="A10" s="1"/>
      <c r="B10"/>
      <c r="C10" s="172" t="str">
        <f>IF(Funcionários!C9=0,"",Funcionários!C9)</f>
        <v/>
      </c>
      <c r="D10"/>
      <c r="E10" s="115">
        <f>Lanç!E10</f>
        <v>3</v>
      </c>
      <c r="F10" s="189" t="str">
        <f>Lanç!F10</f>
        <v>Ter</v>
      </c>
      <c r="G10" s="81"/>
      <c r="H10" s="94"/>
      <c r="I10" s="94"/>
      <c r="J10" s="94"/>
      <c r="K10" s="94"/>
      <c r="L10" s="197"/>
      <c r="M10" s="95">
        <f t="shared" si="1"/>
        <v>0</v>
      </c>
      <c r="N10" s="196"/>
      <c r="O10" s="95">
        <f ca="1">IF(OR(G10=0,G10="Férias",G10="Falta Justificada",G10="Feriado",G10="Folga (DSR)"),0,IF(G10="Falta Injustificada",HLOOKUP($F10,Jornada!$X$7:$AD$37,VLOOKUP(INDIRECT($C$5),Jornada!$C$8:$W$37,21,0),0),IF(HLOOKUP($F10,Jornada!$X$7:$AD$37,VLOOKUP(INDIRECT($C$5),Jornada!$C$8:$W$37,21,0),0)-M10&gt;0,HLOOKUP($F10,Jornada!$X$7:$AD$37,VLOOKUP(INDIRECT($C$5),Jornada!$C$8:$W$37,21,0),0)-M10,0)))</f>
        <v>0</v>
      </c>
      <c r="P10" s="193">
        <f ca="1">IF(HLOOKUP($F10,Jornada!$X$7:$AD$37,VLOOKUP(INDIRECT($C$5),Jornada!$C$8:$W$37,21,0),0)-M10&lt;0,ABS(HLOOKUP($F10,Jornada!$X$7:$AD$37,VLOOKUP(INDIRECT($C$5),Jornada!$C$8:$W$37,21,0),0)-M10),0)</f>
        <v>0</v>
      </c>
      <c r="Q10" s="95">
        <f t="shared" si="0"/>
        <v>0</v>
      </c>
      <c r="R10" s="2">
        <f t="shared" si="2"/>
        <v>0</v>
      </c>
      <c r="S10" s="294" t="s">
        <v>66</v>
      </c>
      <c r="T10" s="294"/>
      <c r="U10" s="295">
        <f ca="1">IF(M5="Horas devidas",ABS(-K5+F58-U14),ABS(K5+F58-U14))</f>
        <v>0</v>
      </c>
      <c r="W10" s="2" t="s">
        <v>93</v>
      </c>
      <c r="X10" s="156">
        <v>4</v>
      </c>
      <c r="AB10" s="177">
        <f t="shared" ref="AB10:AB34" si="10">AB9+1</f>
        <v>3</v>
      </c>
      <c r="AC10" s="2">
        <f t="shared" si="3"/>
        <v>3</v>
      </c>
      <c r="AE10" s="2">
        <v>3</v>
      </c>
      <c r="AF10" s="2" t="s">
        <v>53</v>
      </c>
      <c r="AG10" s="220">
        <f t="shared" si="4"/>
        <v>0</v>
      </c>
      <c r="AH10" s="220">
        <f ca="1">IF(HLOOKUP($F10,Jornada!$X$7:$AD$37,VLOOKUP(INDIRECT($C$5),Jornada!$C$8:$W$37,21,0),0)=0,0,VLOOKUP(INDIRECT($C$5),Jornada!$C$8:$H$37,4,0))</f>
        <v>0</v>
      </c>
      <c r="AI10" s="155">
        <f ca="1">IF(AND(I10=0,J10=0,OR(H10&lt;&gt;0,K10&lt;&gt;0),HLOOKUP($F10,Jornada!$X$7:$AD$37,VLOOKUP(INDIRECT($C$5),Jornada!$C$8:$W$37,21,0),0)&gt;$AK$5,M10&gt;$AK$5),VLOOKUP(INDIRECT($C$5),Jornada!$C$8:$H$37,6,0),IF(AG10&gt;VLOOKUP(INDIRECT($C$5),Jornada!$C$8:$H$37,6,0),IF(VLOOKUP(INDIRECT($C$5),Jornada!$C$8:$H$37,6,0)&lt;AG10,0,ABS(VLOOKUP(INDIRECT($C$5),Jornada!$C$8:$H$37,6,0))-AG10),0))</f>
        <v>0</v>
      </c>
      <c r="AJ10" s="155">
        <f t="shared" si="5"/>
        <v>1</v>
      </c>
      <c r="AK10" s="155">
        <f t="shared" si="6"/>
        <v>0</v>
      </c>
      <c r="AL10" s="155">
        <f ca="1">HLOOKUP($F10,Jornada!$I$5:$V$37,VLOOKUP(INDIRECT($C$5),Jornada!$C$8:$W$37,21,0)+2,0)</f>
        <v>0</v>
      </c>
      <c r="AM10" s="155">
        <f ca="1">HLOOKUP($F10,Jornada!$I$4:$V$37,VLOOKUP(INDIRECT($C$5),Jornada!$C$8:$W$37,21,0)+3,0)</f>
        <v>0</v>
      </c>
      <c r="AN10" s="155">
        <f t="shared" ca="1" si="7"/>
        <v>0</v>
      </c>
      <c r="AO10" s="155">
        <f t="shared" si="8"/>
        <v>0</v>
      </c>
      <c r="AP10" s="155">
        <f t="shared" si="9"/>
        <v>0</v>
      </c>
      <c r="BE10" s="14"/>
      <c r="BF10" s="14"/>
      <c r="BG10" s="14"/>
    </row>
    <row r="11" spans="1:59" s="2" customFormat="1" ht="30" customHeight="1" thickTop="1" thickBot="1" x14ac:dyDescent="0.25">
      <c r="A11" s="1"/>
      <c r="B11"/>
      <c r="C11" s="172" t="str">
        <f>IF(Funcionários!C10=0,"",Funcionários!C10)</f>
        <v/>
      </c>
      <c r="D11"/>
      <c r="E11" s="115">
        <f>Lanç!E11</f>
        <v>4</v>
      </c>
      <c r="F11" s="189" t="str">
        <f>Lanç!F11</f>
        <v>Qua</v>
      </c>
      <c r="G11" s="81"/>
      <c r="H11" s="94"/>
      <c r="I11" s="94"/>
      <c r="J11" s="94"/>
      <c r="K11" s="94"/>
      <c r="L11" s="197"/>
      <c r="M11" s="95">
        <f t="shared" si="1"/>
        <v>0</v>
      </c>
      <c r="N11" s="196"/>
      <c r="O11" s="95">
        <f ca="1">IF(OR(G11=0,G11="Férias",G11="Falta Justificada",G11="Feriado",G11="Folga (DSR)"),0,IF(G11="Falta Injustificada",HLOOKUP($F11,Jornada!$X$7:$AD$37,VLOOKUP(INDIRECT($C$5),Jornada!$C$8:$W$37,21,0),0),IF(HLOOKUP($F11,Jornada!$X$7:$AD$37,VLOOKUP(INDIRECT($C$5),Jornada!$C$8:$W$37,21,0),0)-M11&gt;0,HLOOKUP($F11,Jornada!$X$7:$AD$37,VLOOKUP(INDIRECT($C$5),Jornada!$C$8:$W$37,21,0),0)-M11,0)))</f>
        <v>0</v>
      </c>
      <c r="P11" s="193">
        <f ca="1">IF(HLOOKUP($F11,Jornada!$X$7:$AD$37,VLOOKUP(INDIRECT($C$5),Jornada!$C$8:$W$37,21,0),0)-M11&lt;0,ABS(HLOOKUP($F11,Jornada!$X$7:$AD$37,VLOOKUP(INDIRECT($C$5),Jornada!$C$8:$W$37,21,0),0)-M11),0)</f>
        <v>0</v>
      </c>
      <c r="Q11" s="95">
        <f t="shared" si="0"/>
        <v>0</v>
      </c>
      <c r="R11" s="2">
        <f t="shared" si="2"/>
        <v>0</v>
      </c>
      <c r="S11" s="294"/>
      <c r="T11" s="294"/>
      <c r="U11" s="295"/>
      <c r="V11" s="2">
        <f ca="1">IF(AND(K5&gt;U12,M5="Horas devidas"),"Negativo",IF(AND(U12&gt;K5,U14&gt;F58),"Negativo",0))</f>
        <v>0</v>
      </c>
      <c r="W11" s="2" t="s">
        <v>94</v>
      </c>
      <c r="X11" s="156">
        <v>5</v>
      </c>
      <c r="Z11" s="2" t="str">
        <f ca="1">IF(AND(M5="horas extras",Z13="positivo"),"positivo",IF(AND(M5="horas devidas",Z13="Negativo"),"Negativo",IF(AND(Z13="positivo",M5="horas devidas",U12&gt;K5),"Positivo","Negativo")))</f>
        <v>Negativo</v>
      </c>
      <c r="AB11" s="177">
        <f t="shared" si="10"/>
        <v>4</v>
      </c>
      <c r="AC11" s="2">
        <f t="shared" si="3"/>
        <v>4</v>
      </c>
      <c r="AE11" s="2">
        <v>4</v>
      </c>
      <c r="AF11" s="2" t="s">
        <v>54</v>
      </c>
      <c r="AG11" s="220">
        <f t="shared" si="4"/>
        <v>0</v>
      </c>
      <c r="AH11" s="220">
        <f ca="1">IF(HLOOKUP($F11,Jornada!$X$7:$AD$37,VLOOKUP(INDIRECT($C$5),Jornada!$C$8:$W$37,21,0),0)=0,0,VLOOKUP(INDIRECT($C$5),Jornada!$C$8:$H$37,4,0))</f>
        <v>0</v>
      </c>
      <c r="AI11" s="155">
        <f ca="1">IF(AND(I11=0,J11=0,OR(H11&lt;&gt;0,K11&lt;&gt;0),HLOOKUP($F11,Jornada!$X$7:$AD$37,VLOOKUP(INDIRECT($C$5),Jornada!$C$8:$W$37,21,0),0)&gt;$AK$5,M11&gt;$AK$5),VLOOKUP(INDIRECT($C$5),Jornada!$C$8:$H$37,6,0),IF(AG11&gt;VLOOKUP(INDIRECT($C$5),Jornada!$C$8:$H$37,6,0),IF(VLOOKUP(INDIRECT($C$5),Jornada!$C$8:$H$37,6,0)&lt;AG11,0,ABS(VLOOKUP(INDIRECT($C$5),Jornada!$C$8:$H$37,6,0))-AG11),0))</f>
        <v>0</v>
      </c>
      <c r="AJ11" s="155">
        <f t="shared" si="5"/>
        <v>1</v>
      </c>
      <c r="AK11" s="155">
        <f t="shared" si="6"/>
        <v>0</v>
      </c>
      <c r="AL11" s="155">
        <f ca="1">HLOOKUP($F11,Jornada!$I$5:$V$37,VLOOKUP(INDIRECT($C$5),Jornada!$C$8:$W$37,21,0)+2,0)</f>
        <v>0</v>
      </c>
      <c r="AM11" s="155">
        <f ca="1">HLOOKUP($F11,Jornada!$I$4:$V$37,VLOOKUP(INDIRECT($C$5),Jornada!$C$8:$W$37,21,0)+3,0)</f>
        <v>0</v>
      </c>
      <c r="AN11" s="155">
        <f t="shared" ca="1" si="7"/>
        <v>0</v>
      </c>
      <c r="AO11" s="155">
        <f t="shared" si="8"/>
        <v>0</v>
      </c>
      <c r="AP11" s="155">
        <f t="shared" si="9"/>
        <v>0</v>
      </c>
      <c r="BE11" s="14"/>
      <c r="BF11" s="14"/>
      <c r="BG11" s="14"/>
    </row>
    <row r="12" spans="1:59" s="2" customFormat="1" ht="30" customHeight="1" thickTop="1" thickBot="1" x14ac:dyDescent="0.25">
      <c r="A12" s="1"/>
      <c r="B12"/>
      <c r="C12" s="172" t="str">
        <f>IF(Funcionários!C11=0,"",Funcionários!C11)</f>
        <v/>
      </c>
      <c r="D12"/>
      <c r="E12" s="115">
        <f>Lanç!E12</f>
        <v>5</v>
      </c>
      <c r="F12" s="189" t="str">
        <f>Lanç!F12</f>
        <v>Qui</v>
      </c>
      <c r="G12" s="81"/>
      <c r="H12" s="94"/>
      <c r="I12" s="94"/>
      <c r="J12" s="94"/>
      <c r="K12" s="94"/>
      <c r="L12" s="197"/>
      <c r="M12" s="95">
        <f t="shared" si="1"/>
        <v>0</v>
      </c>
      <c r="N12" s="196"/>
      <c r="O12" s="95">
        <f ca="1">IF(OR(G12=0,G12="Férias",G12="Falta Justificada",G12="Feriado",G12="Folga (DSR)"),0,IF(G12="Falta Injustificada",HLOOKUP($F12,Jornada!$X$7:$AD$37,VLOOKUP(INDIRECT($C$5),Jornada!$C$8:$W$37,21,0),0),IF(HLOOKUP($F12,Jornada!$X$7:$AD$37,VLOOKUP(INDIRECT($C$5),Jornada!$C$8:$W$37,21,0),0)-M12&gt;0,HLOOKUP($F12,Jornada!$X$7:$AD$37,VLOOKUP(INDIRECT($C$5),Jornada!$C$8:$W$37,21,0),0)-M12,0)))</f>
        <v>0</v>
      </c>
      <c r="P12" s="193">
        <f ca="1">IF(HLOOKUP($F12,Jornada!$X$7:$AD$37,VLOOKUP(INDIRECT($C$5),Jornada!$C$8:$W$37,21,0),0)-M12&lt;0,ABS(HLOOKUP($F12,Jornada!$X$7:$AD$37,VLOOKUP(INDIRECT($C$5),Jornada!$C$8:$W$37,21,0),0)-M12),0)</f>
        <v>0</v>
      </c>
      <c r="Q12" s="95">
        <f t="shared" si="0"/>
        <v>0</v>
      </c>
      <c r="R12" s="2">
        <f t="shared" si="2"/>
        <v>0</v>
      </c>
      <c r="S12" s="294" t="s">
        <v>175</v>
      </c>
      <c r="T12" s="294"/>
      <c r="U12" s="295">
        <f ca="1">IF(U14&gt;=F58,(U14)-F58,(F58-U14))</f>
        <v>0</v>
      </c>
      <c r="W12" s="2" t="s">
        <v>95</v>
      </c>
      <c r="X12" s="156">
        <v>6</v>
      </c>
      <c r="AB12" s="177">
        <f t="shared" si="10"/>
        <v>5</v>
      </c>
      <c r="AC12" s="2">
        <f t="shared" si="3"/>
        <v>5</v>
      </c>
      <c r="AE12" s="2">
        <v>5</v>
      </c>
      <c r="AF12" s="2" t="s">
        <v>55</v>
      </c>
      <c r="AG12" s="220">
        <f t="shared" si="4"/>
        <v>0</v>
      </c>
      <c r="AH12" s="220">
        <f ca="1">IF(HLOOKUP($F12,Jornada!$X$7:$AD$37,VLOOKUP(INDIRECT($C$5),Jornada!$C$8:$W$37,21,0),0)=0,0,VLOOKUP(INDIRECT($C$5),Jornada!$C$8:$H$37,4,0))</f>
        <v>0</v>
      </c>
      <c r="AI12" s="155">
        <f ca="1">IF(AND(I12=0,J12=0,OR(H12&lt;&gt;0,K12&lt;&gt;0),HLOOKUP($F12,Jornada!$X$7:$AD$37,VLOOKUP(INDIRECT($C$5),Jornada!$C$8:$W$37,21,0),0)&gt;$AK$5,M12&gt;$AK$5),VLOOKUP(INDIRECT($C$5),Jornada!$C$8:$H$37,6,0),IF(AG12&gt;VLOOKUP(INDIRECT($C$5),Jornada!$C$8:$H$37,6,0),IF(VLOOKUP(INDIRECT($C$5),Jornada!$C$8:$H$37,6,0)&lt;AG12,0,ABS(VLOOKUP(INDIRECT($C$5),Jornada!$C$8:$H$37,6,0))-AG12),0))</f>
        <v>0</v>
      </c>
      <c r="AJ12" s="155">
        <f t="shared" si="5"/>
        <v>1</v>
      </c>
      <c r="AK12" s="155">
        <f t="shared" si="6"/>
        <v>0</v>
      </c>
      <c r="AL12" s="155">
        <f ca="1">HLOOKUP($F12,Jornada!$I$5:$V$37,VLOOKUP(INDIRECT($C$5),Jornada!$C$8:$W$37,21,0)+2,0)</f>
        <v>0</v>
      </c>
      <c r="AM12" s="155">
        <f ca="1">HLOOKUP($F12,Jornada!$I$4:$V$37,VLOOKUP(INDIRECT($C$5),Jornada!$C$8:$W$37,21,0)+3,0)</f>
        <v>0</v>
      </c>
      <c r="AN12" s="155">
        <f t="shared" ca="1" si="7"/>
        <v>0</v>
      </c>
      <c r="AO12" s="155">
        <f t="shared" si="8"/>
        <v>0</v>
      </c>
      <c r="AP12" s="155">
        <f t="shared" si="9"/>
        <v>0</v>
      </c>
      <c r="BE12" s="14"/>
      <c r="BF12" s="14"/>
      <c r="BG12" s="14"/>
    </row>
    <row r="13" spans="1:59" s="2" customFormat="1" ht="30" customHeight="1" thickTop="1" thickBot="1" x14ac:dyDescent="0.25">
      <c r="A13" s="1"/>
      <c r="B13"/>
      <c r="C13" s="172" t="str">
        <f>IF(Funcionários!C12=0,"",Funcionários!C12)</f>
        <v/>
      </c>
      <c r="D13"/>
      <c r="E13" s="115">
        <f>Lanç!E13</f>
        <v>6</v>
      </c>
      <c r="F13" s="189" t="str">
        <f>Lanç!F13</f>
        <v>Sex</v>
      </c>
      <c r="G13" s="81"/>
      <c r="H13" s="94"/>
      <c r="I13" s="94"/>
      <c r="J13" s="94"/>
      <c r="K13" s="94"/>
      <c r="L13" s="197"/>
      <c r="M13" s="95">
        <f t="shared" si="1"/>
        <v>0</v>
      </c>
      <c r="N13" s="196"/>
      <c r="O13" s="95">
        <f ca="1">IF(OR(G13=0,G13="Férias",G13="Falta Justificada",G13="Feriado",G13="Folga (DSR)"),0,IF(G13="Falta Injustificada",HLOOKUP($F13,Jornada!$X$7:$AD$37,VLOOKUP(INDIRECT($C$5),Jornada!$C$8:$W$37,21,0),0),IF(HLOOKUP($F13,Jornada!$X$7:$AD$37,VLOOKUP(INDIRECT($C$5),Jornada!$C$8:$W$37,21,0),0)-M13&gt;0,HLOOKUP($F13,Jornada!$X$7:$AD$37,VLOOKUP(INDIRECT($C$5),Jornada!$C$8:$W$37,21,0),0)-M13,0)))</f>
        <v>0</v>
      </c>
      <c r="P13" s="193">
        <f ca="1">IF(HLOOKUP($F13,Jornada!$X$7:$AD$37,VLOOKUP(INDIRECT($C$5),Jornada!$C$8:$W$37,21,0),0)-M13&lt;0,ABS(HLOOKUP($F13,Jornada!$X$7:$AD$37,VLOOKUP(INDIRECT($C$5),Jornada!$C$8:$W$37,21,0),0)-M13),0)</f>
        <v>0</v>
      </c>
      <c r="Q13" s="95">
        <f t="shared" si="0"/>
        <v>0</v>
      </c>
      <c r="R13" s="2">
        <f t="shared" si="2"/>
        <v>0</v>
      </c>
      <c r="S13" s="294"/>
      <c r="T13" s="294"/>
      <c r="U13" s="295"/>
      <c r="W13" s="2" t="s">
        <v>96</v>
      </c>
      <c r="X13" s="156">
        <v>7</v>
      </c>
      <c r="Z13" s="2" t="str">
        <f ca="1">IF(U14&gt;F58,"Negativo","Positivo")</f>
        <v>Positivo</v>
      </c>
      <c r="AB13" s="177">
        <f t="shared" si="10"/>
        <v>6</v>
      </c>
      <c r="AC13" s="2">
        <f t="shared" si="3"/>
        <v>6</v>
      </c>
      <c r="AE13" s="2">
        <v>6</v>
      </c>
      <c r="AF13" s="2" t="s">
        <v>56</v>
      </c>
      <c r="AG13" s="220">
        <f t="shared" si="4"/>
        <v>0</v>
      </c>
      <c r="AH13" s="220">
        <f ca="1">IF(HLOOKUP($F13,Jornada!$X$7:$AD$37,VLOOKUP(INDIRECT($C$5),Jornada!$C$8:$W$37,21,0),0)=0,0,VLOOKUP(INDIRECT($C$5),Jornada!$C$8:$H$37,4,0))</f>
        <v>0</v>
      </c>
      <c r="AI13" s="155">
        <f ca="1">IF(AND(I13=0,J13=0,OR(H13&lt;&gt;0,K13&lt;&gt;0),HLOOKUP($F13,Jornada!$X$7:$AD$37,VLOOKUP(INDIRECT($C$5),Jornada!$C$8:$W$37,21,0),0)&gt;$AK$5,M13&gt;$AK$5),VLOOKUP(INDIRECT($C$5),Jornada!$C$8:$H$37,6,0),IF(AG13&gt;VLOOKUP(INDIRECT($C$5),Jornada!$C$8:$H$37,6,0),IF(VLOOKUP(INDIRECT($C$5),Jornada!$C$8:$H$37,6,0)&lt;AG13,0,ABS(VLOOKUP(INDIRECT($C$5),Jornada!$C$8:$H$37,6,0))-AG13),0))</f>
        <v>0</v>
      </c>
      <c r="AJ13" s="155">
        <f t="shared" si="5"/>
        <v>1</v>
      </c>
      <c r="AK13" s="155">
        <f t="shared" si="6"/>
        <v>0</v>
      </c>
      <c r="AL13" s="155">
        <f ca="1">HLOOKUP($F13,Jornada!$I$5:$V$37,VLOOKUP(INDIRECT($C$5),Jornada!$C$8:$W$37,21,0)+2,0)</f>
        <v>0</v>
      </c>
      <c r="AM13" s="155">
        <f ca="1">HLOOKUP($F13,Jornada!$I$4:$V$37,VLOOKUP(INDIRECT($C$5),Jornada!$C$8:$W$37,21,0)+3,0)</f>
        <v>0</v>
      </c>
      <c r="AN13" s="155">
        <f t="shared" ca="1" si="7"/>
        <v>0</v>
      </c>
      <c r="AO13" s="155">
        <f t="shared" si="8"/>
        <v>0</v>
      </c>
      <c r="AP13" s="155">
        <f t="shared" si="9"/>
        <v>0</v>
      </c>
      <c r="BE13" s="14"/>
      <c r="BF13" s="14"/>
      <c r="BG13" s="14"/>
    </row>
    <row r="14" spans="1:59" s="2" customFormat="1" ht="30" customHeight="1" thickTop="1" thickBot="1" x14ac:dyDescent="0.25">
      <c r="A14" s="1"/>
      <c r="B14"/>
      <c r="C14" s="172" t="str">
        <f>IF(Funcionários!C13=0,"",Funcionários!C13)</f>
        <v/>
      </c>
      <c r="D14"/>
      <c r="E14" s="115">
        <f>Lanç!E14</f>
        <v>7</v>
      </c>
      <c r="F14" s="189" t="str">
        <f>Lanç!F14</f>
        <v>Sáb</v>
      </c>
      <c r="G14" s="81"/>
      <c r="H14" s="94"/>
      <c r="I14" s="94"/>
      <c r="J14" s="94"/>
      <c r="K14" s="94"/>
      <c r="L14" s="197"/>
      <c r="M14" s="95">
        <f t="shared" si="1"/>
        <v>0</v>
      </c>
      <c r="N14" s="196"/>
      <c r="O14" s="95">
        <f ca="1">IF(OR(G14=0,G14="Férias",G14="Falta Justificada",G14="Feriado",G14="Folga (DSR)"),0,IF(G14="Falta Injustificada",HLOOKUP($F14,Jornada!$X$7:$AD$37,VLOOKUP(INDIRECT($C$5),Jornada!$C$8:$W$37,21,0),0),IF(HLOOKUP($F14,Jornada!$X$7:$AD$37,VLOOKUP(INDIRECT($C$5),Jornada!$C$8:$W$37,21,0),0)-M14&gt;0,HLOOKUP($F14,Jornada!$X$7:$AD$37,VLOOKUP(INDIRECT($C$5),Jornada!$C$8:$W$37,21,0),0)-M14,0)))</f>
        <v>0</v>
      </c>
      <c r="P14" s="193">
        <f ca="1">IF(HLOOKUP($F14,Jornada!$X$7:$AD$37,VLOOKUP(INDIRECT($C$5),Jornada!$C$8:$W$37,21,0),0)-M14&lt;0,ABS(HLOOKUP($F14,Jornada!$X$7:$AD$37,VLOOKUP(INDIRECT($C$5),Jornada!$C$8:$W$37,21,0),0)-M14),0)</f>
        <v>0</v>
      </c>
      <c r="Q14" s="95">
        <f t="shared" si="0"/>
        <v>0</v>
      </c>
      <c r="R14" s="2">
        <f t="shared" si="2"/>
        <v>0</v>
      </c>
      <c r="S14" s="294" t="s">
        <v>68</v>
      </c>
      <c r="T14" s="294"/>
      <c r="U14" s="295">
        <f ca="1">SUM(O8:O38)</f>
        <v>0</v>
      </c>
      <c r="W14" s="2" t="s">
        <v>97</v>
      </c>
      <c r="X14" s="156">
        <v>8</v>
      </c>
      <c r="AB14" s="177">
        <f t="shared" si="10"/>
        <v>7</v>
      </c>
      <c r="AC14" s="2">
        <f t="shared" si="3"/>
        <v>7</v>
      </c>
      <c r="AE14" s="2">
        <v>7</v>
      </c>
      <c r="AF14" s="2" t="s">
        <v>57</v>
      </c>
      <c r="AG14" s="220">
        <f t="shared" si="4"/>
        <v>0</v>
      </c>
      <c r="AH14" s="220">
        <f ca="1">IF(HLOOKUP($F14,Jornada!$X$7:$AD$37,VLOOKUP(INDIRECT($C$5),Jornada!$C$8:$W$37,21,0),0)=0,0,VLOOKUP(INDIRECT($C$5),Jornada!$C$8:$H$37,4,0))</f>
        <v>0</v>
      </c>
      <c r="AI14" s="155">
        <f ca="1">IF(AND(I14=0,J14=0,OR(H14&lt;&gt;0,K14&lt;&gt;0),HLOOKUP($F14,Jornada!$X$7:$AD$37,VLOOKUP(INDIRECT($C$5),Jornada!$C$8:$W$37,21,0),0)&gt;$AK$5,M14&gt;$AK$5),VLOOKUP(INDIRECT($C$5),Jornada!$C$8:$H$37,6,0),IF(AG14&gt;VLOOKUP(INDIRECT($C$5),Jornada!$C$8:$H$37,6,0),IF(VLOOKUP(INDIRECT($C$5),Jornada!$C$8:$H$37,6,0)&lt;AG14,0,ABS(VLOOKUP(INDIRECT($C$5),Jornada!$C$8:$H$37,6,0))-AG14),0))</f>
        <v>0</v>
      </c>
      <c r="AJ14" s="155">
        <f t="shared" si="5"/>
        <v>1</v>
      </c>
      <c r="AK14" s="155">
        <f t="shared" si="6"/>
        <v>0</v>
      </c>
      <c r="AL14" s="155">
        <f ca="1">HLOOKUP($F14,Jornada!$I$5:$V$37,VLOOKUP(INDIRECT($C$5),Jornada!$C$8:$W$37,21,0)+2,0)</f>
        <v>0</v>
      </c>
      <c r="AM14" s="155">
        <f ca="1">HLOOKUP($F14,Jornada!$I$4:$V$37,VLOOKUP(INDIRECT($C$5),Jornada!$C$8:$W$37,21,0)+3,0)</f>
        <v>0</v>
      </c>
      <c r="AN14" s="155">
        <f t="shared" ca="1" si="7"/>
        <v>0</v>
      </c>
      <c r="AO14" s="155">
        <f t="shared" si="8"/>
        <v>0</v>
      </c>
      <c r="AP14" s="155">
        <f t="shared" si="9"/>
        <v>0</v>
      </c>
      <c r="BE14" s="14"/>
      <c r="BF14" s="14"/>
      <c r="BG14" s="14"/>
    </row>
    <row r="15" spans="1:59" s="2" customFormat="1" ht="30" customHeight="1" thickTop="1" thickBot="1" x14ac:dyDescent="0.25">
      <c r="A15" s="1"/>
      <c r="B15"/>
      <c r="C15" s="172" t="str">
        <f>IF(Funcionários!C14=0,"",Funcionários!C14)</f>
        <v/>
      </c>
      <c r="D15"/>
      <c r="E15" s="115">
        <f>Lanç!E15</f>
        <v>8</v>
      </c>
      <c r="F15" s="189" t="str">
        <f>Lanç!F15</f>
        <v>Dom</v>
      </c>
      <c r="G15" s="81"/>
      <c r="H15" s="94"/>
      <c r="I15" s="94"/>
      <c r="J15" s="94"/>
      <c r="K15" s="94"/>
      <c r="L15" s="197"/>
      <c r="M15" s="95">
        <f t="shared" si="1"/>
        <v>0</v>
      </c>
      <c r="N15" s="196"/>
      <c r="O15" s="95">
        <f ca="1">IF(OR(G15=0,G15="Férias",G15="Falta Justificada",G15="Feriado",G15="Folga (DSR)"),0,IF(G15="Falta Injustificada",HLOOKUP($F15,Jornada!$X$7:$AD$37,VLOOKUP(INDIRECT($C$5),Jornada!$C$8:$W$37,21,0),0),IF(HLOOKUP($F15,Jornada!$X$7:$AD$37,VLOOKUP(INDIRECT($C$5),Jornada!$C$8:$W$37,21,0),0)-M15&gt;0,HLOOKUP($F15,Jornada!$X$7:$AD$37,VLOOKUP(INDIRECT($C$5),Jornada!$C$8:$W$37,21,0),0)-M15,0)))</f>
        <v>0</v>
      </c>
      <c r="P15" s="193">
        <f ca="1">IF(HLOOKUP($F15,Jornada!$X$7:$AD$37,VLOOKUP(INDIRECT($C$5),Jornada!$C$8:$W$37,21,0),0)-M15&lt;0,ABS(HLOOKUP($F15,Jornada!$X$7:$AD$37,VLOOKUP(INDIRECT($C$5),Jornada!$C$8:$W$37,21,0),0)-M15),0)</f>
        <v>0</v>
      </c>
      <c r="Q15" s="95">
        <f t="shared" si="0"/>
        <v>0</v>
      </c>
      <c r="R15" s="2">
        <f t="shared" si="2"/>
        <v>0</v>
      </c>
      <c r="S15" s="294"/>
      <c r="T15" s="294"/>
      <c r="U15" s="295"/>
      <c r="W15" s="2" t="s">
        <v>98</v>
      </c>
      <c r="X15" s="156">
        <v>9</v>
      </c>
      <c r="AB15" s="177">
        <f t="shared" si="10"/>
        <v>8</v>
      </c>
      <c r="AC15" s="2">
        <f t="shared" si="3"/>
        <v>1</v>
      </c>
      <c r="AG15" s="220">
        <f t="shared" si="4"/>
        <v>0</v>
      </c>
      <c r="AH15" s="220">
        <f ca="1">IF(HLOOKUP($F15,Jornada!$X$7:$AD$37,VLOOKUP(INDIRECT($C$5),Jornada!$C$8:$W$37,21,0),0)=0,0,VLOOKUP(INDIRECT($C$5),Jornada!$C$8:$H$37,4,0))</f>
        <v>0</v>
      </c>
      <c r="AI15" s="155">
        <f ca="1">IF(AND(I15=0,J15=0,OR(H15&lt;&gt;0,K15&lt;&gt;0),HLOOKUP($F15,Jornada!$X$7:$AD$37,VLOOKUP(INDIRECT($C$5),Jornada!$C$8:$W$37,21,0),0)&gt;$AK$5,M15&gt;$AK$5),VLOOKUP(INDIRECT($C$5),Jornada!$C$8:$H$37,6,0),IF(AG15&gt;VLOOKUP(INDIRECT($C$5),Jornada!$C$8:$H$37,6,0),IF(VLOOKUP(INDIRECT($C$5),Jornada!$C$8:$H$37,6,0)&lt;AG15,0,ABS(VLOOKUP(INDIRECT($C$5),Jornada!$C$8:$H$37,6,0))-AG15),0))</f>
        <v>0</v>
      </c>
      <c r="AJ15" s="155">
        <f t="shared" si="5"/>
        <v>1</v>
      </c>
      <c r="AK15" s="155">
        <f t="shared" si="6"/>
        <v>0</v>
      </c>
      <c r="AL15" s="155">
        <f ca="1">HLOOKUP($F15,Jornada!$I$5:$V$37,VLOOKUP(INDIRECT($C$5),Jornada!$C$8:$W$37,21,0)+2,0)</f>
        <v>0</v>
      </c>
      <c r="AM15" s="155">
        <f ca="1">HLOOKUP($F15,Jornada!$I$4:$V$37,VLOOKUP(INDIRECT($C$5),Jornada!$C$8:$W$37,21,0)+3,0)</f>
        <v>0</v>
      </c>
      <c r="AN15" s="155">
        <f t="shared" ca="1" si="7"/>
        <v>0</v>
      </c>
      <c r="AO15" s="155">
        <f t="shared" si="8"/>
        <v>0</v>
      </c>
      <c r="AP15" s="155">
        <f t="shared" si="9"/>
        <v>0</v>
      </c>
      <c r="BE15" s="14"/>
      <c r="BF15" s="14"/>
      <c r="BG15" s="14"/>
    </row>
    <row r="16" spans="1:59" s="2" customFormat="1" ht="30" customHeight="1" thickTop="1" thickBot="1" x14ac:dyDescent="0.25">
      <c r="A16" s="1"/>
      <c r="B16"/>
      <c r="C16" s="172" t="str">
        <f>IF(Funcionários!C15=0,"",Funcionários!C15)</f>
        <v/>
      </c>
      <c r="D16"/>
      <c r="E16" s="115">
        <f>Lanç!E16</f>
        <v>9</v>
      </c>
      <c r="F16" s="189" t="str">
        <f>Lanç!F16</f>
        <v>Seg</v>
      </c>
      <c r="G16" s="81"/>
      <c r="H16" s="94"/>
      <c r="I16" s="94"/>
      <c r="J16" s="94"/>
      <c r="K16" s="94"/>
      <c r="L16" s="197"/>
      <c r="M16" s="95">
        <f t="shared" si="1"/>
        <v>0</v>
      </c>
      <c r="N16" s="196"/>
      <c r="O16" s="95">
        <f ca="1">IF(OR(G16=0,G16="Férias",G16="Falta Justificada",G16="Feriado",G16="Folga (DSR)"),0,IF(G16="Falta Injustificada",HLOOKUP($F16,Jornada!$X$7:$AD$37,VLOOKUP(INDIRECT($C$5),Jornada!$C$8:$W$37,21,0),0),IF(HLOOKUP($F16,Jornada!$X$7:$AD$37,VLOOKUP(INDIRECT($C$5),Jornada!$C$8:$W$37,21,0),0)-M16&gt;0,HLOOKUP($F16,Jornada!$X$7:$AD$37,VLOOKUP(INDIRECT($C$5),Jornada!$C$8:$W$37,21,0),0)-M16,0)))</f>
        <v>0</v>
      </c>
      <c r="P16" s="193">
        <f ca="1">IF(HLOOKUP($F16,Jornada!$X$7:$AD$37,VLOOKUP(INDIRECT($C$5),Jornada!$C$8:$W$37,21,0),0)-M16&lt;0,ABS(HLOOKUP($F16,Jornada!$X$7:$AD$37,VLOOKUP(INDIRECT($C$5),Jornada!$C$8:$W$37,21,0),0)-M16),0)</f>
        <v>0</v>
      </c>
      <c r="Q16" s="95">
        <f t="shared" si="0"/>
        <v>0</v>
      </c>
      <c r="R16" s="2">
        <f t="shared" si="2"/>
        <v>0</v>
      </c>
      <c r="S16" s="294" t="s">
        <v>67</v>
      </c>
      <c r="T16" s="294"/>
      <c r="U16" s="295">
        <f>SUM(Q8:Q38)</f>
        <v>0</v>
      </c>
      <c r="W16" s="2" t="s">
        <v>99</v>
      </c>
      <c r="X16" s="156">
        <v>10</v>
      </c>
      <c r="AB16" s="177">
        <f t="shared" si="10"/>
        <v>9</v>
      </c>
      <c r="AC16" s="2">
        <f t="shared" si="3"/>
        <v>2</v>
      </c>
      <c r="AG16" s="220">
        <f t="shared" si="4"/>
        <v>0</v>
      </c>
      <c r="AH16" s="220">
        <f ca="1">IF(HLOOKUP($F16,Jornada!$X$7:$AD$37,VLOOKUP(INDIRECT($C$5),Jornada!$C$8:$W$37,21,0),0)=0,0,VLOOKUP(INDIRECT($C$5),Jornada!$C$8:$H$37,4,0))</f>
        <v>0</v>
      </c>
      <c r="AI16" s="155">
        <f ca="1">IF(AND(I16=0,J16=0,OR(H16&lt;&gt;0,K16&lt;&gt;0),HLOOKUP($F16,Jornada!$X$7:$AD$37,VLOOKUP(INDIRECT($C$5),Jornada!$C$8:$W$37,21,0),0)&gt;$AK$5,M16&gt;$AK$5),VLOOKUP(INDIRECT($C$5),Jornada!$C$8:$H$37,6,0),IF(AG16&gt;VLOOKUP(INDIRECT($C$5),Jornada!$C$8:$H$37,6,0),IF(VLOOKUP(INDIRECT($C$5),Jornada!$C$8:$H$37,6,0)&lt;AG16,0,ABS(VLOOKUP(INDIRECT($C$5),Jornada!$C$8:$H$37,6,0))-AG16),0))</f>
        <v>0</v>
      </c>
      <c r="AJ16" s="155">
        <f t="shared" si="5"/>
        <v>1</v>
      </c>
      <c r="AK16" s="155">
        <f t="shared" si="6"/>
        <v>0</v>
      </c>
      <c r="AL16" s="155">
        <f ca="1">HLOOKUP($F16,Jornada!$I$5:$V$37,VLOOKUP(INDIRECT($C$5),Jornada!$C$8:$W$37,21,0)+2,0)</f>
        <v>0</v>
      </c>
      <c r="AM16" s="155">
        <f ca="1">HLOOKUP($F16,Jornada!$I$4:$V$37,VLOOKUP(INDIRECT($C$5),Jornada!$C$8:$W$37,21,0)+3,0)</f>
        <v>0</v>
      </c>
      <c r="AN16" s="155">
        <f t="shared" ca="1" si="7"/>
        <v>0</v>
      </c>
      <c r="AO16" s="155">
        <f t="shared" si="8"/>
        <v>0</v>
      </c>
      <c r="AP16" s="155">
        <f t="shared" si="9"/>
        <v>0</v>
      </c>
      <c r="BE16" s="14"/>
      <c r="BF16" s="14"/>
      <c r="BG16" s="14"/>
    </row>
    <row r="17" spans="1:59" s="2" customFormat="1" ht="30" customHeight="1" thickTop="1" thickBot="1" x14ac:dyDescent="0.25">
      <c r="A17" s="1"/>
      <c r="B17"/>
      <c r="C17" s="172" t="str">
        <f>IF(Funcionários!C16=0,"",Funcionários!C16)</f>
        <v/>
      </c>
      <c r="D17"/>
      <c r="E17" s="115">
        <f>Lanç!E17</f>
        <v>10</v>
      </c>
      <c r="F17" s="189" t="str">
        <f>Lanç!F17</f>
        <v>Ter</v>
      </c>
      <c r="G17" s="81"/>
      <c r="H17" s="94"/>
      <c r="I17" s="94"/>
      <c r="J17" s="94"/>
      <c r="K17" s="94"/>
      <c r="L17" s="197"/>
      <c r="M17" s="95">
        <f t="shared" si="1"/>
        <v>0</v>
      </c>
      <c r="N17" s="196"/>
      <c r="O17" s="95">
        <f ca="1">IF(OR(G17=0,G17="Férias",G17="Falta Justificada",G17="Feriado",G17="Folga (DSR)"),0,IF(G17="Falta Injustificada",HLOOKUP($F17,Jornada!$X$7:$AD$37,VLOOKUP(INDIRECT($C$5),Jornada!$C$8:$W$37,21,0),0),IF(HLOOKUP($F17,Jornada!$X$7:$AD$37,VLOOKUP(INDIRECT($C$5),Jornada!$C$8:$W$37,21,0),0)-M17&gt;0,HLOOKUP($F17,Jornada!$X$7:$AD$37,VLOOKUP(INDIRECT($C$5),Jornada!$C$8:$W$37,21,0),0)-M17,0)))</f>
        <v>0</v>
      </c>
      <c r="P17" s="193">
        <f ca="1">IF(HLOOKUP($F17,Jornada!$X$7:$AD$37,VLOOKUP(INDIRECT($C$5),Jornada!$C$8:$W$37,21,0),0)-M17&lt;0,ABS(HLOOKUP($F17,Jornada!$X$7:$AD$37,VLOOKUP(INDIRECT($C$5),Jornada!$C$8:$W$37,21,0),0)-M17),0)</f>
        <v>0</v>
      </c>
      <c r="Q17" s="95">
        <f t="shared" si="0"/>
        <v>0</v>
      </c>
      <c r="R17" s="2">
        <f t="shared" si="2"/>
        <v>0</v>
      </c>
      <c r="S17" s="294"/>
      <c r="T17" s="294"/>
      <c r="U17" s="295"/>
      <c r="W17" s="2" t="s">
        <v>100</v>
      </c>
      <c r="X17" s="156">
        <v>11</v>
      </c>
      <c r="AB17" s="177">
        <f t="shared" si="10"/>
        <v>10</v>
      </c>
      <c r="AC17" s="2">
        <f t="shared" si="3"/>
        <v>3</v>
      </c>
      <c r="AG17" s="220">
        <f t="shared" si="4"/>
        <v>0</v>
      </c>
      <c r="AH17" s="220">
        <f ca="1">IF(HLOOKUP($F17,Jornada!$X$7:$AD$37,VLOOKUP(INDIRECT($C$5),Jornada!$C$8:$W$37,21,0),0)=0,0,VLOOKUP(INDIRECT($C$5),Jornada!$C$8:$H$37,4,0))</f>
        <v>0</v>
      </c>
      <c r="AI17" s="155">
        <f ca="1">IF(AND(I17=0,J17=0,OR(H17&lt;&gt;0,K17&lt;&gt;0),HLOOKUP($F17,Jornada!$X$7:$AD$37,VLOOKUP(INDIRECT($C$5),Jornada!$C$8:$W$37,21,0),0)&gt;$AK$5,M17&gt;$AK$5),VLOOKUP(INDIRECT($C$5),Jornada!$C$8:$H$37,6,0),IF(AG17&gt;VLOOKUP(INDIRECT($C$5),Jornada!$C$8:$H$37,6,0),IF(VLOOKUP(INDIRECT($C$5),Jornada!$C$8:$H$37,6,0)&lt;AG17,0,ABS(VLOOKUP(INDIRECT($C$5),Jornada!$C$8:$H$37,6,0))-AG17),0))</f>
        <v>0</v>
      </c>
      <c r="AJ17" s="155">
        <f t="shared" si="5"/>
        <v>1</v>
      </c>
      <c r="AK17" s="155">
        <f t="shared" si="6"/>
        <v>0</v>
      </c>
      <c r="AL17" s="155">
        <f ca="1">HLOOKUP($F17,Jornada!$I$5:$V$37,VLOOKUP(INDIRECT($C$5),Jornada!$C$8:$W$37,21,0)+2,0)</f>
        <v>0</v>
      </c>
      <c r="AM17" s="155">
        <f ca="1">HLOOKUP($F17,Jornada!$I$4:$V$37,VLOOKUP(INDIRECT($C$5),Jornada!$C$8:$W$37,21,0)+3,0)</f>
        <v>0</v>
      </c>
      <c r="AN17" s="155">
        <f t="shared" ca="1" si="7"/>
        <v>0</v>
      </c>
      <c r="AO17" s="155">
        <f t="shared" si="8"/>
        <v>0</v>
      </c>
      <c r="AP17" s="155">
        <f t="shared" si="9"/>
        <v>0</v>
      </c>
      <c r="BE17" s="14"/>
      <c r="BF17" s="14"/>
      <c r="BG17" s="14"/>
    </row>
    <row r="18" spans="1:59" s="2" customFormat="1" ht="30" customHeight="1" thickTop="1" thickBot="1" x14ac:dyDescent="0.25">
      <c r="A18" s="1"/>
      <c r="B18"/>
      <c r="C18" s="172" t="str">
        <f>IF(Funcionários!C17=0,"",Funcionários!C17)</f>
        <v/>
      </c>
      <c r="D18"/>
      <c r="E18" s="115">
        <f>Lanç!E18</f>
        <v>11</v>
      </c>
      <c r="F18" s="189" t="str">
        <f>Lanç!F18</f>
        <v>Qua</v>
      </c>
      <c r="G18" s="81"/>
      <c r="H18" s="94"/>
      <c r="I18" s="94"/>
      <c r="J18" s="94"/>
      <c r="K18" s="94"/>
      <c r="L18" s="197"/>
      <c r="M18" s="95">
        <f t="shared" si="1"/>
        <v>0</v>
      </c>
      <c r="N18" s="196"/>
      <c r="O18" s="95">
        <f ca="1">IF(OR(G18=0,G18="Férias",G18="Falta Justificada",G18="Feriado",G18="Folga (DSR)"),0,IF(G18="Falta Injustificada",HLOOKUP($F18,Jornada!$X$7:$AD$37,VLOOKUP(INDIRECT($C$5),Jornada!$C$8:$W$37,21,0),0),IF(HLOOKUP($F18,Jornada!$X$7:$AD$37,VLOOKUP(INDIRECT($C$5),Jornada!$C$8:$W$37,21,0),0)-M18&gt;0,HLOOKUP($F18,Jornada!$X$7:$AD$37,VLOOKUP(INDIRECT($C$5),Jornada!$C$8:$W$37,21,0),0)-M18,0)))</f>
        <v>0</v>
      </c>
      <c r="P18" s="193">
        <f ca="1">IF(HLOOKUP($F18,Jornada!$X$7:$AD$37,VLOOKUP(INDIRECT($C$5),Jornada!$C$8:$W$37,21,0),0)-M18&lt;0,ABS(HLOOKUP($F18,Jornada!$X$7:$AD$37,VLOOKUP(INDIRECT($C$5),Jornada!$C$8:$W$37,21,0),0)-M18),0)</f>
        <v>0</v>
      </c>
      <c r="Q18" s="95">
        <f t="shared" si="0"/>
        <v>0</v>
      </c>
      <c r="R18" s="2">
        <f t="shared" si="2"/>
        <v>0</v>
      </c>
      <c r="S18" s="294" t="s">
        <v>69</v>
      </c>
      <c r="T18" s="294"/>
      <c r="U18" s="299">
        <f ca="1">F54</f>
        <v>0</v>
      </c>
      <c r="W18" s="2" t="s">
        <v>101</v>
      </c>
      <c r="X18" s="156">
        <v>12</v>
      </c>
      <c r="AB18" s="177">
        <f t="shared" si="10"/>
        <v>11</v>
      </c>
      <c r="AC18" s="2">
        <f t="shared" si="3"/>
        <v>4</v>
      </c>
      <c r="AG18" s="220">
        <f t="shared" si="4"/>
        <v>0</v>
      </c>
      <c r="AH18" s="220">
        <f ca="1">IF(HLOOKUP($F18,Jornada!$X$7:$AD$37,VLOOKUP(INDIRECT($C$5),Jornada!$C$8:$W$37,21,0),0)=0,0,VLOOKUP(INDIRECT($C$5),Jornada!$C$8:$H$37,4,0))</f>
        <v>0</v>
      </c>
      <c r="AI18" s="155">
        <f ca="1">IF(AND(I18=0,J18=0,OR(H18&lt;&gt;0,K18&lt;&gt;0),HLOOKUP($F18,Jornada!$X$7:$AD$37,VLOOKUP(INDIRECT($C$5),Jornada!$C$8:$W$37,21,0),0)&gt;$AK$5,M18&gt;$AK$5),VLOOKUP(INDIRECT($C$5),Jornada!$C$8:$H$37,6,0),IF(AG18&gt;VLOOKUP(INDIRECT($C$5),Jornada!$C$8:$H$37,6,0),IF(VLOOKUP(INDIRECT($C$5),Jornada!$C$8:$H$37,6,0)&lt;AG18,0,ABS(VLOOKUP(INDIRECT($C$5),Jornada!$C$8:$H$37,6,0))-AG18),0))</f>
        <v>0</v>
      </c>
      <c r="AJ18" s="155">
        <f t="shared" si="5"/>
        <v>1</v>
      </c>
      <c r="AK18" s="155">
        <f t="shared" si="6"/>
        <v>0</v>
      </c>
      <c r="AL18" s="155">
        <f ca="1">HLOOKUP($F18,Jornada!$I$5:$V$37,VLOOKUP(INDIRECT($C$5),Jornada!$C$8:$W$37,21,0)+2,0)</f>
        <v>0</v>
      </c>
      <c r="AM18" s="155">
        <f ca="1">HLOOKUP($F18,Jornada!$I$4:$V$37,VLOOKUP(INDIRECT($C$5),Jornada!$C$8:$W$37,21,0)+3,0)</f>
        <v>0</v>
      </c>
      <c r="AN18" s="155">
        <f t="shared" ca="1" si="7"/>
        <v>0</v>
      </c>
      <c r="AO18" s="155">
        <f t="shared" si="8"/>
        <v>0</v>
      </c>
      <c r="AP18" s="155">
        <f t="shared" si="9"/>
        <v>0</v>
      </c>
      <c r="BE18" s="14"/>
      <c r="BF18" s="14"/>
      <c r="BG18" s="14"/>
    </row>
    <row r="19" spans="1:59" s="2" customFormat="1" ht="30" customHeight="1" thickTop="1" thickBot="1" x14ac:dyDescent="0.25">
      <c r="A19" s="1"/>
      <c r="B19"/>
      <c r="C19" s="172" t="str">
        <f>IF(Funcionários!C18=0,"",Funcionários!C18)</f>
        <v/>
      </c>
      <c r="D19"/>
      <c r="E19" s="115">
        <f>Lanç!E19</f>
        <v>12</v>
      </c>
      <c r="F19" s="189" t="str">
        <f>Lanç!F19</f>
        <v>Qui</v>
      </c>
      <c r="G19" s="81"/>
      <c r="H19" s="94"/>
      <c r="I19" s="94"/>
      <c r="J19" s="94"/>
      <c r="K19" s="94"/>
      <c r="L19" s="197"/>
      <c r="M19" s="95">
        <f t="shared" si="1"/>
        <v>0</v>
      </c>
      <c r="N19" s="196"/>
      <c r="O19" s="95">
        <f ca="1">IF(OR(G19=0,G19="Férias",G19="Falta Justificada",G19="Feriado",G19="Folga (DSR)"),0,IF(G19="Falta Injustificada",HLOOKUP($F19,Jornada!$X$7:$AD$37,VLOOKUP(INDIRECT($C$5),Jornada!$C$8:$W$37,21,0),0),IF(HLOOKUP($F19,Jornada!$X$7:$AD$37,VLOOKUP(INDIRECT($C$5),Jornada!$C$8:$W$37,21,0),0)-M19&gt;0,HLOOKUP($F19,Jornada!$X$7:$AD$37,VLOOKUP(INDIRECT($C$5),Jornada!$C$8:$W$37,21,0),0)-M19,0)))</f>
        <v>0</v>
      </c>
      <c r="P19" s="193">
        <f ca="1">IF(HLOOKUP($F19,Jornada!$X$7:$AD$37,VLOOKUP(INDIRECT($C$5),Jornada!$C$8:$W$37,21,0),0)-M19&lt;0,ABS(HLOOKUP($F19,Jornada!$X$7:$AD$37,VLOOKUP(INDIRECT($C$5),Jornada!$C$8:$W$37,21,0),0)-M19),0)</f>
        <v>0</v>
      </c>
      <c r="Q19" s="95">
        <f t="shared" si="0"/>
        <v>0</v>
      </c>
      <c r="R19" s="2">
        <f t="shared" si="2"/>
        <v>0</v>
      </c>
      <c r="S19" s="294"/>
      <c r="T19" s="294"/>
      <c r="U19" s="299"/>
      <c r="X19" s="177"/>
      <c r="AB19" s="177">
        <f t="shared" si="10"/>
        <v>12</v>
      </c>
      <c r="AC19" s="2">
        <f t="shared" si="3"/>
        <v>5</v>
      </c>
      <c r="AG19" s="220">
        <f t="shared" si="4"/>
        <v>0</v>
      </c>
      <c r="AH19" s="220">
        <f ca="1">IF(HLOOKUP($F19,Jornada!$X$7:$AD$37,VLOOKUP(INDIRECT($C$5),Jornada!$C$8:$W$37,21,0),0)=0,0,VLOOKUP(INDIRECT($C$5),Jornada!$C$8:$H$37,4,0))</f>
        <v>0</v>
      </c>
      <c r="AI19" s="155">
        <f ca="1">IF(AND(I19=0,J19=0,OR(H19&lt;&gt;0,K19&lt;&gt;0),HLOOKUP($F19,Jornada!$X$7:$AD$37,VLOOKUP(INDIRECT($C$5),Jornada!$C$8:$W$37,21,0),0)&gt;$AK$5,M19&gt;$AK$5),VLOOKUP(INDIRECT($C$5),Jornada!$C$8:$H$37,6,0),IF(AG19&gt;VLOOKUP(INDIRECT($C$5),Jornada!$C$8:$H$37,6,0),IF(VLOOKUP(INDIRECT($C$5),Jornada!$C$8:$H$37,6,0)&lt;AG19,0,ABS(VLOOKUP(INDIRECT($C$5),Jornada!$C$8:$H$37,6,0))-AG19),0))</f>
        <v>0</v>
      </c>
      <c r="AJ19" s="155">
        <f t="shared" si="5"/>
        <v>1</v>
      </c>
      <c r="AK19" s="155">
        <f t="shared" si="6"/>
        <v>0</v>
      </c>
      <c r="AL19" s="155">
        <f ca="1">HLOOKUP($F19,Jornada!$I$5:$V$37,VLOOKUP(INDIRECT($C$5),Jornada!$C$8:$W$37,21,0)+2,0)</f>
        <v>0</v>
      </c>
      <c r="AM19" s="155">
        <f ca="1">HLOOKUP($F19,Jornada!$I$4:$V$37,VLOOKUP(INDIRECT($C$5),Jornada!$C$8:$W$37,21,0)+3,0)</f>
        <v>0</v>
      </c>
      <c r="AN19" s="155">
        <f t="shared" ca="1" si="7"/>
        <v>0</v>
      </c>
      <c r="AO19" s="155">
        <f t="shared" si="8"/>
        <v>0</v>
      </c>
      <c r="AP19" s="155">
        <f t="shared" si="9"/>
        <v>0</v>
      </c>
      <c r="BE19" s="14"/>
      <c r="BF19" s="14"/>
      <c r="BG19" s="14"/>
    </row>
    <row r="20" spans="1:59" s="2" customFormat="1" ht="30" customHeight="1" thickTop="1" thickBot="1" x14ac:dyDescent="0.25">
      <c r="A20" s="1"/>
      <c r="B20"/>
      <c r="C20" s="171" t="str">
        <f>IF(Funcionários!C19=0,"",Funcionários!C19)</f>
        <v/>
      </c>
      <c r="D20"/>
      <c r="E20" s="115">
        <f>Lanç!E20</f>
        <v>13</v>
      </c>
      <c r="F20" s="189" t="str">
        <f>Lanç!F20</f>
        <v>Sex</v>
      </c>
      <c r="G20" s="81"/>
      <c r="H20" s="94"/>
      <c r="I20" s="94"/>
      <c r="J20" s="94"/>
      <c r="K20" s="94"/>
      <c r="L20" s="197"/>
      <c r="M20" s="95">
        <f t="shared" si="1"/>
        <v>0</v>
      </c>
      <c r="N20" s="196"/>
      <c r="O20" s="95">
        <f ca="1">IF(OR(G20=0,G20="Férias",G20="Falta Justificada",G20="Feriado",G20="Folga (DSR)"),0,IF(G20="Falta Injustificada",HLOOKUP($F20,Jornada!$X$7:$AD$37,VLOOKUP(INDIRECT($C$5),Jornada!$C$8:$W$37,21,0),0),IF(HLOOKUP($F20,Jornada!$X$7:$AD$37,VLOOKUP(INDIRECT($C$5),Jornada!$C$8:$W$37,21,0),0)-M20&gt;0,HLOOKUP($F20,Jornada!$X$7:$AD$37,VLOOKUP(INDIRECT($C$5),Jornada!$C$8:$W$37,21,0),0)-M20,0)))</f>
        <v>0</v>
      </c>
      <c r="P20" s="193">
        <f ca="1">IF(HLOOKUP($F20,Jornada!$X$7:$AD$37,VLOOKUP(INDIRECT($C$5),Jornada!$C$8:$W$37,21,0),0)-M20&lt;0,ABS(HLOOKUP($F20,Jornada!$X$7:$AD$37,VLOOKUP(INDIRECT($C$5),Jornada!$C$8:$W$37,21,0),0)-M20),0)</f>
        <v>0</v>
      </c>
      <c r="Q20" s="95">
        <f t="shared" si="0"/>
        <v>0</v>
      </c>
      <c r="R20" s="2">
        <f t="shared" si="2"/>
        <v>0</v>
      </c>
      <c r="S20"/>
      <c r="T20"/>
      <c r="U20"/>
      <c r="X20" s="177"/>
      <c r="AB20" s="177">
        <f t="shared" si="10"/>
        <v>13</v>
      </c>
      <c r="AC20" s="2">
        <f t="shared" si="3"/>
        <v>6</v>
      </c>
      <c r="AG20" s="220">
        <f t="shared" si="4"/>
        <v>0</v>
      </c>
      <c r="AH20" s="220">
        <f ca="1">IF(HLOOKUP($F20,Jornada!$X$7:$AD$37,VLOOKUP(INDIRECT($C$5),Jornada!$C$8:$W$37,21,0),0)=0,0,VLOOKUP(INDIRECT($C$5),Jornada!$C$8:$H$37,4,0))</f>
        <v>0</v>
      </c>
      <c r="AI20" s="155">
        <f ca="1">IF(AND(I20=0,J20=0,OR(H20&lt;&gt;0,K20&lt;&gt;0),HLOOKUP($F20,Jornada!$X$7:$AD$37,VLOOKUP(INDIRECT($C$5),Jornada!$C$8:$W$37,21,0),0)&gt;$AK$5,M20&gt;$AK$5),VLOOKUP(INDIRECT($C$5),Jornada!$C$8:$H$37,6,0),IF(AG20&gt;VLOOKUP(INDIRECT($C$5),Jornada!$C$8:$H$37,6,0),IF(VLOOKUP(INDIRECT($C$5),Jornada!$C$8:$H$37,6,0)&lt;AG20,0,ABS(VLOOKUP(INDIRECT($C$5),Jornada!$C$8:$H$37,6,0))-AG20),0))</f>
        <v>0</v>
      </c>
      <c r="AJ20" s="155">
        <f t="shared" si="5"/>
        <v>1</v>
      </c>
      <c r="AK20" s="155">
        <f t="shared" si="6"/>
        <v>0</v>
      </c>
      <c r="AL20" s="155">
        <f ca="1">HLOOKUP($F20,Jornada!$I$5:$V$37,VLOOKUP(INDIRECT($C$5),Jornada!$C$8:$W$37,21,0)+2,0)</f>
        <v>0</v>
      </c>
      <c r="AM20" s="155">
        <f ca="1">HLOOKUP($F20,Jornada!$I$4:$V$37,VLOOKUP(INDIRECT($C$5),Jornada!$C$8:$W$37,21,0)+3,0)</f>
        <v>0</v>
      </c>
      <c r="AN20" s="155">
        <f t="shared" ca="1" si="7"/>
        <v>0</v>
      </c>
      <c r="AO20" s="155">
        <f t="shared" si="8"/>
        <v>0</v>
      </c>
      <c r="AP20" s="155">
        <f t="shared" si="9"/>
        <v>0</v>
      </c>
      <c r="BE20" s="14"/>
      <c r="BF20" s="14"/>
      <c r="BG20" s="14"/>
    </row>
    <row r="21" spans="1:59" s="2" customFormat="1" ht="30" customHeight="1" thickTop="1" thickBot="1" x14ac:dyDescent="0.25">
      <c r="A21" s="1"/>
      <c r="B21"/>
      <c r="C21" s="172" t="str">
        <f>IF(Funcionários!C20=0,"",Funcionários!C20)</f>
        <v/>
      </c>
      <c r="D21"/>
      <c r="E21" s="115">
        <f>Lanç!E21</f>
        <v>14</v>
      </c>
      <c r="F21" s="189" t="str">
        <f>Lanç!F21</f>
        <v>Sáb</v>
      </c>
      <c r="G21" s="81"/>
      <c r="H21" s="94"/>
      <c r="I21" s="94"/>
      <c r="J21" s="94"/>
      <c r="K21" s="94"/>
      <c r="L21" s="197"/>
      <c r="M21" s="95">
        <f t="shared" si="1"/>
        <v>0</v>
      </c>
      <c r="N21" s="196"/>
      <c r="O21" s="95">
        <f ca="1">IF(OR(G21=0,G21="Férias",G21="Falta Justificada",G21="Feriado",G21="Folga (DSR)"),0,IF(G21="Falta Injustificada",HLOOKUP($F21,Jornada!$X$7:$AD$37,VLOOKUP(INDIRECT($C$5),Jornada!$C$8:$W$37,21,0),0),IF(HLOOKUP($F21,Jornada!$X$7:$AD$37,VLOOKUP(INDIRECT($C$5),Jornada!$C$8:$W$37,21,0),0)-M21&gt;0,HLOOKUP($F21,Jornada!$X$7:$AD$37,VLOOKUP(INDIRECT($C$5),Jornada!$C$8:$W$37,21,0),0)-M21,0)))</f>
        <v>0</v>
      </c>
      <c r="P21" s="193">
        <f ca="1">IF(HLOOKUP($F21,Jornada!$X$7:$AD$37,VLOOKUP(INDIRECT($C$5),Jornada!$C$8:$W$37,21,0),0)-M21&lt;0,ABS(HLOOKUP($F21,Jornada!$X$7:$AD$37,VLOOKUP(INDIRECT($C$5),Jornada!$C$8:$W$37,21,0),0)-M21),0)</f>
        <v>0</v>
      </c>
      <c r="Q21" s="95">
        <f t="shared" si="0"/>
        <v>0</v>
      </c>
      <c r="R21" s="2">
        <f t="shared" si="2"/>
        <v>0</v>
      </c>
      <c r="S21"/>
      <c r="T21"/>
      <c r="U21"/>
      <c r="X21" s="177"/>
      <c r="AB21" s="177">
        <f t="shared" si="10"/>
        <v>14</v>
      </c>
      <c r="AC21" s="2">
        <f t="shared" si="3"/>
        <v>7</v>
      </c>
      <c r="AG21" s="220">
        <f t="shared" si="4"/>
        <v>0</v>
      </c>
      <c r="AH21" s="220">
        <f ca="1">IF(HLOOKUP($F21,Jornada!$X$7:$AD$37,VLOOKUP(INDIRECT($C$5),Jornada!$C$8:$W$37,21,0),0)=0,0,VLOOKUP(INDIRECT($C$5),Jornada!$C$8:$H$37,4,0))</f>
        <v>0</v>
      </c>
      <c r="AI21" s="155">
        <f ca="1">IF(AND(I21=0,J21=0,OR(H21&lt;&gt;0,K21&lt;&gt;0),HLOOKUP($F21,Jornada!$X$7:$AD$37,VLOOKUP(INDIRECT($C$5),Jornada!$C$8:$W$37,21,0),0)&gt;$AK$5,M21&gt;$AK$5),VLOOKUP(INDIRECT($C$5),Jornada!$C$8:$H$37,6,0),IF(AG21&gt;VLOOKUP(INDIRECT($C$5),Jornada!$C$8:$H$37,6,0),IF(VLOOKUP(INDIRECT($C$5),Jornada!$C$8:$H$37,6,0)&lt;AG21,0,ABS(VLOOKUP(INDIRECT($C$5),Jornada!$C$8:$H$37,6,0))-AG21),0))</f>
        <v>0</v>
      </c>
      <c r="AJ21" s="155">
        <f t="shared" si="5"/>
        <v>1</v>
      </c>
      <c r="AK21" s="155">
        <f t="shared" si="6"/>
        <v>0</v>
      </c>
      <c r="AL21" s="155">
        <f ca="1">HLOOKUP($F21,Jornada!$I$5:$V$37,VLOOKUP(INDIRECT($C$5),Jornada!$C$8:$W$37,21,0)+2,0)</f>
        <v>0</v>
      </c>
      <c r="AM21" s="155">
        <f ca="1">HLOOKUP($F21,Jornada!$I$4:$V$37,VLOOKUP(INDIRECT($C$5),Jornada!$C$8:$W$37,21,0)+3,0)</f>
        <v>0</v>
      </c>
      <c r="AN21" s="155">
        <f t="shared" ca="1" si="7"/>
        <v>0</v>
      </c>
      <c r="AO21" s="155">
        <f t="shared" si="8"/>
        <v>0</v>
      </c>
      <c r="AP21" s="155">
        <f t="shared" si="9"/>
        <v>0</v>
      </c>
      <c r="BE21" s="14"/>
      <c r="BF21" s="14"/>
      <c r="BG21" s="14"/>
    </row>
    <row r="22" spans="1:59" s="2" customFormat="1" ht="30" customHeight="1" thickTop="1" thickBot="1" x14ac:dyDescent="0.25">
      <c r="A22" s="1"/>
      <c r="B22"/>
      <c r="C22" s="172" t="str">
        <f>IF(Funcionários!C21=0,"",Funcionários!C21)</f>
        <v/>
      </c>
      <c r="D22"/>
      <c r="E22" s="115">
        <f>Lanç!E22</f>
        <v>15</v>
      </c>
      <c r="F22" s="189" t="str">
        <f>Lanç!F22</f>
        <v>Dom</v>
      </c>
      <c r="G22" s="81"/>
      <c r="H22" s="94"/>
      <c r="I22" s="94"/>
      <c r="J22" s="94"/>
      <c r="K22" s="94"/>
      <c r="L22" s="197"/>
      <c r="M22" s="95">
        <f t="shared" si="1"/>
        <v>0</v>
      </c>
      <c r="N22" s="196"/>
      <c r="O22" s="95">
        <f ca="1">IF(OR(G22=0,G22="Férias",G22="Falta Justificada",G22="Feriado",G22="Folga (DSR)"),0,IF(G22="Falta Injustificada",HLOOKUP($F22,Jornada!$X$7:$AD$37,VLOOKUP(INDIRECT($C$5),Jornada!$C$8:$W$37,21,0),0),IF(HLOOKUP($F22,Jornada!$X$7:$AD$37,VLOOKUP(INDIRECT($C$5),Jornada!$C$8:$W$37,21,0),0)-M22&gt;0,HLOOKUP($F22,Jornada!$X$7:$AD$37,VLOOKUP(INDIRECT($C$5),Jornada!$C$8:$W$37,21,0),0)-M22,0)))</f>
        <v>0</v>
      </c>
      <c r="P22" s="193">
        <f ca="1">IF(HLOOKUP($F22,Jornada!$X$7:$AD$37,VLOOKUP(INDIRECT($C$5),Jornada!$C$8:$W$37,21,0),0)-M22&lt;0,ABS(HLOOKUP($F22,Jornada!$X$7:$AD$37,VLOOKUP(INDIRECT($C$5),Jornada!$C$8:$W$37,21,0),0)-M22),0)</f>
        <v>0</v>
      </c>
      <c r="Q22" s="95">
        <f t="shared" si="0"/>
        <v>0</v>
      </c>
      <c r="R22" s="2">
        <f t="shared" si="2"/>
        <v>0</v>
      </c>
      <c r="S22" s="300" t="s">
        <v>63</v>
      </c>
      <c r="T22" s="301"/>
      <c r="U22" s="302"/>
      <c r="X22" s="177"/>
      <c r="AB22" s="177">
        <f t="shared" si="10"/>
        <v>15</v>
      </c>
      <c r="AC22" s="2">
        <f t="shared" si="3"/>
        <v>1</v>
      </c>
      <c r="AG22" s="220">
        <f t="shared" si="4"/>
        <v>0</v>
      </c>
      <c r="AH22" s="220">
        <f ca="1">IF(HLOOKUP($F22,Jornada!$X$7:$AD$37,VLOOKUP(INDIRECT($C$5),Jornada!$C$8:$W$37,21,0),0)=0,0,VLOOKUP(INDIRECT($C$5),Jornada!$C$8:$H$37,4,0))</f>
        <v>0</v>
      </c>
      <c r="AI22" s="155">
        <f ca="1">IF(AND(I22=0,J22=0,OR(H22&lt;&gt;0,K22&lt;&gt;0),HLOOKUP($F22,Jornada!$X$7:$AD$37,VLOOKUP(INDIRECT($C$5),Jornada!$C$8:$W$37,21,0),0)&gt;$AK$5,M22&gt;$AK$5),VLOOKUP(INDIRECT($C$5),Jornada!$C$8:$H$37,6,0),IF(AG22&gt;VLOOKUP(INDIRECT($C$5),Jornada!$C$8:$H$37,6,0),IF(VLOOKUP(INDIRECT($C$5),Jornada!$C$8:$H$37,6,0)&lt;AG22,0,ABS(VLOOKUP(INDIRECT($C$5),Jornada!$C$8:$H$37,6,0))-AG22),0))</f>
        <v>0</v>
      </c>
      <c r="AJ22" s="155">
        <f t="shared" si="5"/>
        <v>1</v>
      </c>
      <c r="AK22" s="155">
        <f t="shared" si="6"/>
        <v>0</v>
      </c>
      <c r="AL22" s="155">
        <f ca="1">HLOOKUP($F22,Jornada!$I$5:$V$37,VLOOKUP(INDIRECT($C$5),Jornada!$C$8:$W$37,21,0)+2,0)</f>
        <v>0</v>
      </c>
      <c r="AM22" s="155">
        <f ca="1">HLOOKUP($F22,Jornada!$I$4:$V$37,VLOOKUP(INDIRECT($C$5),Jornada!$C$8:$W$37,21,0)+3,0)</f>
        <v>0</v>
      </c>
      <c r="AN22" s="155">
        <f t="shared" ca="1" si="7"/>
        <v>0</v>
      </c>
      <c r="AO22" s="155">
        <f t="shared" si="8"/>
        <v>0</v>
      </c>
      <c r="AP22" s="155">
        <f t="shared" si="9"/>
        <v>0</v>
      </c>
      <c r="BE22" s="14"/>
      <c r="BF22" s="14"/>
      <c r="BG22" s="14"/>
    </row>
    <row r="23" spans="1:59" s="2" customFormat="1" ht="30" customHeight="1" thickTop="1" thickBot="1" x14ac:dyDescent="0.25">
      <c r="A23" s="1"/>
      <c r="B23"/>
      <c r="C23" s="172" t="str">
        <f>IF(Funcionários!C22=0,"",Funcionários!C22)</f>
        <v/>
      </c>
      <c r="D23"/>
      <c r="E23" s="115">
        <f>Lanç!E23</f>
        <v>16</v>
      </c>
      <c r="F23" s="189" t="str">
        <f>Lanç!F23</f>
        <v>Seg</v>
      </c>
      <c r="G23" s="81"/>
      <c r="H23" s="94"/>
      <c r="I23" s="94"/>
      <c r="J23" s="94"/>
      <c r="K23" s="94"/>
      <c r="L23" s="197"/>
      <c r="M23" s="95">
        <f t="shared" si="1"/>
        <v>0</v>
      </c>
      <c r="N23" s="196"/>
      <c r="O23" s="95">
        <f ca="1">IF(OR(G23=0,G23="Férias",G23="Falta Justificada",G23="Feriado",G23="Folga (DSR)"),0,IF(G23="Falta Injustificada",HLOOKUP($F23,Jornada!$X$7:$AD$37,VLOOKUP(INDIRECT($C$5),Jornada!$C$8:$W$37,21,0),0),IF(HLOOKUP($F23,Jornada!$X$7:$AD$37,VLOOKUP(INDIRECT($C$5),Jornada!$C$8:$W$37,21,0),0)-M23&gt;0,HLOOKUP($F23,Jornada!$X$7:$AD$37,VLOOKUP(INDIRECT($C$5),Jornada!$C$8:$W$37,21,0),0)-M23,0)))</f>
        <v>0</v>
      </c>
      <c r="P23" s="193">
        <f ca="1">IF(HLOOKUP($F23,Jornada!$X$7:$AD$37,VLOOKUP(INDIRECT($C$5),Jornada!$C$8:$W$37,21,0),0)-M23&lt;0,ABS(HLOOKUP($F23,Jornada!$X$7:$AD$37,VLOOKUP(INDIRECT($C$5),Jornada!$C$8:$W$37,21,0),0)-M23),0)</f>
        <v>0</v>
      </c>
      <c r="Q23" s="95">
        <f t="shared" si="0"/>
        <v>0</v>
      </c>
      <c r="R23" s="2">
        <f t="shared" si="2"/>
        <v>0</v>
      </c>
      <c r="S23" s="296" t="str">
        <f>IF(SUM(R8:R38)&gt;0,"Segundo o art 59 da CLT, o máximo de horas extras permitidas por dia são 2 horas.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T23" s="297"/>
      <c r="U23" s="298"/>
      <c r="X23" s="177"/>
      <c r="AB23" s="177">
        <f t="shared" si="10"/>
        <v>16</v>
      </c>
      <c r="AC23" s="2">
        <f t="shared" si="3"/>
        <v>2</v>
      </c>
      <c r="AG23" s="220">
        <f t="shared" si="4"/>
        <v>0</v>
      </c>
      <c r="AH23" s="220">
        <f ca="1">IF(HLOOKUP($F23,Jornada!$X$7:$AD$37,VLOOKUP(INDIRECT($C$5),Jornada!$C$8:$W$37,21,0),0)=0,0,VLOOKUP(INDIRECT($C$5),Jornada!$C$8:$H$37,4,0))</f>
        <v>0</v>
      </c>
      <c r="AI23" s="155">
        <f ca="1">IF(AND(I23=0,J23=0,OR(H23&lt;&gt;0,K23&lt;&gt;0),HLOOKUP($F23,Jornada!$X$7:$AD$37,VLOOKUP(INDIRECT($C$5),Jornada!$C$8:$W$37,21,0),0)&gt;$AK$5,M23&gt;$AK$5),VLOOKUP(INDIRECT($C$5),Jornada!$C$8:$H$37,6,0),IF(AG23&gt;VLOOKUP(INDIRECT($C$5),Jornada!$C$8:$H$37,6,0),IF(VLOOKUP(INDIRECT($C$5),Jornada!$C$8:$H$37,6,0)&lt;AG23,0,ABS(VLOOKUP(INDIRECT($C$5),Jornada!$C$8:$H$37,6,0))-AG23),0))</f>
        <v>0</v>
      </c>
      <c r="AJ23" s="155">
        <f t="shared" si="5"/>
        <v>1</v>
      </c>
      <c r="AK23" s="155">
        <f t="shared" si="6"/>
        <v>0</v>
      </c>
      <c r="AL23" s="155">
        <f ca="1">HLOOKUP($F23,Jornada!$I$5:$V$37,VLOOKUP(INDIRECT($C$5),Jornada!$C$8:$W$37,21,0)+2,0)</f>
        <v>0</v>
      </c>
      <c r="AM23" s="155">
        <f ca="1">HLOOKUP($F23,Jornada!$I$4:$V$37,VLOOKUP(INDIRECT($C$5),Jornada!$C$8:$W$37,21,0)+3,0)</f>
        <v>0</v>
      </c>
      <c r="AN23" s="155">
        <f t="shared" ca="1" si="7"/>
        <v>0</v>
      </c>
      <c r="AO23" s="155">
        <f t="shared" si="8"/>
        <v>0</v>
      </c>
      <c r="AP23" s="155">
        <f t="shared" si="9"/>
        <v>0</v>
      </c>
      <c r="BE23" s="14"/>
      <c r="BF23" s="14"/>
      <c r="BG23" s="14"/>
    </row>
    <row r="24" spans="1:59" s="2" customFormat="1" ht="30" customHeight="1" thickTop="1" thickBot="1" x14ac:dyDescent="0.25">
      <c r="A24" s="1"/>
      <c r="B24"/>
      <c r="C24" s="172" t="str">
        <f>IF(Funcionários!C23=0,"",Funcionários!C23)</f>
        <v/>
      </c>
      <c r="D24"/>
      <c r="E24" s="115">
        <f>Lanç!E24</f>
        <v>17</v>
      </c>
      <c r="F24" s="189" t="str">
        <f>Lanç!F24</f>
        <v>Ter</v>
      </c>
      <c r="G24" s="81"/>
      <c r="H24" s="94"/>
      <c r="I24" s="94"/>
      <c r="J24" s="94"/>
      <c r="K24" s="94"/>
      <c r="L24" s="197"/>
      <c r="M24" s="95">
        <f t="shared" si="1"/>
        <v>0</v>
      </c>
      <c r="N24" s="196"/>
      <c r="O24" s="95">
        <f ca="1">IF(OR(G24=0,G24="Férias",G24="Falta Justificada",G24="Feriado",G24="Folga (DSR)"),0,IF(G24="Falta Injustificada",HLOOKUP($F24,Jornada!$X$7:$AD$37,VLOOKUP(INDIRECT($C$5),Jornada!$C$8:$W$37,21,0),0),IF(HLOOKUP($F24,Jornada!$X$7:$AD$37,VLOOKUP(INDIRECT($C$5),Jornada!$C$8:$W$37,21,0),0)-M24&gt;0,HLOOKUP($F24,Jornada!$X$7:$AD$37,VLOOKUP(INDIRECT($C$5),Jornada!$C$8:$W$37,21,0),0)-M24,0)))</f>
        <v>0</v>
      </c>
      <c r="P24" s="193">
        <f ca="1">IF(HLOOKUP($F24,Jornada!$X$7:$AD$37,VLOOKUP(INDIRECT($C$5),Jornada!$C$8:$W$37,21,0),0)-M24&lt;0,ABS(HLOOKUP($F24,Jornada!$X$7:$AD$37,VLOOKUP(INDIRECT($C$5),Jornada!$C$8:$W$37,21,0),0)-M24),0)</f>
        <v>0</v>
      </c>
      <c r="Q24" s="95">
        <f t="shared" si="0"/>
        <v>0</v>
      </c>
      <c r="R24" s="2">
        <f t="shared" si="2"/>
        <v>0</v>
      </c>
      <c r="S24" s="296"/>
      <c r="T24" s="297"/>
      <c r="U24" s="298"/>
      <c r="X24" s="177"/>
      <c r="AB24" s="177">
        <f t="shared" si="10"/>
        <v>17</v>
      </c>
      <c r="AC24" s="2">
        <f t="shared" si="3"/>
        <v>3</v>
      </c>
      <c r="AG24" s="220">
        <f t="shared" si="4"/>
        <v>0</v>
      </c>
      <c r="AH24" s="220">
        <f ca="1">IF(HLOOKUP($F24,Jornada!$X$7:$AD$37,VLOOKUP(INDIRECT($C$5),Jornada!$C$8:$W$37,21,0),0)=0,0,VLOOKUP(INDIRECT($C$5),Jornada!$C$8:$H$37,4,0))</f>
        <v>0</v>
      </c>
      <c r="AI24" s="155">
        <f ca="1">IF(AND(I24=0,J24=0,OR(H24&lt;&gt;0,K24&lt;&gt;0),HLOOKUP($F24,Jornada!$X$7:$AD$37,VLOOKUP(INDIRECT($C$5),Jornada!$C$8:$W$37,21,0),0)&gt;$AK$5,M24&gt;$AK$5),VLOOKUP(INDIRECT($C$5),Jornada!$C$8:$H$37,6,0),IF(AG24&gt;VLOOKUP(INDIRECT($C$5),Jornada!$C$8:$H$37,6,0),IF(VLOOKUP(INDIRECT($C$5),Jornada!$C$8:$H$37,6,0)&lt;AG24,0,ABS(VLOOKUP(INDIRECT($C$5),Jornada!$C$8:$H$37,6,0))-AG24),0))</f>
        <v>0</v>
      </c>
      <c r="AJ24" s="155">
        <f t="shared" si="5"/>
        <v>1</v>
      </c>
      <c r="AK24" s="155">
        <f t="shared" si="6"/>
        <v>0</v>
      </c>
      <c r="AL24" s="155">
        <f ca="1">HLOOKUP($F24,Jornada!$I$5:$V$37,VLOOKUP(INDIRECT($C$5),Jornada!$C$8:$W$37,21,0)+2,0)</f>
        <v>0</v>
      </c>
      <c r="AM24" s="155">
        <f ca="1">HLOOKUP($F24,Jornada!$I$4:$V$37,VLOOKUP(INDIRECT($C$5),Jornada!$C$8:$W$37,21,0)+3,0)</f>
        <v>0</v>
      </c>
      <c r="AN24" s="155">
        <f t="shared" ca="1" si="7"/>
        <v>0</v>
      </c>
      <c r="AO24" s="155">
        <f t="shared" si="8"/>
        <v>0</v>
      </c>
      <c r="AP24" s="155">
        <f t="shared" si="9"/>
        <v>0</v>
      </c>
      <c r="BE24" s="14"/>
      <c r="BF24" s="14"/>
      <c r="BG24" s="14"/>
    </row>
    <row r="25" spans="1:59" s="2" customFormat="1" ht="30" customHeight="1" thickTop="1" thickBot="1" x14ac:dyDescent="0.25">
      <c r="A25" s="1"/>
      <c r="B25"/>
      <c r="C25" s="172" t="str">
        <f>IF(Funcionários!C24=0,"",Funcionários!C24)</f>
        <v/>
      </c>
      <c r="D25"/>
      <c r="E25" s="115">
        <f>Lanç!E25</f>
        <v>18</v>
      </c>
      <c r="F25" s="189" t="str">
        <f>Lanç!F25</f>
        <v>Qua</v>
      </c>
      <c r="G25" s="81"/>
      <c r="H25" s="94"/>
      <c r="I25" s="94"/>
      <c r="J25" s="94"/>
      <c r="K25" s="94"/>
      <c r="L25" s="197"/>
      <c r="M25" s="95">
        <f t="shared" si="1"/>
        <v>0</v>
      </c>
      <c r="N25" s="196"/>
      <c r="O25" s="95">
        <f ca="1">IF(OR(G25=0,G25="Férias",G25="Falta Justificada",G25="Feriado",G25="Folga (DSR)"),0,IF(G25="Falta Injustificada",HLOOKUP($F25,Jornada!$X$7:$AD$37,VLOOKUP(INDIRECT($C$5),Jornada!$C$8:$W$37,21,0),0),IF(HLOOKUP($F25,Jornada!$X$7:$AD$37,VLOOKUP(INDIRECT($C$5),Jornada!$C$8:$W$37,21,0),0)-M25&gt;0,HLOOKUP($F25,Jornada!$X$7:$AD$37,VLOOKUP(INDIRECT($C$5),Jornada!$C$8:$W$37,21,0),0)-M25,0)))</f>
        <v>0</v>
      </c>
      <c r="P25" s="193">
        <f ca="1">IF(HLOOKUP($F25,Jornada!$X$7:$AD$37,VLOOKUP(INDIRECT($C$5),Jornada!$C$8:$W$37,21,0),0)-M25&lt;0,ABS(HLOOKUP($F25,Jornada!$X$7:$AD$37,VLOOKUP(INDIRECT($C$5),Jornada!$C$8:$W$37,21,0),0)-M25),0)</f>
        <v>0</v>
      </c>
      <c r="Q25" s="95">
        <f t="shared" si="0"/>
        <v>0</v>
      </c>
      <c r="R25" s="2">
        <f t="shared" si="2"/>
        <v>0</v>
      </c>
      <c r="S25" s="296"/>
      <c r="T25" s="297"/>
      <c r="U25" s="298"/>
      <c r="X25" s="177"/>
      <c r="Z25" s="2">
        <f>IF(SUM(R8:R38)&gt;0,1,0)</f>
        <v>0</v>
      </c>
      <c r="AB25" s="177">
        <f t="shared" si="10"/>
        <v>18</v>
      </c>
      <c r="AC25" s="2">
        <f t="shared" si="3"/>
        <v>4</v>
      </c>
      <c r="AG25" s="220">
        <f t="shared" si="4"/>
        <v>0</v>
      </c>
      <c r="AH25" s="220">
        <f ca="1">IF(HLOOKUP($F25,Jornada!$X$7:$AD$37,VLOOKUP(INDIRECT($C$5),Jornada!$C$8:$W$37,21,0),0)=0,0,VLOOKUP(INDIRECT($C$5),Jornada!$C$8:$H$37,4,0))</f>
        <v>0</v>
      </c>
      <c r="AI25" s="155">
        <f ca="1">IF(AND(I25=0,J25=0,OR(H25&lt;&gt;0,K25&lt;&gt;0),HLOOKUP($F25,Jornada!$X$7:$AD$37,VLOOKUP(INDIRECT($C$5),Jornada!$C$8:$W$37,21,0),0)&gt;$AK$5,M25&gt;$AK$5),VLOOKUP(INDIRECT($C$5),Jornada!$C$8:$H$37,6,0),IF(AG25&gt;VLOOKUP(INDIRECT($C$5),Jornada!$C$8:$H$37,6,0),IF(VLOOKUP(INDIRECT($C$5),Jornada!$C$8:$H$37,6,0)&lt;AG25,0,ABS(VLOOKUP(INDIRECT($C$5),Jornada!$C$8:$H$37,6,0))-AG25),0))</f>
        <v>0</v>
      </c>
      <c r="AJ25" s="155">
        <f t="shared" si="5"/>
        <v>1</v>
      </c>
      <c r="AK25" s="155">
        <f t="shared" si="6"/>
        <v>0</v>
      </c>
      <c r="AL25" s="155">
        <f ca="1">HLOOKUP($F25,Jornada!$I$5:$V$37,VLOOKUP(INDIRECT($C$5),Jornada!$C$8:$W$37,21,0)+2,0)</f>
        <v>0</v>
      </c>
      <c r="AM25" s="155">
        <f ca="1">HLOOKUP($F25,Jornada!$I$4:$V$37,VLOOKUP(INDIRECT($C$5),Jornada!$C$8:$W$37,21,0)+3,0)</f>
        <v>0</v>
      </c>
      <c r="AN25" s="155">
        <f t="shared" ca="1" si="7"/>
        <v>0</v>
      </c>
      <c r="AO25" s="155">
        <f t="shared" si="8"/>
        <v>0</v>
      </c>
      <c r="AP25" s="155">
        <f t="shared" si="9"/>
        <v>0</v>
      </c>
      <c r="BE25" s="14"/>
      <c r="BF25" s="14"/>
      <c r="BG25" s="14"/>
    </row>
    <row r="26" spans="1:59" s="2" customFormat="1" ht="30" customHeight="1" thickTop="1" thickBot="1" x14ac:dyDescent="0.25">
      <c r="A26" s="1"/>
      <c r="B26"/>
      <c r="C26" s="172" t="str">
        <f>IF(Funcionários!C25=0,"",Funcionários!C25)</f>
        <v/>
      </c>
      <c r="D26"/>
      <c r="E26" s="115">
        <f>Lanç!E26</f>
        <v>19</v>
      </c>
      <c r="F26" s="189" t="str">
        <f>Lanç!F26</f>
        <v>Qui</v>
      </c>
      <c r="G26" s="81"/>
      <c r="H26" s="94"/>
      <c r="I26" s="94"/>
      <c r="J26" s="94"/>
      <c r="K26" s="94"/>
      <c r="L26" s="197"/>
      <c r="M26" s="95">
        <f t="shared" si="1"/>
        <v>0</v>
      </c>
      <c r="N26" s="196"/>
      <c r="O26" s="95">
        <f ca="1">IF(OR(G26=0,G26="Férias",G26="Falta Justificada",G26="Feriado",G26="Folga (DSR)"),0,IF(G26="Falta Injustificada",HLOOKUP($F26,Jornada!$X$7:$AD$37,VLOOKUP(INDIRECT($C$5),Jornada!$C$8:$W$37,21,0),0),IF(HLOOKUP($F26,Jornada!$X$7:$AD$37,VLOOKUP(INDIRECT($C$5),Jornada!$C$8:$W$37,21,0),0)-M26&gt;0,HLOOKUP($F26,Jornada!$X$7:$AD$37,VLOOKUP(INDIRECT($C$5),Jornada!$C$8:$W$37,21,0),0)-M26,0)))</f>
        <v>0</v>
      </c>
      <c r="P26" s="193">
        <f ca="1">IF(HLOOKUP($F26,Jornada!$X$7:$AD$37,VLOOKUP(INDIRECT($C$5),Jornada!$C$8:$W$37,21,0),0)-M26&lt;0,ABS(HLOOKUP($F26,Jornada!$X$7:$AD$37,VLOOKUP(INDIRECT($C$5),Jornada!$C$8:$W$37,21,0),0)-M26),0)</f>
        <v>0</v>
      </c>
      <c r="Q26" s="95">
        <f t="shared" si="0"/>
        <v>0</v>
      </c>
      <c r="R26" s="2">
        <f t="shared" si="2"/>
        <v>0</v>
      </c>
      <c r="S26" s="296" t="str">
        <f>IF(COUNTIF(G8:G38,"Folga (DSR)")&lt;DAY(E39)/8,"O mês não está contemplando um DSR (Descanso Semanal Remunerado) por semana. Isso pode configurar uma irregularidade segundo as leis trabalhistas.","Parabéns!! Sua folha de pagamento contempla uma DSR por semana conforme a lei trabalhista.")</f>
        <v>O mês não está contemplando um DSR (Descanso Semanal Remunerado) por semana. Isso pode configurar uma irregularidade segundo as leis trabalhistas.</v>
      </c>
      <c r="T26" s="297"/>
      <c r="U26" s="298"/>
      <c r="X26" s="177"/>
      <c r="AB26" s="177">
        <f t="shared" si="10"/>
        <v>19</v>
      </c>
      <c r="AC26" s="2">
        <f t="shared" si="3"/>
        <v>5</v>
      </c>
      <c r="AG26" s="220">
        <f t="shared" si="4"/>
        <v>0</v>
      </c>
      <c r="AH26" s="220">
        <f ca="1">IF(HLOOKUP($F26,Jornada!$X$7:$AD$37,VLOOKUP(INDIRECT($C$5),Jornada!$C$8:$W$37,21,0),0)=0,0,VLOOKUP(INDIRECT($C$5),Jornada!$C$8:$H$37,4,0))</f>
        <v>0</v>
      </c>
      <c r="AI26" s="155">
        <f ca="1">IF(AND(I26=0,J26=0,OR(H26&lt;&gt;0,K26&lt;&gt;0),HLOOKUP($F26,Jornada!$X$7:$AD$37,VLOOKUP(INDIRECT($C$5),Jornada!$C$8:$W$37,21,0),0)&gt;$AK$5,M26&gt;$AK$5),VLOOKUP(INDIRECT($C$5),Jornada!$C$8:$H$37,6,0),IF(AG26&gt;VLOOKUP(INDIRECT($C$5),Jornada!$C$8:$H$37,6,0),IF(VLOOKUP(INDIRECT($C$5),Jornada!$C$8:$H$37,6,0)&lt;AG26,0,ABS(VLOOKUP(INDIRECT($C$5),Jornada!$C$8:$H$37,6,0))-AG26),0))</f>
        <v>0</v>
      </c>
      <c r="AJ26" s="155">
        <f t="shared" si="5"/>
        <v>1</v>
      </c>
      <c r="AK26" s="155">
        <f t="shared" si="6"/>
        <v>0</v>
      </c>
      <c r="AL26" s="155">
        <f ca="1">HLOOKUP($F26,Jornada!$I$5:$V$37,VLOOKUP(INDIRECT($C$5),Jornada!$C$8:$W$37,21,0)+2,0)</f>
        <v>0</v>
      </c>
      <c r="AM26" s="155">
        <f ca="1">HLOOKUP($F26,Jornada!$I$4:$V$37,VLOOKUP(INDIRECT($C$5),Jornada!$C$8:$W$37,21,0)+3,0)</f>
        <v>0</v>
      </c>
      <c r="AN26" s="155">
        <f t="shared" ca="1" si="7"/>
        <v>0</v>
      </c>
      <c r="AO26" s="155">
        <f t="shared" si="8"/>
        <v>0</v>
      </c>
      <c r="AP26" s="155">
        <f t="shared" si="9"/>
        <v>0</v>
      </c>
      <c r="BE26" s="14"/>
      <c r="BF26" s="14"/>
      <c r="BG26" s="14"/>
    </row>
    <row r="27" spans="1:59" s="2" customFormat="1" ht="30" customHeight="1" thickTop="1" thickBot="1" x14ac:dyDescent="0.25">
      <c r="A27" s="1"/>
      <c r="B27"/>
      <c r="C27" s="172" t="str">
        <f>IF(Funcionários!C26=0,"",Funcionários!C26)</f>
        <v/>
      </c>
      <c r="D27"/>
      <c r="E27" s="115">
        <f>Lanç!E27</f>
        <v>20</v>
      </c>
      <c r="F27" s="189" t="str">
        <f>Lanç!F27</f>
        <v>Sex</v>
      </c>
      <c r="G27" s="81"/>
      <c r="H27" s="94"/>
      <c r="I27" s="94"/>
      <c r="J27" s="94"/>
      <c r="K27" s="94"/>
      <c r="L27" s="197"/>
      <c r="M27" s="95">
        <f t="shared" si="1"/>
        <v>0</v>
      </c>
      <c r="N27" s="196"/>
      <c r="O27" s="95">
        <f ca="1">IF(OR(G27=0,G27="Férias",G27="Falta Justificada",G27="Feriado",G27="Folga (DSR)"),0,IF(G27="Falta Injustificada",HLOOKUP($F27,Jornada!$X$7:$AD$37,VLOOKUP(INDIRECT($C$5),Jornada!$C$8:$W$37,21,0),0),IF(HLOOKUP($F27,Jornada!$X$7:$AD$37,VLOOKUP(INDIRECT($C$5),Jornada!$C$8:$W$37,21,0),0)-M27&gt;0,HLOOKUP($F27,Jornada!$X$7:$AD$37,VLOOKUP(INDIRECT($C$5),Jornada!$C$8:$W$37,21,0),0)-M27,0)))</f>
        <v>0</v>
      </c>
      <c r="P27" s="193">
        <f ca="1">IF(HLOOKUP($F27,Jornada!$X$7:$AD$37,VLOOKUP(INDIRECT($C$5),Jornada!$C$8:$W$37,21,0),0)-M27&lt;0,ABS(HLOOKUP($F27,Jornada!$X$7:$AD$37,VLOOKUP(INDIRECT($C$5),Jornada!$C$8:$W$37,21,0),0)-M27),0)</f>
        <v>0</v>
      </c>
      <c r="Q27" s="95">
        <f t="shared" si="0"/>
        <v>0</v>
      </c>
      <c r="R27" s="2">
        <f t="shared" si="2"/>
        <v>0</v>
      </c>
      <c r="S27" s="296"/>
      <c r="T27" s="297"/>
      <c r="U27" s="298"/>
      <c r="X27" s="177"/>
      <c r="AB27" s="177">
        <f t="shared" si="10"/>
        <v>20</v>
      </c>
      <c r="AC27" s="2">
        <f t="shared" si="3"/>
        <v>6</v>
      </c>
      <c r="AG27" s="220">
        <f t="shared" si="4"/>
        <v>0</v>
      </c>
      <c r="AH27" s="220">
        <f ca="1">IF(HLOOKUP($F27,Jornada!$X$7:$AD$37,VLOOKUP(INDIRECT($C$5),Jornada!$C$8:$W$37,21,0),0)=0,0,VLOOKUP(INDIRECT($C$5),Jornada!$C$8:$H$37,4,0))</f>
        <v>0</v>
      </c>
      <c r="AI27" s="155">
        <f ca="1">IF(AND(I27=0,J27=0,OR(H27&lt;&gt;0,K27&lt;&gt;0),HLOOKUP($F27,Jornada!$X$7:$AD$37,VLOOKUP(INDIRECT($C$5),Jornada!$C$8:$W$37,21,0),0)&gt;$AK$5,M27&gt;$AK$5),VLOOKUP(INDIRECT($C$5),Jornada!$C$8:$H$37,6,0),IF(AG27&gt;VLOOKUP(INDIRECT($C$5),Jornada!$C$8:$H$37,6,0),IF(VLOOKUP(INDIRECT($C$5),Jornada!$C$8:$H$37,6,0)&lt;AG27,0,ABS(VLOOKUP(INDIRECT($C$5),Jornada!$C$8:$H$37,6,0))-AG27),0))</f>
        <v>0</v>
      </c>
      <c r="AJ27" s="155">
        <f t="shared" si="5"/>
        <v>1</v>
      </c>
      <c r="AK27" s="155">
        <f t="shared" si="6"/>
        <v>0</v>
      </c>
      <c r="AL27" s="155">
        <f ca="1">HLOOKUP($F27,Jornada!$I$5:$V$37,VLOOKUP(INDIRECT($C$5),Jornada!$C$8:$W$37,21,0)+2,0)</f>
        <v>0</v>
      </c>
      <c r="AM27" s="155">
        <f ca="1">HLOOKUP($F27,Jornada!$I$4:$V$37,VLOOKUP(INDIRECT($C$5),Jornada!$C$8:$W$37,21,0)+3,0)</f>
        <v>0</v>
      </c>
      <c r="AN27" s="155">
        <f t="shared" ca="1" si="7"/>
        <v>0</v>
      </c>
      <c r="AO27" s="155">
        <f t="shared" si="8"/>
        <v>0</v>
      </c>
      <c r="AP27" s="155">
        <f t="shared" si="9"/>
        <v>0</v>
      </c>
    </row>
    <row r="28" spans="1:59" s="2" customFormat="1" ht="30" customHeight="1" thickTop="1" thickBot="1" x14ac:dyDescent="0.25">
      <c r="A28" s="1"/>
      <c r="B28"/>
      <c r="C28" s="172" t="str">
        <f>IF(Funcionários!C27=0,"",Funcionários!C27)</f>
        <v/>
      </c>
      <c r="D28"/>
      <c r="E28" s="115">
        <f>Lanç!E28</f>
        <v>21</v>
      </c>
      <c r="F28" s="189" t="str">
        <f>Lanç!F28</f>
        <v>Sáb</v>
      </c>
      <c r="G28" s="81"/>
      <c r="H28" s="94"/>
      <c r="I28" s="94"/>
      <c r="J28" s="94"/>
      <c r="K28" s="94"/>
      <c r="L28" s="197"/>
      <c r="M28" s="95">
        <f t="shared" si="1"/>
        <v>0</v>
      </c>
      <c r="N28" s="196"/>
      <c r="O28" s="95">
        <f ca="1">IF(OR(G28=0,G28="Férias",G28="Falta Justificada",G28="Feriado",G28="Folga (DSR)"),0,IF(G28="Falta Injustificada",HLOOKUP($F28,Jornada!$X$7:$AD$37,VLOOKUP(INDIRECT($C$5),Jornada!$C$8:$W$37,21,0),0),IF(HLOOKUP($F28,Jornada!$X$7:$AD$37,VLOOKUP(INDIRECT($C$5),Jornada!$C$8:$W$37,21,0),0)-M28&gt;0,HLOOKUP($F28,Jornada!$X$7:$AD$37,VLOOKUP(INDIRECT($C$5),Jornada!$C$8:$W$37,21,0),0)-M28,0)))</f>
        <v>0</v>
      </c>
      <c r="P28" s="193">
        <f ca="1">IF(HLOOKUP($F28,Jornada!$X$7:$AD$37,VLOOKUP(INDIRECT($C$5),Jornada!$C$8:$W$37,21,0),0)-M28&lt;0,ABS(HLOOKUP($F28,Jornada!$X$7:$AD$37,VLOOKUP(INDIRECT($C$5),Jornada!$C$8:$W$37,21,0),0)-M28),0)</f>
        <v>0</v>
      </c>
      <c r="Q28" s="95">
        <f t="shared" si="0"/>
        <v>0</v>
      </c>
      <c r="R28" s="2">
        <f t="shared" si="2"/>
        <v>0</v>
      </c>
      <c r="S28" s="296"/>
      <c r="T28" s="297"/>
      <c r="U28" s="298"/>
      <c r="X28" s="177"/>
      <c r="AB28" s="177">
        <f t="shared" si="10"/>
        <v>21</v>
      </c>
      <c r="AC28" s="2">
        <f t="shared" si="3"/>
        <v>7</v>
      </c>
      <c r="AG28" s="220">
        <f t="shared" si="4"/>
        <v>0</v>
      </c>
      <c r="AH28" s="220">
        <f ca="1">IF(HLOOKUP($F28,Jornada!$X$7:$AD$37,VLOOKUP(INDIRECT($C$5),Jornada!$C$8:$W$37,21,0),0)=0,0,VLOOKUP(INDIRECT($C$5),Jornada!$C$8:$H$37,4,0))</f>
        <v>0</v>
      </c>
      <c r="AI28" s="155">
        <f ca="1">IF(AND(I28=0,J28=0,OR(H28&lt;&gt;0,K28&lt;&gt;0),HLOOKUP($F28,Jornada!$X$7:$AD$37,VLOOKUP(INDIRECT($C$5),Jornada!$C$8:$W$37,21,0),0)&gt;$AK$5,M28&gt;$AK$5),VLOOKUP(INDIRECT($C$5),Jornada!$C$8:$H$37,6,0),IF(AG28&gt;VLOOKUP(INDIRECT($C$5),Jornada!$C$8:$H$37,6,0),IF(VLOOKUP(INDIRECT($C$5),Jornada!$C$8:$H$37,6,0)&lt;AG28,0,ABS(VLOOKUP(INDIRECT($C$5),Jornada!$C$8:$H$37,6,0))-AG28),0))</f>
        <v>0</v>
      </c>
      <c r="AJ28" s="155">
        <f t="shared" si="5"/>
        <v>1</v>
      </c>
      <c r="AK28" s="155">
        <f t="shared" si="6"/>
        <v>0</v>
      </c>
      <c r="AL28" s="155">
        <f ca="1">HLOOKUP($F28,Jornada!$I$5:$V$37,VLOOKUP(INDIRECT($C$5),Jornada!$C$8:$W$37,21,0)+2,0)</f>
        <v>0</v>
      </c>
      <c r="AM28" s="155">
        <f ca="1">HLOOKUP($F28,Jornada!$I$4:$V$37,VLOOKUP(INDIRECT($C$5),Jornada!$C$8:$W$37,21,0)+3,0)</f>
        <v>0</v>
      </c>
      <c r="AN28" s="155">
        <f t="shared" ca="1" si="7"/>
        <v>0</v>
      </c>
      <c r="AO28" s="155">
        <f t="shared" si="8"/>
        <v>0</v>
      </c>
      <c r="AP28" s="155">
        <f t="shared" si="9"/>
        <v>0</v>
      </c>
    </row>
    <row r="29" spans="1:59" s="2" customFormat="1" ht="30" customHeight="1" thickTop="1" thickBot="1" x14ac:dyDescent="0.25">
      <c r="A29" s="1"/>
      <c r="B29"/>
      <c r="C29" s="172" t="str">
        <f>IF(Funcionários!C28=0,"",Funcionários!C28)</f>
        <v/>
      </c>
      <c r="D29"/>
      <c r="E29" s="115">
        <f>Lanç!E29</f>
        <v>22</v>
      </c>
      <c r="F29" s="189" t="str">
        <f>Lanç!F29</f>
        <v>Dom</v>
      </c>
      <c r="G29" s="81"/>
      <c r="H29" s="94"/>
      <c r="I29" s="94"/>
      <c r="J29" s="94"/>
      <c r="K29" s="94"/>
      <c r="L29" s="197"/>
      <c r="M29" s="95">
        <f t="shared" si="1"/>
        <v>0</v>
      </c>
      <c r="N29" s="196"/>
      <c r="O29" s="95">
        <f ca="1">IF(OR(G29=0,G29="Férias",G29="Falta Justificada",G29="Feriado",G29="Folga (DSR)"),0,IF(G29="Falta Injustificada",HLOOKUP($F29,Jornada!$X$7:$AD$37,VLOOKUP(INDIRECT($C$5),Jornada!$C$8:$W$37,21,0),0),IF(HLOOKUP($F29,Jornada!$X$7:$AD$37,VLOOKUP(INDIRECT($C$5),Jornada!$C$8:$W$37,21,0),0)-M29&gt;0,HLOOKUP($F29,Jornada!$X$7:$AD$37,VLOOKUP(INDIRECT($C$5),Jornada!$C$8:$W$37,21,0),0)-M29,0)))</f>
        <v>0</v>
      </c>
      <c r="P29" s="193">
        <f ca="1">IF(HLOOKUP($F29,Jornada!$X$7:$AD$37,VLOOKUP(INDIRECT($C$5),Jornada!$C$8:$W$37,21,0),0)-M29&lt;0,ABS(HLOOKUP($F29,Jornada!$X$7:$AD$37,VLOOKUP(INDIRECT($C$5),Jornada!$C$8:$W$37,21,0),0)-M29),0)</f>
        <v>0</v>
      </c>
      <c r="Q29" s="95">
        <f t="shared" si="0"/>
        <v>0</v>
      </c>
      <c r="R29" s="2">
        <f t="shared" si="2"/>
        <v>0</v>
      </c>
      <c r="S29" s="13"/>
      <c r="T29" s="74"/>
      <c r="U29" s="74"/>
      <c r="X29" s="177"/>
      <c r="AB29" s="177">
        <f t="shared" si="10"/>
        <v>22</v>
      </c>
      <c r="AC29" s="2">
        <f t="shared" si="3"/>
        <v>1</v>
      </c>
      <c r="AG29" s="220">
        <f t="shared" si="4"/>
        <v>0</v>
      </c>
      <c r="AH29" s="220">
        <f ca="1">IF(HLOOKUP($F29,Jornada!$X$7:$AD$37,VLOOKUP(INDIRECT($C$5),Jornada!$C$8:$W$37,21,0),0)=0,0,VLOOKUP(INDIRECT($C$5),Jornada!$C$8:$H$37,4,0))</f>
        <v>0</v>
      </c>
      <c r="AI29" s="155">
        <f ca="1">IF(AND(I29=0,J29=0,OR(H29&lt;&gt;0,K29&lt;&gt;0),HLOOKUP($F29,Jornada!$X$7:$AD$37,VLOOKUP(INDIRECT($C$5),Jornada!$C$8:$W$37,21,0),0)&gt;$AK$5,M29&gt;$AK$5),VLOOKUP(INDIRECT($C$5),Jornada!$C$8:$H$37,6,0),IF(AG29&gt;VLOOKUP(INDIRECT($C$5),Jornada!$C$8:$H$37,6,0),IF(VLOOKUP(INDIRECT($C$5),Jornada!$C$8:$H$37,6,0)&lt;AG29,0,ABS(VLOOKUP(INDIRECT($C$5),Jornada!$C$8:$H$37,6,0))-AG29),0))</f>
        <v>0</v>
      </c>
      <c r="AJ29" s="155">
        <f t="shared" si="5"/>
        <v>1</v>
      </c>
      <c r="AK29" s="155">
        <f t="shared" si="6"/>
        <v>0</v>
      </c>
      <c r="AL29" s="155">
        <f ca="1">HLOOKUP($F29,Jornada!$I$5:$V$37,VLOOKUP(INDIRECT($C$5),Jornada!$C$8:$W$37,21,0)+2,0)</f>
        <v>0</v>
      </c>
      <c r="AM29" s="155">
        <f ca="1">HLOOKUP($F29,Jornada!$I$4:$V$37,VLOOKUP(INDIRECT($C$5),Jornada!$C$8:$W$37,21,0)+3,0)</f>
        <v>0</v>
      </c>
      <c r="AN29" s="155">
        <f t="shared" ca="1" si="7"/>
        <v>0</v>
      </c>
      <c r="AO29" s="155">
        <f t="shared" si="8"/>
        <v>0</v>
      </c>
      <c r="AP29" s="155">
        <f t="shared" si="9"/>
        <v>0</v>
      </c>
    </row>
    <row r="30" spans="1:59" s="2" customFormat="1" ht="30" customHeight="1" thickTop="1" thickBot="1" x14ac:dyDescent="0.25">
      <c r="A30" s="1"/>
      <c r="B30"/>
      <c r="C30" s="172" t="str">
        <f>IF(Funcionários!C29=0,"",Funcionários!C29)</f>
        <v/>
      </c>
      <c r="D30"/>
      <c r="E30" s="173">
        <f>Lanç!E30</f>
        <v>23</v>
      </c>
      <c r="F30" s="189" t="str">
        <f>Lanç!F30</f>
        <v>Seg</v>
      </c>
      <c r="G30" s="81"/>
      <c r="H30" s="94"/>
      <c r="I30" s="94"/>
      <c r="J30" s="94"/>
      <c r="K30" s="94"/>
      <c r="L30" s="197"/>
      <c r="M30" s="95">
        <f t="shared" si="1"/>
        <v>0</v>
      </c>
      <c r="N30" s="196"/>
      <c r="O30" s="95">
        <f ca="1">IF(OR(G30=0,G30="Férias",G30="Falta Justificada",G30="Feriado",G30="Folga (DSR)"),0,IF(G30="Falta Injustificada",HLOOKUP($F30,Jornada!$X$7:$AD$37,VLOOKUP(INDIRECT($C$5),Jornada!$C$8:$W$37,21,0),0),IF(HLOOKUP($F30,Jornada!$X$7:$AD$37,VLOOKUP(INDIRECT($C$5),Jornada!$C$8:$W$37,21,0),0)-M30&gt;0,HLOOKUP($F30,Jornada!$X$7:$AD$37,VLOOKUP(INDIRECT($C$5),Jornada!$C$8:$W$37,21,0),0)-M30,0)))</f>
        <v>0</v>
      </c>
      <c r="P30" s="193">
        <f ca="1">IF(HLOOKUP($F30,Jornada!$X$7:$AD$37,VLOOKUP(INDIRECT($C$5),Jornada!$C$8:$W$37,21,0),0)-M30&lt;0,ABS(HLOOKUP($F30,Jornada!$X$7:$AD$37,VLOOKUP(INDIRECT($C$5),Jornada!$C$8:$W$37,21,0),0)-M30),0)</f>
        <v>0</v>
      </c>
      <c r="Q30" s="95">
        <f t="shared" si="0"/>
        <v>0</v>
      </c>
      <c r="R30" s="2">
        <f>IF(Q30&gt;$R$7,1,0)</f>
        <v>0</v>
      </c>
      <c r="S30" s="13"/>
      <c r="T30" s="74"/>
      <c r="U30" s="74"/>
      <c r="X30" s="177"/>
      <c r="AB30" s="177">
        <f t="shared" si="10"/>
        <v>23</v>
      </c>
      <c r="AC30" s="2">
        <f>WEEKDAY(AB30)</f>
        <v>2</v>
      </c>
      <c r="AG30" s="220">
        <f t="shared" si="4"/>
        <v>0</v>
      </c>
      <c r="AH30" s="220">
        <f ca="1">IF(HLOOKUP($F30,Jornada!$X$7:$AD$37,VLOOKUP(INDIRECT($C$5),Jornada!$C$8:$W$37,21,0),0)=0,0,VLOOKUP(INDIRECT($C$5),Jornada!$C$8:$H$37,4,0))</f>
        <v>0</v>
      </c>
      <c r="AI30" s="155">
        <f ca="1">IF(AND(I30=0,J30=0,OR(H30&lt;&gt;0,K30&lt;&gt;0),HLOOKUP($F30,Jornada!$X$7:$AD$37,VLOOKUP(INDIRECT($C$5),Jornada!$C$8:$W$37,21,0),0)&gt;$AK$5,M30&gt;$AK$5),VLOOKUP(INDIRECT($C$5),Jornada!$C$8:$H$37,6,0),IF(AG30&gt;VLOOKUP(INDIRECT($C$5),Jornada!$C$8:$H$37,6,0),IF(VLOOKUP(INDIRECT($C$5),Jornada!$C$8:$H$37,6,0)&lt;AG30,0,ABS(VLOOKUP(INDIRECT($C$5),Jornada!$C$8:$H$37,6,0))-AG30),0))</f>
        <v>0</v>
      </c>
      <c r="AJ30" s="155">
        <f>($AJ$7-K30)+H30</f>
        <v>1</v>
      </c>
      <c r="AK30" s="155">
        <f>IF(AJ30&lt;$AK$7,$AK$7-AJ30,$AI$7)</f>
        <v>0</v>
      </c>
      <c r="AL30" s="155">
        <f ca="1">HLOOKUP($F30,Jornada!$I$5:$V$37,VLOOKUP(INDIRECT($C$5),Jornada!$C$8:$W$37,21,0)+2,0)</f>
        <v>0</v>
      </c>
      <c r="AM30" s="155">
        <f ca="1">HLOOKUP($F30,Jornada!$I$4:$V$37,VLOOKUP(INDIRECT($C$5),Jornada!$C$8:$W$37,21,0)+3,0)</f>
        <v>0</v>
      </c>
      <c r="AN30" s="155">
        <f t="shared" ca="1" si="7"/>
        <v>0</v>
      </c>
      <c r="AO30" s="155">
        <f t="shared" si="8"/>
        <v>0</v>
      </c>
      <c r="AP30" s="155">
        <f t="shared" si="9"/>
        <v>0</v>
      </c>
    </row>
    <row r="31" spans="1:59" s="2" customFormat="1" ht="30" customHeight="1" thickTop="1" thickBot="1" x14ac:dyDescent="0.25">
      <c r="A31" s="1"/>
      <c r="B31"/>
      <c r="C31" s="172" t="str">
        <f>IF(Funcionários!C30=0,"",Funcionários!C30)</f>
        <v/>
      </c>
      <c r="D31"/>
      <c r="E31" s="173">
        <f>Lanç!E31</f>
        <v>24</v>
      </c>
      <c r="F31" s="189" t="str">
        <f>Lanç!F31</f>
        <v>Ter</v>
      </c>
      <c r="G31" s="81"/>
      <c r="H31" s="94"/>
      <c r="I31" s="94"/>
      <c r="J31" s="94"/>
      <c r="K31" s="94"/>
      <c r="L31" s="197"/>
      <c r="M31" s="95">
        <f t="shared" si="1"/>
        <v>0</v>
      </c>
      <c r="N31" s="196"/>
      <c r="O31" s="95">
        <f ca="1">IF(OR(G31=0,G31="Férias",G31="Falta Justificada",G31="Feriado",G31="Folga (DSR)"),0,IF(G31="Falta Injustificada",HLOOKUP($F31,Jornada!$X$7:$AD$37,VLOOKUP(INDIRECT($C$5),Jornada!$C$8:$W$37,21,0),0),IF(HLOOKUP($F31,Jornada!$X$7:$AD$37,VLOOKUP(INDIRECT($C$5),Jornada!$C$8:$W$37,21,0),0)-M31&gt;0,HLOOKUP($F31,Jornada!$X$7:$AD$37,VLOOKUP(INDIRECT($C$5),Jornada!$C$8:$W$37,21,0),0)-M31,0)))</f>
        <v>0</v>
      </c>
      <c r="P31" s="193">
        <f ca="1">IF(HLOOKUP($F31,Jornada!$X$7:$AD$37,VLOOKUP(INDIRECT($C$5),Jornada!$C$8:$W$37,21,0),0)-M31&lt;0,ABS(HLOOKUP($F31,Jornada!$X$7:$AD$37,VLOOKUP(INDIRECT($C$5),Jornada!$C$8:$W$37,21,0),0)-M31),0)</f>
        <v>0</v>
      </c>
      <c r="Q31" s="95">
        <f t="shared" si="0"/>
        <v>0</v>
      </c>
      <c r="R31" s="2">
        <f>IF(Q31&gt;$R$7,1,0)</f>
        <v>0</v>
      </c>
      <c r="S31" s="13"/>
      <c r="T31" s="74"/>
      <c r="U31" s="74"/>
      <c r="X31" s="177"/>
      <c r="AB31" s="177">
        <f t="shared" si="10"/>
        <v>24</v>
      </c>
      <c r="AC31" s="2">
        <f>WEEKDAY(AB31)</f>
        <v>3</v>
      </c>
      <c r="AG31" s="220">
        <f t="shared" si="4"/>
        <v>0</v>
      </c>
      <c r="AH31" s="220">
        <f ca="1">IF(HLOOKUP($F31,Jornada!$X$7:$AD$37,VLOOKUP(INDIRECT($C$5),Jornada!$C$8:$W$37,21,0),0)=0,0,VLOOKUP(INDIRECT($C$5),Jornada!$C$8:$H$37,4,0))</f>
        <v>0</v>
      </c>
      <c r="AI31" s="155">
        <f ca="1">IF(AND(I31=0,J31=0,OR(H31&lt;&gt;0,K31&lt;&gt;0),HLOOKUP($F31,Jornada!$X$7:$AD$37,VLOOKUP(INDIRECT($C$5),Jornada!$C$8:$W$37,21,0),0)&gt;$AK$5,M31&gt;$AK$5),VLOOKUP(INDIRECT($C$5),Jornada!$C$8:$H$37,6,0),IF(AG31&gt;VLOOKUP(INDIRECT($C$5),Jornada!$C$8:$H$37,6,0),IF(VLOOKUP(INDIRECT($C$5),Jornada!$C$8:$H$37,6,0)&lt;AG31,0,ABS(VLOOKUP(INDIRECT($C$5),Jornada!$C$8:$H$37,6,0))-AG31),0))</f>
        <v>0</v>
      </c>
      <c r="AJ31" s="155">
        <f>($AJ$7-K31)+H31</f>
        <v>1</v>
      </c>
      <c r="AK31" s="155">
        <f>IF(AJ31&lt;$AK$7,$AK$7-AJ31,$AI$7)</f>
        <v>0</v>
      </c>
      <c r="AL31" s="155">
        <f ca="1">HLOOKUP($F31,Jornada!$I$5:$V$37,VLOOKUP(INDIRECT($C$5),Jornada!$C$8:$W$37,21,0)+2,0)</f>
        <v>0</v>
      </c>
      <c r="AM31" s="155">
        <f ca="1">HLOOKUP($F31,Jornada!$I$4:$V$37,VLOOKUP(INDIRECT($C$5),Jornada!$C$8:$W$37,21,0)+3,0)</f>
        <v>0</v>
      </c>
      <c r="AN31" s="155">
        <f t="shared" ca="1" si="7"/>
        <v>0</v>
      </c>
      <c r="AO31" s="155">
        <f t="shared" si="8"/>
        <v>0</v>
      </c>
      <c r="AP31" s="155">
        <f t="shared" si="9"/>
        <v>0</v>
      </c>
    </row>
    <row r="32" spans="1:59" s="2" customFormat="1" ht="30" customHeight="1" thickTop="1" thickBot="1" x14ac:dyDescent="0.25">
      <c r="A32" s="1"/>
      <c r="B32"/>
      <c r="C32" s="172" t="str">
        <f>IF(Funcionários!C31=0,"",Funcionários!C31)</f>
        <v/>
      </c>
      <c r="D32"/>
      <c r="E32" s="115">
        <f>Lanç!E32</f>
        <v>25</v>
      </c>
      <c r="F32" s="189" t="str">
        <f>Lanç!F32</f>
        <v>Qua</v>
      </c>
      <c r="G32" s="81"/>
      <c r="H32" s="94"/>
      <c r="I32" s="94"/>
      <c r="J32" s="94"/>
      <c r="K32" s="94"/>
      <c r="L32" s="197"/>
      <c r="M32" s="95">
        <f t="shared" si="1"/>
        <v>0</v>
      </c>
      <c r="N32" s="196"/>
      <c r="O32" s="95">
        <f ca="1">IF(OR(G32=0,G32="Férias",G32="Falta Justificada",G32="Feriado",G32="Folga (DSR)"),0,IF(G32="Falta Injustificada",HLOOKUP($F32,Jornada!$X$7:$AD$37,VLOOKUP(INDIRECT($C$5),Jornada!$C$8:$W$37,21,0),0),IF(HLOOKUP($F32,Jornada!$X$7:$AD$37,VLOOKUP(INDIRECT($C$5),Jornada!$C$8:$W$37,21,0),0)-M32&gt;0,HLOOKUP($F32,Jornada!$X$7:$AD$37,VLOOKUP(INDIRECT($C$5),Jornada!$C$8:$W$37,21,0),0)-M32,0)))</f>
        <v>0</v>
      </c>
      <c r="P32" s="193">
        <f ca="1">IF(HLOOKUP($F32,Jornada!$X$7:$AD$37,VLOOKUP(INDIRECT($C$5),Jornada!$C$8:$W$37,21,0),0)-M32&lt;0,ABS(HLOOKUP($F32,Jornada!$X$7:$AD$37,VLOOKUP(INDIRECT($C$5),Jornada!$C$8:$W$37,21,0),0)-M32),0)</f>
        <v>0</v>
      </c>
      <c r="Q32" s="95">
        <f t="shared" si="0"/>
        <v>0</v>
      </c>
      <c r="R32" s="2">
        <f t="shared" si="2"/>
        <v>0</v>
      </c>
      <c r="S32" s="74"/>
      <c r="T32" s="74"/>
      <c r="U32" s="74"/>
      <c r="X32" s="177"/>
      <c r="AB32" s="177">
        <f t="shared" si="10"/>
        <v>25</v>
      </c>
      <c r="AC32" s="2">
        <f t="shared" si="3"/>
        <v>4</v>
      </c>
      <c r="AG32" s="220">
        <f t="shared" si="4"/>
        <v>0</v>
      </c>
      <c r="AH32" s="220">
        <f ca="1">IF(HLOOKUP($F32,Jornada!$X$7:$AD$37,VLOOKUP(INDIRECT($C$5),Jornada!$C$8:$W$37,21,0),0)=0,0,VLOOKUP(INDIRECT($C$5),Jornada!$C$8:$H$37,4,0))</f>
        <v>0</v>
      </c>
      <c r="AI32" s="155">
        <f ca="1">IF(AND(I32=0,J32=0,OR(H32&lt;&gt;0,K32&lt;&gt;0),HLOOKUP($F32,Jornada!$X$7:$AD$37,VLOOKUP(INDIRECT($C$5),Jornada!$C$8:$W$37,21,0),0)&gt;$AK$5,M32&gt;$AK$5),VLOOKUP(INDIRECT($C$5),Jornada!$C$8:$H$37,6,0),IF(AG32&gt;VLOOKUP(INDIRECT($C$5),Jornada!$C$8:$H$37,6,0),IF(VLOOKUP(INDIRECT($C$5),Jornada!$C$8:$H$37,6,0)&lt;AG32,0,ABS(VLOOKUP(INDIRECT($C$5),Jornada!$C$8:$H$37,6,0))-AG32),0))</f>
        <v>0</v>
      </c>
      <c r="AJ32" s="155">
        <f t="shared" si="5"/>
        <v>1</v>
      </c>
      <c r="AK32" s="155">
        <f t="shared" si="6"/>
        <v>0</v>
      </c>
      <c r="AL32" s="155">
        <f ca="1">HLOOKUP($F32,Jornada!$I$5:$V$37,VLOOKUP(INDIRECT($C$5),Jornada!$C$8:$W$37,21,0)+2,0)</f>
        <v>0</v>
      </c>
      <c r="AM32" s="155">
        <f ca="1">HLOOKUP($F32,Jornada!$I$4:$V$37,VLOOKUP(INDIRECT($C$5),Jornada!$C$8:$W$37,21,0)+3,0)</f>
        <v>0</v>
      </c>
      <c r="AN32" s="155">
        <f t="shared" ca="1" si="7"/>
        <v>0</v>
      </c>
      <c r="AO32" s="155">
        <f t="shared" si="8"/>
        <v>0</v>
      </c>
      <c r="AP32" s="155">
        <f t="shared" si="9"/>
        <v>0</v>
      </c>
    </row>
    <row r="33" spans="1:42" s="2" customFormat="1" ht="30" customHeight="1" thickTop="1" thickBot="1" x14ac:dyDescent="0.25">
      <c r="A33" s="1"/>
      <c r="B33"/>
      <c r="C33" s="172" t="str">
        <f>IF(Funcionários!C32=0,"",Funcionários!C32)</f>
        <v/>
      </c>
      <c r="D33"/>
      <c r="E33" s="115">
        <f>Lanç!E33</f>
        <v>26</v>
      </c>
      <c r="F33" s="189" t="str">
        <f>Lanç!F33</f>
        <v>Qui</v>
      </c>
      <c r="G33" s="81"/>
      <c r="H33" s="94"/>
      <c r="I33" s="94"/>
      <c r="J33" s="94"/>
      <c r="K33" s="94"/>
      <c r="L33" s="197"/>
      <c r="M33" s="95">
        <f t="shared" si="1"/>
        <v>0</v>
      </c>
      <c r="N33" s="196"/>
      <c r="O33" s="95">
        <f ca="1">IF(OR(G33=0,G33="Férias",G33="Falta Justificada",G33="Feriado",G33="Folga (DSR)"),0,IF(G33="Falta Injustificada",HLOOKUP($F33,Jornada!$X$7:$AD$37,VLOOKUP(INDIRECT($C$5),Jornada!$C$8:$W$37,21,0),0),IF(HLOOKUP($F33,Jornada!$X$7:$AD$37,VLOOKUP(INDIRECT($C$5),Jornada!$C$8:$W$37,21,0),0)-M33&gt;0,HLOOKUP($F33,Jornada!$X$7:$AD$37,VLOOKUP(INDIRECT($C$5),Jornada!$C$8:$W$37,21,0),0)-M33,0)))</f>
        <v>0</v>
      </c>
      <c r="P33" s="193">
        <f ca="1">IF(HLOOKUP($F33,Jornada!$X$7:$AD$37,VLOOKUP(INDIRECT($C$5),Jornada!$C$8:$W$37,21,0),0)-M33&lt;0,ABS(HLOOKUP($F33,Jornada!$X$7:$AD$37,VLOOKUP(INDIRECT($C$5),Jornada!$C$8:$W$37,21,0),0)-M33),0)</f>
        <v>0</v>
      </c>
      <c r="Q33" s="95">
        <f t="shared" si="0"/>
        <v>0</v>
      </c>
      <c r="R33" s="2">
        <f t="shared" si="2"/>
        <v>0</v>
      </c>
      <c r="S33" s="74"/>
      <c r="T33" s="74"/>
      <c r="U33" s="74"/>
      <c r="X33" s="177"/>
      <c r="AB33" s="177">
        <f t="shared" si="10"/>
        <v>26</v>
      </c>
      <c r="AC33" s="2">
        <f t="shared" si="3"/>
        <v>5</v>
      </c>
      <c r="AG33" s="220">
        <f t="shared" si="4"/>
        <v>0</v>
      </c>
      <c r="AH33" s="220">
        <f ca="1">IF(HLOOKUP($F33,Jornada!$X$7:$AD$37,VLOOKUP(INDIRECT($C$5),Jornada!$C$8:$W$37,21,0),0)=0,0,VLOOKUP(INDIRECT($C$5),Jornada!$C$8:$H$37,4,0))</f>
        <v>0</v>
      </c>
      <c r="AI33" s="155">
        <f ca="1">IF(AND(I33=0,J33=0,OR(H33&lt;&gt;0,K33&lt;&gt;0),HLOOKUP($F33,Jornada!$X$7:$AD$37,VLOOKUP(INDIRECT($C$5),Jornada!$C$8:$W$37,21,0),0)&gt;$AK$5,M33&gt;$AK$5),VLOOKUP(INDIRECT($C$5),Jornada!$C$8:$H$37,6,0),IF(AG33&gt;VLOOKUP(INDIRECT($C$5),Jornada!$C$8:$H$37,6,0),IF(VLOOKUP(INDIRECT($C$5),Jornada!$C$8:$H$37,6,0)&lt;AG33,0,ABS(VLOOKUP(INDIRECT($C$5),Jornada!$C$8:$H$37,6,0))-AG33),0))</f>
        <v>0</v>
      </c>
      <c r="AJ33" s="155">
        <f t="shared" si="5"/>
        <v>1</v>
      </c>
      <c r="AK33" s="155">
        <f t="shared" si="6"/>
        <v>0</v>
      </c>
      <c r="AL33" s="155">
        <f ca="1">HLOOKUP($F33,Jornada!$I$5:$V$37,VLOOKUP(INDIRECT($C$5),Jornada!$C$8:$W$37,21,0)+2,0)</f>
        <v>0</v>
      </c>
      <c r="AM33" s="155">
        <f ca="1">HLOOKUP($F33,Jornada!$I$4:$V$37,VLOOKUP(INDIRECT($C$5),Jornada!$C$8:$W$37,21,0)+3,0)</f>
        <v>0</v>
      </c>
      <c r="AN33" s="155">
        <f t="shared" ca="1" si="7"/>
        <v>0</v>
      </c>
      <c r="AO33" s="155">
        <f t="shared" si="8"/>
        <v>0</v>
      </c>
      <c r="AP33" s="155">
        <f t="shared" si="9"/>
        <v>0</v>
      </c>
    </row>
    <row r="34" spans="1:42" s="2" customFormat="1" ht="30" customHeight="1" thickTop="1" thickBot="1" x14ac:dyDescent="0.25">
      <c r="A34" s="1"/>
      <c r="B34"/>
      <c r="C34" s="172" t="str">
        <f>IF(Funcionários!C33=0,"",Funcionários!C33)</f>
        <v/>
      </c>
      <c r="D34"/>
      <c r="E34" s="115">
        <f>Lanç!E34</f>
        <v>27</v>
      </c>
      <c r="F34" s="189" t="str">
        <f>Lanç!F34</f>
        <v>Sex</v>
      </c>
      <c r="G34" s="81"/>
      <c r="H34" s="94"/>
      <c r="I34" s="94"/>
      <c r="J34" s="94"/>
      <c r="K34" s="94"/>
      <c r="L34" s="197"/>
      <c r="M34" s="95">
        <f t="shared" si="1"/>
        <v>0</v>
      </c>
      <c r="N34" s="196"/>
      <c r="O34" s="95">
        <f ca="1">IF(OR(G34=0,G34="Férias",G34="Falta Justificada",G34="Feriado",G34="Folga (DSR)"),0,IF(G34="Falta Injustificada",HLOOKUP($F34,Jornada!$X$7:$AD$37,VLOOKUP(INDIRECT($C$5),Jornada!$C$8:$W$37,21,0),0),IF(HLOOKUP($F34,Jornada!$X$7:$AD$37,VLOOKUP(INDIRECT($C$5),Jornada!$C$8:$W$37,21,0),0)-M34&gt;0,HLOOKUP($F34,Jornada!$X$7:$AD$37,VLOOKUP(INDIRECT($C$5),Jornada!$C$8:$W$37,21,0),0)-M34,0)))</f>
        <v>0</v>
      </c>
      <c r="P34" s="193">
        <f ca="1">IF(HLOOKUP($F34,Jornada!$X$7:$AD$37,VLOOKUP(INDIRECT($C$5),Jornada!$C$8:$W$37,21,0),0)-M34&lt;0,ABS(HLOOKUP($F34,Jornada!$X$7:$AD$37,VLOOKUP(INDIRECT($C$5),Jornada!$C$8:$W$37,21,0),0)-M34),0)</f>
        <v>0</v>
      </c>
      <c r="Q34" s="95">
        <f t="shared" si="0"/>
        <v>0</v>
      </c>
      <c r="R34" s="2">
        <f t="shared" si="2"/>
        <v>0</v>
      </c>
      <c r="S34" s="74"/>
      <c r="T34" s="74"/>
      <c r="U34" s="74"/>
      <c r="X34" s="177"/>
      <c r="AB34" s="177">
        <f t="shared" si="10"/>
        <v>27</v>
      </c>
      <c r="AC34" s="2">
        <f t="shared" si="3"/>
        <v>6</v>
      </c>
      <c r="AG34" s="220">
        <f t="shared" si="4"/>
        <v>0</v>
      </c>
      <c r="AH34" s="220">
        <f ca="1">IF(HLOOKUP($F34,Jornada!$X$7:$AD$37,VLOOKUP(INDIRECT($C$5),Jornada!$C$8:$W$37,21,0),0)=0,0,VLOOKUP(INDIRECT($C$5),Jornada!$C$8:$H$37,4,0))</f>
        <v>0</v>
      </c>
      <c r="AI34" s="155">
        <f ca="1">IF(AND(I34=0,J34=0,OR(H34&lt;&gt;0,K34&lt;&gt;0),HLOOKUP($F34,Jornada!$X$7:$AD$37,VLOOKUP(INDIRECT($C$5),Jornada!$C$8:$W$37,21,0),0)&gt;$AK$5,M34&gt;$AK$5),VLOOKUP(INDIRECT($C$5),Jornada!$C$8:$H$37,6,0),IF(AG34&gt;VLOOKUP(INDIRECT($C$5),Jornada!$C$8:$H$37,6,0),IF(VLOOKUP(INDIRECT($C$5),Jornada!$C$8:$H$37,6,0)&lt;AG34,0,ABS(VLOOKUP(INDIRECT($C$5),Jornada!$C$8:$H$37,6,0))-AG34),0))</f>
        <v>0</v>
      </c>
      <c r="AJ34" s="155">
        <f t="shared" si="5"/>
        <v>1</v>
      </c>
      <c r="AK34" s="155">
        <f t="shared" si="6"/>
        <v>0</v>
      </c>
      <c r="AL34" s="155">
        <f ca="1">HLOOKUP($F34,Jornada!$I$5:$V$37,VLOOKUP(INDIRECT($C$5),Jornada!$C$8:$W$37,21,0)+2,0)</f>
        <v>0</v>
      </c>
      <c r="AM34" s="155">
        <f ca="1">HLOOKUP($F34,Jornada!$I$4:$V$37,VLOOKUP(INDIRECT($C$5),Jornada!$C$8:$W$37,21,0)+3,0)</f>
        <v>0</v>
      </c>
      <c r="AN34" s="155">
        <f t="shared" ca="1" si="7"/>
        <v>0</v>
      </c>
      <c r="AO34" s="155">
        <f t="shared" si="8"/>
        <v>0</v>
      </c>
      <c r="AP34" s="155">
        <f t="shared" si="9"/>
        <v>0</v>
      </c>
    </row>
    <row r="35" spans="1:42" s="2" customFormat="1" ht="30" customHeight="1" thickTop="1" thickBot="1" x14ac:dyDescent="0.25">
      <c r="A35" s="1"/>
      <c r="B35"/>
      <c r="C35" s="172" t="str">
        <f>IF(Funcionários!C34=0,"",Funcionários!C34)</f>
        <v/>
      </c>
      <c r="D35"/>
      <c r="E35" s="115">
        <f>Lanç!E35</f>
        <v>28</v>
      </c>
      <c r="F35" s="189" t="str">
        <f>Lanç!F35</f>
        <v>Sáb</v>
      </c>
      <c r="G35" s="81"/>
      <c r="H35" s="94"/>
      <c r="I35" s="94"/>
      <c r="J35" s="94"/>
      <c r="K35" s="94"/>
      <c r="L35" s="197"/>
      <c r="M35" s="95">
        <f t="shared" si="1"/>
        <v>0</v>
      </c>
      <c r="N35" s="196"/>
      <c r="O35" s="95">
        <f ca="1">IF(OR(G35=0,G35="Férias",G35="Falta Justificada",G35="Feriado",G35="Folga (DSR)"),0,IF(G35="Falta Injustificada",HLOOKUP($F35,Jornada!$X$7:$AD$37,VLOOKUP(INDIRECT($C$5),Jornada!$C$8:$W$37,21,0),0),IF(HLOOKUP($F35,Jornada!$X$7:$AD$37,VLOOKUP(INDIRECT($C$5),Jornada!$C$8:$W$37,21,0),0)-M35&gt;0,HLOOKUP($F35,Jornada!$X$7:$AD$37,VLOOKUP(INDIRECT($C$5),Jornada!$C$8:$W$37,21,0),0)-M35,0)))</f>
        <v>0</v>
      </c>
      <c r="P35" s="193">
        <f ca="1">IF(HLOOKUP($F35,Jornada!$X$7:$AD$37,VLOOKUP(INDIRECT($C$5),Jornada!$C$8:$W$37,21,0),0)-M35&lt;0,ABS(HLOOKUP($F35,Jornada!$X$7:$AD$37,VLOOKUP(INDIRECT($C$5),Jornada!$C$8:$W$37,21,0),0)-M35),0)</f>
        <v>0</v>
      </c>
      <c r="Q35" s="95">
        <f t="shared" si="0"/>
        <v>0</v>
      </c>
      <c r="R35" s="2">
        <f t="shared" si="2"/>
        <v>0</v>
      </c>
      <c r="S35"/>
      <c r="T35"/>
      <c r="U35"/>
      <c r="X35" s="177"/>
      <c r="AB35" s="177">
        <f>IF(MONTH(AB34+1)&lt;&gt;MONTH(AB34),"",AB34+1)</f>
        <v>28</v>
      </c>
      <c r="AC35" s="2">
        <f t="shared" si="3"/>
        <v>7</v>
      </c>
      <c r="AG35" s="220">
        <f t="shared" si="4"/>
        <v>0</v>
      </c>
      <c r="AH35" s="220">
        <f ca="1">IF(HLOOKUP($F35,Jornada!$X$7:$AD$37,VLOOKUP(INDIRECT($C$5),Jornada!$C$8:$W$37,21,0),0)=0,0,VLOOKUP(INDIRECT($C$5),Jornada!$C$8:$H$37,4,0))</f>
        <v>0</v>
      </c>
      <c r="AI35" s="155">
        <f ca="1">IF(AND(I35=0,J35=0,OR(H35&lt;&gt;0,K35&lt;&gt;0),HLOOKUP($F35,Jornada!$X$7:$AD$37,VLOOKUP(INDIRECT($C$5),Jornada!$C$8:$W$37,21,0),0)&gt;$AK$5,M35&gt;$AK$5),VLOOKUP(INDIRECT($C$5),Jornada!$C$8:$H$37,6,0),IF(AG35&gt;VLOOKUP(INDIRECT($C$5),Jornada!$C$8:$H$37,6,0),IF(VLOOKUP(INDIRECT($C$5),Jornada!$C$8:$H$37,6,0)&lt;AG35,0,ABS(VLOOKUP(INDIRECT($C$5),Jornada!$C$8:$H$37,6,0))-AG35),0))</f>
        <v>0</v>
      </c>
      <c r="AJ35" s="155">
        <f t="shared" si="5"/>
        <v>1</v>
      </c>
      <c r="AK35" s="155">
        <f t="shared" si="6"/>
        <v>0</v>
      </c>
      <c r="AL35" s="155">
        <f ca="1">HLOOKUP($F35,Jornada!$I$5:$V$37,VLOOKUP(INDIRECT($C$5),Jornada!$C$8:$W$37,21,0)+2,0)</f>
        <v>0</v>
      </c>
      <c r="AM35" s="155">
        <f ca="1">HLOOKUP($F35,Jornada!$I$4:$V$37,VLOOKUP(INDIRECT($C$5),Jornada!$C$8:$W$37,21,0)+3,0)</f>
        <v>0</v>
      </c>
      <c r="AN35" s="155">
        <f t="shared" ca="1" si="7"/>
        <v>0</v>
      </c>
      <c r="AO35" s="155">
        <f t="shared" si="8"/>
        <v>0</v>
      </c>
      <c r="AP35" s="155">
        <f t="shared" si="9"/>
        <v>0</v>
      </c>
    </row>
    <row r="36" spans="1:42" s="2" customFormat="1" ht="30" customHeight="1" thickTop="1" thickBot="1" x14ac:dyDescent="0.25">
      <c r="A36" s="1"/>
      <c r="B36"/>
      <c r="C36" s="172" t="str">
        <f>IF(Funcionários!C35=0,"",Funcionários!C35)</f>
        <v/>
      </c>
      <c r="D36"/>
      <c r="E36" s="115">
        <f>Lanç!E36</f>
        <v>29</v>
      </c>
      <c r="F36" s="189" t="str">
        <f>Lanç!F36</f>
        <v>Dom</v>
      </c>
      <c r="G36" s="81"/>
      <c r="H36" s="94"/>
      <c r="I36" s="94"/>
      <c r="J36" s="94"/>
      <c r="K36" s="94"/>
      <c r="L36" s="197"/>
      <c r="M36" s="95">
        <f t="shared" si="1"/>
        <v>0</v>
      </c>
      <c r="N36" s="196"/>
      <c r="O36" s="95">
        <f ca="1">IF(OR(G36=0,G36="Férias",G36="Falta Justificada",G36="Feriado",G36="Folga (DSR)"),0,IF(G36="Falta Injustificada",HLOOKUP($F36,Jornada!$X$7:$AD$37,VLOOKUP(INDIRECT($C$5),Jornada!$C$8:$W$37,21,0),0),IF(HLOOKUP($F36,Jornada!$X$7:$AD$37,VLOOKUP(INDIRECT($C$5),Jornada!$C$8:$W$37,21,0),0)-M36&gt;0,HLOOKUP($F36,Jornada!$X$7:$AD$37,VLOOKUP(INDIRECT($C$5),Jornada!$C$8:$W$37,21,0),0)-M36,0)))</f>
        <v>0</v>
      </c>
      <c r="P36" s="193">
        <f ca="1">IF(HLOOKUP($F36,Jornada!$X$7:$AD$37,VLOOKUP(INDIRECT($C$5),Jornada!$C$8:$W$37,21,0),0)-M36&lt;0,ABS(HLOOKUP($F36,Jornada!$X$7:$AD$37,VLOOKUP(INDIRECT($C$5),Jornada!$C$8:$W$37,21,0),0)-M36),0)</f>
        <v>0</v>
      </c>
      <c r="Q36" s="95">
        <f t="shared" si="0"/>
        <v>0</v>
      </c>
      <c r="R36" s="2">
        <f t="shared" si="2"/>
        <v>0</v>
      </c>
      <c r="S36"/>
      <c r="T36"/>
      <c r="U36"/>
      <c r="X36" s="177"/>
      <c r="AB36" s="177">
        <f>IF(MONTH(AB35+1)&lt;&gt;MONTH(AB35),"",IF(AB35="","",AB35+1))</f>
        <v>29</v>
      </c>
      <c r="AC36" s="2">
        <f>IF(ISERROR(WEEKDAY(AB36)),"",WEEKDAY(AB36))</f>
        <v>1</v>
      </c>
      <c r="AG36" s="220">
        <f t="shared" si="4"/>
        <v>0</v>
      </c>
      <c r="AH36" s="220">
        <f ca="1">IF(HLOOKUP($F36,Jornada!$X$7:$AD$37,VLOOKUP(INDIRECT($C$5),Jornada!$C$8:$W$37,21,0),0)=0,0,VLOOKUP(INDIRECT($C$5),Jornada!$C$8:$H$37,4,0))</f>
        <v>0</v>
      </c>
      <c r="AI36" s="155">
        <f ca="1">IF(AND(I36=0,J36=0,OR(H36&lt;&gt;0,K36&lt;&gt;0),HLOOKUP($F36,Jornada!$X$7:$AD$37,VLOOKUP(INDIRECT($C$5),Jornada!$C$8:$W$37,21,0),0)&gt;$AK$5,M36&gt;$AK$5),VLOOKUP(INDIRECT($C$5),Jornada!$C$8:$H$37,6,0),IF(AG36&gt;VLOOKUP(INDIRECT($C$5),Jornada!$C$8:$H$37,6,0),IF(VLOOKUP(INDIRECT($C$5),Jornada!$C$8:$H$37,6,0)&lt;AG36,0,ABS(VLOOKUP(INDIRECT($C$5),Jornada!$C$8:$H$37,6,0))-AG36),0))</f>
        <v>0</v>
      </c>
      <c r="AJ36" s="155">
        <f t="shared" si="5"/>
        <v>1</v>
      </c>
      <c r="AK36" s="155">
        <f t="shared" si="6"/>
        <v>0</v>
      </c>
      <c r="AL36" s="155">
        <f ca="1">HLOOKUP($F36,Jornada!$I$5:$V$37,VLOOKUP(INDIRECT($C$5),Jornada!$C$8:$W$37,21,0)+2,0)</f>
        <v>0</v>
      </c>
      <c r="AM36" s="155">
        <f ca="1">HLOOKUP($F36,Jornada!$I$4:$V$37,VLOOKUP(INDIRECT($C$5),Jornada!$C$8:$W$37,21,0)+3,0)</f>
        <v>0</v>
      </c>
      <c r="AN36" s="155">
        <f t="shared" ca="1" si="7"/>
        <v>0</v>
      </c>
      <c r="AO36" s="155">
        <f t="shared" si="8"/>
        <v>0</v>
      </c>
      <c r="AP36" s="155">
        <f t="shared" si="9"/>
        <v>0</v>
      </c>
    </row>
    <row r="37" spans="1:42" s="2" customFormat="1" ht="30" customHeight="1" thickTop="1" thickBot="1" x14ac:dyDescent="0.25">
      <c r="A37" s="1"/>
      <c r="B37"/>
      <c r="C37" s="172" t="str">
        <f>IF(Funcionários!C36=0,"",Funcionários!C36)</f>
        <v/>
      </c>
      <c r="D37"/>
      <c r="E37" s="115">
        <f>Lanç!E37</f>
        <v>30</v>
      </c>
      <c r="F37" s="189" t="str">
        <f>Lanç!F37</f>
        <v>Seg</v>
      </c>
      <c r="G37" s="81"/>
      <c r="H37" s="94"/>
      <c r="I37" s="94"/>
      <c r="J37" s="94"/>
      <c r="K37" s="94"/>
      <c r="L37" s="197"/>
      <c r="M37" s="95">
        <f t="shared" si="1"/>
        <v>0</v>
      </c>
      <c r="N37" s="196"/>
      <c r="O37" s="95">
        <f ca="1">IF(OR(G37=0,G37="Férias",G37="Falta Justificada",G37="Feriado",G37="Folga (DSR)"),0,IF(G37="Falta Injustificada",HLOOKUP($F37,Jornada!$X$7:$AD$37,VLOOKUP(INDIRECT($C$5),Jornada!$C$8:$W$37,21,0),0),IF(HLOOKUP($F37,Jornada!$X$7:$AD$37,VLOOKUP(INDIRECT($C$5),Jornada!$C$8:$W$37,21,0),0)-M37&gt;0,HLOOKUP($F37,Jornada!$X$7:$AD$37,VLOOKUP(INDIRECT($C$5),Jornada!$C$8:$W$37,21,0),0)-M37,0)))</f>
        <v>0</v>
      </c>
      <c r="P37" s="193">
        <f ca="1">IF(HLOOKUP($F37,Jornada!$X$7:$AD$37,VLOOKUP(INDIRECT($C$5),Jornada!$C$8:$W$37,21,0),0)-M37&lt;0,ABS(HLOOKUP($F37,Jornada!$X$7:$AD$37,VLOOKUP(INDIRECT($C$5),Jornada!$C$8:$W$37,21,0),0)-M37),0)</f>
        <v>0</v>
      </c>
      <c r="Q37" s="95">
        <f t="shared" si="0"/>
        <v>0</v>
      </c>
      <c r="R37" s="2">
        <f t="shared" si="2"/>
        <v>0</v>
      </c>
      <c r="S37"/>
      <c r="T37"/>
      <c r="U37"/>
      <c r="X37" s="177"/>
      <c r="AB37" s="177">
        <f>IF(AB36="","",IF(MONTH(AB36+1)&lt;&gt;MONTH(AB36),"",AB36+1))</f>
        <v>30</v>
      </c>
      <c r="AC37" s="2">
        <f>IF(ISERROR(WEEKDAY(AB37)),"",WEEKDAY(AB37))</f>
        <v>2</v>
      </c>
      <c r="AG37" s="220">
        <f t="shared" si="4"/>
        <v>0</v>
      </c>
      <c r="AH37" s="220">
        <f ca="1">IF(HLOOKUP($F37,Jornada!$X$7:$AD$37,VLOOKUP(INDIRECT($C$5),Jornada!$C$8:$W$37,21,0),0)=0,0,VLOOKUP(INDIRECT($C$5),Jornada!$C$8:$H$37,4,0))</f>
        <v>0</v>
      </c>
      <c r="AI37" s="155">
        <f ca="1">IF(AND(I37=0,J37=0,OR(H37&lt;&gt;0,K37&lt;&gt;0),HLOOKUP($F37,Jornada!$X$7:$AD$37,VLOOKUP(INDIRECT($C$5),Jornada!$C$8:$W$37,21,0),0)&gt;$AK$5,M37&gt;$AK$5),VLOOKUP(INDIRECT($C$5),Jornada!$C$8:$H$37,6,0),IF(AG37&gt;VLOOKUP(INDIRECT($C$5),Jornada!$C$8:$H$37,6,0),IF(VLOOKUP(INDIRECT($C$5),Jornada!$C$8:$H$37,6,0)&lt;AG37,0,ABS(VLOOKUP(INDIRECT($C$5),Jornada!$C$8:$H$37,6,0))-AG37),0))</f>
        <v>0</v>
      </c>
      <c r="AJ37" s="155">
        <f t="shared" si="5"/>
        <v>1</v>
      </c>
      <c r="AK37" s="155">
        <f t="shared" si="6"/>
        <v>0</v>
      </c>
      <c r="AL37" s="155">
        <f ca="1">HLOOKUP($F37,Jornada!$I$5:$V$37,VLOOKUP(INDIRECT($C$5),Jornada!$C$8:$W$37,21,0)+2,0)</f>
        <v>0</v>
      </c>
      <c r="AM37" s="155">
        <f ca="1">HLOOKUP($F37,Jornada!$I$4:$V$37,VLOOKUP(INDIRECT($C$5),Jornada!$C$8:$W$37,21,0)+3,0)</f>
        <v>0</v>
      </c>
      <c r="AN37" s="155">
        <f t="shared" ca="1" si="7"/>
        <v>0</v>
      </c>
      <c r="AO37" s="155">
        <f t="shared" si="8"/>
        <v>0</v>
      </c>
      <c r="AP37" s="155">
        <f t="shared" si="9"/>
        <v>0</v>
      </c>
    </row>
    <row r="38" spans="1:42" s="2" customFormat="1" ht="30" customHeight="1" thickTop="1" thickBot="1" x14ac:dyDescent="0.25">
      <c r="A38" s="1"/>
      <c r="B38"/>
      <c r="C38"/>
      <c r="D38" s="2">
        <f t="shared" ref="D38" si="11">IF(D37=7,1,D37+1)</f>
        <v>1</v>
      </c>
      <c r="E38" s="210">
        <f>Lanç!E38</f>
        <v>31</v>
      </c>
      <c r="F38" s="210" t="str">
        <f>Lanç!F38</f>
        <v>Ter</v>
      </c>
      <c r="G38" s="81"/>
      <c r="H38" s="94"/>
      <c r="I38" s="94"/>
      <c r="J38" s="94"/>
      <c r="K38" s="94"/>
      <c r="L38" s="197"/>
      <c r="M38" s="95">
        <f t="shared" si="1"/>
        <v>0</v>
      </c>
      <c r="N38" s="196"/>
      <c r="O38" s="95">
        <f ca="1">IF(OR(G38=0,G38="Férias",G38="Falta Justificada",G38="Feriado",G38="Folga (DSR)"),0,IF(G38="Falta Injustificada",HLOOKUP($F38,Jornada!$X$7:$AD$37,VLOOKUP(INDIRECT($C$5),Jornada!$C$8:$W$37,21,0),0),IF(HLOOKUP($F38,Jornada!$X$7:$AD$37,VLOOKUP(INDIRECT($C$5),Jornada!$C$8:$W$37,21,0),0)-M38&gt;0,HLOOKUP($F38,Jornada!$X$7:$AD$37,VLOOKUP(INDIRECT($C$5),Jornada!$C$8:$W$37,21,0),0)-M38,0)))</f>
        <v>0</v>
      </c>
      <c r="P38" s="201">
        <f ca="1">IF(HLOOKUP($F38,Jornada!$X$7:$AD$37,VLOOKUP(INDIRECT($C$5),Jornada!$C$8:$W$37,21,0),0)-M38&lt;0,ABS(HLOOKUP($F38,Jornada!$X$7:$AD$37,VLOOKUP(INDIRECT($C$5),Jornada!$C$8:$W$37,21,0),0)-M38),0)</f>
        <v>0</v>
      </c>
      <c r="Q38" s="95">
        <f t="shared" si="0"/>
        <v>0</v>
      </c>
      <c r="R38" s="2">
        <f t="shared" si="2"/>
        <v>0</v>
      </c>
      <c r="X38" s="177"/>
      <c r="AB38" s="177">
        <f>IF(AB37="","",IF(MONTH(AB37+1)&lt;&gt;MONTH(AB37),"",AB37+1))</f>
        <v>31</v>
      </c>
      <c r="AC38" s="2">
        <f>IF(ISERROR(WEEKDAY(AB38)),"",WEEKDAY(AB38))</f>
        <v>3</v>
      </c>
      <c r="AG38" s="220">
        <f t="shared" si="4"/>
        <v>0</v>
      </c>
      <c r="AH38" s="220">
        <f ca="1">IF(HLOOKUP($F38,Jornada!$X$7:$AD$37,VLOOKUP(INDIRECT($C$5),Jornada!$C$8:$W$37,21,0),0)=0,0,VLOOKUP(INDIRECT($C$5),Jornada!$C$8:$H$37,4,0))</f>
        <v>0</v>
      </c>
      <c r="AI38" s="155">
        <f ca="1">IF(AND(I38=0,J38=0,OR(H38&lt;&gt;0,K38&lt;&gt;0),HLOOKUP($F38,Jornada!$X$7:$AD$37,VLOOKUP(INDIRECT($C$5),Jornada!$C$8:$W$37,21,0),0)&gt;$AK$5,M38&gt;$AK$5),VLOOKUP(INDIRECT($C$5),Jornada!$C$8:$H$37,6,0),IF(AG38&gt;VLOOKUP(INDIRECT($C$5),Jornada!$C$8:$H$37,6,0),IF(VLOOKUP(INDIRECT($C$5),Jornada!$C$8:$H$37,6,0)&lt;AG38,0,ABS(VLOOKUP(INDIRECT($C$5),Jornada!$C$8:$H$37,6,0))-AG38),0))</f>
        <v>0</v>
      </c>
      <c r="AJ38" s="155">
        <f t="shared" si="5"/>
        <v>1</v>
      </c>
      <c r="AK38" s="155">
        <f t="shared" si="6"/>
        <v>0</v>
      </c>
      <c r="AL38" s="155">
        <f ca="1">HLOOKUP($F38,Jornada!$I$5:$V$37,VLOOKUP(INDIRECT($C$5),Jornada!$C$8:$W$37,21,0)+2,0)</f>
        <v>0</v>
      </c>
      <c r="AM38" s="155">
        <f ca="1">HLOOKUP($F38,Jornada!$I$4:$V$37,VLOOKUP(INDIRECT($C$5),Jornada!$C$8:$W$37,21,0)+3,0)</f>
        <v>0</v>
      </c>
      <c r="AN38" s="155">
        <f t="shared" ca="1" si="7"/>
        <v>0</v>
      </c>
      <c r="AO38" s="155">
        <f t="shared" si="8"/>
        <v>0</v>
      </c>
      <c r="AP38" s="155">
        <f t="shared" si="9"/>
        <v>0</v>
      </c>
    </row>
    <row r="39" spans="1:42" s="2" customFormat="1" ht="30" customHeight="1" thickTop="1" x14ac:dyDescent="0.2">
      <c r="A39" s="9"/>
      <c r="B39" s="234"/>
      <c r="C39" s="234"/>
      <c r="D39" s="234"/>
      <c r="E39" s="236">
        <f>EOMONTH(AB8,0)</f>
        <v>31</v>
      </c>
      <c r="F39" s="234">
        <f>DAY(E39)</f>
        <v>31</v>
      </c>
      <c r="G39" s="237">
        <f>COUNTIF(F8:F38,"Dom")+COUNTIF(G8:G38,"Feriado")</f>
        <v>5</v>
      </c>
      <c r="H39" s="238">
        <f>(SUM(Q8:Q38)/(F39-G39))*G39</f>
        <v>0</v>
      </c>
      <c r="I39" s="234"/>
      <c r="J39" s="234"/>
      <c r="K39" s="234"/>
      <c r="L39" s="234"/>
      <c r="M39" s="234"/>
      <c r="Z39" s="219"/>
    </row>
    <row r="40" spans="1:42" s="2" customFormat="1" ht="30" customHeight="1" x14ac:dyDescent="0.2">
      <c r="A40" s="9"/>
      <c r="B40" s="234"/>
      <c r="C40" s="239"/>
      <c r="D40" s="239"/>
      <c r="E40" s="239"/>
      <c r="F40" s="240"/>
      <c r="G40" s="241"/>
      <c r="H40" s="234">
        <f ca="1">IF(INDIRECT($C$5)="",0,VLOOKUP(INDIRECT($C$5),Funcionários!$C$7:$E$36,3,0)+IF(VLOOKUP(INDIRECT($C$5),Jornada!$C$8:$E$37,2,0)="Sim",IF('P Gerais'!$I$8&lt;&gt;0,VLOOKUP(INDIRECT($C$5),Funcionários!$C$7:$E$36,3,0)*'P Gerais'!$L$14,'P Gerais'!$I$8*'P Gerais'!$L$14),0)+IF(VLOOKUP(INDIRECT($C$5),Jornada!$C$8:$E$37,3,0)="Sim",VLOOKUP(INDIRECT($C$5),Funcionários!$C$7:$E$36,3,0)*'P Gerais'!$K$14,0))</f>
        <v>0</v>
      </c>
      <c r="I40" s="234">
        <f ca="1">VLOOKUP(INDIRECT($C$5),Jornada!$C$8:$AF$37,30,0)</f>
        <v>0</v>
      </c>
      <c r="J40" s="234" t="s">
        <v>298</v>
      </c>
      <c r="K40" s="242">
        <f ca="1">IF(I40=0,0,H40/I40)</f>
        <v>0</v>
      </c>
      <c r="L40" s="234"/>
      <c r="M40" s="234"/>
      <c r="Z40" s="219"/>
    </row>
    <row r="41" spans="1:42" s="2" customFormat="1" ht="30" customHeight="1" x14ac:dyDescent="0.2">
      <c r="A41" s="9"/>
      <c r="B41" s="234" t="s">
        <v>52</v>
      </c>
      <c r="C41" s="292" t="s">
        <v>75</v>
      </c>
      <c r="D41" s="292"/>
      <c r="E41" s="292"/>
      <c r="F41" s="243">
        <f t="shared" ref="F41:F47" si="12">SUMIFS($Q$8:$Q$38,$F$8:$F$38,$B41,$G$8:$G$38,"Normal")</f>
        <v>0</v>
      </c>
      <c r="G41" s="244">
        <f>IF($M$41="Sistema de banco de horas",0,'P Gerais'!$C$14)</f>
        <v>0.5</v>
      </c>
      <c r="H41" s="245">
        <f t="shared" ref="H41:H48" ca="1" si="13">IF($M$41="Sistema de banco de horas",0,$K$40*(1+G41)*(F41*24))</f>
        <v>0</v>
      </c>
      <c r="I41" s="243">
        <f t="shared" ref="I41:I47" ca="1" si="14">IF(SUMIF($F$8:$F$38,$B41,$Q$8:$Q$38)-SUMIFS($M$8:$M$38,$F$8:$F$38,$B41,$G$8:$G$38,"Feriado")-SUMIFS($M$8:$M$38,$F$8:$F$38,$B41,$G$8:$G$38,"Folga (DSR)")-SUMIFS($M$8:$M$38,$F$8:$F$38,$B41,$G$8:$G$38,"Férias")-SUMIF($F$8:$F$38,$B41,$AN$8:$AN$38)-SUMIF($F$8:$F$38,$B41,$AO$8:$AO$38)&lt;0,0,SUMIF($F$8:$F$38,$B41,$Q$8:$Q$38)-SUMIFS($M$8:$M$38,$F$8:$F$38,$B41,$G$8:$G$38,"Feriado")-SUMIFS($M$8:$M$38,$F$8:$F$38,$B41,$G$8:$G$38,"Folga (DSR)")-SUMIFS($M$8:$M$38,$F$8:$F$38,$B41,$G$8:$G$38,"Férias")-SUMIF($F$8:$F$38,$B41,$AN$8:$AN$38)-SUMIF($F$8:$F$38,$B41,$AO$8:$AO$38))</f>
        <v>0</v>
      </c>
      <c r="J41" s="245">
        <f ca="1">H41</f>
        <v>0</v>
      </c>
      <c r="K41" s="234"/>
      <c r="L41" s="234"/>
      <c r="M41" s="234">
        <f>'P Gerais'!I10</f>
        <v>0</v>
      </c>
      <c r="Z41" s="219"/>
    </row>
    <row r="42" spans="1:42" s="2" customFormat="1" ht="30" customHeight="1" x14ac:dyDescent="0.2">
      <c r="A42" s="9"/>
      <c r="B42" s="234" t="s">
        <v>53</v>
      </c>
      <c r="C42" s="292" t="s">
        <v>76</v>
      </c>
      <c r="D42" s="292"/>
      <c r="E42" s="292"/>
      <c r="F42" s="243">
        <f t="shared" si="12"/>
        <v>0</v>
      </c>
      <c r="G42" s="244">
        <f>IF($M$41="Sistema de banco de horas",0,'P Gerais'!$C$14)</f>
        <v>0.5</v>
      </c>
      <c r="H42" s="245">
        <f t="shared" ca="1" si="13"/>
        <v>0</v>
      </c>
      <c r="I42" s="243">
        <f t="shared" ca="1" si="14"/>
        <v>0</v>
      </c>
      <c r="J42" s="245">
        <f t="shared" ref="J42:J51" ca="1" si="15">H42</f>
        <v>0</v>
      </c>
      <c r="K42" s="234"/>
      <c r="L42" s="234"/>
      <c r="M42" s="234"/>
      <c r="Z42" s="219"/>
    </row>
    <row r="43" spans="1:42" s="2" customFormat="1" ht="30" customHeight="1" x14ac:dyDescent="0.2">
      <c r="A43" s="9"/>
      <c r="B43" s="234" t="s">
        <v>54</v>
      </c>
      <c r="C43" s="292" t="s">
        <v>77</v>
      </c>
      <c r="D43" s="292"/>
      <c r="E43" s="292"/>
      <c r="F43" s="243">
        <f t="shared" si="12"/>
        <v>0</v>
      </c>
      <c r="G43" s="244">
        <f>IF($M$41="Sistema de banco de horas",0,'P Gerais'!$C$14)</f>
        <v>0.5</v>
      </c>
      <c r="H43" s="245">
        <f t="shared" ca="1" si="13"/>
        <v>0</v>
      </c>
      <c r="I43" s="243">
        <f t="shared" ca="1" si="14"/>
        <v>0</v>
      </c>
      <c r="J43" s="245">
        <f t="shared" ca="1" si="15"/>
        <v>0</v>
      </c>
      <c r="K43" s="234"/>
      <c r="L43" s="234"/>
      <c r="M43" s="234"/>
      <c r="Z43" s="219"/>
    </row>
    <row r="44" spans="1:42" s="2" customFormat="1" ht="30" customHeight="1" x14ac:dyDescent="0.2">
      <c r="A44" s="9"/>
      <c r="B44" s="234" t="s">
        <v>55</v>
      </c>
      <c r="C44" s="292" t="s">
        <v>78</v>
      </c>
      <c r="D44" s="292"/>
      <c r="E44" s="292"/>
      <c r="F44" s="243">
        <f t="shared" si="12"/>
        <v>0</v>
      </c>
      <c r="G44" s="244">
        <f>IF($M$41="Sistema de banco de horas",0,'P Gerais'!$C$14)</f>
        <v>0.5</v>
      </c>
      <c r="H44" s="245">
        <f t="shared" ca="1" si="13"/>
        <v>0</v>
      </c>
      <c r="I44" s="243">
        <f t="shared" ca="1" si="14"/>
        <v>0</v>
      </c>
      <c r="J44" s="245">
        <f t="shared" ca="1" si="15"/>
        <v>0</v>
      </c>
      <c r="K44" s="234"/>
      <c r="L44" s="234"/>
      <c r="M44" s="234"/>
      <c r="Z44" s="219"/>
    </row>
    <row r="45" spans="1:42" s="2" customFormat="1" ht="30" customHeight="1" x14ac:dyDescent="0.2">
      <c r="A45" s="9"/>
      <c r="B45" s="234" t="s">
        <v>56</v>
      </c>
      <c r="C45" s="292" t="s">
        <v>79</v>
      </c>
      <c r="D45" s="292"/>
      <c r="E45" s="292"/>
      <c r="F45" s="243">
        <f t="shared" si="12"/>
        <v>0</v>
      </c>
      <c r="G45" s="244">
        <f>IF($M$41="Sistema de banco de horas",0,'P Gerais'!$C$14)</f>
        <v>0.5</v>
      </c>
      <c r="H45" s="245">
        <f t="shared" ca="1" si="13"/>
        <v>0</v>
      </c>
      <c r="I45" s="243">
        <f t="shared" ca="1" si="14"/>
        <v>0</v>
      </c>
      <c r="J45" s="245">
        <f t="shared" ca="1" si="15"/>
        <v>0</v>
      </c>
      <c r="K45" s="234"/>
      <c r="L45" s="234"/>
      <c r="M45" s="234"/>
      <c r="Z45" s="219"/>
    </row>
    <row r="46" spans="1:42" s="2" customFormat="1" ht="30" customHeight="1" x14ac:dyDescent="0.2">
      <c r="A46" s="9"/>
      <c r="B46" s="234" t="s">
        <v>57</v>
      </c>
      <c r="C46" s="292" t="s">
        <v>82</v>
      </c>
      <c r="D46" s="292"/>
      <c r="E46" s="292"/>
      <c r="F46" s="243">
        <f t="shared" si="12"/>
        <v>0</v>
      </c>
      <c r="G46" s="244">
        <f>IF($M$41="Sistema de banco de horas",0,'P Gerais'!$E$14)</f>
        <v>0.5</v>
      </c>
      <c r="H46" s="245">
        <f t="shared" ca="1" si="13"/>
        <v>0</v>
      </c>
      <c r="I46" s="243">
        <f t="shared" ca="1" si="14"/>
        <v>0</v>
      </c>
      <c r="J46" s="245">
        <f t="shared" ca="1" si="15"/>
        <v>0</v>
      </c>
      <c r="K46" s="234"/>
      <c r="L46" s="234"/>
      <c r="M46" s="234"/>
      <c r="Z46" s="219"/>
    </row>
    <row r="47" spans="1:42" s="2" customFormat="1" ht="30" customHeight="1" x14ac:dyDescent="0.2">
      <c r="A47" s="9"/>
      <c r="B47" s="234" t="s">
        <v>51</v>
      </c>
      <c r="C47" s="292" t="s">
        <v>81</v>
      </c>
      <c r="D47" s="292"/>
      <c r="E47" s="292"/>
      <c r="F47" s="243">
        <f t="shared" si="12"/>
        <v>0</v>
      </c>
      <c r="G47" s="244">
        <f>IF($M$41="Sistema de banco de horas",0,'P Gerais'!$F$14)</f>
        <v>1</v>
      </c>
      <c r="H47" s="245">
        <f t="shared" ca="1" si="13"/>
        <v>0</v>
      </c>
      <c r="I47" s="243">
        <f t="shared" ca="1" si="14"/>
        <v>0</v>
      </c>
      <c r="J47" s="245">
        <f t="shared" ca="1" si="15"/>
        <v>0</v>
      </c>
      <c r="K47" s="234"/>
      <c r="L47" s="234"/>
      <c r="M47" s="234"/>
      <c r="Z47" s="219"/>
    </row>
    <row r="48" spans="1:42" s="2" customFormat="1" ht="30" customHeight="1" x14ac:dyDescent="0.2">
      <c r="A48" s="9"/>
      <c r="B48" s="234"/>
      <c r="C48" s="292" t="s">
        <v>80</v>
      </c>
      <c r="D48" s="292"/>
      <c r="E48" s="292"/>
      <c r="F48" s="243">
        <f>SUMIFS($Q$8:$Q$38,$G$8:$G$38,"Feriado")</f>
        <v>0</v>
      </c>
      <c r="G48" s="244">
        <f>IF($M$41="Sistema de banco de horas",0,'P Gerais'!$I$14)</f>
        <v>1</v>
      </c>
      <c r="H48" s="245">
        <f t="shared" ca="1" si="13"/>
        <v>0</v>
      </c>
      <c r="I48" s="243"/>
      <c r="J48" s="245">
        <f t="shared" ca="1" si="15"/>
        <v>0</v>
      </c>
      <c r="K48" s="234"/>
      <c r="L48" s="234"/>
      <c r="M48" s="234"/>
      <c r="Z48" s="219"/>
    </row>
    <row r="49" spans="1:26" s="2" customFormat="1" ht="15" x14ac:dyDescent="0.2">
      <c r="A49" s="9"/>
      <c r="B49" s="234"/>
      <c r="C49" s="292" t="s">
        <v>146</v>
      </c>
      <c r="D49" s="292"/>
      <c r="E49" s="292"/>
      <c r="F49" s="243">
        <f>SUMIFS($Q$8:$Q$38,$G$8:$G$38,"Folga (DSR)")</f>
        <v>0</v>
      </c>
      <c r="G49" s="244">
        <f>IF($M$41="Sistema de banco de horas",0,'P Gerais'!H14)</f>
        <v>1</v>
      </c>
      <c r="H49" s="245">
        <f ca="1">((F53/(F39-G39))*G39)</f>
        <v>0</v>
      </c>
      <c r="I49" s="243"/>
      <c r="J49" s="245">
        <f t="shared" ca="1" si="15"/>
        <v>0</v>
      </c>
      <c r="K49" s="234"/>
      <c r="L49" s="234"/>
      <c r="M49" s="234"/>
      <c r="Z49" s="219"/>
    </row>
    <row r="50" spans="1:26" s="2" customFormat="1" ht="15" x14ac:dyDescent="0.2">
      <c r="A50" s="9"/>
      <c r="B50" s="234"/>
      <c r="C50" s="292" t="s">
        <v>84</v>
      </c>
      <c r="D50" s="292"/>
      <c r="E50" s="292"/>
      <c r="F50" s="243">
        <f ca="1">IF($M$41="Sistema de banco de horas",(SUM(AI$8:AI$38)*(1+G50)),SUM(AI$8:AI$38))</f>
        <v>0</v>
      </c>
      <c r="G50" s="244">
        <f>IF($M$41="Sistema de banco de horas",0,'P Gerais'!$I$17)</f>
        <v>0.5</v>
      </c>
      <c r="H50" s="245">
        <f ca="1">IF($M$41="Sistema de banco de horas",0,$K$40*(1+G50)*(F50*24))</f>
        <v>0</v>
      </c>
      <c r="I50" s="243">
        <f ca="1">IF(SUM($AN$8:$AO$38)&gt;SUM(AI$8:AI$38),0,SUM(AI$8:AI$38)-SUM($AN$8:$AO$38))</f>
        <v>0</v>
      </c>
      <c r="J50" s="245">
        <f t="shared" ca="1" si="15"/>
        <v>0</v>
      </c>
      <c r="K50" s="234"/>
      <c r="L50" s="234"/>
      <c r="M50" s="234"/>
      <c r="Z50" s="219"/>
    </row>
    <row r="51" spans="1:26" s="2" customFormat="1" ht="15" x14ac:dyDescent="0.2">
      <c r="A51" s="9"/>
      <c r="B51" s="234"/>
      <c r="C51" s="292" t="s">
        <v>85</v>
      </c>
      <c r="D51" s="292"/>
      <c r="E51" s="292"/>
      <c r="F51" s="243">
        <f>IF($M$41="Sistema de banco de horas",(SUM(AK$8:AK$38)*(1+G51)),SUM(AK$8:AK$38))</f>
        <v>0</v>
      </c>
      <c r="G51" s="244">
        <f>IF($M$41="Sistema de banco de horas",0,'P Gerais'!$C$17)</f>
        <v>1</v>
      </c>
      <c r="H51" s="245">
        <f ca="1">IF($M$41="Sistema de banco de horas",0,$K$40*(1+G51)*(F51*24))</f>
        <v>0</v>
      </c>
      <c r="I51" s="243"/>
      <c r="J51" s="245">
        <f t="shared" ca="1" si="15"/>
        <v>0</v>
      </c>
      <c r="K51" s="234"/>
      <c r="L51" s="234"/>
      <c r="M51" s="234"/>
      <c r="Z51" s="219"/>
    </row>
    <row r="52" spans="1:26" s="2" customFormat="1" ht="15" customHeight="1" x14ac:dyDescent="0.2">
      <c r="A52" s="9"/>
      <c r="B52" s="234"/>
      <c r="C52" s="292" t="s">
        <v>87</v>
      </c>
      <c r="D52" s="292"/>
      <c r="E52" s="292"/>
      <c r="F52" s="243">
        <f ca="1">U12</f>
        <v>0</v>
      </c>
      <c r="G52" s="246"/>
      <c r="H52" s="234"/>
      <c r="I52" s="234"/>
      <c r="J52" s="234"/>
      <c r="K52" s="234"/>
      <c r="L52" s="234"/>
      <c r="M52" s="234"/>
      <c r="Z52" s="219"/>
    </row>
    <row r="53" spans="1:26" s="2" customFormat="1" ht="15" x14ac:dyDescent="0.2">
      <c r="A53" s="9"/>
      <c r="B53" s="234"/>
      <c r="C53" s="292" t="s">
        <v>299</v>
      </c>
      <c r="D53" s="292"/>
      <c r="E53" s="292"/>
      <c r="F53" s="247">
        <f ca="1">SUM(H48)+J50+H51+SUM(J41:J47)</f>
        <v>0</v>
      </c>
      <c r="G53" s="248"/>
      <c r="H53" s="234"/>
      <c r="I53" s="234"/>
      <c r="J53" s="234"/>
      <c r="K53" s="234"/>
      <c r="L53" s="234"/>
      <c r="M53" s="234"/>
      <c r="Z53" s="219"/>
    </row>
    <row r="54" spans="1:26" s="2" customFormat="1" ht="15" x14ac:dyDescent="0.2">
      <c r="A54" s="9"/>
      <c r="B54" s="234"/>
      <c r="C54" s="292" t="s">
        <v>88</v>
      </c>
      <c r="D54" s="292"/>
      <c r="E54" s="292"/>
      <c r="F54" s="247">
        <f ca="1">F53+(H49*(1+G49))</f>
        <v>0</v>
      </c>
      <c r="G54" s="248"/>
      <c r="H54" s="249"/>
      <c r="I54" s="234"/>
      <c r="J54" s="234"/>
      <c r="K54" s="234"/>
      <c r="L54" s="234"/>
      <c r="M54" s="234"/>
      <c r="Z54" s="219"/>
    </row>
    <row r="55" spans="1:26" s="2" customFormat="1" ht="15" x14ac:dyDescent="0.2">
      <c r="A55" s="9"/>
      <c r="B55" s="234"/>
      <c r="C55" s="292" t="s">
        <v>89</v>
      </c>
      <c r="D55" s="292"/>
      <c r="E55" s="292"/>
      <c r="F55" s="247">
        <f ca="1">H40+F54</f>
        <v>0</v>
      </c>
      <c r="G55" s="246"/>
      <c r="H55" s="234"/>
      <c r="I55" s="234"/>
      <c r="J55" s="234"/>
      <c r="K55" s="234"/>
      <c r="L55" s="234"/>
      <c r="M55" s="234"/>
      <c r="Z55" s="219"/>
    </row>
    <row r="56" spans="1:26" s="2" customFormat="1" ht="15" x14ac:dyDescent="0.2">
      <c r="A56" s="9"/>
      <c r="B56" s="234"/>
      <c r="C56" s="292" t="s">
        <v>178</v>
      </c>
      <c r="D56" s="292"/>
      <c r="E56" s="292"/>
      <c r="F56" s="243">
        <f>IF($M$41="Sistema de banco de horas",(SUMIF($G$8:$G$38,"Férias",Q8:Q38))*(1+G48),SUMIF($G$8:$G$38,"Férias",Q8:Q38))</f>
        <v>0</v>
      </c>
      <c r="G56" s="246"/>
      <c r="H56" s="234"/>
      <c r="I56" s="234"/>
      <c r="J56" s="234"/>
      <c r="K56" s="234"/>
      <c r="L56" s="234"/>
      <c r="M56" s="234"/>
      <c r="Z56" s="219"/>
    </row>
    <row r="57" spans="1:26" s="2" customFormat="1" ht="15" x14ac:dyDescent="0.2">
      <c r="A57" s="9"/>
      <c r="B57" s="234"/>
      <c r="C57" s="239"/>
      <c r="D57" s="239"/>
      <c r="E57" s="239"/>
      <c r="F57" s="250">
        <f ca="1">U14</f>
        <v>0</v>
      </c>
      <c r="G57" s="246"/>
      <c r="H57" s="234"/>
      <c r="I57" s="234"/>
      <c r="J57" s="234"/>
      <c r="K57" s="234"/>
      <c r="L57" s="234"/>
      <c r="M57" s="234"/>
      <c r="Z57" s="219"/>
    </row>
    <row r="58" spans="1:26" s="2" customFormat="1" ht="15" x14ac:dyDescent="0.2">
      <c r="A58" s="9"/>
      <c r="B58" s="234"/>
      <c r="C58" s="239"/>
      <c r="D58" s="239"/>
      <c r="E58" s="239"/>
      <c r="F58" s="243">
        <f ca="1">SUM(F41:F51)</f>
        <v>0</v>
      </c>
      <c r="G58" s="246"/>
      <c r="H58" s="234"/>
      <c r="I58" s="234"/>
      <c r="J58" s="234"/>
      <c r="K58" s="234"/>
      <c r="L58" s="234"/>
      <c r="M58" s="234"/>
      <c r="Z58" s="219"/>
    </row>
    <row r="59" spans="1:26" s="2" customFormat="1" ht="15" x14ac:dyDescent="0.2">
      <c r="A59" s="9"/>
      <c r="Z59" s="219"/>
    </row>
    <row r="60" spans="1:26" s="2" customFormat="1" ht="15" x14ac:dyDescent="0.2">
      <c r="A60" s="9"/>
      <c r="G60" s="178"/>
      <c r="Z60" s="219"/>
    </row>
    <row r="61" spans="1:26" ht="15" x14ac:dyDescent="0.2"/>
    <row r="62" spans="1:26" ht="15" x14ac:dyDescent="0.2"/>
    <row r="63" spans="1:26" ht="15" x14ac:dyDescent="0.2"/>
    <row r="64" spans="1:26" ht="15" x14ac:dyDescent="0.2"/>
    <row r="65" ht="15" x14ac:dyDescent="0.2"/>
    <row r="66" ht="15" x14ac:dyDescent="0.2"/>
    <row r="67" ht="15" x14ac:dyDescent="0.2"/>
    <row r="68" ht="15" x14ac:dyDescent="0.2"/>
    <row r="69" ht="15" x14ac:dyDescent="0.2"/>
    <row r="70" ht="15" x14ac:dyDescent="0.2"/>
    <row r="71" ht="15" x14ac:dyDescent="0.2"/>
    <row r="72" ht="15" x14ac:dyDescent="0.2"/>
    <row r="73" ht="15" x14ac:dyDescent="0.2"/>
    <row r="74" ht="15" x14ac:dyDescent="0.2"/>
    <row r="75" ht="15" x14ac:dyDescent="0.2"/>
    <row r="76" ht="15" x14ac:dyDescent="0.2"/>
    <row r="77" ht="15" x14ac:dyDescent="0.2"/>
    <row r="78" ht="15" x14ac:dyDescent="0.2"/>
    <row r="79" ht="15" x14ac:dyDescent="0.2"/>
    <row r="80" ht="15" x14ac:dyDescent="0.2"/>
    <row r="81" ht="15" x14ac:dyDescent="0.2"/>
    <row r="82" ht="15" x14ac:dyDescent="0.2"/>
    <row r="83" ht="15" x14ac:dyDescent="0.2"/>
    <row r="84" ht="15" x14ac:dyDescent="0.2"/>
    <row r="85" ht="15" x14ac:dyDescent="0.2"/>
    <row r="86" ht="15" x14ac:dyDescent="0.2"/>
    <row r="87" ht="15" x14ac:dyDescent="0.2"/>
    <row r="88" ht="15" x14ac:dyDescent="0.2"/>
    <row r="89" ht="15" x14ac:dyDescent="0.2"/>
    <row r="90" ht="15" x14ac:dyDescent="0.2"/>
    <row r="91" ht="15" x14ac:dyDescent="0.2"/>
    <row r="92" ht="15" x14ac:dyDescent="0.2"/>
    <row r="93" ht="15" x14ac:dyDescent="0.2"/>
    <row r="94" ht="15" x14ac:dyDescent="0.2"/>
    <row r="95" ht="15" x14ac:dyDescent="0.2"/>
    <row r="96" ht="15" x14ac:dyDescent="0.2"/>
    <row r="97" ht="15" x14ac:dyDescent="0.2"/>
    <row r="98" ht="15" x14ac:dyDescent="0.2"/>
    <row r="99" ht="15" x14ac:dyDescent="0.2"/>
    <row r="100" ht="15" x14ac:dyDescent="0.2"/>
    <row r="101" ht="15" x14ac:dyDescent="0.2"/>
    <row r="102" ht="15" x14ac:dyDescent="0.2"/>
    <row r="103" ht="15" x14ac:dyDescent="0.2"/>
  </sheetData>
  <sheetProtection sheet="1" objects="1" scenarios="1" selectLockedCells="1"/>
  <mergeCells count="34">
    <mergeCell ref="C56:E56"/>
    <mergeCell ref="C48:E48"/>
    <mergeCell ref="C49:E49"/>
    <mergeCell ref="C50:E50"/>
    <mergeCell ref="C52:E52"/>
    <mergeCell ref="C53:E53"/>
    <mergeCell ref="C54:E54"/>
    <mergeCell ref="C51:E51"/>
    <mergeCell ref="C44:E44"/>
    <mergeCell ref="C55:E55"/>
    <mergeCell ref="C45:E45"/>
    <mergeCell ref="C46:E46"/>
    <mergeCell ref="C47:E47"/>
    <mergeCell ref="S22:U22"/>
    <mergeCell ref="C41:E41"/>
    <mergeCell ref="C42:E42"/>
    <mergeCell ref="C43:E43"/>
    <mergeCell ref="S26:U28"/>
    <mergeCell ref="S23:U25"/>
    <mergeCell ref="E7:F7"/>
    <mergeCell ref="I7:J7"/>
    <mergeCell ref="S7:U7"/>
    <mergeCell ref="S8:T9"/>
    <mergeCell ref="U8:U9"/>
    <mergeCell ref="S16:T17"/>
    <mergeCell ref="U16:U17"/>
    <mergeCell ref="S18:T19"/>
    <mergeCell ref="S10:T11"/>
    <mergeCell ref="U10:U11"/>
    <mergeCell ref="S12:T13"/>
    <mergeCell ref="U12:U13"/>
    <mergeCell ref="S14:T15"/>
    <mergeCell ref="U14:U15"/>
    <mergeCell ref="U18:U19"/>
  </mergeCells>
  <phoneticPr fontId="50" type="noConversion"/>
  <conditionalFormatting sqref="M8:M37">
    <cfRule type="cellIs" dxfId="852" priority="155" operator="greaterThan">
      <formula>0</formula>
    </cfRule>
  </conditionalFormatting>
  <conditionalFormatting sqref="L36:L37 N36:N37">
    <cfRule type="expression" dxfId="851" priority="122">
      <formula>AND($E36&lt;$E$35,$E$8=1)</formula>
    </cfRule>
    <cfRule type="expression" dxfId="850" priority="123">
      <formula>AND($E36&gt;=$E$8,$E$8&lt;&gt;1)</formula>
    </cfRule>
  </conditionalFormatting>
  <conditionalFormatting sqref="E36:E38">
    <cfRule type="expression" dxfId="849" priority="120">
      <formula>AND($E36&lt;$E$35,$E$8=1)</formula>
    </cfRule>
    <cfRule type="expression" dxfId="848" priority="121">
      <formula>AND($E36&gt;=$E$8,$E$8&lt;&gt;1)</formula>
    </cfRule>
  </conditionalFormatting>
  <conditionalFormatting sqref="O8:O37">
    <cfRule type="cellIs" dxfId="847" priority="115" operator="greaterThan">
      <formula>0.000001</formula>
    </cfRule>
  </conditionalFormatting>
  <conditionalFormatting sqref="O36:O37">
    <cfRule type="expression" dxfId="846" priority="113">
      <formula>AND($E36&lt;$E$35,$E$8=1)</formula>
    </cfRule>
    <cfRule type="expression" dxfId="845" priority="114">
      <formula>AND($E36&gt;=$E$8,$E$8&lt;&gt;1)</formula>
    </cfRule>
  </conditionalFormatting>
  <conditionalFormatting sqref="F8:F38">
    <cfRule type="containsText" dxfId="844" priority="111" operator="containsText" text="Dom">
      <formula>NOT(ISERROR(SEARCH("Dom",F8)))</formula>
    </cfRule>
    <cfRule type="containsText" dxfId="843" priority="112" operator="containsText" text="Sáb">
      <formula>NOT(ISERROR(SEARCH("Sáb",F8)))</formula>
    </cfRule>
  </conditionalFormatting>
  <conditionalFormatting sqref="Q8:Q37">
    <cfRule type="cellIs" dxfId="842" priority="108" operator="greaterThan">
      <formula>0.000001</formula>
    </cfRule>
  </conditionalFormatting>
  <conditionalFormatting sqref="G8:K35">
    <cfRule type="expression" dxfId="841" priority="68">
      <formula>OR($G8="Férias",$G8="Falta Injustificada")</formula>
    </cfRule>
    <cfRule type="expression" dxfId="840" priority="69">
      <formula>$G8="Folga (DSR)"</formula>
    </cfRule>
    <cfRule type="expression" dxfId="839" priority="70">
      <formula>$G8="Feriado"</formula>
    </cfRule>
    <cfRule type="expression" dxfId="838" priority="71">
      <formula>$F8="Dom"</formula>
    </cfRule>
  </conditionalFormatting>
  <conditionalFormatting sqref="H8:K35">
    <cfRule type="expression" dxfId="837" priority="67">
      <formula>OR($G8="Falta Justificada",$G8="Falta Injustificada")</formula>
    </cfRule>
  </conditionalFormatting>
  <conditionalFormatting sqref="G36:K37">
    <cfRule type="expression" dxfId="836" priority="63">
      <formula>OR($G36="Férias",$G36="Falta Injustificada")</formula>
    </cfRule>
    <cfRule type="expression" dxfId="835" priority="64">
      <formula>$G36="Folga (DSR)"</formula>
    </cfRule>
    <cfRule type="expression" dxfId="834" priority="65">
      <formula>$G36="Feriado"</formula>
    </cfRule>
    <cfRule type="expression" dxfId="833" priority="66">
      <formula>$F36="Dom"</formula>
    </cfRule>
  </conditionalFormatting>
  <conditionalFormatting sqref="G36:K37">
    <cfRule type="expression" dxfId="832" priority="60">
      <formula>AND($E36&lt;$E$35,$E$8=1)</formula>
    </cfRule>
    <cfRule type="expression" dxfId="831" priority="61">
      <formula>AND($E36&gt;=$E$8,$E$8&lt;&gt;1)</formula>
    </cfRule>
  </conditionalFormatting>
  <conditionalFormatting sqref="H36:K37">
    <cfRule type="expression" dxfId="830" priority="62">
      <formula>OR($G36="Falta Justificada",$G36="Falta Injustificada")</formula>
    </cfRule>
  </conditionalFormatting>
  <conditionalFormatting sqref="G8:K25">
    <cfRule type="expression" dxfId="829" priority="56">
      <formula>OR($G8="Férias",$G8="Falta Injustificada")</formula>
    </cfRule>
    <cfRule type="expression" dxfId="828" priority="57">
      <formula>$G8="Folga (DSR)"</formula>
    </cfRule>
    <cfRule type="expression" dxfId="827" priority="58">
      <formula>$G8="Feriado"</formula>
    </cfRule>
    <cfRule type="expression" dxfId="826" priority="59">
      <formula>$F8="Dom"</formula>
    </cfRule>
  </conditionalFormatting>
  <conditionalFormatting sqref="H8:K25">
    <cfRule type="expression" dxfId="825" priority="55">
      <formula>OR($G8="Falta Justificada",$G8="Falta Injustificada")</formula>
    </cfRule>
  </conditionalFormatting>
  <conditionalFormatting sqref="G8:K32">
    <cfRule type="expression" dxfId="824" priority="51">
      <formula>OR($G8="Férias",$G8="Falta Injustificada")</formula>
    </cfRule>
    <cfRule type="expression" dxfId="823" priority="52">
      <formula>$G8="Folga (DSR)"</formula>
    </cfRule>
    <cfRule type="expression" dxfId="822" priority="53">
      <formula>$G8="Feriado"</formula>
    </cfRule>
    <cfRule type="expression" dxfId="821" priority="54">
      <formula>$F8="Dom"</formula>
    </cfRule>
  </conditionalFormatting>
  <conditionalFormatting sqref="H8:K32">
    <cfRule type="expression" dxfId="820" priority="50">
      <formula>OR($G8="Falta Justificada",$G8="Falta Injustificada")</formula>
    </cfRule>
  </conditionalFormatting>
  <conditionalFormatting sqref="G8:K25">
    <cfRule type="expression" dxfId="819" priority="46">
      <formula>OR($G8="Férias",$G8="Falta Injustificada")</formula>
    </cfRule>
    <cfRule type="expression" dxfId="818" priority="47">
      <formula>$G8="Folga (DSR)"</formula>
    </cfRule>
    <cfRule type="expression" dxfId="817" priority="48">
      <formula>$G8="Feriado"</formula>
    </cfRule>
    <cfRule type="expression" dxfId="816" priority="49">
      <formula>$F8="Dom"</formula>
    </cfRule>
  </conditionalFormatting>
  <conditionalFormatting sqref="H8:K25">
    <cfRule type="expression" dxfId="815" priority="45">
      <formula>OR($G8="Falta Justificada",$G8="Falta Injustificada")</formula>
    </cfRule>
  </conditionalFormatting>
  <conditionalFormatting sqref="G35:K35">
    <cfRule type="expression" dxfId="814" priority="41">
      <formula>OR($G35="Férias",$G35="Falta Injustificada")</formula>
    </cfRule>
    <cfRule type="expression" dxfId="813" priority="42">
      <formula>$G35="Folga (DSR)"</formula>
    </cfRule>
    <cfRule type="expression" dxfId="812" priority="43">
      <formula>$G35="Feriado"</formula>
    </cfRule>
    <cfRule type="expression" dxfId="811" priority="44">
      <formula>$F35="Dom"</formula>
    </cfRule>
  </conditionalFormatting>
  <conditionalFormatting sqref="H35:K35">
    <cfRule type="expression" dxfId="810" priority="40">
      <formula>OR($G35="Falta Justificada",$G35="Falta Injustificada")</formula>
    </cfRule>
  </conditionalFormatting>
  <conditionalFormatting sqref="O38">
    <cfRule type="cellIs" dxfId="809" priority="38" operator="greaterThan">
      <formula>0.000001</formula>
    </cfRule>
  </conditionalFormatting>
  <conditionalFormatting sqref="M38">
    <cfRule type="cellIs" dxfId="808" priority="39" operator="greaterThan">
      <formula>0</formula>
    </cfRule>
  </conditionalFormatting>
  <conditionalFormatting sqref="L38:O38">
    <cfRule type="expression" dxfId="807" priority="37">
      <formula>AND($E38&gt;=$E$8,$E$8&lt;&gt;1)</formula>
    </cfRule>
  </conditionalFormatting>
  <conditionalFormatting sqref="G38:K38">
    <cfRule type="expression" dxfId="806" priority="24">
      <formula>OR($G38="Férias",$G38="Falta Injustificada")</formula>
    </cfRule>
    <cfRule type="expression" dxfId="805" priority="25">
      <formula>$G38="Folga (DSR)"</formula>
    </cfRule>
    <cfRule type="expression" dxfId="804" priority="26">
      <formula>$G38="Feriado"</formula>
    </cfRule>
    <cfRule type="expression" dxfId="803" priority="27">
      <formula>$F38="Dom"</formula>
    </cfRule>
  </conditionalFormatting>
  <conditionalFormatting sqref="H38:K38">
    <cfRule type="expression" dxfId="802" priority="23">
      <formula>OR($G38="Falta Justificada",$G38="Falta Injustificada")</formula>
    </cfRule>
  </conditionalFormatting>
  <conditionalFormatting sqref="Q38">
    <cfRule type="cellIs" dxfId="801" priority="20" operator="greaterThan">
      <formula>0.000001</formula>
    </cfRule>
  </conditionalFormatting>
  <conditionalFormatting sqref="L38:Q38">
    <cfRule type="expression" dxfId="800" priority="36">
      <formula>AND($E38&lt;$E$35,$E$8=1)</formula>
    </cfRule>
  </conditionalFormatting>
  <conditionalFormatting sqref="G38:Q38">
    <cfRule type="expression" dxfId="799" priority="21">
      <formula>AND($E38&lt;$E$35,$E$8=1)</formula>
    </cfRule>
    <cfRule type="expression" dxfId="798" priority="22">
      <formula>AND($E38&gt;=$E$8,$E$8&lt;&gt;1)</formula>
    </cfRule>
  </conditionalFormatting>
  <conditionalFormatting sqref="U10:U11">
    <cfRule type="expression" dxfId="797" priority="8">
      <formula>$V$11="Negativo"</formula>
    </cfRule>
  </conditionalFormatting>
  <conditionalFormatting sqref="U12:U13">
    <cfRule type="expression" dxfId="796" priority="552">
      <formula>$U$14&gt;$F$58</formula>
    </cfRule>
  </conditionalFormatting>
  <conditionalFormatting sqref="F40">
    <cfRule type="expression" dxfId="795" priority="553">
      <formula>$E40="Folga(DSR)"</formula>
    </cfRule>
    <cfRule type="expression" dxfId="794" priority="554">
      <formula>$E40="Feriado"</formula>
    </cfRule>
    <cfRule type="expression" dxfId="793" priority="555">
      <formula>$D40="Dom"</formula>
    </cfRule>
  </conditionalFormatting>
  <dataValidations count="3">
    <dataValidation type="list" allowBlank="1" showInputMessage="1" showErrorMessage="1" sqref="G8:G38">
      <formula1>"Normal,Feriado,Folga (DSR),Falta Justificada,Férias,Falta Injustificada"</formula1>
    </dataValidation>
    <dataValidation type="time" allowBlank="1" showInputMessage="1" showErrorMessage="1" sqref="H8:K38">
      <formula1>0</formula1>
      <formula2>0.999988425925926</formula2>
    </dataValidation>
    <dataValidation type="list" allowBlank="1" showInputMessage="1" showErrorMessage="1" sqref="E9:E35">
      <formula1>"1,5,10,16"</formula1>
    </dataValidation>
  </dataValidations>
  <hyperlinks>
    <hyperlink ref="C8" location="Lanç!A1" display="Lanç!A1"/>
    <hyperlink ref="C9" location="'Lanç (2)'!A1" display="'Lanç (2)'!A1"/>
    <hyperlink ref="C10" location="'Lanç (3)'!A1" display="'Lanç (3)'!A1"/>
    <hyperlink ref="C11" location="'Lanç (4)'!A1" display="'Lanç (4)'!A1"/>
    <hyperlink ref="C12" location="'Lanç (5)'!A1" display="'Lanç (5)'!A1"/>
    <hyperlink ref="C13" location="'Lanç (6)'!A1" display="'Lanç (6)'!A1"/>
    <hyperlink ref="C14" location="'Lanç (7)'!A1" display="'Lanç (7)'!A1"/>
    <hyperlink ref="C15" location="'Lanç (8)'!A1" display="'Lanç (8)'!A1"/>
    <hyperlink ref="C16" location="'Lanç (9)'!A1" display="'Lanç (9)'!A1"/>
    <hyperlink ref="C17" location="'Lanç (10)'!A1" display="'Lanç (10)'!A1"/>
    <hyperlink ref="C18" location="'Lanç (11)'!A1" display="'Lanç (11)'!A1"/>
    <hyperlink ref="C19" location="'Lanç (12)'!A1" display="'Lanç (12)'!A1"/>
    <hyperlink ref="C20" location="'Lanç (13)'!A1" display="'Lanç (13)'!A1"/>
    <hyperlink ref="C21" location="'Lanç (14)'!A1" display="'Lanç (14)'!A1"/>
    <hyperlink ref="C22" location="'Lanç (15)'!A1" display="'Lanç (15)'!A1"/>
    <hyperlink ref="C23" location="'Lanç (16)'!A1" display="'Lanç (16)'!A1"/>
    <hyperlink ref="C24" location="'Lanç (17)'!A1" display="'Lanç (17)'!A1"/>
    <hyperlink ref="C25" location="'Lanç (18)'!A1" display="'Lanç (18)'!A1"/>
    <hyperlink ref="C26" location="'Lanç (19)'!A1" display="'Lanç (19)'!A1"/>
    <hyperlink ref="C27" location="'Lanç (20)'!A1" display="'Lanç (20)'!A1"/>
    <hyperlink ref="C28" location="'Lanç (21)'!A1" display="'Lanç (21)'!A1"/>
    <hyperlink ref="C29" location="'Lanç (22)'!A1" display="'Lanç (22)'!A1"/>
    <hyperlink ref="C30" location="'Lanç (23)'!A1" display="'Lanç (23)'!A1"/>
    <hyperlink ref="C31" location="'Lanç (24)'!A1" display="'Lanç (24)'!A1"/>
    <hyperlink ref="C32" location="'Lanç (25)'!A1" display="'Lanç (25)'!A1"/>
    <hyperlink ref="C33" location="'Lanç (26)'!A1" display="'Lanç (26)'!A1"/>
    <hyperlink ref="C34" location="'Lanç (27)'!A1" display="'Lanç (27)'!A1"/>
    <hyperlink ref="C35" location="'Lanç (28)'!A1" display="'Lanç (28)'!A1"/>
    <hyperlink ref="C36" location="'Lanç (29)'!A1" display="'Lanç (29)'!A1"/>
    <hyperlink ref="C37" location="'Lanç (30)'!A1" display="'Lanç (30)'!A1"/>
  </hyperlinks>
  <printOptions horizontalCentered="1"/>
  <pageMargins left="0.23622047244094502" right="0.23622047244094502" top="0.74803149606299202" bottom="0.74803149606299202" header="0.31496062992126" footer="0.31496062992126"/>
  <pageSetup paperSize="9" scale="53" orientation="portrait" cellComments="atEnd"/>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101" id="{04B16B50-C26C-2D4F-AF51-60D0111F9C1A}">
            <xm:f>'P Gerais'!$I$10:$M$10="Pagas em Dinheiro"</xm:f>
            <x14:dxf>
              <font>
                <color theme="0"/>
              </font>
              <fill>
                <patternFill>
                  <bgColor theme="0"/>
                </patternFill>
              </fill>
              <border>
                <left/>
                <right/>
                <top/>
                <bottom/>
              </border>
            </x14:dxf>
          </x14:cfRule>
          <xm:sqref>S10:T13</xm:sqref>
        </x14:conditionalFormatting>
        <x14:conditionalFormatting xmlns:xm="http://schemas.microsoft.com/office/excel/2006/main">
          <x14:cfRule type="expression" priority="100" id="{86CCE32C-D903-F245-A48B-614AA729CAA2}">
            <xm:f>'P Gerais'!$I$10:$M$10="Sistema de banco de horas"</xm:f>
            <x14:dxf>
              <font>
                <color theme="0"/>
              </font>
              <fill>
                <patternFill>
                  <bgColor theme="0"/>
                </patternFill>
              </fill>
              <border>
                <left/>
                <right/>
                <top/>
                <bottom/>
              </border>
            </x14:dxf>
          </x14:cfRule>
          <xm:sqref>S18:T19</xm:sqref>
        </x14:conditionalFormatting>
        <x14:conditionalFormatting xmlns:xm="http://schemas.microsoft.com/office/excel/2006/main">
          <x14:cfRule type="expression" priority="10" id="{2BBFFCFE-FA5F-4B4B-B31C-332802383369}">
            <xm:f>'P Gerais'!$I$10:$M$10="Sistema de banco de horas"</xm:f>
            <x14:dxf>
              <font>
                <color theme="0"/>
              </font>
              <fill>
                <patternFill>
                  <bgColor theme="0"/>
                </patternFill>
              </fill>
              <border>
                <left/>
                <right/>
                <top/>
                <bottom/>
              </border>
            </x14:dxf>
          </x14:cfRule>
          <xm:sqref>U18:U19</xm:sqref>
        </x14:conditionalFormatting>
        <x14:conditionalFormatting xmlns:xm="http://schemas.microsoft.com/office/excel/2006/main">
          <x14:cfRule type="expression" priority="7" id="{083761F6-4ABC-AE44-8541-239BE372B30B}">
            <xm:f>'P Gerais'!$I$10:$M$10="Pagas em Dinheiro"</xm:f>
            <x14:dxf>
              <font>
                <color theme="0"/>
              </font>
              <fill>
                <patternFill>
                  <bgColor theme="0"/>
                </patternFill>
              </fill>
              <border>
                <left/>
                <right/>
                <top/>
                <bottom/>
              </border>
            </x14:dxf>
          </x14:cfRule>
          <xm:sqref>U10:U13</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16" enableFormatConditionsCalculation="0"/>
  <dimension ref="A1:BG103"/>
  <sheetViews>
    <sheetView showGridLines="0" zoomScale="90" zoomScaleNormal="90" zoomScalePageLayoutView="90" workbookViewId="0">
      <selection activeCell="G8" sqref="G8"/>
    </sheetView>
  </sheetViews>
  <sheetFormatPr baseColWidth="10" defaultColWidth="0" defaultRowHeight="0" customHeight="1" zeroHeight="1" x14ac:dyDescent="0.2"/>
  <cols>
    <col min="1" max="1" width="27.83203125" style="194" customWidth="1"/>
    <col min="2" max="2" width="3.83203125" style="14" customWidth="1"/>
    <col min="3" max="3" width="33.33203125" style="14" customWidth="1"/>
    <col min="4" max="4" width="2.83203125" style="14" customWidth="1"/>
    <col min="5" max="5" width="5.83203125" style="14" customWidth="1"/>
    <col min="6" max="6" width="11.83203125" style="14" customWidth="1"/>
    <col min="7" max="7" width="14.33203125" style="195" customWidth="1"/>
    <col min="8" max="11" width="9.83203125" style="14" customWidth="1"/>
    <col min="12" max="12" width="1.83203125" style="14" customWidth="1"/>
    <col min="13" max="13" width="13.33203125" style="14" customWidth="1"/>
    <col min="14" max="14" width="1.83203125" style="14" customWidth="1"/>
    <col min="15" max="15" width="13.33203125" style="14" customWidth="1"/>
    <col min="16" max="16" width="1.83203125" style="14" customWidth="1"/>
    <col min="17" max="17" width="13.33203125" style="14" customWidth="1"/>
    <col min="18" max="18" width="4.83203125" style="2" bestFit="1" customWidth="1"/>
    <col min="19" max="21" width="11.83203125" style="14" customWidth="1"/>
    <col min="22" max="23" width="8.83203125" style="2" customWidth="1"/>
    <col min="24" max="24" width="11.33203125" style="2" bestFit="1" customWidth="1"/>
    <col min="25" max="25" width="8.83203125" style="2" customWidth="1"/>
    <col min="26" max="26" width="8.1640625" style="219" bestFit="1" customWidth="1"/>
    <col min="27" max="27" width="8.83203125" style="2" customWidth="1"/>
    <col min="28" max="28" width="11.33203125" style="2" bestFit="1" customWidth="1"/>
    <col min="29" max="43" width="8.83203125" style="2" customWidth="1"/>
    <col min="44" max="50" width="11.33203125" style="2" customWidth="1"/>
    <col min="51" max="57" width="11.33203125" style="14" customWidth="1"/>
    <col min="58" max="16384" width="8.83203125" style="14" hidden="1"/>
  </cols>
  <sheetData>
    <row r="1" spans="1:59" s="15" customFormat="1" ht="33.75" customHeight="1" x14ac:dyDescent="0.3">
      <c r="A1" s="56"/>
      <c r="B1" s="3"/>
      <c r="C1" s="4" t="s">
        <v>30</v>
      </c>
      <c r="D1" s="3"/>
      <c r="E1" s="3"/>
      <c r="F1" s="3"/>
      <c r="G1" s="77"/>
      <c r="H1" s="3"/>
      <c r="I1" s="3"/>
      <c r="J1" s="3"/>
      <c r="K1" s="3"/>
      <c r="M1" s="3"/>
      <c r="O1" s="3"/>
      <c r="Q1" s="3"/>
      <c r="S1" s="3"/>
      <c r="T1" s="3"/>
      <c r="U1" s="3"/>
      <c r="Z1" s="174"/>
    </row>
    <row r="2" spans="1:59" s="15" customFormat="1" ht="21.5" customHeight="1" x14ac:dyDescent="0.2">
      <c r="A2" s="1"/>
      <c r="B2" s="3"/>
      <c r="C2" s="3"/>
      <c r="D2" s="3"/>
      <c r="E2" s="3"/>
      <c r="F2" s="3"/>
      <c r="G2" s="77"/>
      <c r="H2" s="3"/>
      <c r="I2" s="3"/>
      <c r="J2" s="3"/>
      <c r="K2" s="3"/>
      <c r="M2" s="3"/>
      <c r="O2" s="3"/>
      <c r="Q2" s="3"/>
      <c r="S2" s="3"/>
      <c r="T2" s="3"/>
      <c r="U2" s="3"/>
      <c r="Z2" s="174"/>
    </row>
    <row r="3" spans="1:59" s="15" customFormat="1" ht="21.5" customHeight="1" x14ac:dyDescent="0.2">
      <c r="A3" s="1"/>
      <c r="B3" s="3"/>
      <c r="C3" s="3"/>
      <c r="D3" s="3"/>
      <c r="E3" s="3"/>
      <c r="F3" s="3"/>
      <c r="G3" s="77"/>
      <c r="H3" s="3"/>
      <c r="I3" s="3"/>
      <c r="J3" s="3"/>
      <c r="K3" s="3"/>
      <c r="M3" s="3"/>
      <c r="O3" s="3"/>
      <c r="Q3" s="3"/>
      <c r="S3" s="3"/>
      <c r="T3" s="3"/>
      <c r="U3" s="3"/>
      <c r="Z3" s="174"/>
    </row>
    <row r="4" spans="1:59" s="2" customFormat="1" ht="30" customHeight="1" x14ac:dyDescent="0.2">
      <c r="A4" s="1"/>
      <c r="B4"/>
      <c r="C4"/>
      <c r="D4"/>
      <c r="E4"/>
      <c r="F4"/>
      <c r="G4" s="78"/>
      <c r="H4"/>
      <c r="I4"/>
      <c r="J4"/>
      <c r="K4"/>
      <c r="M4"/>
      <c r="O4" s="13"/>
      <c r="Q4"/>
      <c r="S4"/>
      <c r="T4"/>
      <c r="U4"/>
      <c r="Z4" s="219"/>
      <c r="AN4" s="175"/>
    </row>
    <row r="5" spans="1:59" s="2" customFormat="1" ht="30" customHeight="1" x14ac:dyDescent="0.2">
      <c r="A5" s="9"/>
      <c r="C5" s="160" t="s">
        <v>197</v>
      </c>
      <c r="K5" s="157">
        <f ca="1">IF(ISERROR(VLOOKUP(INDIRECT($C$5),Jornada!$C$8:$F$37,4,0)),0,VLOOKUP(INDIRECT($C$5),Jornada!$C$8:$F$37,4,0))</f>
        <v>0</v>
      </c>
      <c r="L5" s="158"/>
      <c r="M5" s="157">
        <f ca="1">IF(ISERROR(VLOOKUP(INDIRECT($C$5),Jornada!$C$8:$G$37,5,0)),0,VLOOKUP(INDIRECT($C$5),Jornada!$C$8:$G$37,5,0))</f>
        <v>0</v>
      </c>
      <c r="O5" s="12"/>
      <c r="U5" s="12"/>
      <c r="Z5" s="219"/>
      <c r="AC5" s="12"/>
      <c r="AK5" s="179">
        <v>0.25</v>
      </c>
      <c r="AL5" s="155">
        <v>0.91666666666666663</v>
      </c>
      <c r="AM5" s="155">
        <v>0.20833333333333334</v>
      </c>
      <c r="AN5" s="155">
        <v>1</v>
      </c>
      <c r="AO5" s="155">
        <v>0.70833333333333337</v>
      </c>
    </row>
    <row r="6" spans="1:59" s="2" customFormat="1" ht="8" customHeight="1" thickBot="1" x14ac:dyDescent="0.25">
      <c r="A6" s="9"/>
      <c r="C6" s="198"/>
      <c r="G6" s="178"/>
      <c r="M6" s="220">
        <v>1</v>
      </c>
      <c r="O6" s="156"/>
      <c r="Q6" s="156"/>
      <c r="Z6" s="176"/>
    </row>
    <row r="7" spans="1:59" s="2" customFormat="1" ht="30" customHeight="1" thickTop="1" thickBot="1" x14ac:dyDescent="0.25">
      <c r="A7" s="1"/>
      <c r="B7"/>
      <c r="C7" s="76" t="s">
        <v>176</v>
      </c>
      <c r="D7"/>
      <c r="E7" s="281" t="str">
        <f>Lanç!E7</f>
        <v>Janeiro</v>
      </c>
      <c r="F7" s="283"/>
      <c r="G7" s="79" t="s">
        <v>58</v>
      </c>
      <c r="H7" s="82" t="s">
        <v>0</v>
      </c>
      <c r="I7" s="293" t="s">
        <v>59</v>
      </c>
      <c r="J7" s="293"/>
      <c r="K7" s="82" t="s">
        <v>60</v>
      </c>
      <c r="M7" s="73" t="s">
        <v>61</v>
      </c>
      <c r="O7" s="73" t="s">
        <v>62</v>
      </c>
      <c r="Q7" s="73" t="s">
        <v>63</v>
      </c>
      <c r="R7" s="155">
        <v>8.3333333333333329E-2</v>
      </c>
      <c r="S7" s="293" t="s">
        <v>64</v>
      </c>
      <c r="T7" s="293"/>
      <c r="U7" s="293"/>
      <c r="W7" s="2" t="s">
        <v>90</v>
      </c>
      <c r="X7" s="156">
        <v>1</v>
      </c>
      <c r="AB7" s="2">
        <f>VLOOKUP($E$7,$W$7:$X$18,2,0)</f>
        <v>1</v>
      </c>
      <c r="AG7" s="176" t="s">
        <v>167</v>
      </c>
      <c r="AH7" s="176" t="s">
        <v>168</v>
      </c>
      <c r="AI7" s="155">
        <v>0</v>
      </c>
      <c r="AJ7" s="155">
        <v>1</v>
      </c>
      <c r="AK7" s="155">
        <v>0.45833333333333331</v>
      </c>
      <c r="AL7" s="2" t="s">
        <v>0</v>
      </c>
      <c r="AM7" s="2" t="s">
        <v>162</v>
      </c>
      <c r="AN7" s="2" t="s">
        <v>184</v>
      </c>
      <c r="BE7" s="14"/>
      <c r="BF7" s="14"/>
      <c r="BG7" s="14"/>
    </row>
    <row r="8" spans="1:59" s="2" customFormat="1" ht="30" customHeight="1" thickTop="1" thickBot="1" x14ac:dyDescent="0.25">
      <c r="A8" s="1"/>
      <c r="B8"/>
      <c r="C8" s="172" t="str">
        <f>IF(Funcionários!C7=0,"",Funcionários!C7)</f>
        <v/>
      </c>
      <c r="D8"/>
      <c r="E8" s="115">
        <f>Lanç!E8</f>
        <v>1</v>
      </c>
      <c r="F8" s="189" t="str">
        <f>Lanç!F8</f>
        <v>Dom</v>
      </c>
      <c r="G8" s="81"/>
      <c r="H8" s="94"/>
      <c r="I8" s="94"/>
      <c r="J8" s="94"/>
      <c r="K8" s="94"/>
      <c r="L8" s="197"/>
      <c r="M8" s="95">
        <f>IF(AND(H8=K8,H8&lt;&gt;0),$M$6-IF(J8&lt;I8,$AJ$7+J8-I8,J8-I8),IF(H8&gt;K8,(K8+1-H8)-IF(J8&lt;I8,$AJ$7+J8-I8,J8-I8),(K8-H8)-IF(J8&lt;I8,$AJ$7+J8-I8,J8-I8)))</f>
        <v>0</v>
      </c>
      <c r="N8" s="196"/>
      <c r="O8" s="95">
        <f ca="1">IF(OR(G8=0,G8="Férias",G8="Falta Justificada",G8="Feriado",G8="Folga (DSR)"),0,IF(G8="Falta Injustificada",HLOOKUP($F8,Jornada!$X$7:$AD$37,VLOOKUP(INDIRECT($C$5),Jornada!$C$8:$W$37,21,0),0),IF(HLOOKUP($F8,Jornada!$X$7:$AD$37,VLOOKUP(INDIRECT($C$5),Jornada!$C$8:$W$37,21,0),0)-M8&gt;0,HLOOKUP($F8,Jornada!$X$7:$AD$37,VLOOKUP(INDIRECT($C$5),Jornada!$C$8:$W$37,21,0),0)-M8,0)))</f>
        <v>0</v>
      </c>
      <c r="P8" s="193">
        <f ca="1">IF(HLOOKUP($F8,Jornada!$X$7:$AD$37,VLOOKUP(INDIRECT($C$5),Jornada!$C$8:$W$37,21,0),0)-M8&lt;0,ABS(HLOOKUP($F8,Jornada!$X$7:$AD$37,VLOOKUP(INDIRECT($C$5),Jornada!$C$8:$W$37,21,0),0)-M8),0)</f>
        <v>0</v>
      </c>
      <c r="Q8" s="95">
        <f t="shared" ref="Q8:Q38" si="0">IF(G8="Normal",P8,IF(G8=0,0,IF(OR(G8="Feriado",G8="Férias"),IF(H8&gt;K8,(K8+1-H8)-IF(J8&lt;I8,$AJ$7+J8-I8,J8-I8),(K8-H8)-IF(J8&lt;I8,$AJ$7+J8-I8,J8-I8)),IF(G8="Folga (DSR)",IF(H8&gt;K8,(K8+1-H8)-IF(J8&lt;I8,$AJ$7+J8-I8,J8-I8),(K8-H8)-IF(J8&lt;I8,$AJ$7+J8-I8,J8-I8)),IF(G8="Falta Justificada",IF(H8&gt;K8,(K8+1-H8)-IF(J8&lt;I8,$AJ$7+J8-I8,J8-I8),(K8-H8)-IF(J8&lt;I8,$AJ$7+J8-I8,J8-I8)),0)))))</f>
        <v>0</v>
      </c>
      <c r="R8" s="2">
        <f>IF(Q8&gt;$R$7,1,0)</f>
        <v>0</v>
      </c>
      <c r="S8" s="294" t="s">
        <v>65</v>
      </c>
      <c r="T8" s="294"/>
      <c r="U8" s="295">
        <f>SUM(M8:M38)</f>
        <v>0</v>
      </c>
      <c r="W8" s="2" t="s">
        <v>91</v>
      </c>
      <c r="X8" s="156">
        <v>2</v>
      </c>
      <c r="AB8" s="177">
        <f>DATE('P Gerais'!$D$6,AB7,1)</f>
        <v>1</v>
      </c>
      <c r="AC8" s="2">
        <f>WEEKDAY(AB8)</f>
        <v>1</v>
      </c>
      <c r="AE8" s="2">
        <v>1</v>
      </c>
      <c r="AF8" s="2" t="s">
        <v>51</v>
      </c>
      <c r="AG8" s="220">
        <f>IF(J8&lt;I8,$AJ$7+J8-I8,J8-I8)</f>
        <v>0</v>
      </c>
      <c r="AH8" s="220">
        <f ca="1">IF(HLOOKUP($F8,Jornada!$X$7:$AD$37,VLOOKUP(INDIRECT($C$5),Jornada!$C$8:$W$37,21,0),0)=0,0,VLOOKUP(INDIRECT($C$5),Jornada!$C$8:$H$37,4,0))</f>
        <v>0</v>
      </c>
      <c r="AI8" s="155">
        <f ca="1">IF(AND(I8=0,J8=0,OR(H8&lt;&gt;0,K8&lt;&gt;0),HLOOKUP($F8,Jornada!$X$7:$AD$37,VLOOKUP(INDIRECT($C$5),Jornada!$C$8:$W$37,21,0),0)&gt;$AK$5,M8&gt;$AK$5),VLOOKUP(INDIRECT($C$5),Jornada!$C$8:$H$37,6,0),IF(AG8&gt;VLOOKUP(INDIRECT($C$5),Jornada!$C$8:$H$37,6,0),IF(VLOOKUP(INDIRECT($C$5),Jornada!$C$8:$H$37,6,0)&lt;AG8,0,ABS(VLOOKUP(INDIRECT($C$5),Jornada!$C$8:$H$37,6,0))-AG8),0))</f>
        <v>0</v>
      </c>
      <c r="AJ8" s="155">
        <f>($AJ$7-K8)+H8</f>
        <v>1</v>
      </c>
      <c r="AK8" s="155">
        <f>IF(AJ8&lt;$AK$7,$AK$7-AJ8,$AI$7)</f>
        <v>0</v>
      </c>
      <c r="AL8" s="155">
        <f ca="1">HLOOKUP($F8,Jornada!$I$5:$V$37,VLOOKUP(INDIRECT($C$5),Jornada!$C$8:$W$37,21,0)+2,0)</f>
        <v>0</v>
      </c>
      <c r="AM8" s="155">
        <f ca="1">HLOOKUP($F8,Jornada!$I$4:$V$37,VLOOKUP(INDIRECT($C$5),Jornada!$C$8:$W$37,21,0)+3,0)</f>
        <v>0</v>
      </c>
      <c r="AN8" s="155">
        <f ca="1">IF(AND(AL8&gt;=$AL$5,AL8&lt;$AN$5,H8&gt;=$AL$5,H8&lt;AL8),AL8-H8,IF(AND(AL8&gt;$AI$7,AL8&lt;=$AM$5,H8&gt;=$AL$5,H8&lt;=$AN$5),$AN$5-H8+AL8,IF(AND(AL8&gt;=$AI$7,AL8&lt;=$AM$5,H8&gt;=$AI$7,H8&lt;=$AM$5,H8&lt;AL8),H8-AL8,0)))</f>
        <v>0</v>
      </c>
      <c r="AO8" s="155">
        <f>IF(AP8&gt;Q8,0,AP8)</f>
        <v>0</v>
      </c>
      <c r="AP8" s="155">
        <f>IF(Q8=0,0,IF(AND(AM8&gt;=$AL$5,AM8&lt;$AN$5,K8&gt;=$AL$5,K8&lt;$AM$5,K8&gt;AM8),K8-AM8,IF(AND(AM8&gt;=$AL$5,AM8&lt;$AN$5,K8&lt;$AN$5,K8&gt;AM8),K8-$AL$5,IF(AND(AM8&gt;=$AI$7,AM8&lt;$AM$5,K8&lt;$AM$5),K8-AM8,IF(AND(AM8&lt;&gt;AI7,AM8&gt;=$AI$7,AM8&lt;=$AM$5,K8&gt;$AM$5,K8&gt;AM8),$AM$5-AM8,IF(AND(K8&gt;$AL$5,K8&lt;$AN$5),K8-$AL$5,IF(AND(K8&gt;$AI$7,K8&lt;$AM$5),$AN$5-$AL$5+K8,IF(AND(OR(K8&gt;$AL$5,H8&gt;$AO$5),AM8&gt;=$AI$7,AM8&lt;$AM$5,K8&gt;$AM$5),(1+$AM$5-$AL$5)-AG8,0))))))))</f>
        <v>0</v>
      </c>
      <c r="BE8" s="14"/>
      <c r="BF8" s="14"/>
      <c r="BG8" s="14"/>
    </row>
    <row r="9" spans="1:59" s="2" customFormat="1" ht="30" customHeight="1" thickTop="1" thickBot="1" x14ac:dyDescent="0.25">
      <c r="A9" s="1"/>
      <c r="B9"/>
      <c r="C9" s="172" t="str">
        <f>IF(Funcionários!C8=0,"",Funcionários!C8)</f>
        <v/>
      </c>
      <c r="D9"/>
      <c r="E9" s="115">
        <f>Lanç!E9</f>
        <v>2</v>
      </c>
      <c r="F9" s="189" t="str">
        <f>Lanç!F9</f>
        <v>Seg</v>
      </c>
      <c r="G9" s="81"/>
      <c r="H9" s="94"/>
      <c r="I9" s="94"/>
      <c r="J9" s="94"/>
      <c r="K9" s="94"/>
      <c r="L9" s="197"/>
      <c r="M9" s="95">
        <f t="shared" ref="M9:M38" si="1">IF(AND(H9=K9,H9&lt;&gt;0),$M$6-IF(J9&lt;I9,$AJ$7+J9-I9,J9-I9),IF(H9&gt;K9,(K9+1-H9)-IF(J9&lt;I9,$AJ$7+J9-I9,J9-I9),(K9-H9)-IF(J9&lt;I9,$AJ$7+J9-I9,J9-I9)))</f>
        <v>0</v>
      </c>
      <c r="N9" s="196"/>
      <c r="O9" s="95">
        <f ca="1">IF(OR(G9=0,G9="Férias",G9="Falta Justificada",G9="Feriado",G9="Folga (DSR)"),0,IF(G9="Falta Injustificada",HLOOKUP($F9,Jornada!$X$7:$AD$37,VLOOKUP(INDIRECT($C$5),Jornada!$C$8:$W$37,21,0),0),IF(HLOOKUP($F9,Jornada!$X$7:$AD$37,VLOOKUP(INDIRECT($C$5),Jornada!$C$8:$W$37,21,0),0)-M9&gt;0,HLOOKUP($F9,Jornada!$X$7:$AD$37,VLOOKUP(INDIRECT($C$5),Jornada!$C$8:$W$37,21,0),0)-M9,0)))</f>
        <v>0</v>
      </c>
      <c r="P9" s="193">
        <f ca="1">IF(HLOOKUP($F9,Jornada!$X$7:$AD$37,VLOOKUP(INDIRECT($C$5),Jornada!$C$8:$W$37,21,0),0)-M9&lt;0,ABS(HLOOKUP($F9,Jornada!$X$7:$AD$37,VLOOKUP(INDIRECT($C$5),Jornada!$C$8:$W$37,21,0),0)-M9),0)</f>
        <v>0</v>
      </c>
      <c r="Q9" s="95">
        <f t="shared" si="0"/>
        <v>0</v>
      </c>
      <c r="R9" s="2">
        <f t="shared" ref="R9:R38" si="2">IF(Q9&gt;$R$7,1,0)</f>
        <v>0</v>
      </c>
      <c r="S9" s="294"/>
      <c r="T9" s="294"/>
      <c r="U9" s="295"/>
      <c r="W9" s="2" t="s">
        <v>92</v>
      </c>
      <c r="X9" s="156">
        <v>3</v>
      </c>
      <c r="AB9" s="177">
        <f>AB8+1</f>
        <v>2</v>
      </c>
      <c r="AC9" s="2">
        <f t="shared" ref="AC9:AC35" si="3">WEEKDAY(AB9)</f>
        <v>2</v>
      </c>
      <c r="AE9" s="2">
        <v>2</v>
      </c>
      <c r="AF9" s="2" t="s">
        <v>52</v>
      </c>
      <c r="AG9" s="220">
        <f t="shared" ref="AG9:AG38" si="4">IF(J9&lt;I9,$AJ$7+J9-I9,J9-I9)</f>
        <v>0</v>
      </c>
      <c r="AH9" s="220">
        <f ca="1">IF(HLOOKUP($F9,Jornada!$X$7:$AD$37,VLOOKUP(INDIRECT($C$5),Jornada!$C$8:$W$37,21,0),0)=0,0,VLOOKUP(INDIRECT($C$5),Jornada!$C$8:$H$37,4,0))</f>
        <v>0</v>
      </c>
      <c r="AI9" s="155">
        <f ca="1">IF(AND(I9=0,J9=0,OR(H9&lt;&gt;0,K9&lt;&gt;0),HLOOKUP($F9,Jornada!$X$7:$AD$37,VLOOKUP(INDIRECT($C$5),Jornada!$C$8:$W$37,21,0),0)&gt;$AK$5,M9&gt;$AK$5),VLOOKUP(INDIRECT($C$5),Jornada!$C$8:$H$37,6,0),IF(AG9&gt;VLOOKUP(INDIRECT($C$5),Jornada!$C$8:$H$37,6,0),IF(VLOOKUP(INDIRECT($C$5),Jornada!$C$8:$H$37,6,0)&lt;AG9,0,ABS(VLOOKUP(INDIRECT($C$5),Jornada!$C$8:$H$37,6,0))-AG9),0))</f>
        <v>0</v>
      </c>
      <c r="AJ9" s="155">
        <f t="shared" ref="AJ9:AJ38" si="5">($AJ$7-K9)+H9</f>
        <v>1</v>
      </c>
      <c r="AK9" s="155">
        <f t="shared" ref="AK9:AK38" si="6">IF(AJ9&lt;$AK$7,$AK$7-AJ9,$AI$7)</f>
        <v>0</v>
      </c>
      <c r="AL9" s="155">
        <f ca="1">HLOOKUP($F9,Jornada!$I$5:$V$37,VLOOKUP(INDIRECT($C$5),Jornada!$C$8:$W$37,21,0)+2,0)</f>
        <v>0</v>
      </c>
      <c r="AM9" s="155">
        <f ca="1">HLOOKUP($F9,Jornada!$I$4:$V$37,VLOOKUP(INDIRECT($C$5),Jornada!$C$8:$W$37,21,0)+3,0)</f>
        <v>0</v>
      </c>
      <c r="AN9" s="155">
        <f t="shared" ref="AN9:AN38" ca="1" si="7">IF(AND(AL9&gt;=$AL$5,AL9&lt;$AN$5,H9&gt;=$AL$5,H9&lt;AL9),AL9-H9,IF(AND(AL9&gt;$AI$7,AL9&lt;=$AM$5,H9&gt;=$AL$5,H9&lt;=$AN$5),$AN$5-H9+AL9,IF(AND(AL9&gt;=$AI$7,AL9&lt;=$AM$5,H9&gt;=$AI$7,H9&lt;=$AM$5,H9&lt;AL9),H9-AL9,0)))</f>
        <v>0</v>
      </c>
      <c r="AO9" s="155">
        <f t="shared" ref="AO9:AO38" si="8">IF(AP9&gt;Q9,0,AP9)</f>
        <v>0</v>
      </c>
      <c r="AP9" s="155">
        <f t="shared" ref="AP9:AP38" si="9">IF(Q9=0,0,IF(AND(AM9&gt;=$AL$5,AM9&lt;$AN$5,K9&gt;=$AL$5,K9&lt;$AM$5,K9&gt;AM9),K9-AM9,IF(AND(AM9&gt;=$AL$5,AM9&lt;$AN$5,K9&lt;$AN$5,K9&gt;AM9),K9-$AL$5,IF(AND(AM9&gt;=$AI$7,AM9&lt;$AM$5,K9&lt;$AM$5),K9-AM9,IF(AND(AM9&lt;&gt;AI8,AM9&gt;=$AI$7,AM9&lt;=$AM$5,K9&gt;$AM$5,K9&gt;AM9),$AM$5-AM9,IF(AND(K9&gt;$AL$5,K9&lt;$AN$5),K9-$AL$5,IF(AND(K9&gt;$AI$7,K9&lt;$AM$5),$AN$5-$AL$5+K9,IF(AND(OR(K9&gt;$AL$5,H9&gt;$AO$5),AM9&gt;=$AI$7,AM9&lt;$AM$5,K9&gt;$AM$5),(1+$AM$5-$AL$5)-AG9,0))))))))</f>
        <v>0</v>
      </c>
      <c r="BE9" s="14"/>
      <c r="BF9" s="14"/>
      <c r="BG9" s="14"/>
    </row>
    <row r="10" spans="1:59" s="2" customFormat="1" ht="30" customHeight="1" thickTop="1" thickBot="1" x14ac:dyDescent="0.25">
      <c r="A10" s="1"/>
      <c r="B10"/>
      <c r="C10" s="172" t="str">
        <f>IF(Funcionários!C9=0,"",Funcionários!C9)</f>
        <v/>
      </c>
      <c r="D10"/>
      <c r="E10" s="115">
        <f>Lanç!E10</f>
        <v>3</v>
      </c>
      <c r="F10" s="189" t="str">
        <f>Lanç!F10</f>
        <v>Ter</v>
      </c>
      <c r="G10" s="81"/>
      <c r="H10" s="94"/>
      <c r="I10" s="94"/>
      <c r="J10" s="94"/>
      <c r="K10" s="94"/>
      <c r="L10" s="197"/>
      <c r="M10" s="95">
        <f t="shared" si="1"/>
        <v>0</v>
      </c>
      <c r="N10" s="196"/>
      <c r="O10" s="95">
        <f ca="1">IF(OR(G10=0,G10="Férias",G10="Falta Justificada",G10="Feriado",G10="Folga (DSR)"),0,IF(G10="Falta Injustificada",HLOOKUP($F10,Jornada!$X$7:$AD$37,VLOOKUP(INDIRECT($C$5),Jornada!$C$8:$W$37,21,0),0),IF(HLOOKUP($F10,Jornada!$X$7:$AD$37,VLOOKUP(INDIRECT($C$5),Jornada!$C$8:$W$37,21,0),0)-M10&gt;0,HLOOKUP($F10,Jornada!$X$7:$AD$37,VLOOKUP(INDIRECT($C$5),Jornada!$C$8:$W$37,21,0),0)-M10,0)))</f>
        <v>0</v>
      </c>
      <c r="P10" s="193">
        <f ca="1">IF(HLOOKUP($F10,Jornada!$X$7:$AD$37,VLOOKUP(INDIRECT($C$5),Jornada!$C$8:$W$37,21,0),0)-M10&lt;0,ABS(HLOOKUP($F10,Jornada!$X$7:$AD$37,VLOOKUP(INDIRECT($C$5),Jornada!$C$8:$W$37,21,0),0)-M10),0)</f>
        <v>0</v>
      </c>
      <c r="Q10" s="95">
        <f t="shared" si="0"/>
        <v>0</v>
      </c>
      <c r="R10" s="2">
        <f t="shared" si="2"/>
        <v>0</v>
      </c>
      <c r="S10" s="294" t="s">
        <v>66</v>
      </c>
      <c r="T10" s="294"/>
      <c r="U10" s="295">
        <f ca="1">IF(M5="Horas devidas",ABS(-K5+F58-U14),ABS(K5+F58-U14))</f>
        <v>0</v>
      </c>
      <c r="W10" s="2" t="s">
        <v>93</v>
      </c>
      <c r="X10" s="156">
        <v>4</v>
      </c>
      <c r="AB10" s="177">
        <f t="shared" ref="AB10:AB34" si="10">AB9+1</f>
        <v>3</v>
      </c>
      <c r="AC10" s="2">
        <f t="shared" si="3"/>
        <v>3</v>
      </c>
      <c r="AE10" s="2">
        <v>3</v>
      </c>
      <c r="AF10" s="2" t="s">
        <v>53</v>
      </c>
      <c r="AG10" s="220">
        <f t="shared" si="4"/>
        <v>0</v>
      </c>
      <c r="AH10" s="220">
        <f ca="1">IF(HLOOKUP($F10,Jornada!$X$7:$AD$37,VLOOKUP(INDIRECT($C$5),Jornada!$C$8:$W$37,21,0),0)=0,0,VLOOKUP(INDIRECT($C$5),Jornada!$C$8:$H$37,4,0))</f>
        <v>0</v>
      </c>
      <c r="AI10" s="155">
        <f ca="1">IF(AND(I10=0,J10=0,OR(H10&lt;&gt;0,K10&lt;&gt;0),HLOOKUP($F10,Jornada!$X$7:$AD$37,VLOOKUP(INDIRECT($C$5),Jornada!$C$8:$W$37,21,0),0)&gt;$AK$5,M10&gt;$AK$5),VLOOKUP(INDIRECT($C$5),Jornada!$C$8:$H$37,6,0),IF(AG10&gt;VLOOKUP(INDIRECT($C$5),Jornada!$C$8:$H$37,6,0),IF(VLOOKUP(INDIRECT($C$5),Jornada!$C$8:$H$37,6,0)&lt;AG10,0,ABS(VLOOKUP(INDIRECT($C$5),Jornada!$C$8:$H$37,6,0))-AG10),0))</f>
        <v>0</v>
      </c>
      <c r="AJ10" s="155">
        <f t="shared" si="5"/>
        <v>1</v>
      </c>
      <c r="AK10" s="155">
        <f t="shared" si="6"/>
        <v>0</v>
      </c>
      <c r="AL10" s="155">
        <f ca="1">HLOOKUP($F10,Jornada!$I$5:$V$37,VLOOKUP(INDIRECT($C$5),Jornada!$C$8:$W$37,21,0)+2,0)</f>
        <v>0</v>
      </c>
      <c r="AM10" s="155">
        <f ca="1">HLOOKUP($F10,Jornada!$I$4:$V$37,VLOOKUP(INDIRECT($C$5),Jornada!$C$8:$W$37,21,0)+3,0)</f>
        <v>0</v>
      </c>
      <c r="AN10" s="155">
        <f t="shared" ca="1" si="7"/>
        <v>0</v>
      </c>
      <c r="AO10" s="155">
        <f t="shared" si="8"/>
        <v>0</v>
      </c>
      <c r="AP10" s="155">
        <f t="shared" si="9"/>
        <v>0</v>
      </c>
      <c r="BE10" s="14"/>
      <c r="BF10" s="14"/>
      <c r="BG10" s="14"/>
    </row>
    <row r="11" spans="1:59" s="2" customFormat="1" ht="30" customHeight="1" thickTop="1" thickBot="1" x14ac:dyDescent="0.25">
      <c r="A11" s="1"/>
      <c r="B11"/>
      <c r="C11" s="172" t="str">
        <f>IF(Funcionários!C10=0,"",Funcionários!C10)</f>
        <v/>
      </c>
      <c r="D11"/>
      <c r="E11" s="115">
        <f>Lanç!E11</f>
        <v>4</v>
      </c>
      <c r="F11" s="189" t="str">
        <f>Lanç!F11</f>
        <v>Qua</v>
      </c>
      <c r="G11" s="81"/>
      <c r="H11" s="94"/>
      <c r="I11" s="94"/>
      <c r="J11" s="94"/>
      <c r="K11" s="94"/>
      <c r="L11" s="197"/>
      <c r="M11" s="95">
        <f t="shared" si="1"/>
        <v>0</v>
      </c>
      <c r="N11" s="196"/>
      <c r="O11" s="95">
        <f ca="1">IF(OR(G11=0,G11="Férias",G11="Falta Justificada",G11="Feriado",G11="Folga (DSR)"),0,IF(G11="Falta Injustificada",HLOOKUP($F11,Jornada!$X$7:$AD$37,VLOOKUP(INDIRECT($C$5),Jornada!$C$8:$W$37,21,0),0),IF(HLOOKUP($F11,Jornada!$X$7:$AD$37,VLOOKUP(INDIRECT($C$5),Jornada!$C$8:$W$37,21,0),0)-M11&gt;0,HLOOKUP($F11,Jornada!$X$7:$AD$37,VLOOKUP(INDIRECT($C$5),Jornada!$C$8:$W$37,21,0),0)-M11,0)))</f>
        <v>0</v>
      </c>
      <c r="P11" s="193">
        <f ca="1">IF(HLOOKUP($F11,Jornada!$X$7:$AD$37,VLOOKUP(INDIRECT($C$5),Jornada!$C$8:$W$37,21,0),0)-M11&lt;0,ABS(HLOOKUP($F11,Jornada!$X$7:$AD$37,VLOOKUP(INDIRECT($C$5),Jornada!$C$8:$W$37,21,0),0)-M11),0)</f>
        <v>0</v>
      </c>
      <c r="Q11" s="95">
        <f t="shared" si="0"/>
        <v>0</v>
      </c>
      <c r="R11" s="2">
        <f t="shared" si="2"/>
        <v>0</v>
      </c>
      <c r="S11" s="294"/>
      <c r="T11" s="294"/>
      <c r="U11" s="295"/>
      <c r="V11" s="2">
        <f ca="1">IF(AND(K5&gt;U12,M5="Horas devidas"),"Negativo",IF(AND(U12&gt;K5,U14&gt;F58),"Negativo",0))</f>
        <v>0</v>
      </c>
      <c r="W11" s="2" t="s">
        <v>94</v>
      </c>
      <c r="X11" s="156">
        <v>5</v>
      </c>
      <c r="Z11" s="2" t="str">
        <f ca="1">IF(AND(M5="horas extras",Z13="positivo"),"positivo",IF(AND(M5="horas devidas",Z13="Negativo"),"Negativo",IF(AND(Z13="positivo",M5="horas devidas",U12&gt;K5),"Positivo","Negativo")))</f>
        <v>Negativo</v>
      </c>
      <c r="AB11" s="177">
        <f t="shared" si="10"/>
        <v>4</v>
      </c>
      <c r="AC11" s="2">
        <f t="shared" si="3"/>
        <v>4</v>
      </c>
      <c r="AE11" s="2">
        <v>4</v>
      </c>
      <c r="AF11" s="2" t="s">
        <v>54</v>
      </c>
      <c r="AG11" s="220">
        <f t="shared" si="4"/>
        <v>0</v>
      </c>
      <c r="AH11" s="220">
        <f ca="1">IF(HLOOKUP($F11,Jornada!$X$7:$AD$37,VLOOKUP(INDIRECT($C$5),Jornada!$C$8:$W$37,21,0),0)=0,0,VLOOKUP(INDIRECT($C$5),Jornada!$C$8:$H$37,4,0))</f>
        <v>0</v>
      </c>
      <c r="AI11" s="155">
        <f ca="1">IF(AND(I11=0,J11=0,OR(H11&lt;&gt;0,K11&lt;&gt;0),HLOOKUP($F11,Jornada!$X$7:$AD$37,VLOOKUP(INDIRECT($C$5),Jornada!$C$8:$W$37,21,0),0)&gt;$AK$5,M11&gt;$AK$5),VLOOKUP(INDIRECT($C$5),Jornada!$C$8:$H$37,6,0),IF(AG11&gt;VLOOKUP(INDIRECT($C$5),Jornada!$C$8:$H$37,6,0),IF(VLOOKUP(INDIRECT($C$5),Jornada!$C$8:$H$37,6,0)&lt;AG11,0,ABS(VLOOKUP(INDIRECT($C$5),Jornada!$C$8:$H$37,6,0))-AG11),0))</f>
        <v>0</v>
      </c>
      <c r="AJ11" s="155">
        <f t="shared" si="5"/>
        <v>1</v>
      </c>
      <c r="AK11" s="155">
        <f t="shared" si="6"/>
        <v>0</v>
      </c>
      <c r="AL11" s="155">
        <f ca="1">HLOOKUP($F11,Jornada!$I$5:$V$37,VLOOKUP(INDIRECT($C$5),Jornada!$C$8:$W$37,21,0)+2,0)</f>
        <v>0</v>
      </c>
      <c r="AM11" s="155">
        <f ca="1">HLOOKUP($F11,Jornada!$I$4:$V$37,VLOOKUP(INDIRECT($C$5),Jornada!$C$8:$W$37,21,0)+3,0)</f>
        <v>0</v>
      </c>
      <c r="AN11" s="155">
        <f t="shared" ca="1" si="7"/>
        <v>0</v>
      </c>
      <c r="AO11" s="155">
        <f t="shared" si="8"/>
        <v>0</v>
      </c>
      <c r="AP11" s="155">
        <f t="shared" si="9"/>
        <v>0</v>
      </c>
      <c r="BE11" s="14"/>
      <c r="BF11" s="14"/>
      <c r="BG11" s="14"/>
    </row>
    <row r="12" spans="1:59" s="2" customFormat="1" ht="30" customHeight="1" thickTop="1" thickBot="1" x14ac:dyDescent="0.25">
      <c r="A12" s="1"/>
      <c r="B12"/>
      <c r="C12" s="172" t="str">
        <f>IF(Funcionários!C11=0,"",Funcionários!C11)</f>
        <v/>
      </c>
      <c r="D12"/>
      <c r="E12" s="115">
        <f>Lanç!E12</f>
        <v>5</v>
      </c>
      <c r="F12" s="189" t="str">
        <f>Lanç!F12</f>
        <v>Qui</v>
      </c>
      <c r="G12" s="81"/>
      <c r="H12" s="94"/>
      <c r="I12" s="94"/>
      <c r="J12" s="94"/>
      <c r="K12" s="94"/>
      <c r="L12" s="197"/>
      <c r="M12" s="95">
        <f t="shared" si="1"/>
        <v>0</v>
      </c>
      <c r="N12" s="196"/>
      <c r="O12" s="95">
        <f ca="1">IF(OR(G12=0,G12="Férias",G12="Falta Justificada",G12="Feriado",G12="Folga (DSR)"),0,IF(G12="Falta Injustificada",HLOOKUP($F12,Jornada!$X$7:$AD$37,VLOOKUP(INDIRECT($C$5),Jornada!$C$8:$W$37,21,0),0),IF(HLOOKUP($F12,Jornada!$X$7:$AD$37,VLOOKUP(INDIRECT($C$5),Jornada!$C$8:$W$37,21,0),0)-M12&gt;0,HLOOKUP($F12,Jornada!$X$7:$AD$37,VLOOKUP(INDIRECT($C$5),Jornada!$C$8:$W$37,21,0),0)-M12,0)))</f>
        <v>0</v>
      </c>
      <c r="P12" s="193">
        <f ca="1">IF(HLOOKUP($F12,Jornada!$X$7:$AD$37,VLOOKUP(INDIRECT($C$5),Jornada!$C$8:$W$37,21,0),0)-M12&lt;0,ABS(HLOOKUP($F12,Jornada!$X$7:$AD$37,VLOOKUP(INDIRECT($C$5),Jornada!$C$8:$W$37,21,0),0)-M12),0)</f>
        <v>0</v>
      </c>
      <c r="Q12" s="95">
        <f t="shared" si="0"/>
        <v>0</v>
      </c>
      <c r="R12" s="2">
        <f t="shared" si="2"/>
        <v>0</v>
      </c>
      <c r="S12" s="294" t="s">
        <v>175</v>
      </c>
      <c r="T12" s="294"/>
      <c r="U12" s="295">
        <f ca="1">IF(U14&gt;=F58,(U14)-F58,(F58-U14))</f>
        <v>0</v>
      </c>
      <c r="W12" s="2" t="s">
        <v>95</v>
      </c>
      <c r="X12" s="156">
        <v>6</v>
      </c>
      <c r="AB12" s="177">
        <f t="shared" si="10"/>
        <v>5</v>
      </c>
      <c r="AC12" s="2">
        <f t="shared" si="3"/>
        <v>5</v>
      </c>
      <c r="AE12" s="2">
        <v>5</v>
      </c>
      <c r="AF12" s="2" t="s">
        <v>55</v>
      </c>
      <c r="AG12" s="220">
        <f t="shared" si="4"/>
        <v>0</v>
      </c>
      <c r="AH12" s="220">
        <f ca="1">IF(HLOOKUP($F12,Jornada!$X$7:$AD$37,VLOOKUP(INDIRECT($C$5),Jornada!$C$8:$W$37,21,0),0)=0,0,VLOOKUP(INDIRECT($C$5),Jornada!$C$8:$H$37,4,0))</f>
        <v>0</v>
      </c>
      <c r="AI12" s="155">
        <f ca="1">IF(AND(I12=0,J12=0,OR(H12&lt;&gt;0,K12&lt;&gt;0),HLOOKUP($F12,Jornada!$X$7:$AD$37,VLOOKUP(INDIRECT($C$5),Jornada!$C$8:$W$37,21,0),0)&gt;$AK$5,M12&gt;$AK$5),VLOOKUP(INDIRECT($C$5),Jornada!$C$8:$H$37,6,0),IF(AG12&gt;VLOOKUP(INDIRECT($C$5),Jornada!$C$8:$H$37,6,0),IF(VLOOKUP(INDIRECT($C$5),Jornada!$C$8:$H$37,6,0)&lt;AG12,0,ABS(VLOOKUP(INDIRECT($C$5),Jornada!$C$8:$H$37,6,0))-AG12),0))</f>
        <v>0</v>
      </c>
      <c r="AJ12" s="155">
        <f t="shared" si="5"/>
        <v>1</v>
      </c>
      <c r="AK12" s="155">
        <f t="shared" si="6"/>
        <v>0</v>
      </c>
      <c r="AL12" s="155">
        <f ca="1">HLOOKUP($F12,Jornada!$I$5:$V$37,VLOOKUP(INDIRECT($C$5),Jornada!$C$8:$W$37,21,0)+2,0)</f>
        <v>0</v>
      </c>
      <c r="AM12" s="155">
        <f ca="1">HLOOKUP($F12,Jornada!$I$4:$V$37,VLOOKUP(INDIRECT($C$5),Jornada!$C$8:$W$37,21,0)+3,0)</f>
        <v>0</v>
      </c>
      <c r="AN12" s="155">
        <f t="shared" ca="1" si="7"/>
        <v>0</v>
      </c>
      <c r="AO12" s="155">
        <f t="shared" si="8"/>
        <v>0</v>
      </c>
      <c r="AP12" s="155">
        <f t="shared" si="9"/>
        <v>0</v>
      </c>
      <c r="BE12" s="14"/>
      <c r="BF12" s="14"/>
      <c r="BG12" s="14"/>
    </row>
    <row r="13" spans="1:59" s="2" customFormat="1" ht="30" customHeight="1" thickTop="1" thickBot="1" x14ac:dyDescent="0.25">
      <c r="A13" s="1"/>
      <c r="B13"/>
      <c r="C13" s="172" t="str">
        <f>IF(Funcionários!C12=0,"",Funcionários!C12)</f>
        <v/>
      </c>
      <c r="D13"/>
      <c r="E13" s="115">
        <f>Lanç!E13</f>
        <v>6</v>
      </c>
      <c r="F13" s="189" t="str">
        <f>Lanç!F13</f>
        <v>Sex</v>
      </c>
      <c r="G13" s="81"/>
      <c r="H13" s="94"/>
      <c r="I13" s="94"/>
      <c r="J13" s="94"/>
      <c r="K13" s="94"/>
      <c r="L13" s="197"/>
      <c r="M13" s="95">
        <f t="shared" si="1"/>
        <v>0</v>
      </c>
      <c r="N13" s="196"/>
      <c r="O13" s="95">
        <f ca="1">IF(OR(G13=0,G13="Férias",G13="Falta Justificada",G13="Feriado",G13="Folga (DSR)"),0,IF(G13="Falta Injustificada",HLOOKUP($F13,Jornada!$X$7:$AD$37,VLOOKUP(INDIRECT($C$5),Jornada!$C$8:$W$37,21,0),0),IF(HLOOKUP($F13,Jornada!$X$7:$AD$37,VLOOKUP(INDIRECT($C$5),Jornada!$C$8:$W$37,21,0),0)-M13&gt;0,HLOOKUP($F13,Jornada!$X$7:$AD$37,VLOOKUP(INDIRECT($C$5),Jornada!$C$8:$W$37,21,0),0)-M13,0)))</f>
        <v>0</v>
      </c>
      <c r="P13" s="193">
        <f ca="1">IF(HLOOKUP($F13,Jornada!$X$7:$AD$37,VLOOKUP(INDIRECT($C$5),Jornada!$C$8:$W$37,21,0),0)-M13&lt;0,ABS(HLOOKUP($F13,Jornada!$X$7:$AD$37,VLOOKUP(INDIRECT($C$5),Jornada!$C$8:$W$37,21,0),0)-M13),0)</f>
        <v>0</v>
      </c>
      <c r="Q13" s="95">
        <f t="shared" si="0"/>
        <v>0</v>
      </c>
      <c r="R13" s="2">
        <f t="shared" si="2"/>
        <v>0</v>
      </c>
      <c r="S13" s="294"/>
      <c r="T13" s="294"/>
      <c r="U13" s="295"/>
      <c r="W13" s="2" t="s">
        <v>96</v>
      </c>
      <c r="X13" s="156">
        <v>7</v>
      </c>
      <c r="Z13" s="2" t="str">
        <f ca="1">IF(U14&gt;F58,"Negativo","Positivo")</f>
        <v>Positivo</v>
      </c>
      <c r="AB13" s="177">
        <f t="shared" si="10"/>
        <v>6</v>
      </c>
      <c r="AC13" s="2">
        <f t="shared" si="3"/>
        <v>6</v>
      </c>
      <c r="AE13" s="2">
        <v>6</v>
      </c>
      <c r="AF13" s="2" t="s">
        <v>56</v>
      </c>
      <c r="AG13" s="220">
        <f t="shared" si="4"/>
        <v>0</v>
      </c>
      <c r="AH13" s="220">
        <f ca="1">IF(HLOOKUP($F13,Jornada!$X$7:$AD$37,VLOOKUP(INDIRECT($C$5),Jornada!$C$8:$W$37,21,0),0)=0,0,VLOOKUP(INDIRECT($C$5),Jornada!$C$8:$H$37,4,0))</f>
        <v>0</v>
      </c>
      <c r="AI13" s="155">
        <f ca="1">IF(AND(I13=0,J13=0,OR(H13&lt;&gt;0,K13&lt;&gt;0),HLOOKUP($F13,Jornada!$X$7:$AD$37,VLOOKUP(INDIRECT($C$5),Jornada!$C$8:$W$37,21,0),0)&gt;$AK$5,M13&gt;$AK$5),VLOOKUP(INDIRECT($C$5),Jornada!$C$8:$H$37,6,0),IF(AG13&gt;VLOOKUP(INDIRECT($C$5),Jornada!$C$8:$H$37,6,0),IF(VLOOKUP(INDIRECT($C$5),Jornada!$C$8:$H$37,6,0)&lt;AG13,0,ABS(VLOOKUP(INDIRECT($C$5),Jornada!$C$8:$H$37,6,0))-AG13),0))</f>
        <v>0</v>
      </c>
      <c r="AJ13" s="155">
        <f t="shared" si="5"/>
        <v>1</v>
      </c>
      <c r="AK13" s="155">
        <f t="shared" si="6"/>
        <v>0</v>
      </c>
      <c r="AL13" s="155">
        <f ca="1">HLOOKUP($F13,Jornada!$I$5:$V$37,VLOOKUP(INDIRECT($C$5),Jornada!$C$8:$W$37,21,0)+2,0)</f>
        <v>0</v>
      </c>
      <c r="AM13" s="155">
        <f ca="1">HLOOKUP($F13,Jornada!$I$4:$V$37,VLOOKUP(INDIRECT($C$5),Jornada!$C$8:$W$37,21,0)+3,0)</f>
        <v>0</v>
      </c>
      <c r="AN13" s="155">
        <f t="shared" ca="1" si="7"/>
        <v>0</v>
      </c>
      <c r="AO13" s="155">
        <f t="shared" si="8"/>
        <v>0</v>
      </c>
      <c r="AP13" s="155">
        <f t="shared" si="9"/>
        <v>0</v>
      </c>
      <c r="BE13" s="14"/>
      <c r="BF13" s="14"/>
      <c r="BG13" s="14"/>
    </row>
    <row r="14" spans="1:59" s="2" customFormat="1" ht="30" customHeight="1" thickTop="1" thickBot="1" x14ac:dyDescent="0.25">
      <c r="A14" s="1"/>
      <c r="B14"/>
      <c r="C14" s="172" t="str">
        <f>IF(Funcionários!C13=0,"",Funcionários!C13)</f>
        <v/>
      </c>
      <c r="D14"/>
      <c r="E14" s="115">
        <f>Lanç!E14</f>
        <v>7</v>
      </c>
      <c r="F14" s="189" t="str">
        <f>Lanç!F14</f>
        <v>Sáb</v>
      </c>
      <c r="G14" s="81"/>
      <c r="H14" s="94"/>
      <c r="I14" s="94"/>
      <c r="J14" s="94"/>
      <c r="K14" s="94"/>
      <c r="L14" s="197"/>
      <c r="M14" s="95">
        <f t="shared" si="1"/>
        <v>0</v>
      </c>
      <c r="N14" s="196"/>
      <c r="O14" s="95">
        <f ca="1">IF(OR(G14=0,G14="Férias",G14="Falta Justificada",G14="Feriado",G14="Folga (DSR)"),0,IF(G14="Falta Injustificada",HLOOKUP($F14,Jornada!$X$7:$AD$37,VLOOKUP(INDIRECT($C$5),Jornada!$C$8:$W$37,21,0),0),IF(HLOOKUP($F14,Jornada!$X$7:$AD$37,VLOOKUP(INDIRECT($C$5),Jornada!$C$8:$W$37,21,0),0)-M14&gt;0,HLOOKUP($F14,Jornada!$X$7:$AD$37,VLOOKUP(INDIRECT($C$5),Jornada!$C$8:$W$37,21,0),0)-M14,0)))</f>
        <v>0</v>
      </c>
      <c r="P14" s="193">
        <f ca="1">IF(HLOOKUP($F14,Jornada!$X$7:$AD$37,VLOOKUP(INDIRECT($C$5),Jornada!$C$8:$W$37,21,0),0)-M14&lt;0,ABS(HLOOKUP($F14,Jornada!$X$7:$AD$37,VLOOKUP(INDIRECT($C$5),Jornada!$C$8:$W$37,21,0),0)-M14),0)</f>
        <v>0</v>
      </c>
      <c r="Q14" s="95">
        <f t="shared" si="0"/>
        <v>0</v>
      </c>
      <c r="R14" s="2">
        <f t="shared" si="2"/>
        <v>0</v>
      </c>
      <c r="S14" s="294" t="s">
        <v>68</v>
      </c>
      <c r="T14" s="294"/>
      <c r="U14" s="295">
        <f ca="1">SUM(O8:O38)</f>
        <v>0</v>
      </c>
      <c r="W14" s="2" t="s">
        <v>97</v>
      </c>
      <c r="X14" s="156">
        <v>8</v>
      </c>
      <c r="AB14" s="177">
        <f t="shared" si="10"/>
        <v>7</v>
      </c>
      <c r="AC14" s="2">
        <f t="shared" si="3"/>
        <v>7</v>
      </c>
      <c r="AE14" s="2">
        <v>7</v>
      </c>
      <c r="AF14" s="2" t="s">
        <v>57</v>
      </c>
      <c r="AG14" s="220">
        <f t="shared" si="4"/>
        <v>0</v>
      </c>
      <c r="AH14" s="220">
        <f ca="1">IF(HLOOKUP($F14,Jornada!$X$7:$AD$37,VLOOKUP(INDIRECT($C$5),Jornada!$C$8:$W$37,21,0),0)=0,0,VLOOKUP(INDIRECT($C$5),Jornada!$C$8:$H$37,4,0))</f>
        <v>0</v>
      </c>
      <c r="AI14" s="155">
        <f ca="1">IF(AND(I14=0,J14=0,OR(H14&lt;&gt;0,K14&lt;&gt;0),HLOOKUP($F14,Jornada!$X$7:$AD$37,VLOOKUP(INDIRECT($C$5),Jornada!$C$8:$W$37,21,0),0)&gt;$AK$5,M14&gt;$AK$5),VLOOKUP(INDIRECT($C$5),Jornada!$C$8:$H$37,6,0),IF(AG14&gt;VLOOKUP(INDIRECT($C$5),Jornada!$C$8:$H$37,6,0),IF(VLOOKUP(INDIRECT($C$5),Jornada!$C$8:$H$37,6,0)&lt;AG14,0,ABS(VLOOKUP(INDIRECT($C$5),Jornada!$C$8:$H$37,6,0))-AG14),0))</f>
        <v>0</v>
      </c>
      <c r="AJ14" s="155">
        <f t="shared" si="5"/>
        <v>1</v>
      </c>
      <c r="AK14" s="155">
        <f t="shared" si="6"/>
        <v>0</v>
      </c>
      <c r="AL14" s="155">
        <f ca="1">HLOOKUP($F14,Jornada!$I$5:$V$37,VLOOKUP(INDIRECT($C$5),Jornada!$C$8:$W$37,21,0)+2,0)</f>
        <v>0</v>
      </c>
      <c r="AM14" s="155">
        <f ca="1">HLOOKUP($F14,Jornada!$I$4:$V$37,VLOOKUP(INDIRECT($C$5),Jornada!$C$8:$W$37,21,0)+3,0)</f>
        <v>0</v>
      </c>
      <c r="AN14" s="155">
        <f t="shared" ca="1" si="7"/>
        <v>0</v>
      </c>
      <c r="AO14" s="155">
        <f t="shared" si="8"/>
        <v>0</v>
      </c>
      <c r="AP14" s="155">
        <f t="shared" si="9"/>
        <v>0</v>
      </c>
      <c r="BE14" s="14"/>
      <c r="BF14" s="14"/>
      <c r="BG14" s="14"/>
    </row>
    <row r="15" spans="1:59" s="2" customFormat="1" ht="30" customHeight="1" thickTop="1" thickBot="1" x14ac:dyDescent="0.25">
      <c r="A15" s="1"/>
      <c r="B15"/>
      <c r="C15" s="172" t="str">
        <f>IF(Funcionários!C14=0,"",Funcionários!C14)</f>
        <v/>
      </c>
      <c r="D15"/>
      <c r="E15" s="115">
        <f>Lanç!E15</f>
        <v>8</v>
      </c>
      <c r="F15" s="189" t="str">
        <f>Lanç!F15</f>
        <v>Dom</v>
      </c>
      <c r="G15" s="81"/>
      <c r="H15" s="94"/>
      <c r="I15" s="94"/>
      <c r="J15" s="94"/>
      <c r="K15" s="94"/>
      <c r="L15" s="197"/>
      <c r="M15" s="95">
        <f t="shared" si="1"/>
        <v>0</v>
      </c>
      <c r="N15" s="196"/>
      <c r="O15" s="95">
        <f ca="1">IF(OR(G15=0,G15="Férias",G15="Falta Justificada",G15="Feriado",G15="Folga (DSR)"),0,IF(G15="Falta Injustificada",HLOOKUP($F15,Jornada!$X$7:$AD$37,VLOOKUP(INDIRECT($C$5),Jornada!$C$8:$W$37,21,0),0),IF(HLOOKUP($F15,Jornada!$X$7:$AD$37,VLOOKUP(INDIRECT($C$5),Jornada!$C$8:$W$37,21,0),0)-M15&gt;0,HLOOKUP($F15,Jornada!$X$7:$AD$37,VLOOKUP(INDIRECT($C$5),Jornada!$C$8:$W$37,21,0),0)-M15,0)))</f>
        <v>0</v>
      </c>
      <c r="P15" s="193">
        <f ca="1">IF(HLOOKUP($F15,Jornada!$X$7:$AD$37,VLOOKUP(INDIRECT($C$5),Jornada!$C$8:$W$37,21,0),0)-M15&lt;0,ABS(HLOOKUP($F15,Jornada!$X$7:$AD$37,VLOOKUP(INDIRECT($C$5),Jornada!$C$8:$W$37,21,0),0)-M15),0)</f>
        <v>0</v>
      </c>
      <c r="Q15" s="95">
        <f t="shared" si="0"/>
        <v>0</v>
      </c>
      <c r="R15" s="2">
        <f t="shared" si="2"/>
        <v>0</v>
      </c>
      <c r="S15" s="294"/>
      <c r="T15" s="294"/>
      <c r="U15" s="295"/>
      <c r="W15" s="2" t="s">
        <v>98</v>
      </c>
      <c r="X15" s="156">
        <v>9</v>
      </c>
      <c r="AB15" s="177">
        <f t="shared" si="10"/>
        <v>8</v>
      </c>
      <c r="AC15" s="2">
        <f t="shared" si="3"/>
        <v>1</v>
      </c>
      <c r="AG15" s="220">
        <f t="shared" si="4"/>
        <v>0</v>
      </c>
      <c r="AH15" s="220">
        <f ca="1">IF(HLOOKUP($F15,Jornada!$X$7:$AD$37,VLOOKUP(INDIRECT($C$5),Jornada!$C$8:$W$37,21,0),0)=0,0,VLOOKUP(INDIRECT($C$5),Jornada!$C$8:$H$37,4,0))</f>
        <v>0</v>
      </c>
      <c r="AI15" s="155">
        <f ca="1">IF(AND(I15=0,J15=0,OR(H15&lt;&gt;0,K15&lt;&gt;0),HLOOKUP($F15,Jornada!$X$7:$AD$37,VLOOKUP(INDIRECT($C$5),Jornada!$C$8:$W$37,21,0),0)&gt;$AK$5,M15&gt;$AK$5),VLOOKUP(INDIRECT($C$5),Jornada!$C$8:$H$37,6,0),IF(AG15&gt;VLOOKUP(INDIRECT($C$5),Jornada!$C$8:$H$37,6,0),IF(VLOOKUP(INDIRECT($C$5),Jornada!$C$8:$H$37,6,0)&lt;AG15,0,ABS(VLOOKUP(INDIRECT($C$5),Jornada!$C$8:$H$37,6,0))-AG15),0))</f>
        <v>0</v>
      </c>
      <c r="AJ15" s="155">
        <f t="shared" si="5"/>
        <v>1</v>
      </c>
      <c r="AK15" s="155">
        <f t="shared" si="6"/>
        <v>0</v>
      </c>
      <c r="AL15" s="155">
        <f ca="1">HLOOKUP($F15,Jornada!$I$5:$V$37,VLOOKUP(INDIRECT($C$5),Jornada!$C$8:$W$37,21,0)+2,0)</f>
        <v>0</v>
      </c>
      <c r="AM15" s="155">
        <f ca="1">HLOOKUP($F15,Jornada!$I$4:$V$37,VLOOKUP(INDIRECT($C$5),Jornada!$C$8:$W$37,21,0)+3,0)</f>
        <v>0</v>
      </c>
      <c r="AN15" s="155">
        <f t="shared" ca="1" si="7"/>
        <v>0</v>
      </c>
      <c r="AO15" s="155">
        <f t="shared" si="8"/>
        <v>0</v>
      </c>
      <c r="AP15" s="155">
        <f t="shared" si="9"/>
        <v>0</v>
      </c>
      <c r="BE15" s="14"/>
      <c r="BF15" s="14"/>
      <c r="BG15" s="14"/>
    </row>
    <row r="16" spans="1:59" s="2" customFormat="1" ht="30" customHeight="1" thickTop="1" thickBot="1" x14ac:dyDescent="0.25">
      <c r="A16" s="1"/>
      <c r="B16"/>
      <c r="C16" s="172" t="str">
        <f>IF(Funcionários!C15=0,"",Funcionários!C15)</f>
        <v/>
      </c>
      <c r="D16"/>
      <c r="E16" s="115">
        <f>Lanç!E16</f>
        <v>9</v>
      </c>
      <c r="F16" s="189" t="str">
        <f>Lanç!F16</f>
        <v>Seg</v>
      </c>
      <c r="G16" s="81"/>
      <c r="H16" s="94"/>
      <c r="I16" s="94"/>
      <c r="J16" s="94"/>
      <c r="K16" s="94"/>
      <c r="L16" s="197"/>
      <c r="M16" s="95">
        <f t="shared" si="1"/>
        <v>0</v>
      </c>
      <c r="N16" s="196"/>
      <c r="O16" s="95">
        <f ca="1">IF(OR(G16=0,G16="Férias",G16="Falta Justificada",G16="Feriado",G16="Folga (DSR)"),0,IF(G16="Falta Injustificada",HLOOKUP($F16,Jornada!$X$7:$AD$37,VLOOKUP(INDIRECT($C$5),Jornada!$C$8:$W$37,21,0),0),IF(HLOOKUP($F16,Jornada!$X$7:$AD$37,VLOOKUP(INDIRECT($C$5),Jornada!$C$8:$W$37,21,0),0)-M16&gt;0,HLOOKUP($F16,Jornada!$X$7:$AD$37,VLOOKUP(INDIRECT($C$5),Jornada!$C$8:$W$37,21,0),0)-M16,0)))</f>
        <v>0</v>
      </c>
      <c r="P16" s="193">
        <f ca="1">IF(HLOOKUP($F16,Jornada!$X$7:$AD$37,VLOOKUP(INDIRECT($C$5),Jornada!$C$8:$W$37,21,0),0)-M16&lt;0,ABS(HLOOKUP($F16,Jornada!$X$7:$AD$37,VLOOKUP(INDIRECT($C$5),Jornada!$C$8:$W$37,21,0),0)-M16),0)</f>
        <v>0</v>
      </c>
      <c r="Q16" s="95">
        <f t="shared" si="0"/>
        <v>0</v>
      </c>
      <c r="R16" s="2">
        <f t="shared" si="2"/>
        <v>0</v>
      </c>
      <c r="S16" s="294" t="s">
        <v>67</v>
      </c>
      <c r="T16" s="294"/>
      <c r="U16" s="295">
        <f>SUM(Q8:Q38)</f>
        <v>0</v>
      </c>
      <c r="W16" s="2" t="s">
        <v>99</v>
      </c>
      <c r="X16" s="156">
        <v>10</v>
      </c>
      <c r="AB16" s="177">
        <f t="shared" si="10"/>
        <v>9</v>
      </c>
      <c r="AC16" s="2">
        <f t="shared" si="3"/>
        <v>2</v>
      </c>
      <c r="AG16" s="220">
        <f t="shared" si="4"/>
        <v>0</v>
      </c>
      <c r="AH16" s="220">
        <f ca="1">IF(HLOOKUP($F16,Jornada!$X$7:$AD$37,VLOOKUP(INDIRECT($C$5),Jornada!$C$8:$W$37,21,0),0)=0,0,VLOOKUP(INDIRECT($C$5),Jornada!$C$8:$H$37,4,0))</f>
        <v>0</v>
      </c>
      <c r="AI16" s="155">
        <f ca="1">IF(AND(I16=0,J16=0,OR(H16&lt;&gt;0,K16&lt;&gt;0),HLOOKUP($F16,Jornada!$X$7:$AD$37,VLOOKUP(INDIRECT($C$5),Jornada!$C$8:$W$37,21,0),0)&gt;$AK$5,M16&gt;$AK$5),VLOOKUP(INDIRECT($C$5),Jornada!$C$8:$H$37,6,0),IF(AG16&gt;VLOOKUP(INDIRECT($C$5),Jornada!$C$8:$H$37,6,0),IF(VLOOKUP(INDIRECT($C$5),Jornada!$C$8:$H$37,6,0)&lt;AG16,0,ABS(VLOOKUP(INDIRECT($C$5),Jornada!$C$8:$H$37,6,0))-AG16),0))</f>
        <v>0</v>
      </c>
      <c r="AJ16" s="155">
        <f t="shared" si="5"/>
        <v>1</v>
      </c>
      <c r="AK16" s="155">
        <f t="shared" si="6"/>
        <v>0</v>
      </c>
      <c r="AL16" s="155">
        <f ca="1">HLOOKUP($F16,Jornada!$I$5:$V$37,VLOOKUP(INDIRECT($C$5),Jornada!$C$8:$W$37,21,0)+2,0)</f>
        <v>0</v>
      </c>
      <c r="AM16" s="155">
        <f ca="1">HLOOKUP($F16,Jornada!$I$4:$V$37,VLOOKUP(INDIRECT($C$5),Jornada!$C$8:$W$37,21,0)+3,0)</f>
        <v>0</v>
      </c>
      <c r="AN16" s="155">
        <f t="shared" ca="1" si="7"/>
        <v>0</v>
      </c>
      <c r="AO16" s="155">
        <f t="shared" si="8"/>
        <v>0</v>
      </c>
      <c r="AP16" s="155">
        <f t="shared" si="9"/>
        <v>0</v>
      </c>
      <c r="BE16" s="14"/>
      <c r="BF16" s="14"/>
      <c r="BG16" s="14"/>
    </row>
    <row r="17" spans="1:59" s="2" customFormat="1" ht="30" customHeight="1" thickTop="1" thickBot="1" x14ac:dyDescent="0.25">
      <c r="A17" s="1"/>
      <c r="B17"/>
      <c r="C17" s="172" t="str">
        <f>IF(Funcionários!C16=0,"",Funcionários!C16)</f>
        <v/>
      </c>
      <c r="D17"/>
      <c r="E17" s="115">
        <f>Lanç!E17</f>
        <v>10</v>
      </c>
      <c r="F17" s="189" t="str">
        <f>Lanç!F17</f>
        <v>Ter</v>
      </c>
      <c r="G17" s="81"/>
      <c r="H17" s="94"/>
      <c r="I17" s="94"/>
      <c r="J17" s="94"/>
      <c r="K17" s="94"/>
      <c r="L17" s="197"/>
      <c r="M17" s="95">
        <f t="shared" si="1"/>
        <v>0</v>
      </c>
      <c r="N17" s="196"/>
      <c r="O17" s="95">
        <f ca="1">IF(OR(G17=0,G17="Férias",G17="Falta Justificada",G17="Feriado",G17="Folga (DSR)"),0,IF(G17="Falta Injustificada",HLOOKUP($F17,Jornada!$X$7:$AD$37,VLOOKUP(INDIRECT($C$5),Jornada!$C$8:$W$37,21,0),0),IF(HLOOKUP($F17,Jornada!$X$7:$AD$37,VLOOKUP(INDIRECT($C$5),Jornada!$C$8:$W$37,21,0),0)-M17&gt;0,HLOOKUP($F17,Jornada!$X$7:$AD$37,VLOOKUP(INDIRECT($C$5),Jornada!$C$8:$W$37,21,0),0)-M17,0)))</f>
        <v>0</v>
      </c>
      <c r="P17" s="193">
        <f ca="1">IF(HLOOKUP($F17,Jornada!$X$7:$AD$37,VLOOKUP(INDIRECT($C$5),Jornada!$C$8:$W$37,21,0),0)-M17&lt;0,ABS(HLOOKUP($F17,Jornada!$X$7:$AD$37,VLOOKUP(INDIRECT($C$5),Jornada!$C$8:$W$37,21,0),0)-M17),0)</f>
        <v>0</v>
      </c>
      <c r="Q17" s="95">
        <f t="shared" si="0"/>
        <v>0</v>
      </c>
      <c r="R17" s="2">
        <f t="shared" si="2"/>
        <v>0</v>
      </c>
      <c r="S17" s="294"/>
      <c r="T17" s="294"/>
      <c r="U17" s="295"/>
      <c r="W17" s="2" t="s">
        <v>100</v>
      </c>
      <c r="X17" s="156">
        <v>11</v>
      </c>
      <c r="AB17" s="177">
        <f t="shared" si="10"/>
        <v>10</v>
      </c>
      <c r="AC17" s="2">
        <f t="shared" si="3"/>
        <v>3</v>
      </c>
      <c r="AG17" s="220">
        <f t="shared" si="4"/>
        <v>0</v>
      </c>
      <c r="AH17" s="220">
        <f ca="1">IF(HLOOKUP($F17,Jornada!$X$7:$AD$37,VLOOKUP(INDIRECT($C$5),Jornada!$C$8:$W$37,21,0),0)=0,0,VLOOKUP(INDIRECT($C$5),Jornada!$C$8:$H$37,4,0))</f>
        <v>0</v>
      </c>
      <c r="AI17" s="155">
        <f ca="1">IF(AND(I17=0,J17=0,OR(H17&lt;&gt;0,K17&lt;&gt;0),HLOOKUP($F17,Jornada!$X$7:$AD$37,VLOOKUP(INDIRECT($C$5),Jornada!$C$8:$W$37,21,0),0)&gt;$AK$5,M17&gt;$AK$5),VLOOKUP(INDIRECT($C$5),Jornada!$C$8:$H$37,6,0),IF(AG17&gt;VLOOKUP(INDIRECT($C$5),Jornada!$C$8:$H$37,6,0),IF(VLOOKUP(INDIRECT($C$5),Jornada!$C$8:$H$37,6,0)&lt;AG17,0,ABS(VLOOKUP(INDIRECT($C$5),Jornada!$C$8:$H$37,6,0))-AG17),0))</f>
        <v>0</v>
      </c>
      <c r="AJ17" s="155">
        <f t="shared" si="5"/>
        <v>1</v>
      </c>
      <c r="AK17" s="155">
        <f t="shared" si="6"/>
        <v>0</v>
      </c>
      <c r="AL17" s="155">
        <f ca="1">HLOOKUP($F17,Jornada!$I$5:$V$37,VLOOKUP(INDIRECT($C$5),Jornada!$C$8:$W$37,21,0)+2,0)</f>
        <v>0</v>
      </c>
      <c r="AM17" s="155">
        <f ca="1">HLOOKUP($F17,Jornada!$I$4:$V$37,VLOOKUP(INDIRECT($C$5),Jornada!$C$8:$W$37,21,0)+3,0)</f>
        <v>0</v>
      </c>
      <c r="AN17" s="155">
        <f t="shared" ca="1" si="7"/>
        <v>0</v>
      </c>
      <c r="AO17" s="155">
        <f t="shared" si="8"/>
        <v>0</v>
      </c>
      <c r="AP17" s="155">
        <f t="shared" si="9"/>
        <v>0</v>
      </c>
      <c r="BE17" s="14"/>
      <c r="BF17" s="14"/>
      <c r="BG17" s="14"/>
    </row>
    <row r="18" spans="1:59" s="2" customFormat="1" ht="30" customHeight="1" thickTop="1" thickBot="1" x14ac:dyDescent="0.25">
      <c r="A18" s="1"/>
      <c r="B18"/>
      <c r="C18" s="172" t="str">
        <f>IF(Funcionários!C17=0,"",Funcionários!C17)</f>
        <v/>
      </c>
      <c r="D18"/>
      <c r="E18" s="115">
        <f>Lanç!E18</f>
        <v>11</v>
      </c>
      <c r="F18" s="189" t="str">
        <f>Lanç!F18</f>
        <v>Qua</v>
      </c>
      <c r="G18" s="81"/>
      <c r="H18" s="94"/>
      <c r="I18" s="94"/>
      <c r="J18" s="94"/>
      <c r="K18" s="94"/>
      <c r="L18" s="197"/>
      <c r="M18" s="95">
        <f t="shared" si="1"/>
        <v>0</v>
      </c>
      <c r="N18" s="196"/>
      <c r="O18" s="95">
        <f ca="1">IF(OR(G18=0,G18="Férias",G18="Falta Justificada",G18="Feriado",G18="Folga (DSR)"),0,IF(G18="Falta Injustificada",HLOOKUP($F18,Jornada!$X$7:$AD$37,VLOOKUP(INDIRECT($C$5),Jornada!$C$8:$W$37,21,0),0),IF(HLOOKUP($F18,Jornada!$X$7:$AD$37,VLOOKUP(INDIRECT($C$5),Jornada!$C$8:$W$37,21,0),0)-M18&gt;0,HLOOKUP($F18,Jornada!$X$7:$AD$37,VLOOKUP(INDIRECT($C$5),Jornada!$C$8:$W$37,21,0),0)-M18,0)))</f>
        <v>0</v>
      </c>
      <c r="P18" s="193">
        <f ca="1">IF(HLOOKUP($F18,Jornada!$X$7:$AD$37,VLOOKUP(INDIRECT($C$5),Jornada!$C$8:$W$37,21,0),0)-M18&lt;0,ABS(HLOOKUP($F18,Jornada!$X$7:$AD$37,VLOOKUP(INDIRECT($C$5),Jornada!$C$8:$W$37,21,0),0)-M18),0)</f>
        <v>0</v>
      </c>
      <c r="Q18" s="95">
        <f t="shared" si="0"/>
        <v>0</v>
      </c>
      <c r="R18" s="2">
        <f t="shared" si="2"/>
        <v>0</v>
      </c>
      <c r="S18" s="294" t="s">
        <v>69</v>
      </c>
      <c r="T18" s="294"/>
      <c r="U18" s="299">
        <f ca="1">F54</f>
        <v>0</v>
      </c>
      <c r="W18" s="2" t="s">
        <v>101</v>
      </c>
      <c r="X18" s="156">
        <v>12</v>
      </c>
      <c r="AB18" s="177">
        <f t="shared" si="10"/>
        <v>11</v>
      </c>
      <c r="AC18" s="2">
        <f t="shared" si="3"/>
        <v>4</v>
      </c>
      <c r="AG18" s="220">
        <f t="shared" si="4"/>
        <v>0</v>
      </c>
      <c r="AH18" s="220">
        <f ca="1">IF(HLOOKUP($F18,Jornada!$X$7:$AD$37,VLOOKUP(INDIRECT($C$5),Jornada!$C$8:$W$37,21,0),0)=0,0,VLOOKUP(INDIRECT($C$5),Jornada!$C$8:$H$37,4,0))</f>
        <v>0</v>
      </c>
      <c r="AI18" s="155">
        <f ca="1">IF(AND(I18=0,J18=0,OR(H18&lt;&gt;0,K18&lt;&gt;0),HLOOKUP($F18,Jornada!$X$7:$AD$37,VLOOKUP(INDIRECT($C$5),Jornada!$C$8:$W$37,21,0),0)&gt;$AK$5,M18&gt;$AK$5),VLOOKUP(INDIRECT($C$5),Jornada!$C$8:$H$37,6,0),IF(AG18&gt;VLOOKUP(INDIRECT($C$5),Jornada!$C$8:$H$37,6,0),IF(VLOOKUP(INDIRECT($C$5),Jornada!$C$8:$H$37,6,0)&lt;AG18,0,ABS(VLOOKUP(INDIRECT($C$5),Jornada!$C$8:$H$37,6,0))-AG18),0))</f>
        <v>0</v>
      </c>
      <c r="AJ18" s="155">
        <f t="shared" si="5"/>
        <v>1</v>
      </c>
      <c r="AK18" s="155">
        <f t="shared" si="6"/>
        <v>0</v>
      </c>
      <c r="AL18" s="155">
        <f ca="1">HLOOKUP($F18,Jornada!$I$5:$V$37,VLOOKUP(INDIRECT($C$5),Jornada!$C$8:$W$37,21,0)+2,0)</f>
        <v>0</v>
      </c>
      <c r="AM18" s="155">
        <f ca="1">HLOOKUP($F18,Jornada!$I$4:$V$37,VLOOKUP(INDIRECT($C$5),Jornada!$C$8:$W$37,21,0)+3,0)</f>
        <v>0</v>
      </c>
      <c r="AN18" s="155">
        <f t="shared" ca="1" si="7"/>
        <v>0</v>
      </c>
      <c r="AO18" s="155">
        <f t="shared" si="8"/>
        <v>0</v>
      </c>
      <c r="AP18" s="155">
        <f t="shared" si="9"/>
        <v>0</v>
      </c>
      <c r="BE18" s="14"/>
      <c r="BF18" s="14"/>
      <c r="BG18" s="14"/>
    </row>
    <row r="19" spans="1:59" s="2" customFormat="1" ht="30" customHeight="1" thickTop="1" thickBot="1" x14ac:dyDescent="0.25">
      <c r="A19" s="1"/>
      <c r="B19"/>
      <c r="C19" s="172" t="str">
        <f>IF(Funcionários!C18=0,"",Funcionários!C18)</f>
        <v/>
      </c>
      <c r="D19"/>
      <c r="E19" s="115">
        <f>Lanç!E19</f>
        <v>12</v>
      </c>
      <c r="F19" s="189" t="str">
        <f>Lanç!F19</f>
        <v>Qui</v>
      </c>
      <c r="G19" s="81"/>
      <c r="H19" s="94"/>
      <c r="I19" s="94"/>
      <c r="J19" s="94"/>
      <c r="K19" s="94"/>
      <c r="L19" s="197"/>
      <c r="M19" s="95">
        <f t="shared" si="1"/>
        <v>0</v>
      </c>
      <c r="N19" s="196"/>
      <c r="O19" s="95">
        <f ca="1">IF(OR(G19=0,G19="Férias",G19="Falta Justificada",G19="Feriado",G19="Folga (DSR)"),0,IF(G19="Falta Injustificada",HLOOKUP($F19,Jornada!$X$7:$AD$37,VLOOKUP(INDIRECT($C$5),Jornada!$C$8:$W$37,21,0),0),IF(HLOOKUP($F19,Jornada!$X$7:$AD$37,VLOOKUP(INDIRECT($C$5),Jornada!$C$8:$W$37,21,0),0)-M19&gt;0,HLOOKUP($F19,Jornada!$X$7:$AD$37,VLOOKUP(INDIRECT($C$5),Jornada!$C$8:$W$37,21,0),0)-M19,0)))</f>
        <v>0</v>
      </c>
      <c r="P19" s="193">
        <f ca="1">IF(HLOOKUP($F19,Jornada!$X$7:$AD$37,VLOOKUP(INDIRECT($C$5),Jornada!$C$8:$W$37,21,0),0)-M19&lt;0,ABS(HLOOKUP($F19,Jornada!$X$7:$AD$37,VLOOKUP(INDIRECT($C$5),Jornada!$C$8:$W$37,21,0),0)-M19),0)</f>
        <v>0</v>
      </c>
      <c r="Q19" s="95">
        <f t="shared" si="0"/>
        <v>0</v>
      </c>
      <c r="R19" s="2">
        <f t="shared" si="2"/>
        <v>0</v>
      </c>
      <c r="S19" s="294"/>
      <c r="T19" s="294"/>
      <c r="U19" s="299"/>
      <c r="X19" s="177"/>
      <c r="AB19" s="177">
        <f t="shared" si="10"/>
        <v>12</v>
      </c>
      <c r="AC19" s="2">
        <f t="shared" si="3"/>
        <v>5</v>
      </c>
      <c r="AG19" s="220">
        <f t="shared" si="4"/>
        <v>0</v>
      </c>
      <c r="AH19" s="220">
        <f ca="1">IF(HLOOKUP($F19,Jornada!$X$7:$AD$37,VLOOKUP(INDIRECT($C$5),Jornada!$C$8:$W$37,21,0),0)=0,0,VLOOKUP(INDIRECT($C$5),Jornada!$C$8:$H$37,4,0))</f>
        <v>0</v>
      </c>
      <c r="AI19" s="155">
        <f ca="1">IF(AND(I19=0,J19=0,OR(H19&lt;&gt;0,K19&lt;&gt;0),HLOOKUP($F19,Jornada!$X$7:$AD$37,VLOOKUP(INDIRECT($C$5),Jornada!$C$8:$W$37,21,0),0)&gt;$AK$5,M19&gt;$AK$5),VLOOKUP(INDIRECT($C$5),Jornada!$C$8:$H$37,6,0),IF(AG19&gt;VLOOKUP(INDIRECT($C$5),Jornada!$C$8:$H$37,6,0),IF(VLOOKUP(INDIRECT($C$5),Jornada!$C$8:$H$37,6,0)&lt;AG19,0,ABS(VLOOKUP(INDIRECT($C$5),Jornada!$C$8:$H$37,6,0))-AG19),0))</f>
        <v>0</v>
      </c>
      <c r="AJ19" s="155">
        <f t="shared" si="5"/>
        <v>1</v>
      </c>
      <c r="AK19" s="155">
        <f t="shared" si="6"/>
        <v>0</v>
      </c>
      <c r="AL19" s="155">
        <f ca="1">HLOOKUP($F19,Jornada!$I$5:$V$37,VLOOKUP(INDIRECT($C$5),Jornada!$C$8:$W$37,21,0)+2,0)</f>
        <v>0</v>
      </c>
      <c r="AM19" s="155">
        <f ca="1">HLOOKUP($F19,Jornada!$I$4:$V$37,VLOOKUP(INDIRECT($C$5),Jornada!$C$8:$W$37,21,0)+3,0)</f>
        <v>0</v>
      </c>
      <c r="AN19" s="155">
        <f t="shared" ca="1" si="7"/>
        <v>0</v>
      </c>
      <c r="AO19" s="155">
        <f t="shared" si="8"/>
        <v>0</v>
      </c>
      <c r="AP19" s="155">
        <f t="shared" si="9"/>
        <v>0</v>
      </c>
      <c r="BE19" s="14"/>
      <c r="BF19" s="14"/>
      <c r="BG19" s="14"/>
    </row>
    <row r="20" spans="1:59" s="2" customFormat="1" ht="30" customHeight="1" thickTop="1" thickBot="1" x14ac:dyDescent="0.25">
      <c r="A20" s="1"/>
      <c r="B20"/>
      <c r="C20" s="172" t="str">
        <f>IF(Funcionários!C19=0,"",Funcionários!C19)</f>
        <v/>
      </c>
      <c r="D20"/>
      <c r="E20" s="115">
        <f>Lanç!E20</f>
        <v>13</v>
      </c>
      <c r="F20" s="189" t="str">
        <f>Lanç!F20</f>
        <v>Sex</v>
      </c>
      <c r="G20" s="81"/>
      <c r="H20" s="94"/>
      <c r="I20" s="94"/>
      <c r="J20" s="94"/>
      <c r="K20" s="94"/>
      <c r="L20" s="197"/>
      <c r="M20" s="95">
        <f t="shared" si="1"/>
        <v>0</v>
      </c>
      <c r="N20" s="196"/>
      <c r="O20" s="95">
        <f ca="1">IF(OR(G20=0,G20="Férias",G20="Falta Justificada",G20="Feriado",G20="Folga (DSR)"),0,IF(G20="Falta Injustificada",HLOOKUP($F20,Jornada!$X$7:$AD$37,VLOOKUP(INDIRECT($C$5),Jornada!$C$8:$W$37,21,0),0),IF(HLOOKUP($F20,Jornada!$X$7:$AD$37,VLOOKUP(INDIRECT($C$5),Jornada!$C$8:$W$37,21,0),0)-M20&gt;0,HLOOKUP($F20,Jornada!$X$7:$AD$37,VLOOKUP(INDIRECT($C$5),Jornada!$C$8:$W$37,21,0),0)-M20,0)))</f>
        <v>0</v>
      </c>
      <c r="P20" s="193">
        <f ca="1">IF(HLOOKUP($F20,Jornada!$X$7:$AD$37,VLOOKUP(INDIRECT($C$5),Jornada!$C$8:$W$37,21,0),0)-M20&lt;0,ABS(HLOOKUP($F20,Jornada!$X$7:$AD$37,VLOOKUP(INDIRECT($C$5),Jornada!$C$8:$W$37,21,0),0)-M20),0)</f>
        <v>0</v>
      </c>
      <c r="Q20" s="95">
        <f t="shared" si="0"/>
        <v>0</v>
      </c>
      <c r="R20" s="2">
        <f t="shared" si="2"/>
        <v>0</v>
      </c>
      <c r="S20"/>
      <c r="T20"/>
      <c r="U20"/>
      <c r="X20" s="177"/>
      <c r="AB20" s="177">
        <f t="shared" si="10"/>
        <v>13</v>
      </c>
      <c r="AC20" s="2">
        <f t="shared" si="3"/>
        <v>6</v>
      </c>
      <c r="AG20" s="220">
        <f t="shared" si="4"/>
        <v>0</v>
      </c>
      <c r="AH20" s="220">
        <f ca="1">IF(HLOOKUP($F20,Jornada!$X$7:$AD$37,VLOOKUP(INDIRECT($C$5),Jornada!$C$8:$W$37,21,0),0)=0,0,VLOOKUP(INDIRECT($C$5),Jornada!$C$8:$H$37,4,0))</f>
        <v>0</v>
      </c>
      <c r="AI20" s="155">
        <f ca="1">IF(AND(I20=0,J20=0,OR(H20&lt;&gt;0,K20&lt;&gt;0),HLOOKUP($F20,Jornada!$X$7:$AD$37,VLOOKUP(INDIRECT($C$5),Jornada!$C$8:$W$37,21,0),0)&gt;$AK$5,M20&gt;$AK$5),VLOOKUP(INDIRECT($C$5),Jornada!$C$8:$H$37,6,0),IF(AG20&gt;VLOOKUP(INDIRECT($C$5),Jornada!$C$8:$H$37,6,0),IF(VLOOKUP(INDIRECT($C$5),Jornada!$C$8:$H$37,6,0)&lt;AG20,0,ABS(VLOOKUP(INDIRECT($C$5),Jornada!$C$8:$H$37,6,0))-AG20),0))</f>
        <v>0</v>
      </c>
      <c r="AJ20" s="155">
        <f t="shared" si="5"/>
        <v>1</v>
      </c>
      <c r="AK20" s="155">
        <f t="shared" si="6"/>
        <v>0</v>
      </c>
      <c r="AL20" s="155">
        <f ca="1">HLOOKUP($F20,Jornada!$I$5:$V$37,VLOOKUP(INDIRECT($C$5),Jornada!$C$8:$W$37,21,0)+2,0)</f>
        <v>0</v>
      </c>
      <c r="AM20" s="155">
        <f ca="1">HLOOKUP($F20,Jornada!$I$4:$V$37,VLOOKUP(INDIRECT($C$5),Jornada!$C$8:$W$37,21,0)+3,0)</f>
        <v>0</v>
      </c>
      <c r="AN20" s="155">
        <f t="shared" ca="1" si="7"/>
        <v>0</v>
      </c>
      <c r="AO20" s="155">
        <f t="shared" si="8"/>
        <v>0</v>
      </c>
      <c r="AP20" s="155">
        <f t="shared" si="9"/>
        <v>0</v>
      </c>
      <c r="BE20" s="14"/>
      <c r="BF20" s="14"/>
      <c r="BG20" s="14"/>
    </row>
    <row r="21" spans="1:59" s="2" customFormat="1" ht="30" customHeight="1" thickTop="1" thickBot="1" x14ac:dyDescent="0.25">
      <c r="A21" s="1"/>
      <c r="B21"/>
      <c r="C21" s="171" t="str">
        <f>IF(Funcionários!C20=0,"",Funcionários!C20)</f>
        <v/>
      </c>
      <c r="D21"/>
      <c r="E21" s="115">
        <f>Lanç!E21</f>
        <v>14</v>
      </c>
      <c r="F21" s="189" t="str">
        <f>Lanç!F21</f>
        <v>Sáb</v>
      </c>
      <c r="G21" s="81"/>
      <c r="H21" s="94"/>
      <c r="I21" s="94"/>
      <c r="J21" s="94"/>
      <c r="K21" s="94"/>
      <c r="L21" s="197"/>
      <c r="M21" s="95">
        <f t="shared" si="1"/>
        <v>0</v>
      </c>
      <c r="N21" s="196"/>
      <c r="O21" s="95">
        <f ca="1">IF(OR(G21=0,G21="Férias",G21="Falta Justificada",G21="Feriado",G21="Folga (DSR)"),0,IF(G21="Falta Injustificada",HLOOKUP($F21,Jornada!$X$7:$AD$37,VLOOKUP(INDIRECT($C$5),Jornada!$C$8:$W$37,21,0),0),IF(HLOOKUP($F21,Jornada!$X$7:$AD$37,VLOOKUP(INDIRECT($C$5),Jornada!$C$8:$W$37,21,0),0)-M21&gt;0,HLOOKUP($F21,Jornada!$X$7:$AD$37,VLOOKUP(INDIRECT($C$5),Jornada!$C$8:$W$37,21,0),0)-M21,0)))</f>
        <v>0</v>
      </c>
      <c r="P21" s="193">
        <f ca="1">IF(HLOOKUP($F21,Jornada!$X$7:$AD$37,VLOOKUP(INDIRECT($C$5),Jornada!$C$8:$W$37,21,0),0)-M21&lt;0,ABS(HLOOKUP($F21,Jornada!$X$7:$AD$37,VLOOKUP(INDIRECT($C$5),Jornada!$C$8:$W$37,21,0),0)-M21),0)</f>
        <v>0</v>
      </c>
      <c r="Q21" s="95">
        <f t="shared" si="0"/>
        <v>0</v>
      </c>
      <c r="R21" s="2">
        <f t="shared" si="2"/>
        <v>0</v>
      </c>
      <c r="S21"/>
      <c r="T21"/>
      <c r="U21"/>
      <c r="X21" s="177"/>
      <c r="AB21" s="177">
        <f t="shared" si="10"/>
        <v>14</v>
      </c>
      <c r="AC21" s="2">
        <f t="shared" si="3"/>
        <v>7</v>
      </c>
      <c r="AG21" s="220">
        <f t="shared" si="4"/>
        <v>0</v>
      </c>
      <c r="AH21" s="220">
        <f ca="1">IF(HLOOKUP($F21,Jornada!$X$7:$AD$37,VLOOKUP(INDIRECT($C$5),Jornada!$C$8:$W$37,21,0),0)=0,0,VLOOKUP(INDIRECT($C$5),Jornada!$C$8:$H$37,4,0))</f>
        <v>0</v>
      </c>
      <c r="AI21" s="155">
        <f ca="1">IF(AND(I21=0,J21=0,OR(H21&lt;&gt;0,K21&lt;&gt;0),HLOOKUP($F21,Jornada!$X$7:$AD$37,VLOOKUP(INDIRECT($C$5),Jornada!$C$8:$W$37,21,0),0)&gt;$AK$5,M21&gt;$AK$5),VLOOKUP(INDIRECT($C$5),Jornada!$C$8:$H$37,6,0),IF(AG21&gt;VLOOKUP(INDIRECT($C$5),Jornada!$C$8:$H$37,6,0),IF(VLOOKUP(INDIRECT($C$5),Jornada!$C$8:$H$37,6,0)&lt;AG21,0,ABS(VLOOKUP(INDIRECT($C$5),Jornada!$C$8:$H$37,6,0))-AG21),0))</f>
        <v>0</v>
      </c>
      <c r="AJ21" s="155">
        <f t="shared" si="5"/>
        <v>1</v>
      </c>
      <c r="AK21" s="155">
        <f t="shared" si="6"/>
        <v>0</v>
      </c>
      <c r="AL21" s="155">
        <f ca="1">HLOOKUP($F21,Jornada!$I$5:$V$37,VLOOKUP(INDIRECT($C$5),Jornada!$C$8:$W$37,21,0)+2,0)</f>
        <v>0</v>
      </c>
      <c r="AM21" s="155">
        <f ca="1">HLOOKUP($F21,Jornada!$I$4:$V$37,VLOOKUP(INDIRECT($C$5),Jornada!$C$8:$W$37,21,0)+3,0)</f>
        <v>0</v>
      </c>
      <c r="AN21" s="155">
        <f t="shared" ca="1" si="7"/>
        <v>0</v>
      </c>
      <c r="AO21" s="155">
        <f t="shared" si="8"/>
        <v>0</v>
      </c>
      <c r="AP21" s="155">
        <f t="shared" si="9"/>
        <v>0</v>
      </c>
      <c r="BE21" s="14"/>
      <c r="BF21" s="14"/>
      <c r="BG21" s="14"/>
    </row>
    <row r="22" spans="1:59" s="2" customFormat="1" ht="30" customHeight="1" thickTop="1" thickBot="1" x14ac:dyDescent="0.25">
      <c r="A22" s="1"/>
      <c r="B22"/>
      <c r="C22" s="172" t="str">
        <f>IF(Funcionários!C21=0,"",Funcionários!C21)</f>
        <v/>
      </c>
      <c r="D22"/>
      <c r="E22" s="115">
        <f>Lanç!E22</f>
        <v>15</v>
      </c>
      <c r="F22" s="189" t="str">
        <f>Lanç!F22</f>
        <v>Dom</v>
      </c>
      <c r="G22" s="81"/>
      <c r="H22" s="94"/>
      <c r="I22" s="94"/>
      <c r="J22" s="94"/>
      <c r="K22" s="94"/>
      <c r="L22" s="197"/>
      <c r="M22" s="95">
        <f t="shared" si="1"/>
        <v>0</v>
      </c>
      <c r="N22" s="196"/>
      <c r="O22" s="95">
        <f ca="1">IF(OR(G22=0,G22="Férias",G22="Falta Justificada",G22="Feriado",G22="Folga (DSR)"),0,IF(G22="Falta Injustificada",HLOOKUP($F22,Jornada!$X$7:$AD$37,VLOOKUP(INDIRECT($C$5),Jornada!$C$8:$W$37,21,0),0),IF(HLOOKUP($F22,Jornada!$X$7:$AD$37,VLOOKUP(INDIRECT($C$5),Jornada!$C$8:$W$37,21,0),0)-M22&gt;0,HLOOKUP($F22,Jornada!$X$7:$AD$37,VLOOKUP(INDIRECT($C$5),Jornada!$C$8:$W$37,21,0),0)-M22,0)))</f>
        <v>0</v>
      </c>
      <c r="P22" s="193">
        <f ca="1">IF(HLOOKUP($F22,Jornada!$X$7:$AD$37,VLOOKUP(INDIRECT($C$5),Jornada!$C$8:$W$37,21,0),0)-M22&lt;0,ABS(HLOOKUP($F22,Jornada!$X$7:$AD$37,VLOOKUP(INDIRECT($C$5),Jornada!$C$8:$W$37,21,0),0)-M22),0)</f>
        <v>0</v>
      </c>
      <c r="Q22" s="95">
        <f t="shared" si="0"/>
        <v>0</v>
      </c>
      <c r="R22" s="2">
        <f t="shared" si="2"/>
        <v>0</v>
      </c>
      <c r="S22" s="300" t="s">
        <v>63</v>
      </c>
      <c r="T22" s="301"/>
      <c r="U22" s="302"/>
      <c r="X22" s="177"/>
      <c r="AB22" s="177">
        <f t="shared" si="10"/>
        <v>15</v>
      </c>
      <c r="AC22" s="2">
        <f t="shared" si="3"/>
        <v>1</v>
      </c>
      <c r="AG22" s="220">
        <f t="shared" si="4"/>
        <v>0</v>
      </c>
      <c r="AH22" s="220">
        <f ca="1">IF(HLOOKUP($F22,Jornada!$X$7:$AD$37,VLOOKUP(INDIRECT($C$5),Jornada!$C$8:$W$37,21,0),0)=0,0,VLOOKUP(INDIRECT($C$5),Jornada!$C$8:$H$37,4,0))</f>
        <v>0</v>
      </c>
      <c r="AI22" s="155">
        <f ca="1">IF(AND(I22=0,J22=0,OR(H22&lt;&gt;0,K22&lt;&gt;0),HLOOKUP($F22,Jornada!$X$7:$AD$37,VLOOKUP(INDIRECT($C$5),Jornada!$C$8:$W$37,21,0),0)&gt;$AK$5,M22&gt;$AK$5),VLOOKUP(INDIRECT($C$5),Jornada!$C$8:$H$37,6,0),IF(AG22&gt;VLOOKUP(INDIRECT($C$5),Jornada!$C$8:$H$37,6,0),IF(VLOOKUP(INDIRECT($C$5),Jornada!$C$8:$H$37,6,0)&lt;AG22,0,ABS(VLOOKUP(INDIRECT($C$5),Jornada!$C$8:$H$37,6,0))-AG22),0))</f>
        <v>0</v>
      </c>
      <c r="AJ22" s="155">
        <f t="shared" si="5"/>
        <v>1</v>
      </c>
      <c r="AK22" s="155">
        <f t="shared" si="6"/>
        <v>0</v>
      </c>
      <c r="AL22" s="155">
        <f ca="1">HLOOKUP($F22,Jornada!$I$5:$V$37,VLOOKUP(INDIRECT($C$5),Jornada!$C$8:$W$37,21,0)+2,0)</f>
        <v>0</v>
      </c>
      <c r="AM22" s="155">
        <f ca="1">HLOOKUP($F22,Jornada!$I$4:$V$37,VLOOKUP(INDIRECT($C$5),Jornada!$C$8:$W$37,21,0)+3,0)</f>
        <v>0</v>
      </c>
      <c r="AN22" s="155">
        <f t="shared" ca="1" si="7"/>
        <v>0</v>
      </c>
      <c r="AO22" s="155">
        <f t="shared" si="8"/>
        <v>0</v>
      </c>
      <c r="AP22" s="155">
        <f t="shared" si="9"/>
        <v>0</v>
      </c>
      <c r="BE22" s="14"/>
      <c r="BF22" s="14"/>
      <c r="BG22" s="14"/>
    </row>
    <row r="23" spans="1:59" s="2" customFormat="1" ht="30" customHeight="1" thickTop="1" thickBot="1" x14ac:dyDescent="0.25">
      <c r="A23" s="1"/>
      <c r="B23"/>
      <c r="C23" s="172" t="str">
        <f>IF(Funcionários!C22=0,"",Funcionários!C22)</f>
        <v/>
      </c>
      <c r="D23"/>
      <c r="E23" s="115">
        <f>Lanç!E23</f>
        <v>16</v>
      </c>
      <c r="F23" s="189" t="str">
        <f>Lanç!F23</f>
        <v>Seg</v>
      </c>
      <c r="G23" s="81"/>
      <c r="H23" s="94"/>
      <c r="I23" s="94"/>
      <c r="J23" s="94"/>
      <c r="K23" s="94"/>
      <c r="L23" s="197"/>
      <c r="M23" s="95">
        <f t="shared" si="1"/>
        <v>0</v>
      </c>
      <c r="N23" s="196"/>
      <c r="O23" s="95">
        <f ca="1">IF(OR(G23=0,G23="Férias",G23="Falta Justificada",G23="Feriado",G23="Folga (DSR)"),0,IF(G23="Falta Injustificada",HLOOKUP($F23,Jornada!$X$7:$AD$37,VLOOKUP(INDIRECT($C$5),Jornada!$C$8:$W$37,21,0),0),IF(HLOOKUP($F23,Jornada!$X$7:$AD$37,VLOOKUP(INDIRECT($C$5),Jornada!$C$8:$W$37,21,0),0)-M23&gt;0,HLOOKUP($F23,Jornada!$X$7:$AD$37,VLOOKUP(INDIRECT($C$5),Jornada!$C$8:$W$37,21,0),0)-M23,0)))</f>
        <v>0</v>
      </c>
      <c r="P23" s="193">
        <f ca="1">IF(HLOOKUP($F23,Jornada!$X$7:$AD$37,VLOOKUP(INDIRECT($C$5),Jornada!$C$8:$W$37,21,0),0)-M23&lt;0,ABS(HLOOKUP($F23,Jornada!$X$7:$AD$37,VLOOKUP(INDIRECT($C$5),Jornada!$C$8:$W$37,21,0),0)-M23),0)</f>
        <v>0</v>
      </c>
      <c r="Q23" s="95">
        <f t="shared" si="0"/>
        <v>0</v>
      </c>
      <c r="R23" s="2">
        <f t="shared" si="2"/>
        <v>0</v>
      </c>
      <c r="S23" s="296" t="str">
        <f>IF(SUM(R8:R38)&gt;0,"Segundo o art 59 da CLT, o máximo de horas extras permitidas por dia são 2 horas.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T23" s="297"/>
      <c r="U23" s="298"/>
      <c r="X23" s="177"/>
      <c r="AB23" s="177">
        <f t="shared" si="10"/>
        <v>16</v>
      </c>
      <c r="AC23" s="2">
        <f t="shared" si="3"/>
        <v>2</v>
      </c>
      <c r="AG23" s="220">
        <f t="shared" si="4"/>
        <v>0</v>
      </c>
      <c r="AH23" s="220">
        <f ca="1">IF(HLOOKUP($F23,Jornada!$X$7:$AD$37,VLOOKUP(INDIRECT($C$5),Jornada!$C$8:$W$37,21,0),0)=0,0,VLOOKUP(INDIRECT($C$5),Jornada!$C$8:$H$37,4,0))</f>
        <v>0</v>
      </c>
      <c r="AI23" s="155">
        <f ca="1">IF(AND(I23=0,J23=0,OR(H23&lt;&gt;0,K23&lt;&gt;0),HLOOKUP($F23,Jornada!$X$7:$AD$37,VLOOKUP(INDIRECT($C$5),Jornada!$C$8:$W$37,21,0),0)&gt;$AK$5,M23&gt;$AK$5),VLOOKUP(INDIRECT($C$5),Jornada!$C$8:$H$37,6,0),IF(AG23&gt;VLOOKUP(INDIRECT($C$5),Jornada!$C$8:$H$37,6,0),IF(VLOOKUP(INDIRECT($C$5),Jornada!$C$8:$H$37,6,0)&lt;AG23,0,ABS(VLOOKUP(INDIRECT($C$5),Jornada!$C$8:$H$37,6,0))-AG23),0))</f>
        <v>0</v>
      </c>
      <c r="AJ23" s="155">
        <f t="shared" si="5"/>
        <v>1</v>
      </c>
      <c r="AK23" s="155">
        <f t="shared" si="6"/>
        <v>0</v>
      </c>
      <c r="AL23" s="155">
        <f ca="1">HLOOKUP($F23,Jornada!$I$5:$V$37,VLOOKUP(INDIRECT($C$5),Jornada!$C$8:$W$37,21,0)+2,0)</f>
        <v>0</v>
      </c>
      <c r="AM23" s="155">
        <f ca="1">HLOOKUP($F23,Jornada!$I$4:$V$37,VLOOKUP(INDIRECT($C$5),Jornada!$C$8:$W$37,21,0)+3,0)</f>
        <v>0</v>
      </c>
      <c r="AN23" s="155">
        <f t="shared" ca="1" si="7"/>
        <v>0</v>
      </c>
      <c r="AO23" s="155">
        <f t="shared" si="8"/>
        <v>0</v>
      </c>
      <c r="AP23" s="155">
        <f t="shared" si="9"/>
        <v>0</v>
      </c>
      <c r="BE23" s="14"/>
      <c r="BF23" s="14"/>
      <c r="BG23" s="14"/>
    </row>
    <row r="24" spans="1:59" s="2" customFormat="1" ht="30" customHeight="1" thickTop="1" thickBot="1" x14ac:dyDescent="0.25">
      <c r="A24" s="1"/>
      <c r="B24"/>
      <c r="C24" s="172" t="str">
        <f>IF(Funcionários!C23=0,"",Funcionários!C23)</f>
        <v/>
      </c>
      <c r="D24"/>
      <c r="E24" s="115">
        <f>Lanç!E24</f>
        <v>17</v>
      </c>
      <c r="F24" s="189" t="str">
        <f>Lanç!F24</f>
        <v>Ter</v>
      </c>
      <c r="G24" s="81"/>
      <c r="H24" s="94"/>
      <c r="I24" s="94"/>
      <c r="J24" s="94"/>
      <c r="K24" s="94"/>
      <c r="L24" s="197"/>
      <c r="M24" s="95">
        <f t="shared" si="1"/>
        <v>0</v>
      </c>
      <c r="N24" s="196"/>
      <c r="O24" s="95">
        <f ca="1">IF(OR(G24=0,G24="Férias",G24="Falta Justificada",G24="Feriado",G24="Folga (DSR)"),0,IF(G24="Falta Injustificada",HLOOKUP($F24,Jornada!$X$7:$AD$37,VLOOKUP(INDIRECT($C$5),Jornada!$C$8:$W$37,21,0),0),IF(HLOOKUP($F24,Jornada!$X$7:$AD$37,VLOOKUP(INDIRECT($C$5),Jornada!$C$8:$W$37,21,0),0)-M24&gt;0,HLOOKUP($F24,Jornada!$X$7:$AD$37,VLOOKUP(INDIRECT($C$5),Jornada!$C$8:$W$37,21,0),0)-M24,0)))</f>
        <v>0</v>
      </c>
      <c r="P24" s="193">
        <f ca="1">IF(HLOOKUP($F24,Jornada!$X$7:$AD$37,VLOOKUP(INDIRECT($C$5),Jornada!$C$8:$W$37,21,0),0)-M24&lt;0,ABS(HLOOKUP($F24,Jornada!$X$7:$AD$37,VLOOKUP(INDIRECT($C$5),Jornada!$C$8:$W$37,21,0),0)-M24),0)</f>
        <v>0</v>
      </c>
      <c r="Q24" s="95">
        <f t="shared" si="0"/>
        <v>0</v>
      </c>
      <c r="R24" s="2">
        <f t="shared" si="2"/>
        <v>0</v>
      </c>
      <c r="S24" s="296"/>
      <c r="T24" s="297"/>
      <c r="U24" s="298"/>
      <c r="X24" s="177"/>
      <c r="AB24" s="177">
        <f t="shared" si="10"/>
        <v>17</v>
      </c>
      <c r="AC24" s="2">
        <f t="shared" si="3"/>
        <v>3</v>
      </c>
      <c r="AG24" s="220">
        <f t="shared" si="4"/>
        <v>0</v>
      </c>
      <c r="AH24" s="220">
        <f ca="1">IF(HLOOKUP($F24,Jornada!$X$7:$AD$37,VLOOKUP(INDIRECT($C$5),Jornada!$C$8:$W$37,21,0),0)=0,0,VLOOKUP(INDIRECT($C$5),Jornada!$C$8:$H$37,4,0))</f>
        <v>0</v>
      </c>
      <c r="AI24" s="155">
        <f ca="1">IF(AND(I24=0,J24=0,OR(H24&lt;&gt;0,K24&lt;&gt;0),HLOOKUP($F24,Jornada!$X$7:$AD$37,VLOOKUP(INDIRECT($C$5),Jornada!$C$8:$W$37,21,0),0)&gt;$AK$5,M24&gt;$AK$5),VLOOKUP(INDIRECT($C$5),Jornada!$C$8:$H$37,6,0),IF(AG24&gt;VLOOKUP(INDIRECT($C$5),Jornada!$C$8:$H$37,6,0),IF(VLOOKUP(INDIRECT($C$5),Jornada!$C$8:$H$37,6,0)&lt;AG24,0,ABS(VLOOKUP(INDIRECT($C$5),Jornada!$C$8:$H$37,6,0))-AG24),0))</f>
        <v>0</v>
      </c>
      <c r="AJ24" s="155">
        <f t="shared" si="5"/>
        <v>1</v>
      </c>
      <c r="AK24" s="155">
        <f t="shared" si="6"/>
        <v>0</v>
      </c>
      <c r="AL24" s="155">
        <f ca="1">HLOOKUP($F24,Jornada!$I$5:$V$37,VLOOKUP(INDIRECT($C$5),Jornada!$C$8:$W$37,21,0)+2,0)</f>
        <v>0</v>
      </c>
      <c r="AM24" s="155">
        <f ca="1">HLOOKUP($F24,Jornada!$I$4:$V$37,VLOOKUP(INDIRECT($C$5),Jornada!$C$8:$W$37,21,0)+3,0)</f>
        <v>0</v>
      </c>
      <c r="AN24" s="155">
        <f t="shared" ca="1" si="7"/>
        <v>0</v>
      </c>
      <c r="AO24" s="155">
        <f t="shared" si="8"/>
        <v>0</v>
      </c>
      <c r="AP24" s="155">
        <f t="shared" si="9"/>
        <v>0</v>
      </c>
      <c r="BE24" s="14"/>
      <c r="BF24" s="14"/>
      <c r="BG24" s="14"/>
    </row>
    <row r="25" spans="1:59" s="2" customFormat="1" ht="30" customHeight="1" thickTop="1" thickBot="1" x14ac:dyDescent="0.25">
      <c r="A25" s="1"/>
      <c r="B25"/>
      <c r="C25" s="172" t="str">
        <f>IF(Funcionários!C24=0,"",Funcionários!C24)</f>
        <v/>
      </c>
      <c r="D25"/>
      <c r="E25" s="115">
        <f>Lanç!E25</f>
        <v>18</v>
      </c>
      <c r="F25" s="189" t="str">
        <f>Lanç!F25</f>
        <v>Qua</v>
      </c>
      <c r="G25" s="81"/>
      <c r="H25" s="94"/>
      <c r="I25" s="94"/>
      <c r="J25" s="94"/>
      <c r="K25" s="94"/>
      <c r="L25" s="197"/>
      <c r="M25" s="95">
        <f t="shared" si="1"/>
        <v>0</v>
      </c>
      <c r="N25" s="196"/>
      <c r="O25" s="95">
        <f ca="1">IF(OR(G25=0,G25="Férias",G25="Falta Justificada",G25="Feriado",G25="Folga (DSR)"),0,IF(G25="Falta Injustificada",HLOOKUP($F25,Jornada!$X$7:$AD$37,VLOOKUP(INDIRECT($C$5),Jornada!$C$8:$W$37,21,0),0),IF(HLOOKUP($F25,Jornada!$X$7:$AD$37,VLOOKUP(INDIRECT($C$5),Jornada!$C$8:$W$37,21,0),0)-M25&gt;0,HLOOKUP($F25,Jornada!$X$7:$AD$37,VLOOKUP(INDIRECT($C$5),Jornada!$C$8:$W$37,21,0),0)-M25,0)))</f>
        <v>0</v>
      </c>
      <c r="P25" s="193">
        <f ca="1">IF(HLOOKUP($F25,Jornada!$X$7:$AD$37,VLOOKUP(INDIRECT($C$5),Jornada!$C$8:$W$37,21,0),0)-M25&lt;0,ABS(HLOOKUP($F25,Jornada!$X$7:$AD$37,VLOOKUP(INDIRECT($C$5),Jornada!$C$8:$W$37,21,0),0)-M25),0)</f>
        <v>0</v>
      </c>
      <c r="Q25" s="95">
        <f t="shared" si="0"/>
        <v>0</v>
      </c>
      <c r="R25" s="2">
        <f t="shared" si="2"/>
        <v>0</v>
      </c>
      <c r="S25" s="296"/>
      <c r="T25" s="297"/>
      <c r="U25" s="298"/>
      <c r="X25" s="177"/>
      <c r="Z25" s="2">
        <f>IF(SUM(R8:R38)&gt;0,1,0)</f>
        <v>0</v>
      </c>
      <c r="AB25" s="177">
        <f t="shared" si="10"/>
        <v>18</v>
      </c>
      <c r="AC25" s="2">
        <f t="shared" si="3"/>
        <v>4</v>
      </c>
      <c r="AG25" s="220">
        <f t="shared" si="4"/>
        <v>0</v>
      </c>
      <c r="AH25" s="220">
        <f ca="1">IF(HLOOKUP($F25,Jornada!$X$7:$AD$37,VLOOKUP(INDIRECT($C$5),Jornada!$C$8:$W$37,21,0),0)=0,0,VLOOKUP(INDIRECT($C$5),Jornada!$C$8:$H$37,4,0))</f>
        <v>0</v>
      </c>
      <c r="AI25" s="155">
        <f ca="1">IF(AND(I25=0,J25=0,OR(H25&lt;&gt;0,K25&lt;&gt;0),HLOOKUP($F25,Jornada!$X$7:$AD$37,VLOOKUP(INDIRECT($C$5),Jornada!$C$8:$W$37,21,0),0)&gt;$AK$5,M25&gt;$AK$5),VLOOKUP(INDIRECT($C$5),Jornada!$C$8:$H$37,6,0),IF(AG25&gt;VLOOKUP(INDIRECT($C$5),Jornada!$C$8:$H$37,6,0),IF(VLOOKUP(INDIRECT($C$5),Jornada!$C$8:$H$37,6,0)&lt;AG25,0,ABS(VLOOKUP(INDIRECT($C$5),Jornada!$C$8:$H$37,6,0))-AG25),0))</f>
        <v>0</v>
      </c>
      <c r="AJ25" s="155">
        <f t="shared" si="5"/>
        <v>1</v>
      </c>
      <c r="AK25" s="155">
        <f t="shared" si="6"/>
        <v>0</v>
      </c>
      <c r="AL25" s="155">
        <f ca="1">HLOOKUP($F25,Jornada!$I$5:$V$37,VLOOKUP(INDIRECT($C$5),Jornada!$C$8:$W$37,21,0)+2,0)</f>
        <v>0</v>
      </c>
      <c r="AM25" s="155">
        <f ca="1">HLOOKUP($F25,Jornada!$I$4:$V$37,VLOOKUP(INDIRECT($C$5),Jornada!$C$8:$W$37,21,0)+3,0)</f>
        <v>0</v>
      </c>
      <c r="AN25" s="155">
        <f t="shared" ca="1" si="7"/>
        <v>0</v>
      </c>
      <c r="AO25" s="155">
        <f t="shared" si="8"/>
        <v>0</v>
      </c>
      <c r="AP25" s="155">
        <f t="shared" si="9"/>
        <v>0</v>
      </c>
      <c r="BE25" s="14"/>
      <c r="BF25" s="14"/>
      <c r="BG25" s="14"/>
    </row>
    <row r="26" spans="1:59" s="2" customFormat="1" ht="30" customHeight="1" thickTop="1" thickBot="1" x14ac:dyDescent="0.25">
      <c r="A26" s="1"/>
      <c r="B26"/>
      <c r="C26" s="172" t="str">
        <f>IF(Funcionários!C25=0,"",Funcionários!C25)</f>
        <v/>
      </c>
      <c r="D26"/>
      <c r="E26" s="115">
        <f>Lanç!E26</f>
        <v>19</v>
      </c>
      <c r="F26" s="189" t="str">
        <f>Lanç!F26</f>
        <v>Qui</v>
      </c>
      <c r="G26" s="81"/>
      <c r="H26" s="94"/>
      <c r="I26" s="94"/>
      <c r="J26" s="94"/>
      <c r="K26" s="94"/>
      <c r="L26" s="197"/>
      <c r="M26" s="95">
        <f t="shared" si="1"/>
        <v>0</v>
      </c>
      <c r="N26" s="196"/>
      <c r="O26" s="95">
        <f ca="1">IF(OR(G26=0,G26="Férias",G26="Falta Justificada",G26="Feriado",G26="Folga (DSR)"),0,IF(G26="Falta Injustificada",HLOOKUP($F26,Jornada!$X$7:$AD$37,VLOOKUP(INDIRECT($C$5),Jornada!$C$8:$W$37,21,0),0),IF(HLOOKUP($F26,Jornada!$X$7:$AD$37,VLOOKUP(INDIRECT($C$5),Jornada!$C$8:$W$37,21,0),0)-M26&gt;0,HLOOKUP($F26,Jornada!$X$7:$AD$37,VLOOKUP(INDIRECT($C$5),Jornada!$C$8:$W$37,21,0),0)-M26,0)))</f>
        <v>0</v>
      </c>
      <c r="P26" s="193">
        <f ca="1">IF(HLOOKUP($F26,Jornada!$X$7:$AD$37,VLOOKUP(INDIRECT($C$5),Jornada!$C$8:$W$37,21,0),0)-M26&lt;0,ABS(HLOOKUP($F26,Jornada!$X$7:$AD$37,VLOOKUP(INDIRECT($C$5),Jornada!$C$8:$W$37,21,0),0)-M26),0)</f>
        <v>0</v>
      </c>
      <c r="Q26" s="95">
        <f t="shared" si="0"/>
        <v>0</v>
      </c>
      <c r="R26" s="2">
        <f t="shared" si="2"/>
        <v>0</v>
      </c>
      <c r="S26" s="296" t="str">
        <f>IF(COUNTIF(G8:G38,"Folga (DSR)")&lt;DAY(E39)/8,"O mês não está contemplando um DSR (Descanso Semanal Remunerado) por semana. Isso pode configurar uma irregularidade segundo as leis trabalhistas.","Parabéns!! Sua folha de pagamento contempla uma DSR por semana conforme a lei trabalhista.")</f>
        <v>O mês não está contemplando um DSR (Descanso Semanal Remunerado) por semana. Isso pode configurar uma irregularidade segundo as leis trabalhistas.</v>
      </c>
      <c r="T26" s="297"/>
      <c r="U26" s="298"/>
      <c r="X26" s="177"/>
      <c r="AB26" s="177">
        <f t="shared" si="10"/>
        <v>19</v>
      </c>
      <c r="AC26" s="2">
        <f t="shared" si="3"/>
        <v>5</v>
      </c>
      <c r="AG26" s="220">
        <f t="shared" si="4"/>
        <v>0</v>
      </c>
      <c r="AH26" s="220">
        <f ca="1">IF(HLOOKUP($F26,Jornada!$X$7:$AD$37,VLOOKUP(INDIRECT($C$5),Jornada!$C$8:$W$37,21,0),0)=0,0,VLOOKUP(INDIRECT($C$5),Jornada!$C$8:$H$37,4,0))</f>
        <v>0</v>
      </c>
      <c r="AI26" s="155">
        <f ca="1">IF(AND(I26=0,J26=0,OR(H26&lt;&gt;0,K26&lt;&gt;0),HLOOKUP($F26,Jornada!$X$7:$AD$37,VLOOKUP(INDIRECT($C$5),Jornada!$C$8:$W$37,21,0),0)&gt;$AK$5,M26&gt;$AK$5),VLOOKUP(INDIRECT($C$5),Jornada!$C$8:$H$37,6,0),IF(AG26&gt;VLOOKUP(INDIRECT($C$5),Jornada!$C$8:$H$37,6,0),IF(VLOOKUP(INDIRECT($C$5),Jornada!$C$8:$H$37,6,0)&lt;AG26,0,ABS(VLOOKUP(INDIRECT($C$5),Jornada!$C$8:$H$37,6,0))-AG26),0))</f>
        <v>0</v>
      </c>
      <c r="AJ26" s="155">
        <f t="shared" si="5"/>
        <v>1</v>
      </c>
      <c r="AK26" s="155">
        <f t="shared" si="6"/>
        <v>0</v>
      </c>
      <c r="AL26" s="155">
        <f ca="1">HLOOKUP($F26,Jornada!$I$5:$V$37,VLOOKUP(INDIRECT($C$5),Jornada!$C$8:$W$37,21,0)+2,0)</f>
        <v>0</v>
      </c>
      <c r="AM26" s="155">
        <f ca="1">HLOOKUP($F26,Jornada!$I$4:$V$37,VLOOKUP(INDIRECT($C$5),Jornada!$C$8:$W$37,21,0)+3,0)</f>
        <v>0</v>
      </c>
      <c r="AN26" s="155">
        <f t="shared" ca="1" si="7"/>
        <v>0</v>
      </c>
      <c r="AO26" s="155">
        <f t="shared" si="8"/>
        <v>0</v>
      </c>
      <c r="AP26" s="155">
        <f t="shared" si="9"/>
        <v>0</v>
      </c>
      <c r="BE26" s="14"/>
      <c r="BF26" s="14"/>
      <c r="BG26" s="14"/>
    </row>
    <row r="27" spans="1:59" s="2" customFormat="1" ht="30" customHeight="1" thickTop="1" thickBot="1" x14ac:dyDescent="0.25">
      <c r="A27" s="1"/>
      <c r="B27"/>
      <c r="C27" s="172" t="str">
        <f>IF(Funcionários!C26=0,"",Funcionários!C26)</f>
        <v/>
      </c>
      <c r="D27"/>
      <c r="E27" s="115">
        <f>Lanç!E27</f>
        <v>20</v>
      </c>
      <c r="F27" s="189" t="str">
        <f>Lanç!F27</f>
        <v>Sex</v>
      </c>
      <c r="G27" s="81"/>
      <c r="H27" s="94"/>
      <c r="I27" s="94"/>
      <c r="J27" s="94"/>
      <c r="K27" s="94"/>
      <c r="L27" s="197"/>
      <c r="M27" s="95">
        <f t="shared" si="1"/>
        <v>0</v>
      </c>
      <c r="N27" s="196"/>
      <c r="O27" s="95">
        <f ca="1">IF(OR(G27=0,G27="Férias",G27="Falta Justificada",G27="Feriado",G27="Folga (DSR)"),0,IF(G27="Falta Injustificada",HLOOKUP($F27,Jornada!$X$7:$AD$37,VLOOKUP(INDIRECT($C$5),Jornada!$C$8:$W$37,21,0),0),IF(HLOOKUP($F27,Jornada!$X$7:$AD$37,VLOOKUP(INDIRECT($C$5),Jornada!$C$8:$W$37,21,0),0)-M27&gt;0,HLOOKUP($F27,Jornada!$X$7:$AD$37,VLOOKUP(INDIRECT($C$5),Jornada!$C$8:$W$37,21,0),0)-M27,0)))</f>
        <v>0</v>
      </c>
      <c r="P27" s="193">
        <f ca="1">IF(HLOOKUP($F27,Jornada!$X$7:$AD$37,VLOOKUP(INDIRECT($C$5),Jornada!$C$8:$W$37,21,0),0)-M27&lt;0,ABS(HLOOKUP($F27,Jornada!$X$7:$AD$37,VLOOKUP(INDIRECT($C$5),Jornada!$C$8:$W$37,21,0),0)-M27),0)</f>
        <v>0</v>
      </c>
      <c r="Q27" s="95">
        <f t="shared" si="0"/>
        <v>0</v>
      </c>
      <c r="R27" s="2">
        <f t="shared" si="2"/>
        <v>0</v>
      </c>
      <c r="S27" s="296"/>
      <c r="T27" s="297"/>
      <c r="U27" s="298"/>
      <c r="X27" s="177"/>
      <c r="AB27" s="177">
        <f t="shared" si="10"/>
        <v>20</v>
      </c>
      <c r="AC27" s="2">
        <f t="shared" si="3"/>
        <v>6</v>
      </c>
      <c r="AG27" s="220">
        <f t="shared" si="4"/>
        <v>0</v>
      </c>
      <c r="AH27" s="220">
        <f ca="1">IF(HLOOKUP($F27,Jornada!$X$7:$AD$37,VLOOKUP(INDIRECT($C$5),Jornada!$C$8:$W$37,21,0),0)=0,0,VLOOKUP(INDIRECT($C$5),Jornada!$C$8:$H$37,4,0))</f>
        <v>0</v>
      </c>
      <c r="AI27" s="155">
        <f ca="1">IF(AND(I27=0,J27=0,OR(H27&lt;&gt;0,K27&lt;&gt;0),HLOOKUP($F27,Jornada!$X$7:$AD$37,VLOOKUP(INDIRECT($C$5),Jornada!$C$8:$W$37,21,0),0)&gt;$AK$5,M27&gt;$AK$5),VLOOKUP(INDIRECT($C$5),Jornada!$C$8:$H$37,6,0),IF(AG27&gt;VLOOKUP(INDIRECT($C$5),Jornada!$C$8:$H$37,6,0),IF(VLOOKUP(INDIRECT($C$5),Jornada!$C$8:$H$37,6,0)&lt;AG27,0,ABS(VLOOKUP(INDIRECT($C$5),Jornada!$C$8:$H$37,6,0))-AG27),0))</f>
        <v>0</v>
      </c>
      <c r="AJ27" s="155">
        <f t="shared" si="5"/>
        <v>1</v>
      </c>
      <c r="AK27" s="155">
        <f t="shared" si="6"/>
        <v>0</v>
      </c>
      <c r="AL27" s="155">
        <f ca="1">HLOOKUP($F27,Jornada!$I$5:$V$37,VLOOKUP(INDIRECT($C$5),Jornada!$C$8:$W$37,21,0)+2,0)</f>
        <v>0</v>
      </c>
      <c r="AM27" s="155">
        <f ca="1">HLOOKUP($F27,Jornada!$I$4:$V$37,VLOOKUP(INDIRECT($C$5),Jornada!$C$8:$W$37,21,0)+3,0)</f>
        <v>0</v>
      </c>
      <c r="AN27" s="155">
        <f t="shared" ca="1" si="7"/>
        <v>0</v>
      </c>
      <c r="AO27" s="155">
        <f t="shared" si="8"/>
        <v>0</v>
      </c>
      <c r="AP27" s="155">
        <f t="shared" si="9"/>
        <v>0</v>
      </c>
    </row>
    <row r="28" spans="1:59" s="2" customFormat="1" ht="30" customHeight="1" thickTop="1" thickBot="1" x14ac:dyDescent="0.25">
      <c r="A28" s="1"/>
      <c r="B28"/>
      <c r="C28" s="172" t="str">
        <f>IF(Funcionários!C27=0,"",Funcionários!C27)</f>
        <v/>
      </c>
      <c r="D28"/>
      <c r="E28" s="115">
        <f>Lanç!E28</f>
        <v>21</v>
      </c>
      <c r="F28" s="189" t="str">
        <f>Lanç!F28</f>
        <v>Sáb</v>
      </c>
      <c r="G28" s="81"/>
      <c r="H28" s="94"/>
      <c r="I28" s="94"/>
      <c r="J28" s="94"/>
      <c r="K28" s="94"/>
      <c r="L28" s="197"/>
      <c r="M28" s="95">
        <f t="shared" si="1"/>
        <v>0</v>
      </c>
      <c r="N28" s="196"/>
      <c r="O28" s="95">
        <f ca="1">IF(OR(G28=0,G28="Férias",G28="Falta Justificada",G28="Feriado",G28="Folga (DSR)"),0,IF(G28="Falta Injustificada",HLOOKUP($F28,Jornada!$X$7:$AD$37,VLOOKUP(INDIRECT($C$5),Jornada!$C$8:$W$37,21,0),0),IF(HLOOKUP($F28,Jornada!$X$7:$AD$37,VLOOKUP(INDIRECT($C$5),Jornada!$C$8:$W$37,21,0),0)-M28&gt;0,HLOOKUP($F28,Jornada!$X$7:$AD$37,VLOOKUP(INDIRECT($C$5),Jornada!$C$8:$W$37,21,0),0)-M28,0)))</f>
        <v>0</v>
      </c>
      <c r="P28" s="193">
        <f ca="1">IF(HLOOKUP($F28,Jornada!$X$7:$AD$37,VLOOKUP(INDIRECT($C$5),Jornada!$C$8:$W$37,21,0),0)-M28&lt;0,ABS(HLOOKUP($F28,Jornada!$X$7:$AD$37,VLOOKUP(INDIRECT($C$5),Jornada!$C$8:$W$37,21,0),0)-M28),0)</f>
        <v>0</v>
      </c>
      <c r="Q28" s="95">
        <f t="shared" si="0"/>
        <v>0</v>
      </c>
      <c r="R28" s="2">
        <f t="shared" si="2"/>
        <v>0</v>
      </c>
      <c r="S28" s="296"/>
      <c r="T28" s="297"/>
      <c r="U28" s="298"/>
      <c r="X28" s="177"/>
      <c r="AB28" s="177">
        <f t="shared" si="10"/>
        <v>21</v>
      </c>
      <c r="AC28" s="2">
        <f t="shared" si="3"/>
        <v>7</v>
      </c>
      <c r="AG28" s="220">
        <f t="shared" si="4"/>
        <v>0</v>
      </c>
      <c r="AH28" s="220">
        <f ca="1">IF(HLOOKUP($F28,Jornada!$X$7:$AD$37,VLOOKUP(INDIRECT($C$5),Jornada!$C$8:$W$37,21,0),0)=0,0,VLOOKUP(INDIRECT($C$5),Jornada!$C$8:$H$37,4,0))</f>
        <v>0</v>
      </c>
      <c r="AI28" s="155">
        <f ca="1">IF(AND(I28=0,J28=0,OR(H28&lt;&gt;0,K28&lt;&gt;0),HLOOKUP($F28,Jornada!$X$7:$AD$37,VLOOKUP(INDIRECT($C$5),Jornada!$C$8:$W$37,21,0),0)&gt;$AK$5,M28&gt;$AK$5),VLOOKUP(INDIRECT($C$5),Jornada!$C$8:$H$37,6,0),IF(AG28&gt;VLOOKUP(INDIRECT($C$5),Jornada!$C$8:$H$37,6,0),IF(VLOOKUP(INDIRECT($C$5),Jornada!$C$8:$H$37,6,0)&lt;AG28,0,ABS(VLOOKUP(INDIRECT($C$5),Jornada!$C$8:$H$37,6,0))-AG28),0))</f>
        <v>0</v>
      </c>
      <c r="AJ28" s="155">
        <f t="shared" si="5"/>
        <v>1</v>
      </c>
      <c r="AK28" s="155">
        <f t="shared" si="6"/>
        <v>0</v>
      </c>
      <c r="AL28" s="155">
        <f ca="1">HLOOKUP($F28,Jornada!$I$5:$V$37,VLOOKUP(INDIRECT($C$5),Jornada!$C$8:$W$37,21,0)+2,0)</f>
        <v>0</v>
      </c>
      <c r="AM28" s="155">
        <f ca="1">HLOOKUP($F28,Jornada!$I$4:$V$37,VLOOKUP(INDIRECT($C$5),Jornada!$C$8:$W$37,21,0)+3,0)</f>
        <v>0</v>
      </c>
      <c r="AN28" s="155">
        <f t="shared" ca="1" si="7"/>
        <v>0</v>
      </c>
      <c r="AO28" s="155">
        <f t="shared" si="8"/>
        <v>0</v>
      </c>
      <c r="AP28" s="155">
        <f t="shared" si="9"/>
        <v>0</v>
      </c>
    </row>
    <row r="29" spans="1:59" s="2" customFormat="1" ht="30" customHeight="1" thickTop="1" thickBot="1" x14ac:dyDescent="0.25">
      <c r="A29" s="1"/>
      <c r="B29"/>
      <c r="C29" s="172" t="str">
        <f>IF(Funcionários!C28=0,"",Funcionários!C28)</f>
        <v/>
      </c>
      <c r="D29"/>
      <c r="E29" s="115">
        <f>Lanç!E29</f>
        <v>22</v>
      </c>
      <c r="F29" s="189" t="str">
        <f>Lanç!F29</f>
        <v>Dom</v>
      </c>
      <c r="G29" s="81"/>
      <c r="H29" s="94"/>
      <c r="I29" s="94"/>
      <c r="J29" s="94"/>
      <c r="K29" s="94"/>
      <c r="L29" s="197"/>
      <c r="M29" s="95">
        <f t="shared" si="1"/>
        <v>0</v>
      </c>
      <c r="N29" s="196"/>
      <c r="O29" s="95">
        <f ca="1">IF(OR(G29=0,G29="Férias",G29="Falta Justificada",G29="Feriado",G29="Folga (DSR)"),0,IF(G29="Falta Injustificada",HLOOKUP($F29,Jornada!$X$7:$AD$37,VLOOKUP(INDIRECT($C$5),Jornada!$C$8:$W$37,21,0),0),IF(HLOOKUP($F29,Jornada!$X$7:$AD$37,VLOOKUP(INDIRECT($C$5),Jornada!$C$8:$W$37,21,0),0)-M29&gt;0,HLOOKUP($F29,Jornada!$X$7:$AD$37,VLOOKUP(INDIRECT($C$5),Jornada!$C$8:$W$37,21,0),0)-M29,0)))</f>
        <v>0</v>
      </c>
      <c r="P29" s="193">
        <f ca="1">IF(HLOOKUP($F29,Jornada!$X$7:$AD$37,VLOOKUP(INDIRECT($C$5),Jornada!$C$8:$W$37,21,0),0)-M29&lt;0,ABS(HLOOKUP($F29,Jornada!$X$7:$AD$37,VLOOKUP(INDIRECT($C$5),Jornada!$C$8:$W$37,21,0),0)-M29),0)</f>
        <v>0</v>
      </c>
      <c r="Q29" s="95">
        <f t="shared" si="0"/>
        <v>0</v>
      </c>
      <c r="R29" s="2">
        <f t="shared" si="2"/>
        <v>0</v>
      </c>
      <c r="S29" s="13"/>
      <c r="T29" s="74"/>
      <c r="U29" s="74"/>
      <c r="X29" s="177"/>
      <c r="AB29" s="177">
        <f t="shared" si="10"/>
        <v>22</v>
      </c>
      <c r="AC29" s="2">
        <f t="shared" si="3"/>
        <v>1</v>
      </c>
      <c r="AG29" s="220">
        <f t="shared" si="4"/>
        <v>0</v>
      </c>
      <c r="AH29" s="220">
        <f ca="1">IF(HLOOKUP($F29,Jornada!$X$7:$AD$37,VLOOKUP(INDIRECT($C$5),Jornada!$C$8:$W$37,21,0),0)=0,0,VLOOKUP(INDIRECT($C$5),Jornada!$C$8:$H$37,4,0))</f>
        <v>0</v>
      </c>
      <c r="AI29" s="155">
        <f ca="1">IF(AND(I29=0,J29=0,OR(H29&lt;&gt;0,K29&lt;&gt;0),HLOOKUP($F29,Jornada!$X$7:$AD$37,VLOOKUP(INDIRECT($C$5),Jornada!$C$8:$W$37,21,0),0)&gt;$AK$5,M29&gt;$AK$5),VLOOKUP(INDIRECT($C$5),Jornada!$C$8:$H$37,6,0),IF(AG29&gt;VLOOKUP(INDIRECT($C$5),Jornada!$C$8:$H$37,6,0),IF(VLOOKUP(INDIRECT($C$5),Jornada!$C$8:$H$37,6,0)&lt;AG29,0,ABS(VLOOKUP(INDIRECT($C$5),Jornada!$C$8:$H$37,6,0))-AG29),0))</f>
        <v>0</v>
      </c>
      <c r="AJ29" s="155">
        <f t="shared" si="5"/>
        <v>1</v>
      </c>
      <c r="AK29" s="155">
        <f t="shared" si="6"/>
        <v>0</v>
      </c>
      <c r="AL29" s="155">
        <f ca="1">HLOOKUP($F29,Jornada!$I$5:$V$37,VLOOKUP(INDIRECT($C$5),Jornada!$C$8:$W$37,21,0)+2,0)</f>
        <v>0</v>
      </c>
      <c r="AM29" s="155">
        <f ca="1">HLOOKUP($F29,Jornada!$I$4:$V$37,VLOOKUP(INDIRECT($C$5),Jornada!$C$8:$W$37,21,0)+3,0)</f>
        <v>0</v>
      </c>
      <c r="AN29" s="155">
        <f t="shared" ca="1" si="7"/>
        <v>0</v>
      </c>
      <c r="AO29" s="155">
        <f t="shared" si="8"/>
        <v>0</v>
      </c>
      <c r="AP29" s="155">
        <f t="shared" si="9"/>
        <v>0</v>
      </c>
    </row>
    <row r="30" spans="1:59" s="2" customFormat="1" ht="30" customHeight="1" thickTop="1" thickBot="1" x14ac:dyDescent="0.25">
      <c r="A30" s="1"/>
      <c r="B30"/>
      <c r="C30" s="172" t="str">
        <f>IF(Funcionários!C29=0,"",Funcionários!C29)</f>
        <v/>
      </c>
      <c r="D30"/>
      <c r="E30" s="173">
        <f>Lanç!E30</f>
        <v>23</v>
      </c>
      <c r="F30" s="189" t="str">
        <f>Lanç!F30</f>
        <v>Seg</v>
      </c>
      <c r="G30" s="81"/>
      <c r="H30" s="94"/>
      <c r="I30" s="94"/>
      <c r="J30" s="94"/>
      <c r="K30" s="94"/>
      <c r="L30" s="197"/>
      <c r="M30" s="95">
        <f t="shared" si="1"/>
        <v>0</v>
      </c>
      <c r="N30" s="196"/>
      <c r="O30" s="95">
        <f ca="1">IF(OR(G30=0,G30="Férias",G30="Falta Justificada",G30="Feriado",G30="Folga (DSR)"),0,IF(G30="Falta Injustificada",HLOOKUP($F30,Jornada!$X$7:$AD$37,VLOOKUP(INDIRECT($C$5),Jornada!$C$8:$W$37,21,0),0),IF(HLOOKUP($F30,Jornada!$X$7:$AD$37,VLOOKUP(INDIRECT($C$5),Jornada!$C$8:$W$37,21,0),0)-M30&gt;0,HLOOKUP($F30,Jornada!$X$7:$AD$37,VLOOKUP(INDIRECT($C$5),Jornada!$C$8:$W$37,21,0),0)-M30,0)))</f>
        <v>0</v>
      </c>
      <c r="P30" s="193">
        <f ca="1">IF(HLOOKUP($F30,Jornada!$X$7:$AD$37,VLOOKUP(INDIRECT($C$5),Jornada!$C$8:$W$37,21,0),0)-M30&lt;0,ABS(HLOOKUP($F30,Jornada!$X$7:$AD$37,VLOOKUP(INDIRECT($C$5),Jornada!$C$8:$W$37,21,0),0)-M30),0)</f>
        <v>0</v>
      </c>
      <c r="Q30" s="95">
        <f t="shared" si="0"/>
        <v>0</v>
      </c>
      <c r="R30" s="2">
        <f>IF(Q30&gt;$R$7,1,0)</f>
        <v>0</v>
      </c>
      <c r="S30" s="13"/>
      <c r="T30" s="74"/>
      <c r="U30" s="74"/>
      <c r="X30" s="177"/>
      <c r="AB30" s="177">
        <f t="shared" si="10"/>
        <v>23</v>
      </c>
      <c r="AC30" s="2">
        <f>WEEKDAY(AB30)</f>
        <v>2</v>
      </c>
      <c r="AG30" s="220">
        <f t="shared" si="4"/>
        <v>0</v>
      </c>
      <c r="AH30" s="220">
        <f ca="1">IF(HLOOKUP($F30,Jornada!$X$7:$AD$37,VLOOKUP(INDIRECT($C$5),Jornada!$C$8:$W$37,21,0),0)=0,0,VLOOKUP(INDIRECT($C$5),Jornada!$C$8:$H$37,4,0))</f>
        <v>0</v>
      </c>
      <c r="AI30" s="155">
        <f ca="1">IF(AND(I30=0,J30=0,OR(H30&lt;&gt;0,K30&lt;&gt;0),HLOOKUP($F30,Jornada!$X$7:$AD$37,VLOOKUP(INDIRECT($C$5),Jornada!$C$8:$W$37,21,0),0)&gt;$AK$5,M30&gt;$AK$5),VLOOKUP(INDIRECT($C$5),Jornada!$C$8:$H$37,6,0),IF(AG30&gt;VLOOKUP(INDIRECT($C$5),Jornada!$C$8:$H$37,6,0),IF(VLOOKUP(INDIRECT($C$5),Jornada!$C$8:$H$37,6,0)&lt;AG30,0,ABS(VLOOKUP(INDIRECT($C$5),Jornada!$C$8:$H$37,6,0))-AG30),0))</f>
        <v>0</v>
      </c>
      <c r="AJ30" s="155">
        <f>($AJ$7-K30)+H30</f>
        <v>1</v>
      </c>
      <c r="AK30" s="155">
        <f>IF(AJ30&lt;$AK$7,$AK$7-AJ30,$AI$7)</f>
        <v>0</v>
      </c>
      <c r="AL30" s="155">
        <f ca="1">HLOOKUP($F30,Jornada!$I$5:$V$37,VLOOKUP(INDIRECT($C$5),Jornada!$C$8:$W$37,21,0)+2,0)</f>
        <v>0</v>
      </c>
      <c r="AM30" s="155">
        <f ca="1">HLOOKUP($F30,Jornada!$I$4:$V$37,VLOOKUP(INDIRECT($C$5),Jornada!$C$8:$W$37,21,0)+3,0)</f>
        <v>0</v>
      </c>
      <c r="AN30" s="155">
        <f t="shared" ca="1" si="7"/>
        <v>0</v>
      </c>
      <c r="AO30" s="155">
        <f t="shared" si="8"/>
        <v>0</v>
      </c>
      <c r="AP30" s="155">
        <f t="shared" si="9"/>
        <v>0</v>
      </c>
    </row>
    <row r="31" spans="1:59" s="2" customFormat="1" ht="30" customHeight="1" thickTop="1" thickBot="1" x14ac:dyDescent="0.25">
      <c r="A31" s="1"/>
      <c r="B31"/>
      <c r="C31" s="172" t="str">
        <f>IF(Funcionários!C30=0,"",Funcionários!C30)</f>
        <v/>
      </c>
      <c r="D31"/>
      <c r="E31" s="173">
        <f>Lanç!E31</f>
        <v>24</v>
      </c>
      <c r="F31" s="189" t="str">
        <f>Lanç!F31</f>
        <v>Ter</v>
      </c>
      <c r="G31" s="81"/>
      <c r="H31" s="94"/>
      <c r="I31" s="94"/>
      <c r="J31" s="94"/>
      <c r="K31" s="94"/>
      <c r="L31" s="197"/>
      <c r="M31" s="95">
        <f t="shared" si="1"/>
        <v>0</v>
      </c>
      <c r="N31" s="196"/>
      <c r="O31" s="95">
        <f ca="1">IF(OR(G31=0,G31="Férias",G31="Falta Justificada",G31="Feriado",G31="Folga (DSR)"),0,IF(G31="Falta Injustificada",HLOOKUP($F31,Jornada!$X$7:$AD$37,VLOOKUP(INDIRECT($C$5),Jornada!$C$8:$W$37,21,0),0),IF(HLOOKUP($F31,Jornada!$X$7:$AD$37,VLOOKUP(INDIRECT($C$5),Jornada!$C$8:$W$37,21,0),0)-M31&gt;0,HLOOKUP($F31,Jornada!$X$7:$AD$37,VLOOKUP(INDIRECT($C$5),Jornada!$C$8:$W$37,21,0),0)-M31,0)))</f>
        <v>0</v>
      </c>
      <c r="P31" s="193">
        <f ca="1">IF(HLOOKUP($F31,Jornada!$X$7:$AD$37,VLOOKUP(INDIRECT($C$5),Jornada!$C$8:$W$37,21,0),0)-M31&lt;0,ABS(HLOOKUP($F31,Jornada!$X$7:$AD$37,VLOOKUP(INDIRECT($C$5),Jornada!$C$8:$W$37,21,0),0)-M31),0)</f>
        <v>0</v>
      </c>
      <c r="Q31" s="95">
        <f t="shared" si="0"/>
        <v>0</v>
      </c>
      <c r="R31" s="2">
        <f>IF(Q31&gt;$R$7,1,0)</f>
        <v>0</v>
      </c>
      <c r="S31" s="13"/>
      <c r="T31" s="74"/>
      <c r="U31" s="74"/>
      <c r="X31" s="177"/>
      <c r="AB31" s="177">
        <f t="shared" si="10"/>
        <v>24</v>
      </c>
      <c r="AC31" s="2">
        <f>WEEKDAY(AB31)</f>
        <v>3</v>
      </c>
      <c r="AG31" s="220">
        <f t="shared" si="4"/>
        <v>0</v>
      </c>
      <c r="AH31" s="220">
        <f ca="1">IF(HLOOKUP($F31,Jornada!$X$7:$AD$37,VLOOKUP(INDIRECT($C$5),Jornada!$C$8:$W$37,21,0),0)=0,0,VLOOKUP(INDIRECT($C$5),Jornada!$C$8:$H$37,4,0))</f>
        <v>0</v>
      </c>
      <c r="AI31" s="155">
        <f ca="1">IF(AND(I31=0,J31=0,OR(H31&lt;&gt;0,K31&lt;&gt;0),HLOOKUP($F31,Jornada!$X$7:$AD$37,VLOOKUP(INDIRECT($C$5),Jornada!$C$8:$W$37,21,0),0)&gt;$AK$5,M31&gt;$AK$5),VLOOKUP(INDIRECT($C$5),Jornada!$C$8:$H$37,6,0),IF(AG31&gt;VLOOKUP(INDIRECT($C$5),Jornada!$C$8:$H$37,6,0),IF(VLOOKUP(INDIRECT($C$5),Jornada!$C$8:$H$37,6,0)&lt;AG31,0,ABS(VLOOKUP(INDIRECT($C$5),Jornada!$C$8:$H$37,6,0))-AG31),0))</f>
        <v>0</v>
      </c>
      <c r="AJ31" s="155">
        <f>($AJ$7-K31)+H31</f>
        <v>1</v>
      </c>
      <c r="AK31" s="155">
        <f>IF(AJ31&lt;$AK$7,$AK$7-AJ31,$AI$7)</f>
        <v>0</v>
      </c>
      <c r="AL31" s="155">
        <f ca="1">HLOOKUP($F31,Jornada!$I$5:$V$37,VLOOKUP(INDIRECT($C$5),Jornada!$C$8:$W$37,21,0)+2,0)</f>
        <v>0</v>
      </c>
      <c r="AM31" s="155">
        <f ca="1">HLOOKUP($F31,Jornada!$I$4:$V$37,VLOOKUP(INDIRECT($C$5),Jornada!$C$8:$W$37,21,0)+3,0)</f>
        <v>0</v>
      </c>
      <c r="AN31" s="155">
        <f t="shared" ca="1" si="7"/>
        <v>0</v>
      </c>
      <c r="AO31" s="155">
        <f t="shared" si="8"/>
        <v>0</v>
      </c>
      <c r="AP31" s="155">
        <f t="shared" si="9"/>
        <v>0</v>
      </c>
    </row>
    <row r="32" spans="1:59" s="2" customFormat="1" ht="30" customHeight="1" thickTop="1" thickBot="1" x14ac:dyDescent="0.25">
      <c r="A32" s="1"/>
      <c r="B32"/>
      <c r="C32" s="172" t="str">
        <f>IF(Funcionários!C31=0,"",Funcionários!C31)</f>
        <v/>
      </c>
      <c r="D32"/>
      <c r="E32" s="115">
        <f>Lanç!E32</f>
        <v>25</v>
      </c>
      <c r="F32" s="189" t="str">
        <f>Lanç!F32</f>
        <v>Qua</v>
      </c>
      <c r="G32" s="81"/>
      <c r="H32" s="94"/>
      <c r="I32" s="94"/>
      <c r="J32" s="94"/>
      <c r="K32" s="94"/>
      <c r="L32" s="197"/>
      <c r="M32" s="95">
        <f t="shared" si="1"/>
        <v>0</v>
      </c>
      <c r="N32" s="196"/>
      <c r="O32" s="95">
        <f ca="1">IF(OR(G32=0,G32="Férias",G32="Falta Justificada",G32="Feriado",G32="Folga (DSR)"),0,IF(G32="Falta Injustificada",HLOOKUP($F32,Jornada!$X$7:$AD$37,VLOOKUP(INDIRECT($C$5),Jornada!$C$8:$W$37,21,0),0),IF(HLOOKUP($F32,Jornada!$X$7:$AD$37,VLOOKUP(INDIRECT($C$5),Jornada!$C$8:$W$37,21,0),0)-M32&gt;0,HLOOKUP($F32,Jornada!$X$7:$AD$37,VLOOKUP(INDIRECT($C$5),Jornada!$C$8:$W$37,21,0),0)-M32,0)))</f>
        <v>0</v>
      </c>
      <c r="P32" s="193">
        <f ca="1">IF(HLOOKUP($F32,Jornada!$X$7:$AD$37,VLOOKUP(INDIRECT($C$5),Jornada!$C$8:$W$37,21,0),0)-M32&lt;0,ABS(HLOOKUP($F32,Jornada!$X$7:$AD$37,VLOOKUP(INDIRECT($C$5),Jornada!$C$8:$W$37,21,0),0)-M32),0)</f>
        <v>0</v>
      </c>
      <c r="Q32" s="95">
        <f t="shared" si="0"/>
        <v>0</v>
      </c>
      <c r="R32" s="2">
        <f t="shared" si="2"/>
        <v>0</v>
      </c>
      <c r="S32" s="74"/>
      <c r="T32" s="74"/>
      <c r="U32" s="74"/>
      <c r="X32" s="177"/>
      <c r="AB32" s="177">
        <f t="shared" si="10"/>
        <v>25</v>
      </c>
      <c r="AC32" s="2">
        <f t="shared" si="3"/>
        <v>4</v>
      </c>
      <c r="AG32" s="220">
        <f t="shared" si="4"/>
        <v>0</v>
      </c>
      <c r="AH32" s="220">
        <f ca="1">IF(HLOOKUP($F32,Jornada!$X$7:$AD$37,VLOOKUP(INDIRECT($C$5),Jornada!$C$8:$W$37,21,0),0)=0,0,VLOOKUP(INDIRECT($C$5),Jornada!$C$8:$H$37,4,0))</f>
        <v>0</v>
      </c>
      <c r="AI32" s="155">
        <f ca="1">IF(AND(I32=0,J32=0,OR(H32&lt;&gt;0,K32&lt;&gt;0),HLOOKUP($F32,Jornada!$X$7:$AD$37,VLOOKUP(INDIRECT($C$5),Jornada!$C$8:$W$37,21,0),0)&gt;$AK$5,M32&gt;$AK$5),VLOOKUP(INDIRECT($C$5),Jornada!$C$8:$H$37,6,0),IF(AG32&gt;VLOOKUP(INDIRECT($C$5),Jornada!$C$8:$H$37,6,0),IF(VLOOKUP(INDIRECT($C$5),Jornada!$C$8:$H$37,6,0)&lt;AG32,0,ABS(VLOOKUP(INDIRECT($C$5),Jornada!$C$8:$H$37,6,0))-AG32),0))</f>
        <v>0</v>
      </c>
      <c r="AJ32" s="155">
        <f t="shared" si="5"/>
        <v>1</v>
      </c>
      <c r="AK32" s="155">
        <f t="shared" si="6"/>
        <v>0</v>
      </c>
      <c r="AL32" s="155">
        <f ca="1">HLOOKUP($F32,Jornada!$I$5:$V$37,VLOOKUP(INDIRECT($C$5),Jornada!$C$8:$W$37,21,0)+2,0)</f>
        <v>0</v>
      </c>
      <c r="AM32" s="155">
        <f ca="1">HLOOKUP($F32,Jornada!$I$4:$V$37,VLOOKUP(INDIRECT($C$5),Jornada!$C$8:$W$37,21,0)+3,0)</f>
        <v>0</v>
      </c>
      <c r="AN32" s="155">
        <f t="shared" ca="1" si="7"/>
        <v>0</v>
      </c>
      <c r="AO32" s="155">
        <f t="shared" si="8"/>
        <v>0</v>
      </c>
      <c r="AP32" s="155">
        <f t="shared" si="9"/>
        <v>0</v>
      </c>
    </row>
    <row r="33" spans="1:42" s="2" customFormat="1" ht="30" customHeight="1" thickTop="1" thickBot="1" x14ac:dyDescent="0.25">
      <c r="A33" s="1"/>
      <c r="B33"/>
      <c r="C33" s="172" t="str">
        <f>IF(Funcionários!C32=0,"",Funcionários!C32)</f>
        <v/>
      </c>
      <c r="D33"/>
      <c r="E33" s="115">
        <f>Lanç!E33</f>
        <v>26</v>
      </c>
      <c r="F33" s="189" t="str">
        <f>Lanç!F33</f>
        <v>Qui</v>
      </c>
      <c r="G33" s="81"/>
      <c r="H33" s="94"/>
      <c r="I33" s="94"/>
      <c r="J33" s="94"/>
      <c r="K33" s="94"/>
      <c r="L33" s="197"/>
      <c r="M33" s="95">
        <f t="shared" si="1"/>
        <v>0</v>
      </c>
      <c r="N33" s="196"/>
      <c r="O33" s="95">
        <f ca="1">IF(OR(G33=0,G33="Férias",G33="Falta Justificada",G33="Feriado",G33="Folga (DSR)"),0,IF(G33="Falta Injustificada",HLOOKUP($F33,Jornada!$X$7:$AD$37,VLOOKUP(INDIRECT($C$5),Jornada!$C$8:$W$37,21,0),0),IF(HLOOKUP($F33,Jornada!$X$7:$AD$37,VLOOKUP(INDIRECT($C$5),Jornada!$C$8:$W$37,21,0),0)-M33&gt;0,HLOOKUP($F33,Jornada!$X$7:$AD$37,VLOOKUP(INDIRECT($C$5),Jornada!$C$8:$W$37,21,0),0)-M33,0)))</f>
        <v>0</v>
      </c>
      <c r="P33" s="193">
        <f ca="1">IF(HLOOKUP($F33,Jornada!$X$7:$AD$37,VLOOKUP(INDIRECT($C$5),Jornada!$C$8:$W$37,21,0),0)-M33&lt;0,ABS(HLOOKUP($F33,Jornada!$X$7:$AD$37,VLOOKUP(INDIRECT($C$5),Jornada!$C$8:$W$37,21,0),0)-M33),0)</f>
        <v>0</v>
      </c>
      <c r="Q33" s="95">
        <f t="shared" si="0"/>
        <v>0</v>
      </c>
      <c r="R33" s="2">
        <f t="shared" si="2"/>
        <v>0</v>
      </c>
      <c r="S33" s="74"/>
      <c r="T33" s="74"/>
      <c r="U33" s="74"/>
      <c r="X33" s="177"/>
      <c r="AB33" s="177">
        <f t="shared" si="10"/>
        <v>26</v>
      </c>
      <c r="AC33" s="2">
        <f t="shared" si="3"/>
        <v>5</v>
      </c>
      <c r="AG33" s="220">
        <f t="shared" si="4"/>
        <v>0</v>
      </c>
      <c r="AH33" s="220">
        <f ca="1">IF(HLOOKUP($F33,Jornada!$X$7:$AD$37,VLOOKUP(INDIRECT($C$5),Jornada!$C$8:$W$37,21,0),0)=0,0,VLOOKUP(INDIRECT($C$5),Jornada!$C$8:$H$37,4,0))</f>
        <v>0</v>
      </c>
      <c r="AI33" s="155">
        <f ca="1">IF(AND(I33=0,J33=0,OR(H33&lt;&gt;0,K33&lt;&gt;0),HLOOKUP($F33,Jornada!$X$7:$AD$37,VLOOKUP(INDIRECT($C$5),Jornada!$C$8:$W$37,21,0),0)&gt;$AK$5,M33&gt;$AK$5),VLOOKUP(INDIRECT($C$5),Jornada!$C$8:$H$37,6,0),IF(AG33&gt;VLOOKUP(INDIRECT($C$5),Jornada!$C$8:$H$37,6,0),IF(VLOOKUP(INDIRECT($C$5),Jornada!$C$8:$H$37,6,0)&lt;AG33,0,ABS(VLOOKUP(INDIRECT($C$5),Jornada!$C$8:$H$37,6,0))-AG33),0))</f>
        <v>0</v>
      </c>
      <c r="AJ33" s="155">
        <f t="shared" si="5"/>
        <v>1</v>
      </c>
      <c r="AK33" s="155">
        <f t="shared" si="6"/>
        <v>0</v>
      </c>
      <c r="AL33" s="155">
        <f ca="1">HLOOKUP($F33,Jornada!$I$5:$V$37,VLOOKUP(INDIRECT($C$5),Jornada!$C$8:$W$37,21,0)+2,0)</f>
        <v>0</v>
      </c>
      <c r="AM33" s="155">
        <f ca="1">HLOOKUP($F33,Jornada!$I$4:$V$37,VLOOKUP(INDIRECT($C$5),Jornada!$C$8:$W$37,21,0)+3,0)</f>
        <v>0</v>
      </c>
      <c r="AN33" s="155">
        <f t="shared" ca="1" si="7"/>
        <v>0</v>
      </c>
      <c r="AO33" s="155">
        <f t="shared" si="8"/>
        <v>0</v>
      </c>
      <c r="AP33" s="155">
        <f t="shared" si="9"/>
        <v>0</v>
      </c>
    </row>
    <row r="34" spans="1:42" s="2" customFormat="1" ht="30" customHeight="1" thickTop="1" thickBot="1" x14ac:dyDescent="0.25">
      <c r="A34" s="1"/>
      <c r="B34"/>
      <c r="C34" s="172" t="str">
        <f>IF(Funcionários!C33=0,"",Funcionários!C33)</f>
        <v/>
      </c>
      <c r="D34"/>
      <c r="E34" s="115">
        <f>Lanç!E34</f>
        <v>27</v>
      </c>
      <c r="F34" s="189" t="str">
        <f>Lanç!F34</f>
        <v>Sex</v>
      </c>
      <c r="G34" s="81"/>
      <c r="H34" s="94"/>
      <c r="I34" s="94"/>
      <c r="J34" s="94"/>
      <c r="K34" s="94"/>
      <c r="L34" s="197"/>
      <c r="M34" s="95">
        <f t="shared" si="1"/>
        <v>0</v>
      </c>
      <c r="N34" s="196"/>
      <c r="O34" s="95">
        <f ca="1">IF(OR(G34=0,G34="Férias",G34="Falta Justificada",G34="Feriado",G34="Folga (DSR)"),0,IF(G34="Falta Injustificada",HLOOKUP($F34,Jornada!$X$7:$AD$37,VLOOKUP(INDIRECT($C$5),Jornada!$C$8:$W$37,21,0),0),IF(HLOOKUP($F34,Jornada!$X$7:$AD$37,VLOOKUP(INDIRECT($C$5),Jornada!$C$8:$W$37,21,0),0)-M34&gt;0,HLOOKUP($F34,Jornada!$X$7:$AD$37,VLOOKUP(INDIRECT($C$5),Jornada!$C$8:$W$37,21,0),0)-M34,0)))</f>
        <v>0</v>
      </c>
      <c r="P34" s="193">
        <f ca="1">IF(HLOOKUP($F34,Jornada!$X$7:$AD$37,VLOOKUP(INDIRECT($C$5),Jornada!$C$8:$W$37,21,0),0)-M34&lt;0,ABS(HLOOKUP($F34,Jornada!$X$7:$AD$37,VLOOKUP(INDIRECT($C$5),Jornada!$C$8:$W$37,21,0),0)-M34),0)</f>
        <v>0</v>
      </c>
      <c r="Q34" s="95">
        <f t="shared" si="0"/>
        <v>0</v>
      </c>
      <c r="R34" s="2">
        <f t="shared" si="2"/>
        <v>0</v>
      </c>
      <c r="S34" s="74"/>
      <c r="T34" s="74"/>
      <c r="U34" s="74"/>
      <c r="X34" s="177"/>
      <c r="AB34" s="177">
        <f t="shared" si="10"/>
        <v>27</v>
      </c>
      <c r="AC34" s="2">
        <f t="shared" si="3"/>
        <v>6</v>
      </c>
      <c r="AG34" s="220">
        <f t="shared" si="4"/>
        <v>0</v>
      </c>
      <c r="AH34" s="220">
        <f ca="1">IF(HLOOKUP($F34,Jornada!$X$7:$AD$37,VLOOKUP(INDIRECT($C$5),Jornada!$C$8:$W$37,21,0),0)=0,0,VLOOKUP(INDIRECT($C$5),Jornada!$C$8:$H$37,4,0))</f>
        <v>0</v>
      </c>
      <c r="AI34" s="155">
        <f ca="1">IF(AND(I34=0,J34=0,OR(H34&lt;&gt;0,K34&lt;&gt;0),HLOOKUP($F34,Jornada!$X$7:$AD$37,VLOOKUP(INDIRECT($C$5),Jornada!$C$8:$W$37,21,0),0)&gt;$AK$5,M34&gt;$AK$5),VLOOKUP(INDIRECT($C$5),Jornada!$C$8:$H$37,6,0),IF(AG34&gt;VLOOKUP(INDIRECT($C$5),Jornada!$C$8:$H$37,6,0),IF(VLOOKUP(INDIRECT($C$5),Jornada!$C$8:$H$37,6,0)&lt;AG34,0,ABS(VLOOKUP(INDIRECT($C$5),Jornada!$C$8:$H$37,6,0))-AG34),0))</f>
        <v>0</v>
      </c>
      <c r="AJ34" s="155">
        <f t="shared" si="5"/>
        <v>1</v>
      </c>
      <c r="AK34" s="155">
        <f t="shared" si="6"/>
        <v>0</v>
      </c>
      <c r="AL34" s="155">
        <f ca="1">HLOOKUP($F34,Jornada!$I$5:$V$37,VLOOKUP(INDIRECT($C$5),Jornada!$C$8:$W$37,21,0)+2,0)</f>
        <v>0</v>
      </c>
      <c r="AM34" s="155">
        <f ca="1">HLOOKUP($F34,Jornada!$I$4:$V$37,VLOOKUP(INDIRECT($C$5),Jornada!$C$8:$W$37,21,0)+3,0)</f>
        <v>0</v>
      </c>
      <c r="AN34" s="155">
        <f t="shared" ca="1" si="7"/>
        <v>0</v>
      </c>
      <c r="AO34" s="155">
        <f t="shared" si="8"/>
        <v>0</v>
      </c>
      <c r="AP34" s="155">
        <f t="shared" si="9"/>
        <v>0</v>
      </c>
    </row>
    <row r="35" spans="1:42" s="2" customFormat="1" ht="30" customHeight="1" thickTop="1" thickBot="1" x14ac:dyDescent="0.25">
      <c r="A35" s="1"/>
      <c r="B35"/>
      <c r="C35" s="172" t="str">
        <f>IF(Funcionários!C34=0,"",Funcionários!C34)</f>
        <v/>
      </c>
      <c r="D35"/>
      <c r="E35" s="115">
        <f>Lanç!E35</f>
        <v>28</v>
      </c>
      <c r="F35" s="189" t="str">
        <f>Lanç!F35</f>
        <v>Sáb</v>
      </c>
      <c r="G35" s="81"/>
      <c r="H35" s="94"/>
      <c r="I35" s="94"/>
      <c r="J35" s="94"/>
      <c r="K35" s="94"/>
      <c r="L35" s="197"/>
      <c r="M35" s="95">
        <f t="shared" si="1"/>
        <v>0</v>
      </c>
      <c r="N35" s="196"/>
      <c r="O35" s="95">
        <f ca="1">IF(OR(G35=0,G35="Férias",G35="Falta Justificada",G35="Feriado",G35="Folga (DSR)"),0,IF(G35="Falta Injustificada",HLOOKUP($F35,Jornada!$X$7:$AD$37,VLOOKUP(INDIRECT($C$5),Jornada!$C$8:$W$37,21,0),0),IF(HLOOKUP($F35,Jornada!$X$7:$AD$37,VLOOKUP(INDIRECT($C$5),Jornada!$C$8:$W$37,21,0),0)-M35&gt;0,HLOOKUP($F35,Jornada!$X$7:$AD$37,VLOOKUP(INDIRECT($C$5),Jornada!$C$8:$W$37,21,0),0)-M35,0)))</f>
        <v>0</v>
      </c>
      <c r="P35" s="193">
        <f ca="1">IF(HLOOKUP($F35,Jornada!$X$7:$AD$37,VLOOKUP(INDIRECT($C$5),Jornada!$C$8:$W$37,21,0),0)-M35&lt;0,ABS(HLOOKUP($F35,Jornada!$X$7:$AD$37,VLOOKUP(INDIRECT($C$5),Jornada!$C$8:$W$37,21,0),0)-M35),0)</f>
        <v>0</v>
      </c>
      <c r="Q35" s="95">
        <f t="shared" si="0"/>
        <v>0</v>
      </c>
      <c r="R35" s="2">
        <f t="shared" si="2"/>
        <v>0</v>
      </c>
      <c r="S35"/>
      <c r="T35"/>
      <c r="U35"/>
      <c r="X35" s="177"/>
      <c r="AB35" s="177">
        <f>IF(MONTH(AB34+1)&lt;&gt;MONTH(AB34),"",AB34+1)</f>
        <v>28</v>
      </c>
      <c r="AC35" s="2">
        <f t="shared" si="3"/>
        <v>7</v>
      </c>
      <c r="AG35" s="220">
        <f t="shared" si="4"/>
        <v>0</v>
      </c>
      <c r="AH35" s="220">
        <f ca="1">IF(HLOOKUP($F35,Jornada!$X$7:$AD$37,VLOOKUP(INDIRECT($C$5),Jornada!$C$8:$W$37,21,0),0)=0,0,VLOOKUP(INDIRECT($C$5),Jornada!$C$8:$H$37,4,0))</f>
        <v>0</v>
      </c>
      <c r="AI35" s="155">
        <f ca="1">IF(AND(I35=0,J35=0,OR(H35&lt;&gt;0,K35&lt;&gt;0),HLOOKUP($F35,Jornada!$X$7:$AD$37,VLOOKUP(INDIRECT($C$5),Jornada!$C$8:$W$37,21,0),0)&gt;$AK$5,M35&gt;$AK$5),VLOOKUP(INDIRECT($C$5),Jornada!$C$8:$H$37,6,0),IF(AG35&gt;VLOOKUP(INDIRECT($C$5),Jornada!$C$8:$H$37,6,0),IF(VLOOKUP(INDIRECT($C$5),Jornada!$C$8:$H$37,6,0)&lt;AG35,0,ABS(VLOOKUP(INDIRECT($C$5),Jornada!$C$8:$H$37,6,0))-AG35),0))</f>
        <v>0</v>
      </c>
      <c r="AJ35" s="155">
        <f t="shared" si="5"/>
        <v>1</v>
      </c>
      <c r="AK35" s="155">
        <f t="shared" si="6"/>
        <v>0</v>
      </c>
      <c r="AL35" s="155">
        <f ca="1">HLOOKUP($F35,Jornada!$I$5:$V$37,VLOOKUP(INDIRECT($C$5),Jornada!$C$8:$W$37,21,0)+2,0)</f>
        <v>0</v>
      </c>
      <c r="AM35" s="155">
        <f ca="1">HLOOKUP($F35,Jornada!$I$4:$V$37,VLOOKUP(INDIRECT($C$5),Jornada!$C$8:$W$37,21,0)+3,0)</f>
        <v>0</v>
      </c>
      <c r="AN35" s="155">
        <f t="shared" ca="1" si="7"/>
        <v>0</v>
      </c>
      <c r="AO35" s="155">
        <f t="shared" si="8"/>
        <v>0</v>
      </c>
      <c r="AP35" s="155">
        <f t="shared" si="9"/>
        <v>0</v>
      </c>
    </row>
    <row r="36" spans="1:42" s="2" customFormat="1" ht="30" customHeight="1" thickTop="1" thickBot="1" x14ac:dyDescent="0.25">
      <c r="A36" s="1"/>
      <c r="B36"/>
      <c r="C36" s="172" t="str">
        <f>IF(Funcionários!C35=0,"",Funcionários!C35)</f>
        <v/>
      </c>
      <c r="D36"/>
      <c r="E36" s="115">
        <f>Lanç!E36</f>
        <v>29</v>
      </c>
      <c r="F36" s="189" t="str">
        <f>Lanç!F36</f>
        <v>Dom</v>
      </c>
      <c r="G36" s="81"/>
      <c r="H36" s="94"/>
      <c r="I36" s="94"/>
      <c r="J36" s="94"/>
      <c r="K36" s="94"/>
      <c r="L36" s="197"/>
      <c r="M36" s="95">
        <f t="shared" si="1"/>
        <v>0</v>
      </c>
      <c r="N36" s="196"/>
      <c r="O36" s="95">
        <f ca="1">IF(OR(G36=0,G36="Férias",G36="Falta Justificada",G36="Feriado",G36="Folga (DSR)"),0,IF(G36="Falta Injustificada",HLOOKUP($F36,Jornada!$X$7:$AD$37,VLOOKUP(INDIRECT($C$5),Jornada!$C$8:$W$37,21,0),0),IF(HLOOKUP($F36,Jornada!$X$7:$AD$37,VLOOKUP(INDIRECT($C$5),Jornada!$C$8:$W$37,21,0),0)-M36&gt;0,HLOOKUP($F36,Jornada!$X$7:$AD$37,VLOOKUP(INDIRECT($C$5),Jornada!$C$8:$W$37,21,0),0)-M36,0)))</f>
        <v>0</v>
      </c>
      <c r="P36" s="193">
        <f ca="1">IF(HLOOKUP($F36,Jornada!$X$7:$AD$37,VLOOKUP(INDIRECT($C$5),Jornada!$C$8:$W$37,21,0),0)-M36&lt;0,ABS(HLOOKUP($F36,Jornada!$X$7:$AD$37,VLOOKUP(INDIRECT($C$5),Jornada!$C$8:$W$37,21,0),0)-M36),0)</f>
        <v>0</v>
      </c>
      <c r="Q36" s="95">
        <f t="shared" si="0"/>
        <v>0</v>
      </c>
      <c r="R36" s="2">
        <f t="shared" si="2"/>
        <v>0</v>
      </c>
      <c r="S36"/>
      <c r="T36"/>
      <c r="U36"/>
      <c r="X36" s="177"/>
      <c r="AB36" s="177">
        <f>IF(MONTH(AB35+1)&lt;&gt;MONTH(AB35),"",IF(AB35="","",AB35+1))</f>
        <v>29</v>
      </c>
      <c r="AC36" s="2">
        <f>IF(ISERROR(WEEKDAY(AB36)),"",WEEKDAY(AB36))</f>
        <v>1</v>
      </c>
      <c r="AG36" s="220">
        <f t="shared" si="4"/>
        <v>0</v>
      </c>
      <c r="AH36" s="220">
        <f ca="1">IF(HLOOKUP($F36,Jornada!$X$7:$AD$37,VLOOKUP(INDIRECT($C$5),Jornada!$C$8:$W$37,21,0),0)=0,0,VLOOKUP(INDIRECT($C$5),Jornada!$C$8:$H$37,4,0))</f>
        <v>0</v>
      </c>
      <c r="AI36" s="155">
        <f ca="1">IF(AND(I36=0,J36=0,OR(H36&lt;&gt;0,K36&lt;&gt;0),HLOOKUP($F36,Jornada!$X$7:$AD$37,VLOOKUP(INDIRECT($C$5),Jornada!$C$8:$W$37,21,0),0)&gt;$AK$5,M36&gt;$AK$5),VLOOKUP(INDIRECT($C$5),Jornada!$C$8:$H$37,6,0),IF(AG36&gt;VLOOKUP(INDIRECT($C$5),Jornada!$C$8:$H$37,6,0),IF(VLOOKUP(INDIRECT($C$5),Jornada!$C$8:$H$37,6,0)&lt;AG36,0,ABS(VLOOKUP(INDIRECT($C$5),Jornada!$C$8:$H$37,6,0))-AG36),0))</f>
        <v>0</v>
      </c>
      <c r="AJ36" s="155">
        <f t="shared" si="5"/>
        <v>1</v>
      </c>
      <c r="AK36" s="155">
        <f t="shared" si="6"/>
        <v>0</v>
      </c>
      <c r="AL36" s="155">
        <f ca="1">HLOOKUP($F36,Jornada!$I$5:$V$37,VLOOKUP(INDIRECT($C$5),Jornada!$C$8:$W$37,21,0)+2,0)</f>
        <v>0</v>
      </c>
      <c r="AM36" s="155">
        <f ca="1">HLOOKUP($F36,Jornada!$I$4:$V$37,VLOOKUP(INDIRECT($C$5),Jornada!$C$8:$W$37,21,0)+3,0)</f>
        <v>0</v>
      </c>
      <c r="AN36" s="155">
        <f t="shared" ca="1" si="7"/>
        <v>0</v>
      </c>
      <c r="AO36" s="155">
        <f t="shared" si="8"/>
        <v>0</v>
      </c>
      <c r="AP36" s="155">
        <f t="shared" si="9"/>
        <v>0</v>
      </c>
    </row>
    <row r="37" spans="1:42" s="2" customFormat="1" ht="30" customHeight="1" thickTop="1" thickBot="1" x14ac:dyDescent="0.25">
      <c r="A37" s="1"/>
      <c r="B37"/>
      <c r="C37" s="172" t="str">
        <f>IF(Funcionários!C36=0,"",Funcionários!C36)</f>
        <v/>
      </c>
      <c r="D37"/>
      <c r="E37" s="115">
        <f>Lanç!E37</f>
        <v>30</v>
      </c>
      <c r="F37" s="189" t="str">
        <f>Lanç!F37</f>
        <v>Seg</v>
      </c>
      <c r="G37" s="81"/>
      <c r="H37" s="94"/>
      <c r="I37" s="94"/>
      <c r="J37" s="94"/>
      <c r="K37" s="94"/>
      <c r="L37" s="197"/>
      <c r="M37" s="95">
        <f t="shared" si="1"/>
        <v>0</v>
      </c>
      <c r="N37" s="196"/>
      <c r="O37" s="95">
        <f ca="1">IF(OR(G37=0,G37="Férias",G37="Falta Justificada",G37="Feriado",G37="Folga (DSR)"),0,IF(G37="Falta Injustificada",HLOOKUP($F37,Jornada!$X$7:$AD$37,VLOOKUP(INDIRECT($C$5),Jornada!$C$8:$W$37,21,0),0),IF(HLOOKUP($F37,Jornada!$X$7:$AD$37,VLOOKUP(INDIRECT($C$5),Jornada!$C$8:$W$37,21,0),0)-M37&gt;0,HLOOKUP($F37,Jornada!$X$7:$AD$37,VLOOKUP(INDIRECT($C$5),Jornada!$C$8:$W$37,21,0),0)-M37,0)))</f>
        <v>0</v>
      </c>
      <c r="P37" s="193">
        <f ca="1">IF(HLOOKUP($F37,Jornada!$X$7:$AD$37,VLOOKUP(INDIRECT($C$5),Jornada!$C$8:$W$37,21,0),0)-M37&lt;0,ABS(HLOOKUP($F37,Jornada!$X$7:$AD$37,VLOOKUP(INDIRECT($C$5),Jornada!$C$8:$W$37,21,0),0)-M37),0)</f>
        <v>0</v>
      </c>
      <c r="Q37" s="95">
        <f t="shared" si="0"/>
        <v>0</v>
      </c>
      <c r="R37" s="2">
        <f t="shared" si="2"/>
        <v>0</v>
      </c>
      <c r="S37"/>
      <c r="T37"/>
      <c r="U37"/>
      <c r="X37" s="177"/>
      <c r="AB37" s="177">
        <f>IF(AB36="","",IF(MONTH(AB36+1)&lt;&gt;MONTH(AB36),"",AB36+1))</f>
        <v>30</v>
      </c>
      <c r="AC37" s="2">
        <f>IF(ISERROR(WEEKDAY(AB37)),"",WEEKDAY(AB37))</f>
        <v>2</v>
      </c>
      <c r="AG37" s="220">
        <f t="shared" si="4"/>
        <v>0</v>
      </c>
      <c r="AH37" s="220">
        <f ca="1">IF(HLOOKUP($F37,Jornada!$X$7:$AD$37,VLOOKUP(INDIRECT($C$5),Jornada!$C$8:$W$37,21,0),0)=0,0,VLOOKUP(INDIRECT($C$5),Jornada!$C$8:$H$37,4,0))</f>
        <v>0</v>
      </c>
      <c r="AI37" s="155">
        <f ca="1">IF(AND(I37=0,J37=0,OR(H37&lt;&gt;0,K37&lt;&gt;0),HLOOKUP($F37,Jornada!$X$7:$AD$37,VLOOKUP(INDIRECT($C$5),Jornada!$C$8:$W$37,21,0),0)&gt;$AK$5,M37&gt;$AK$5),VLOOKUP(INDIRECT($C$5),Jornada!$C$8:$H$37,6,0),IF(AG37&gt;VLOOKUP(INDIRECT($C$5),Jornada!$C$8:$H$37,6,0),IF(VLOOKUP(INDIRECT($C$5),Jornada!$C$8:$H$37,6,0)&lt;AG37,0,ABS(VLOOKUP(INDIRECT($C$5),Jornada!$C$8:$H$37,6,0))-AG37),0))</f>
        <v>0</v>
      </c>
      <c r="AJ37" s="155">
        <f t="shared" si="5"/>
        <v>1</v>
      </c>
      <c r="AK37" s="155">
        <f t="shared" si="6"/>
        <v>0</v>
      </c>
      <c r="AL37" s="155">
        <f ca="1">HLOOKUP($F37,Jornada!$I$5:$V$37,VLOOKUP(INDIRECT($C$5),Jornada!$C$8:$W$37,21,0)+2,0)</f>
        <v>0</v>
      </c>
      <c r="AM37" s="155">
        <f ca="1">HLOOKUP($F37,Jornada!$I$4:$V$37,VLOOKUP(INDIRECT($C$5),Jornada!$C$8:$W$37,21,0)+3,0)</f>
        <v>0</v>
      </c>
      <c r="AN37" s="155">
        <f t="shared" ca="1" si="7"/>
        <v>0</v>
      </c>
      <c r="AO37" s="155">
        <f t="shared" si="8"/>
        <v>0</v>
      </c>
      <c r="AP37" s="155">
        <f t="shared" si="9"/>
        <v>0</v>
      </c>
    </row>
    <row r="38" spans="1:42" s="2" customFormat="1" ht="30" customHeight="1" thickTop="1" thickBot="1" x14ac:dyDescent="0.25">
      <c r="A38" s="1"/>
      <c r="B38"/>
      <c r="C38"/>
      <c r="D38" s="2">
        <f t="shared" ref="D38" si="11">IF(D37=7,1,D37+1)</f>
        <v>1</v>
      </c>
      <c r="E38" s="210">
        <f>Lanç!E38</f>
        <v>31</v>
      </c>
      <c r="F38" s="210" t="str">
        <f>Lanç!F38</f>
        <v>Ter</v>
      </c>
      <c r="G38" s="81"/>
      <c r="H38" s="94"/>
      <c r="I38" s="94"/>
      <c r="J38" s="94"/>
      <c r="K38" s="94"/>
      <c r="L38" s="197"/>
      <c r="M38" s="95">
        <f t="shared" si="1"/>
        <v>0</v>
      </c>
      <c r="N38" s="196"/>
      <c r="O38" s="95">
        <f ca="1">IF(OR(G38=0,G38="Férias",G38="Falta Justificada",G38="Feriado",G38="Folga (DSR)"),0,IF(G38="Falta Injustificada",HLOOKUP($F38,Jornada!$X$7:$AD$37,VLOOKUP(INDIRECT($C$5),Jornada!$C$8:$W$37,21,0),0),IF(HLOOKUP($F38,Jornada!$X$7:$AD$37,VLOOKUP(INDIRECT($C$5),Jornada!$C$8:$W$37,21,0),0)-M38&gt;0,HLOOKUP($F38,Jornada!$X$7:$AD$37,VLOOKUP(INDIRECT($C$5),Jornada!$C$8:$W$37,21,0),0)-M38,0)))</f>
        <v>0</v>
      </c>
      <c r="P38" s="201">
        <f ca="1">IF(HLOOKUP($F38,Jornada!$X$7:$AD$37,VLOOKUP(INDIRECT($C$5),Jornada!$C$8:$W$37,21,0),0)-M38&lt;0,ABS(HLOOKUP($F38,Jornada!$X$7:$AD$37,VLOOKUP(INDIRECT($C$5),Jornada!$C$8:$W$37,21,0),0)-M38),0)</f>
        <v>0</v>
      </c>
      <c r="Q38" s="95">
        <f t="shared" si="0"/>
        <v>0</v>
      </c>
      <c r="R38" s="2">
        <f t="shared" si="2"/>
        <v>0</v>
      </c>
      <c r="X38" s="177"/>
      <c r="AB38" s="177">
        <f>IF(AB37="","",IF(MONTH(AB37+1)&lt;&gt;MONTH(AB37),"",AB37+1))</f>
        <v>31</v>
      </c>
      <c r="AC38" s="2">
        <f>IF(ISERROR(WEEKDAY(AB38)),"",WEEKDAY(AB38))</f>
        <v>3</v>
      </c>
      <c r="AG38" s="220">
        <f t="shared" si="4"/>
        <v>0</v>
      </c>
      <c r="AH38" s="220">
        <f ca="1">IF(HLOOKUP($F38,Jornada!$X$7:$AD$37,VLOOKUP(INDIRECT($C$5),Jornada!$C$8:$W$37,21,0),0)=0,0,VLOOKUP(INDIRECT($C$5),Jornada!$C$8:$H$37,4,0))</f>
        <v>0</v>
      </c>
      <c r="AI38" s="155">
        <f ca="1">IF(AND(I38=0,J38=0,OR(H38&lt;&gt;0,K38&lt;&gt;0),HLOOKUP($F38,Jornada!$X$7:$AD$37,VLOOKUP(INDIRECT($C$5),Jornada!$C$8:$W$37,21,0),0)&gt;$AK$5,M38&gt;$AK$5),VLOOKUP(INDIRECT($C$5),Jornada!$C$8:$H$37,6,0),IF(AG38&gt;VLOOKUP(INDIRECT($C$5),Jornada!$C$8:$H$37,6,0),IF(VLOOKUP(INDIRECT($C$5),Jornada!$C$8:$H$37,6,0)&lt;AG38,0,ABS(VLOOKUP(INDIRECT($C$5),Jornada!$C$8:$H$37,6,0))-AG38),0))</f>
        <v>0</v>
      </c>
      <c r="AJ38" s="155">
        <f t="shared" si="5"/>
        <v>1</v>
      </c>
      <c r="AK38" s="155">
        <f t="shared" si="6"/>
        <v>0</v>
      </c>
      <c r="AL38" s="155">
        <f ca="1">HLOOKUP($F38,Jornada!$I$5:$V$37,VLOOKUP(INDIRECT($C$5),Jornada!$C$8:$W$37,21,0)+2,0)</f>
        <v>0</v>
      </c>
      <c r="AM38" s="155">
        <f ca="1">HLOOKUP($F38,Jornada!$I$4:$V$37,VLOOKUP(INDIRECT($C$5),Jornada!$C$8:$W$37,21,0)+3,0)</f>
        <v>0</v>
      </c>
      <c r="AN38" s="155">
        <f t="shared" ca="1" si="7"/>
        <v>0</v>
      </c>
      <c r="AO38" s="155">
        <f t="shared" si="8"/>
        <v>0</v>
      </c>
      <c r="AP38" s="155">
        <f t="shared" si="9"/>
        <v>0</v>
      </c>
    </row>
    <row r="39" spans="1:42" s="2" customFormat="1" ht="30" customHeight="1" thickTop="1" x14ac:dyDescent="0.2">
      <c r="A39" s="9"/>
      <c r="B39" s="234"/>
      <c r="C39" s="234"/>
      <c r="D39" s="234"/>
      <c r="E39" s="236">
        <f>EOMONTH(AB8,0)</f>
        <v>31</v>
      </c>
      <c r="F39" s="234">
        <f>DAY(E39)</f>
        <v>31</v>
      </c>
      <c r="G39" s="237">
        <f>COUNTIF(F8:F38,"Dom")+COUNTIF(G8:G38,"Feriado")</f>
        <v>5</v>
      </c>
      <c r="H39" s="238">
        <f>(SUM(Q8:Q38)/(F39-G39))*G39</f>
        <v>0</v>
      </c>
      <c r="I39" s="234"/>
      <c r="J39" s="234"/>
      <c r="K39" s="234"/>
      <c r="L39" s="234"/>
      <c r="M39" s="234"/>
      <c r="Z39" s="219"/>
    </row>
    <row r="40" spans="1:42" s="2" customFormat="1" ht="30" customHeight="1" x14ac:dyDescent="0.2">
      <c r="A40" s="9"/>
      <c r="B40" s="234"/>
      <c r="C40" s="239"/>
      <c r="D40" s="239"/>
      <c r="E40" s="239"/>
      <c r="F40" s="240"/>
      <c r="G40" s="241"/>
      <c r="H40" s="234">
        <f ca="1">IF(INDIRECT($C$5)="",0,VLOOKUP(INDIRECT($C$5),Funcionários!$C$7:$E$36,3,0)+IF(VLOOKUP(INDIRECT($C$5),Jornada!$C$8:$E$37,2,0)="Sim",IF('P Gerais'!$I$8&lt;&gt;0,VLOOKUP(INDIRECT($C$5),Funcionários!$C$7:$E$36,3,0)*'P Gerais'!$L$14,'P Gerais'!$I$8*'P Gerais'!$L$14),0)+IF(VLOOKUP(INDIRECT($C$5),Jornada!$C$8:$E$37,3,0)="Sim",VLOOKUP(INDIRECT($C$5),Funcionários!$C$7:$E$36,3,0)*'P Gerais'!$K$14,0))</f>
        <v>0</v>
      </c>
      <c r="I40" s="234">
        <f ca="1">VLOOKUP(INDIRECT($C$5),Jornada!$C$8:$AF$37,30,0)</f>
        <v>0</v>
      </c>
      <c r="J40" s="234" t="s">
        <v>298</v>
      </c>
      <c r="K40" s="242">
        <f ca="1">IF(I40=0,0,H40/I40)</f>
        <v>0</v>
      </c>
      <c r="L40" s="234"/>
      <c r="M40" s="234"/>
      <c r="Z40" s="219"/>
    </row>
    <row r="41" spans="1:42" s="2" customFormat="1" ht="30" customHeight="1" x14ac:dyDescent="0.2">
      <c r="A41" s="9"/>
      <c r="B41" s="234" t="s">
        <v>52</v>
      </c>
      <c r="C41" s="292" t="s">
        <v>75</v>
      </c>
      <c r="D41" s="292"/>
      <c r="E41" s="292"/>
      <c r="F41" s="243">
        <f t="shared" ref="F41:F47" si="12">SUMIFS($Q$8:$Q$38,$F$8:$F$38,$B41,$G$8:$G$38,"Normal")</f>
        <v>0</v>
      </c>
      <c r="G41" s="244">
        <f>IF($M$41="Sistema de banco de horas",0,'P Gerais'!$C$14)</f>
        <v>0.5</v>
      </c>
      <c r="H41" s="245">
        <f t="shared" ref="H41:H48" ca="1" si="13">IF($M$41="Sistema de banco de horas",0,$K$40*(1+G41)*(F41*24))</f>
        <v>0</v>
      </c>
      <c r="I41" s="243">
        <f t="shared" ref="I41:I47" ca="1" si="14">IF(SUMIF($F$8:$F$38,$B41,$Q$8:$Q$38)-SUMIFS($M$8:$M$38,$F$8:$F$38,$B41,$G$8:$G$38,"Feriado")-SUMIFS($M$8:$M$38,$F$8:$F$38,$B41,$G$8:$G$38,"Folga (DSR)")-SUMIFS($M$8:$M$38,$F$8:$F$38,$B41,$G$8:$G$38,"Férias")-SUMIF($F$8:$F$38,$B41,$AN$8:$AN$38)-SUMIF($F$8:$F$38,$B41,$AO$8:$AO$38)&lt;0,0,SUMIF($F$8:$F$38,$B41,$Q$8:$Q$38)-SUMIFS($M$8:$M$38,$F$8:$F$38,$B41,$G$8:$G$38,"Feriado")-SUMIFS($M$8:$M$38,$F$8:$F$38,$B41,$G$8:$G$38,"Folga (DSR)")-SUMIFS($M$8:$M$38,$F$8:$F$38,$B41,$G$8:$G$38,"Férias")-SUMIF($F$8:$F$38,$B41,$AN$8:$AN$38)-SUMIF($F$8:$F$38,$B41,$AO$8:$AO$38))</f>
        <v>0</v>
      </c>
      <c r="J41" s="245">
        <f ca="1">H41</f>
        <v>0</v>
      </c>
      <c r="K41" s="234"/>
      <c r="L41" s="234"/>
      <c r="M41" s="234">
        <f>'P Gerais'!I10</f>
        <v>0</v>
      </c>
      <c r="Z41" s="219"/>
    </row>
    <row r="42" spans="1:42" s="2" customFormat="1" ht="30" customHeight="1" x14ac:dyDescent="0.2">
      <c r="A42" s="9"/>
      <c r="B42" s="234" t="s">
        <v>53</v>
      </c>
      <c r="C42" s="292" t="s">
        <v>76</v>
      </c>
      <c r="D42" s="292"/>
      <c r="E42" s="292"/>
      <c r="F42" s="243">
        <f t="shared" si="12"/>
        <v>0</v>
      </c>
      <c r="G42" s="244">
        <f>IF($M$41="Sistema de banco de horas",0,'P Gerais'!$C$14)</f>
        <v>0.5</v>
      </c>
      <c r="H42" s="245">
        <f t="shared" ca="1" si="13"/>
        <v>0</v>
      </c>
      <c r="I42" s="243">
        <f t="shared" ca="1" si="14"/>
        <v>0</v>
      </c>
      <c r="J42" s="245">
        <f t="shared" ref="J42:J51" ca="1" si="15">H42</f>
        <v>0</v>
      </c>
      <c r="K42" s="234"/>
      <c r="L42" s="234"/>
      <c r="M42" s="234"/>
      <c r="Z42" s="219"/>
    </row>
    <row r="43" spans="1:42" s="2" customFormat="1" ht="30" customHeight="1" x14ac:dyDescent="0.2">
      <c r="A43" s="9"/>
      <c r="B43" s="234" t="s">
        <v>54</v>
      </c>
      <c r="C43" s="292" t="s">
        <v>77</v>
      </c>
      <c r="D43" s="292"/>
      <c r="E43" s="292"/>
      <c r="F43" s="243">
        <f t="shared" si="12"/>
        <v>0</v>
      </c>
      <c r="G43" s="244">
        <f>IF($M$41="Sistema de banco de horas",0,'P Gerais'!$C$14)</f>
        <v>0.5</v>
      </c>
      <c r="H43" s="245">
        <f t="shared" ca="1" si="13"/>
        <v>0</v>
      </c>
      <c r="I43" s="243">
        <f t="shared" ca="1" si="14"/>
        <v>0</v>
      </c>
      <c r="J43" s="245">
        <f t="shared" ca="1" si="15"/>
        <v>0</v>
      </c>
      <c r="K43" s="234"/>
      <c r="L43" s="234"/>
      <c r="M43" s="234"/>
      <c r="Z43" s="219"/>
    </row>
    <row r="44" spans="1:42" s="2" customFormat="1" ht="30" customHeight="1" x14ac:dyDescent="0.2">
      <c r="A44" s="9"/>
      <c r="B44" s="234" t="s">
        <v>55</v>
      </c>
      <c r="C44" s="292" t="s">
        <v>78</v>
      </c>
      <c r="D44" s="292"/>
      <c r="E44" s="292"/>
      <c r="F44" s="243">
        <f t="shared" si="12"/>
        <v>0</v>
      </c>
      <c r="G44" s="244">
        <f>IF($M$41="Sistema de banco de horas",0,'P Gerais'!$C$14)</f>
        <v>0.5</v>
      </c>
      <c r="H44" s="245">
        <f t="shared" ca="1" si="13"/>
        <v>0</v>
      </c>
      <c r="I44" s="243">
        <f t="shared" ca="1" si="14"/>
        <v>0</v>
      </c>
      <c r="J44" s="245">
        <f t="shared" ca="1" si="15"/>
        <v>0</v>
      </c>
      <c r="K44" s="234"/>
      <c r="L44" s="234"/>
      <c r="M44" s="234"/>
      <c r="Z44" s="219"/>
    </row>
    <row r="45" spans="1:42" s="2" customFormat="1" ht="30" customHeight="1" x14ac:dyDescent="0.2">
      <c r="A45" s="9"/>
      <c r="B45" s="234" t="s">
        <v>56</v>
      </c>
      <c r="C45" s="292" t="s">
        <v>79</v>
      </c>
      <c r="D45" s="292"/>
      <c r="E45" s="292"/>
      <c r="F45" s="243">
        <f t="shared" si="12"/>
        <v>0</v>
      </c>
      <c r="G45" s="244">
        <f>IF($M$41="Sistema de banco de horas",0,'P Gerais'!$C$14)</f>
        <v>0.5</v>
      </c>
      <c r="H45" s="245">
        <f t="shared" ca="1" si="13"/>
        <v>0</v>
      </c>
      <c r="I45" s="243">
        <f t="shared" ca="1" si="14"/>
        <v>0</v>
      </c>
      <c r="J45" s="245">
        <f t="shared" ca="1" si="15"/>
        <v>0</v>
      </c>
      <c r="K45" s="234"/>
      <c r="L45" s="234"/>
      <c r="M45" s="234"/>
      <c r="Z45" s="219"/>
    </row>
    <row r="46" spans="1:42" s="2" customFormat="1" ht="30" customHeight="1" x14ac:dyDescent="0.2">
      <c r="A46" s="9"/>
      <c r="B46" s="234" t="s">
        <v>57</v>
      </c>
      <c r="C46" s="292" t="s">
        <v>82</v>
      </c>
      <c r="D46" s="292"/>
      <c r="E46" s="292"/>
      <c r="F46" s="243">
        <f t="shared" si="12"/>
        <v>0</v>
      </c>
      <c r="G46" s="244">
        <f>IF($M$41="Sistema de banco de horas",0,'P Gerais'!$E$14)</f>
        <v>0.5</v>
      </c>
      <c r="H46" s="245">
        <f t="shared" ca="1" si="13"/>
        <v>0</v>
      </c>
      <c r="I46" s="243">
        <f t="shared" ca="1" si="14"/>
        <v>0</v>
      </c>
      <c r="J46" s="245">
        <f t="shared" ca="1" si="15"/>
        <v>0</v>
      </c>
      <c r="K46" s="234"/>
      <c r="L46" s="234"/>
      <c r="M46" s="234"/>
      <c r="Z46" s="219"/>
    </row>
    <row r="47" spans="1:42" s="2" customFormat="1" ht="30" customHeight="1" x14ac:dyDescent="0.2">
      <c r="A47" s="9"/>
      <c r="B47" s="234" t="s">
        <v>51</v>
      </c>
      <c r="C47" s="292" t="s">
        <v>81</v>
      </c>
      <c r="D47" s="292"/>
      <c r="E47" s="292"/>
      <c r="F47" s="243">
        <f t="shared" si="12"/>
        <v>0</v>
      </c>
      <c r="G47" s="244">
        <f>IF($M$41="Sistema de banco de horas",0,'P Gerais'!$F$14)</f>
        <v>1</v>
      </c>
      <c r="H47" s="245">
        <f t="shared" ca="1" si="13"/>
        <v>0</v>
      </c>
      <c r="I47" s="243">
        <f t="shared" ca="1" si="14"/>
        <v>0</v>
      </c>
      <c r="J47" s="245">
        <f t="shared" ca="1" si="15"/>
        <v>0</v>
      </c>
      <c r="K47" s="234"/>
      <c r="L47" s="234"/>
      <c r="M47" s="234"/>
      <c r="Z47" s="219"/>
    </row>
    <row r="48" spans="1:42" s="2" customFormat="1" ht="30" customHeight="1" x14ac:dyDescent="0.2">
      <c r="A48" s="9"/>
      <c r="B48" s="234"/>
      <c r="C48" s="292" t="s">
        <v>80</v>
      </c>
      <c r="D48" s="292"/>
      <c r="E48" s="292"/>
      <c r="F48" s="243">
        <f>SUMIFS($Q$8:$Q$38,$G$8:$G$38,"Feriado")</f>
        <v>0</v>
      </c>
      <c r="G48" s="244">
        <f>IF($M$41="Sistema de banco de horas",0,'P Gerais'!$I$14)</f>
        <v>1</v>
      </c>
      <c r="H48" s="245">
        <f t="shared" ca="1" si="13"/>
        <v>0</v>
      </c>
      <c r="I48" s="243"/>
      <c r="J48" s="245">
        <f t="shared" ca="1" si="15"/>
        <v>0</v>
      </c>
      <c r="K48" s="234"/>
      <c r="L48" s="234"/>
      <c r="M48" s="234"/>
      <c r="Z48" s="219"/>
    </row>
    <row r="49" spans="1:26" s="2" customFormat="1" ht="15" x14ac:dyDescent="0.2">
      <c r="A49" s="9"/>
      <c r="B49" s="234"/>
      <c r="C49" s="292" t="s">
        <v>146</v>
      </c>
      <c r="D49" s="292"/>
      <c r="E49" s="292"/>
      <c r="F49" s="243">
        <f>SUMIFS($Q$8:$Q$38,$G$8:$G$38,"Folga (DSR)")</f>
        <v>0</v>
      </c>
      <c r="G49" s="244">
        <f>IF($M$41="Sistema de banco de horas",0,'P Gerais'!H14)</f>
        <v>1</v>
      </c>
      <c r="H49" s="245">
        <f ca="1">((F53/(F39-G39))*G39)</f>
        <v>0</v>
      </c>
      <c r="I49" s="243"/>
      <c r="J49" s="245">
        <f t="shared" ca="1" si="15"/>
        <v>0</v>
      </c>
      <c r="K49" s="234"/>
      <c r="L49" s="234"/>
      <c r="M49" s="234"/>
      <c r="Z49" s="219"/>
    </row>
    <row r="50" spans="1:26" s="2" customFormat="1" ht="15" x14ac:dyDescent="0.2">
      <c r="A50" s="9"/>
      <c r="B50" s="234"/>
      <c r="C50" s="292" t="s">
        <v>84</v>
      </c>
      <c r="D50" s="292"/>
      <c r="E50" s="292"/>
      <c r="F50" s="243">
        <f ca="1">IF($M$41="Sistema de banco de horas",(SUM(AI$8:AI$38)*(1+G50)),SUM(AI$8:AI$38))</f>
        <v>0</v>
      </c>
      <c r="G50" s="244">
        <f>IF($M$41="Sistema de banco de horas",0,'P Gerais'!$I$17)</f>
        <v>0.5</v>
      </c>
      <c r="H50" s="245">
        <f ca="1">IF($M$41="Sistema de banco de horas",0,$K$40*(1+G50)*(F50*24))</f>
        <v>0</v>
      </c>
      <c r="I50" s="243">
        <f ca="1">IF(SUM($AN$8:$AO$38)&gt;SUM(AI$8:AI$38),0,SUM(AI$8:AI$38)-SUM($AN$8:$AO$38))</f>
        <v>0</v>
      </c>
      <c r="J50" s="245">
        <f t="shared" ca="1" si="15"/>
        <v>0</v>
      </c>
      <c r="K50" s="234"/>
      <c r="L50" s="234"/>
      <c r="M50" s="234"/>
      <c r="Z50" s="219"/>
    </row>
    <row r="51" spans="1:26" s="2" customFormat="1" ht="15" x14ac:dyDescent="0.2">
      <c r="A51" s="9"/>
      <c r="B51" s="234"/>
      <c r="C51" s="292" t="s">
        <v>85</v>
      </c>
      <c r="D51" s="292"/>
      <c r="E51" s="292"/>
      <c r="F51" s="243">
        <f>IF($M$41="Sistema de banco de horas",(SUM(AK$8:AK$38)*(1+G51)),SUM(AK$8:AK$38))</f>
        <v>0</v>
      </c>
      <c r="G51" s="244">
        <f>IF($M$41="Sistema de banco de horas",0,'P Gerais'!$C$17)</f>
        <v>1</v>
      </c>
      <c r="H51" s="245">
        <f ca="1">IF($M$41="Sistema de banco de horas",0,$K$40*(1+G51)*(F51*24))</f>
        <v>0</v>
      </c>
      <c r="I51" s="243"/>
      <c r="J51" s="245">
        <f t="shared" ca="1" si="15"/>
        <v>0</v>
      </c>
      <c r="K51" s="234"/>
      <c r="L51" s="234"/>
      <c r="M51" s="234"/>
      <c r="Z51" s="219"/>
    </row>
    <row r="52" spans="1:26" s="2" customFormat="1" ht="15" customHeight="1" x14ac:dyDescent="0.2">
      <c r="A52" s="9"/>
      <c r="B52" s="234"/>
      <c r="C52" s="292" t="s">
        <v>87</v>
      </c>
      <c r="D52" s="292"/>
      <c r="E52" s="292"/>
      <c r="F52" s="243">
        <f ca="1">U12</f>
        <v>0</v>
      </c>
      <c r="G52" s="246"/>
      <c r="H52" s="234"/>
      <c r="I52" s="234"/>
      <c r="J52" s="234"/>
      <c r="K52" s="234"/>
      <c r="L52" s="234"/>
      <c r="M52" s="234"/>
      <c r="Z52" s="219"/>
    </row>
    <row r="53" spans="1:26" s="2" customFormat="1" ht="15" x14ac:dyDescent="0.2">
      <c r="A53" s="9"/>
      <c r="B53" s="234"/>
      <c r="C53" s="292" t="s">
        <v>299</v>
      </c>
      <c r="D53" s="292"/>
      <c r="E53" s="292"/>
      <c r="F53" s="247">
        <f ca="1">SUM(H48)+J50+H51+SUM(J41:J47)</f>
        <v>0</v>
      </c>
      <c r="G53" s="248"/>
      <c r="H53" s="234"/>
      <c r="I53" s="234"/>
      <c r="J53" s="234"/>
      <c r="K53" s="234"/>
      <c r="L53" s="234"/>
      <c r="M53" s="234"/>
      <c r="Z53" s="219"/>
    </row>
    <row r="54" spans="1:26" s="2" customFormat="1" ht="15" x14ac:dyDescent="0.2">
      <c r="A54" s="9"/>
      <c r="B54" s="234"/>
      <c r="C54" s="292" t="s">
        <v>88</v>
      </c>
      <c r="D54" s="292"/>
      <c r="E54" s="292"/>
      <c r="F54" s="247">
        <f ca="1">F53+(H49*(1+G49))</f>
        <v>0</v>
      </c>
      <c r="G54" s="248"/>
      <c r="H54" s="249"/>
      <c r="I54" s="234"/>
      <c r="J54" s="234"/>
      <c r="K54" s="234"/>
      <c r="L54" s="234"/>
      <c r="M54" s="234"/>
      <c r="Z54" s="219"/>
    </row>
    <row r="55" spans="1:26" s="2" customFormat="1" ht="15" x14ac:dyDescent="0.2">
      <c r="A55" s="9"/>
      <c r="B55" s="234"/>
      <c r="C55" s="292" t="s">
        <v>89</v>
      </c>
      <c r="D55" s="292"/>
      <c r="E55" s="292"/>
      <c r="F55" s="247">
        <f ca="1">H40+F54</f>
        <v>0</v>
      </c>
      <c r="G55" s="246"/>
      <c r="H55" s="234"/>
      <c r="I55" s="234"/>
      <c r="J55" s="234"/>
      <c r="K55" s="234"/>
      <c r="L55" s="234"/>
      <c r="M55" s="234"/>
      <c r="Z55" s="219"/>
    </row>
    <row r="56" spans="1:26" s="2" customFormat="1" ht="15" x14ac:dyDescent="0.2">
      <c r="A56" s="9"/>
      <c r="B56" s="234"/>
      <c r="C56" s="292" t="s">
        <v>178</v>
      </c>
      <c r="D56" s="292"/>
      <c r="E56" s="292"/>
      <c r="F56" s="243">
        <f>IF($M$41="Sistema de banco de horas",(SUMIF($G$8:$G$38,"Férias",Q8:Q38))*(1+G48),SUMIF($G$8:$G$38,"Férias",Q8:Q38))</f>
        <v>0</v>
      </c>
      <c r="G56" s="246"/>
      <c r="H56" s="234"/>
      <c r="I56" s="234"/>
      <c r="J56" s="234"/>
      <c r="K56" s="234"/>
      <c r="L56" s="234"/>
      <c r="M56" s="234"/>
      <c r="Z56" s="219"/>
    </row>
    <row r="57" spans="1:26" s="2" customFormat="1" ht="15" x14ac:dyDescent="0.2">
      <c r="A57" s="9"/>
      <c r="B57" s="234"/>
      <c r="C57" s="239"/>
      <c r="D57" s="239"/>
      <c r="E57" s="239"/>
      <c r="F57" s="250">
        <f ca="1">U14</f>
        <v>0</v>
      </c>
      <c r="G57" s="246"/>
      <c r="H57" s="234"/>
      <c r="I57" s="234"/>
      <c r="J57" s="234"/>
      <c r="K57" s="234"/>
      <c r="L57" s="234"/>
      <c r="M57" s="234"/>
      <c r="Z57" s="219"/>
    </row>
    <row r="58" spans="1:26" s="2" customFormat="1" ht="15" x14ac:dyDescent="0.2">
      <c r="A58" s="9"/>
      <c r="B58" s="234"/>
      <c r="C58" s="239"/>
      <c r="D58" s="239"/>
      <c r="E58" s="239"/>
      <c r="F58" s="243">
        <f ca="1">SUM(F41:F51)</f>
        <v>0</v>
      </c>
      <c r="G58" s="246"/>
      <c r="H58" s="234"/>
      <c r="I58" s="234"/>
      <c r="J58" s="234"/>
      <c r="K58" s="234"/>
      <c r="L58" s="234"/>
      <c r="M58" s="234"/>
      <c r="Z58" s="219"/>
    </row>
    <row r="59" spans="1:26" s="2" customFormat="1" ht="15" x14ac:dyDescent="0.2">
      <c r="A59" s="9"/>
      <c r="Z59" s="219"/>
    </row>
    <row r="60" spans="1:26" s="2" customFormat="1" ht="15" x14ac:dyDescent="0.2">
      <c r="A60" s="9"/>
      <c r="G60" s="178"/>
      <c r="Z60" s="219"/>
    </row>
    <row r="61" spans="1:26" ht="15" x14ac:dyDescent="0.2"/>
    <row r="62" spans="1:26" ht="15" x14ac:dyDescent="0.2"/>
    <row r="63" spans="1:26" ht="15" x14ac:dyDescent="0.2"/>
    <row r="64" spans="1:26" ht="15" x14ac:dyDescent="0.2"/>
    <row r="65" ht="15" x14ac:dyDescent="0.2"/>
    <row r="66" ht="15" x14ac:dyDescent="0.2"/>
    <row r="67" ht="15" x14ac:dyDescent="0.2"/>
    <row r="68" ht="15" x14ac:dyDescent="0.2"/>
    <row r="69" ht="15" x14ac:dyDescent="0.2"/>
    <row r="70" ht="15" x14ac:dyDescent="0.2"/>
    <row r="71" ht="15" x14ac:dyDescent="0.2"/>
    <row r="72" ht="15" x14ac:dyDescent="0.2"/>
    <row r="73" ht="15" x14ac:dyDescent="0.2"/>
    <row r="74" ht="15" x14ac:dyDescent="0.2"/>
    <row r="75" ht="15" x14ac:dyDescent="0.2"/>
    <row r="76" ht="15" x14ac:dyDescent="0.2"/>
    <row r="77" ht="15" x14ac:dyDescent="0.2"/>
    <row r="78" ht="15" x14ac:dyDescent="0.2"/>
    <row r="79" ht="15" x14ac:dyDescent="0.2"/>
    <row r="80" ht="15" x14ac:dyDescent="0.2"/>
    <row r="81" ht="15" x14ac:dyDescent="0.2"/>
    <row r="82" ht="15" x14ac:dyDescent="0.2"/>
    <row r="83" ht="15" x14ac:dyDescent="0.2"/>
    <row r="84" ht="15" x14ac:dyDescent="0.2"/>
    <row r="85" ht="15" x14ac:dyDescent="0.2"/>
    <row r="86" ht="15" x14ac:dyDescent="0.2"/>
    <row r="87" ht="15" x14ac:dyDescent="0.2"/>
    <row r="88" ht="15" x14ac:dyDescent="0.2"/>
    <row r="89" ht="15" x14ac:dyDescent="0.2"/>
    <row r="90" ht="15" x14ac:dyDescent="0.2"/>
    <row r="91" ht="15" x14ac:dyDescent="0.2"/>
    <row r="92" ht="15" x14ac:dyDescent="0.2"/>
    <row r="93" ht="15" x14ac:dyDescent="0.2"/>
    <row r="94" ht="15" x14ac:dyDescent="0.2"/>
    <row r="95" ht="15" x14ac:dyDescent="0.2"/>
    <row r="96" ht="15" x14ac:dyDescent="0.2"/>
    <row r="97" ht="15" x14ac:dyDescent="0.2"/>
    <row r="98" ht="15" x14ac:dyDescent="0.2"/>
    <row r="99" ht="15" x14ac:dyDescent="0.2"/>
    <row r="100" ht="15" x14ac:dyDescent="0.2"/>
    <row r="101" ht="15" x14ac:dyDescent="0.2"/>
    <row r="102" ht="15" x14ac:dyDescent="0.2"/>
    <row r="103" ht="15" x14ac:dyDescent="0.2"/>
  </sheetData>
  <sheetProtection sheet="1" objects="1" scenarios="1" selectLockedCells="1"/>
  <mergeCells count="34">
    <mergeCell ref="C56:E56"/>
    <mergeCell ref="C48:E48"/>
    <mergeCell ref="C49:E49"/>
    <mergeCell ref="C50:E50"/>
    <mergeCell ref="C52:E52"/>
    <mergeCell ref="C53:E53"/>
    <mergeCell ref="C54:E54"/>
    <mergeCell ref="C51:E51"/>
    <mergeCell ref="C44:E44"/>
    <mergeCell ref="C55:E55"/>
    <mergeCell ref="C45:E45"/>
    <mergeCell ref="C46:E46"/>
    <mergeCell ref="C47:E47"/>
    <mergeCell ref="S22:U22"/>
    <mergeCell ref="C41:E41"/>
    <mergeCell ref="C42:E42"/>
    <mergeCell ref="C43:E43"/>
    <mergeCell ref="S26:U28"/>
    <mergeCell ref="S23:U25"/>
    <mergeCell ref="E7:F7"/>
    <mergeCell ref="I7:J7"/>
    <mergeCell ref="S7:U7"/>
    <mergeCell ref="S8:T9"/>
    <mergeCell ref="U8:U9"/>
    <mergeCell ref="S16:T17"/>
    <mergeCell ref="U16:U17"/>
    <mergeCell ref="S18:T19"/>
    <mergeCell ref="S10:T11"/>
    <mergeCell ref="U10:U11"/>
    <mergeCell ref="S12:T13"/>
    <mergeCell ref="U12:U13"/>
    <mergeCell ref="S14:T15"/>
    <mergeCell ref="U14:U15"/>
    <mergeCell ref="U18:U19"/>
  </mergeCells>
  <phoneticPr fontId="50" type="noConversion"/>
  <conditionalFormatting sqref="M8:M37">
    <cfRule type="cellIs" dxfId="788" priority="143" operator="greaterThan">
      <formula>0</formula>
    </cfRule>
  </conditionalFormatting>
  <conditionalFormatting sqref="L36:L37 N36:N37">
    <cfRule type="expression" dxfId="787" priority="110">
      <formula>AND($E36&lt;$E$35,$E$8=1)</formula>
    </cfRule>
    <cfRule type="expression" dxfId="786" priority="111">
      <formula>AND($E36&gt;=$E$8,$E$8&lt;&gt;1)</formula>
    </cfRule>
  </conditionalFormatting>
  <conditionalFormatting sqref="E36:E38">
    <cfRule type="expression" dxfId="785" priority="108">
      <formula>AND($E36&lt;$E$35,$E$8=1)</formula>
    </cfRule>
    <cfRule type="expression" dxfId="784" priority="109">
      <formula>AND($E36&gt;=$E$8,$E$8&lt;&gt;1)</formula>
    </cfRule>
  </conditionalFormatting>
  <conditionalFormatting sqref="O8:O37">
    <cfRule type="cellIs" dxfId="783" priority="103" operator="greaterThan">
      <formula>0.000001</formula>
    </cfRule>
  </conditionalFormatting>
  <conditionalFormatting sqref="O36:O37">
    <cfRule type="expression" dxfId="782" priority="101">
      <formula>AND($E36&lt;$E$35,$E$8=1)</formula>
    </cfRule>
    <cfRule type="expression" dxfId="781" priority="102">
      <formula>AND($E36&gt;=$E$8,$E$8&lt;&gt;1)</formula>
    </cfRule>
  </conditionalFormatting>
  <conditionalFormatting sqref="F8:F38">
    <cfRule type="containsText" dxfId="780" priority="99" operator="containsText" text="Dom">
      <formula>NOT(ISERROR(SEARCH("Dom",F8)))</formula>
    </cfRule>
    <cfRule type="containsText" dxfId="779" priority="100" operator="containsText" text="Sáb">
      <formula>NOT(ISERROR(SEARCH("Sáb",F8)))</formula>
    </cfRule>
  </conditionalFormatting>
  <conditionalFormatting sqref="Q8:Q37">
    <cfRule type="cellIs" dxfId="778" priority="96" operator="greaterThan">
      <formula>0.000001</formula>
    </cfRule>
  </conditionalFormatting>
  <conditionalFormatting sqref="G8:K35">
    <cfRule type="expression" dxfId="777" priority="68">
      <formula>OR($G8="Férias",$G8="Falta Injustificada")</formula>
    </cfRule>
    <cfRule type="expression" dxfId="776" priority="69">
      <formula>$G8="Folga (DSR)"</formula>
    </cfRule>
    <cfRule type="expression" dxfId="775" priority="70">
      <formula>$G8="Feriado"</formula>
    </cfRule>
    <cfRule type="expression" dxfId="774" priority="71">
      <formula>$F8="Dom"</formula>
    </cfRule>
  </conditionalFormatting>
  <conditionalFormatting sqref="H8:K35">
    <cfRule type="expression" dxfId="773" priority="67">
      <formula>OR($G8="Falta Justificada",$G8="Falta Injustificada")</formula>
    </cfRule>
  </conditionalFormatting>
  <conditionalFormatting sqref="G36:K37">
    <cfRule type="expression" dxfId="772" priority="63">
      <formula>OR($G36="Férias",$G36="Falta Injustificada")</formula>
    </cfRule>
    <cfRule type="expression" dxfId="771" priority="64">
      <formula>$G36="Folga (DSR)"</formula>
    </cfRule>
    <cfRule type="expression" dxfId="770" priority="65">
      <formula>$G36="Feriado"</formula>
    </cfRule>
    <cfRule type="expression" dxfId="769" priority="66">
      <formula>$F36="Dom"</formula>
    </cfRule>
  </conditionalFormatting>
  <conditionalFormatting sqref="G36:K37">
    <cfRule type="expression" dxfId="768" priority="60">
      <formula>AND($E36&lt;$E$35,$E$8=1)</formula>
    </cfRule>
    <cfRule type="expression" dxfId="767" priority="61">
      <formula>AND($E36&gt;=$E$8,$E$8&lt;&gt;1)</formula>
    </cfRule>
  </conditionalFormatting>
  <conditionalFormatting sqref="H36:K37">
    <cfRule type="expression" dxfId="766" priority="62">
      <formula>OR($G36="Falta Justificada",$G36="Falta Injustificada")</formula>
    </cfRule>
  </conditionalFormatting>
  <conditionalFormatting sqref="G8:K26">
    <cfRule type="expression" dxfId="765" priority="56">
      <formula>OR($G8="Férias",$G8="Falta Injustificada")</formula>
    </cfRule>
    <cfRule type="expression" dxfId="764" priority="57">
      <formula>$G8="Folga (DSR)"</formula>
    </cfRule>
    <cfRule type="expression" dxfId="763" priority="58">
      <formula>$G8="Feriado"</formula>
    </cfRule>
    <cfRule type="expression" dxfId="762" priority="59">
      <formula>$F8="Dom"</formula>
    </cfRule>
  </conditionalFormatting>
  <conditionalFormatting sqref="H8:K26">
    <cfRule type="expression" dxfId="761" priority="55">
      <formula>OR($G8="Falta Justificada",$G8="Falta Injustificada")</formula>
    </cfRule>
  </conditionalFormatting>
  <conditionalFormatting sqref="G8:K26">
    <cfRule type="expression" dxfId="760" priority="51">
      <formula>OR($G8="Férias",$G8="Falta Injustificada")</formula>
    </cfRule>
    <cfRule type="expression" dxfId="759" priority="52">
      <formula>$G8="Folga (DSR)"</formula>
    </cfRule>
    <cfRule type="expression" dxfId="758" priority="53">
      <formula>$G8="Feriado"</formula>
    </cfRule>
    <cfRule type="expression" dxfId="757" priority="54">
      <formula>$F8="Dom"</formula>
    </cfRule>
  </conditionalFormatting>
  <conditionalFormatting sqref="H8:K26">
    <cfRule type="expression" dxfId="756" priority="50">
      <formula>OR($G8="Falta Justificada",$G8="Falta Injustificada")</formula>
    </cfRule>
  </conditionalFormatting>
  <conditionalFormatting sqref="G28:K32">
    <cfRule type="expression" dxfId="755" priority="46">
      <formula>OR($G28="Férias",$G28="Falta Injustificada")</formula>
    </cfRule>
    <cfRule type="expression" dxfId="754" priority="47">
      <formula>$G28="Folga (DSR)"</formula>
    </cfRule>
    <cfRule type="expression" dxfId="753" priority="48">
      <formula>$G28="Feriado"</formula>
    </cfRule>
    <cfRule type="expression" dxfId="752" priority="49">
      <formula>$F28="Dom"</formula>
    </cfRule>
  </conditionalFormatting>
  <conditionalFormatting sqref="H28:K32">
    <cfRule type="expression" dxfId="751" priority="45">
      <formula>OR($G28="Falta Justificada",$G28="Falta Injustificada")</formula>
    </cfRule>
  </conditionalFormatting>
  <conditionalFormatting sqref="G28:K32">
    <cfRule type="expression" dxfId="750" priority="41">
      <formula>OR($G28="Férias",$G28="Falta Injustificada")</formula>
    </cfRule>
    <cfRule type="expression" dxfId="749" priority="42">
      <formula>$G28="Folga (DSR)"</formula>
    </cfRule>
    <cfRule type="expression" dxfId="748" priority="43">
      <formula>$G28="Feriado"</formula>
    </cfRule>
    <cfRule type="expression" dxfId="747" priority="44">
      <formula>$F28="Dom"</formula>
    </cfRule>
  </conditionalFormatting>
  <conditionalFormatting sqref="H28:K32">
    <cfRule type="expression" dxfId="746" priority="40">
      <formula>OR($G28="Falta Justificada",$G28="Falta Injustificada")</formula>
    </cfRule>
  </conditionalFormatting>
  <conditionalFormatting sqref="O38">
    <cfRule type="cellIs" dxfId="745" priority="38" operator="greaterThan">
      <formula>0.000001</formula>
    </cfRule>
  </conditionalFormatting>
  <conditionalFormatting sqref="M38">
    <cfRule type="cellIs" dxfId="744" priority="39" operator="greaterThan">
      <formula>0</formula>
    </cfRule>
  </conditionalFormatting>
  <conditionalFormatting sqref="L38:O38">
    <cfRule type="expression" dxfId="743" priority="37">
      <formula>AND($E38&gt;=$E$8,$E$8&lt;&gt;1)</formula>
    </cfRule>
  </conditionalFormatting>
  <conditionalFormatting sqref="G38:K38">
    <cfRule type="expression" dxfId="742" priority="24">
      <formula>OR($G38="Férias",$G38="Falta Injustificada")</formula>
    </cfRule>
    <cfRule type="expression" dxfId="741" priority="25">
      <formula>$G38="Folga (DSR)"</formula>
    </cfRule>
    <cfRule type="expression" dxfId="740" priority="26">
      <formula>$G38="Feriado"</formula>
    </cfRule>
    <cfRule type="expression" dxfId="739" priority="27">
      <formula>$F38="Dom"</formula>
    </cfRule>
  </conditionalFormatting>
  <conditionalFormatting sqref="H38:K38">
    <cfRule type="expression" dxfId="738" priority="23">
      <formula>OR($G38="Falta Justificada",$G38="Falta Injustificada")</formula>
    </cfRule>
  </conditionalFormatting>
  <conditionalFormatting sqref="Q38">
    <cfRule type="cellIs" dxfId="737" priority="20" operator="greaterThan">
      <formula>0.000001</formula>
    </cfRule>
  </conditionalFormatting>
  <conditionalFormatting sqref="L38:Q38">
    <cfRule type="expression" dxfId="736" priority="36">
      <formula>AND($E38&lt;$E$35,$E$8=1)</formula>
    </cfRule>
  </conditionalFormatting>
  <conditionalFormatting sqref="G38:Q38">
    <cfRule type="expression" dxfId="735" priority="21">
      <formula>AND($E38&lt;$E$35,$E$8=1)</formula>
    </cfRule>
    <cfRule type="expression" dxfId="734" priority="22">
      <formula>AND($E38&gt;=$E$8,$E$8&lt;&gt;1)</formula>
    </cfRule>
  </conditionalFormatting>
  <conditionalFormatting sqref="U10:U11">
    <cfRule type="expression" dxfId="733" priority="8">
      <formula>$V$11="Negativo"</formula>
    </cfRule>
  </conditionalFormatting>
  <conditionalFormatting sqref="U12:U13">
    <cfRule type="expression" dxfId="732" priority="548">
      <formula>$U$14&gt;$F$58</formula>
    </cfRule>
  </conditionalFormatting>
  <conditionalFormatting sqref="F40">
    <cfRule type="expression" dxfId="731" priority="549">
      <formula>$E40="Folga(DSR)"</formula>
    </cfRule>
    <cfRule type="expression" dxfId="730" priority="550">
      <formula>$E40="Feriado"</formula>
    </cfRule>
    <cfRule type="expression" dxfId="729" priority="551">
      <formula>$D40="Dom"</formula>
    </cfRule>
  </conditionalFormatting>
  <dataValidations count="3">
    <dataValidation type="time" allowBlank="1" showInputMessage="1" showErrorMessage="1" sqref="H8:K38">
      <formula1>0</formula1>
      <formula2>0.999988425925926</formula2>
    </dataValidation>
    <dataValidation type="list" allowBlank="1" showInputMessage="1" showErrorMessage="1" sqref="G8:G38">
      <formula1>"Normal,Feriado,Folga (DSR),Falta Justificada,Férias,Falta Injustificada"</formula1>
    </dataValidation>
    <dataValidation type="list" allowBlank="1" showInputMessage="1" showErrorMessage="1" sqref="E9:E35">
      <formula1>"1,5,10,16"</formula1>
    </dataValidation>
  </dataValidations>
  <hyperlinks>
    <hyperlink ref="C8" location="Lanç!A1" display="Lanç!A1"/>
    <hyperlink ref="C9" location="'Lanç (2)'!A1" display="'Lanç (2)'!A1"/>
    <hyperlink ref="C10" location="'Lanç (3)'!A1" display="'Lanç (3)'!A1"/>
    <hyperlink ref="C11" location="'Lanç (4)'!A1" display="'Lanç (4)'!A1"/>
    <hyperlink ref="C12" location="'Lanç (5)'!A1" display="'Lanç (5)'!A1"/>
    <hyperlink ref="C13" location="'Lanç (6)'!A1" display="'Lanç (6)'!A1"/>
    <hyperlink ref="C14" location="'Lanç (7)'!A1" display="'Lanç (7)'!A1"/>
    <hyperlink ref="C15" location="'Lanç (8)'!A1" display="'Lanç (8)'!A1"/>
    <hyperlink ref="C16" location="'Lanç (9)'!A1" display="'Lanç (9)'!A1"/>
    <hyperlink ref="C17" location="'Lanç (10)'!A1" display="'Lanç (10)'!A1"/>
    <hyperlink ref="C18" location="'Lanç (11)'!A1" display="'Lanç (11)'!A1"/>
    <hyperlink ref="C19" location="'Lanç (12)'!A1" display="'Lanç (12)'!A1"/>
    <hyperlink ref="C20" location="'Lanç (13)'!A1" display="'Lanç (13)'!A1"/>
    <hyperlink ref="C21" location="'Lanç (14)'!A1" display="'Lanç (14)'!A1"/>
    <hyperlink ref="C22" location="'Lanç (15)'!A1" display="'Lanç (15)'!A1"/>
    <hyperlink ref="C23" location="'Lanç (16)'!A1" display="'Lanç (16)'!A1"/>
    <hyperlink ref="C24" location="'Lanç (17)'!A1" display="'Lanç (17)'!A1"/>
    <hyperlink ref="C25" location="'Lanç (18)'!A1" display="'Lanç (18)'!A1"/>
    <hyperlink ref="C26" location="'Lanç (19)'!A1" display="'Lanç (19)'!A1"/>
    <hyperlink ref="C27" location="'Lanç (20)'!A1" display="'Lanç (20)'!A1"/>
    <hyperlink ref="C28" location="'Lanç (21)'!A1" display="'Lanç (21)'!A1"/>
    <hyperlink ref="C29" location="'Lanç (22)'!A1" display="'Lanç (22)'!A1"/>
    <hyperlink ref="C30" location="'Lanç (23)'!A1" display="'Lanç (23)'!A1"/>
    <hyperlink ref="C31" location="'Lanç (24)'!A1" display="'Lanç (24)'!A1"/>
    <hyperlink ref="C32" location="'Lanç (25)'!A1" display="'Lanç (25)'!A1"/>
    <hyperlink ref="C33" location="'Lanç (26)'!A1" display="'Lanç (26)'!A1"/>
    <hyperlink ref="C34" location="'Lanç (27)'!A1" display="'Lanç (27)'!A1"/>
    <hyperlink ref="C35" location="'Lanç (28)'!A1" display="'Lanç (28)'!A1"/>
    <hyperlink ref="C36" location="'Lanç (29)'!A1" display="'Lanç (29)'!A1"/>
    <hyperlink ref="C37" location="'Lanç (30)'!A1" display="'Lanç (30)'!A1"/>
  </hyperlinks>
  <printOptions horizontalCentered="1"/>
  <pageMargins left="0.23622047244094502" right="0.23622047244094502" top="0.74803149606299202" bottom="0.74803149606299202" header="0.31496062992126" footer="0.31496062992126"/>
  <pageSetup paperSize="9" scale="53" orientation="portrait" cellComments="atEnd"/>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89" id="{18430C59-BCCF-8548-85B3-C1101D91719E}">
            <xm:f>'P Gerais'!$I$10:$M$10="Pagas em Dinheiro"</xm:f>
            <x14:dxf>
              <font>
                <color theme="0"/>
              </font>
              <fill>
                <patternFill>
                  <bgColor theme="0"/>
                </patternFill>
              </fill>
              <border>
                <left/>
                <right/>
                <top/>
                <bottom/>
              </border>
            </x14:dxf>
          </x14:cfRule>
          <xm:sqref>S10:T13</xm:sqref>
        </x14:conditionalFormatting>
        <x14:conditionalFormatting xmlns:xm="http://schemas.microsoft.com/office/excel/2006/main">
          <x14:cfRule type="expression" priority="88" id="{01BD840B-BC0B-EA49-A43F-667D60878F00}">
            <xm:f>'P Gerais'!$I$10:$M$10="Sistema de banco de horas"</xm:f>
            <x14:dxf>
              <font>
                <color theme="0"/>
              </font>
              <fill>
                <patternFill>
                  <bgColor theme="0"/>
                </patternFill>
              </fill>
              <border>
                <left/>
                <right/>
                <top/>
                <bottom/>
              </border>
            </x14:dxf>
          </x14:cfRule>
          <xm:sqref>S18:T19</xm:sqref>
        </x14:conditionalFormatting>
        <x14:conditionalFormatting xmlns:xm="http://schemas.microsoft.com/office/excel/2006/main">
          <x14:cfRule type="expression" priority="10" id="{11452C0B-B1AF-F544-8F2C-84461B261AE7}">
            <xm:f>'P Gerais'!$I$10:$M$10="Sistema de banco de horas"</xm:f>
            <x14:dxf>
              <font>
                <color theme="0"/>
              </font>
              <fill>
                <patternFill>
                  <bgColor theme="0"/>
                </patternFill>
              </fill>
              <border>
                <left/>
                <right/>
                <top/>
                <bottom/>
              </border>
            </x14:dxf>
          </x14:cfRule>
          <xm:sqref>U18:U19</xm:sqref>
        </x14:conditionalFormatting>
        <x14:conditionalFormatting xmlns:xm="http://schemas.microsoft.com/office/excel/2006/main">
          <x14:cfRule type="expression" priority="7" id="{5201AC97-D372-EE4E-B522-C17380D176FE}">
            <xm:f>'P Gerais'!$I$10:$M$10="Pagas em Dinheiro"</xm:f>
            <x14:dxf>
              <font>
                <color theme="0"/>
              </font>
              <fill>
                <patternFill>
                  <bgColor theme="0"/>
                </patternFill>
              </fill>
              <border>
                <left/>
                <right/>
                <top/>
                <bottom/>
              </border>
            </x14:dxf>
          </x14:cfRule>
          <xm:sqref>U10:U13</xm:sqref>
        </x14:conditionalFormatting>
      </x14:conditionalFormatting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17" enableFormatConditionsCalculation="0"/>
  <dimension ref="A1:BG103"/>
  <sheetViews>
    <sheetView showGridLines="0" zoomScale="90" zoomScaleNormal="90" zoomScalePageLayoutView="90" workbookViewId="0">
      <selection activeCell="G8" sqref="G8"/>
    </sheetView>
  </sheetViews>
  <sheetFormatPr baseColWidth="10" defaultColWidth="0" defaultRowHeight="0" customHeight="1" zeroHeight="1" x14ac:dyDescent="0.2"/>
  <cols>
    <col min="1" max="1" width="27.83203125" style="194" customWidth="1"/>
    <col min="2" max="2" width="3.83203125" style="14" customWidth="1"/>
    <col min="3" max="3" width="33.33203125" style="14" customWidth="1"/>
    <col min="4" max="4" width="2.83203125" style="14" customWidth="1"/>
    <col min="5" max="5" width="5.83203125" style="14" customWidth="1"/>
    <col min="6" max="6" width="11.83203125" style="14" customWidth="1"/>
    <col min="7" max="7" width="14.33203125" style="195" customWidth="1"/>
    <col min="8" max="11" width="9.83203125" style="14" customWidth="1"/>
    <col min="12" max="12" width="1.83203125" style="14" customWidth="1"/>
    <col min="13" max="13" width="13.33203125" style="14" customWidth="1"/>
    <col min="14" max="14" width="1.83203125" style="14" customWidth="1"/>
    <col min="15" max="15" width="13.33203125" style="14" customWidth="1"/>
    <col min="16" max="16" width="1.83203125" style="14" customWidth="1"/>
    <col min="17" max="17" width="13.33203125" style="14" customWidth="1"/>
    <col min="18" max="18" width="4.83203125" style="2" bestFit="1" customWidth="1"/>
    <col min="19" max="21" width="11.83203125" style="14" customWidth="1"/>
    <col min="22" max="23" width="8.83203125" style="2" customWidth="1"/>
    <col min="24" max="24" width="11.33203125" style="2" bestFit="1" customWidth="1"/>
    <col min="25" max="25" width="8.83203125" style="2" customWidth="1"/>
    <col min="26" max="26" width="8.1640625" style="219" bestFit="1" customWidth="1"/>
    <col min="27" max="27" width="8.83203125" style="2" customWidth="1"/>
    <col min="28" max="28" width="11.33203125" style="2" bestFit="1" customWidth="1"/>
    <col min="29" max="43" width="8.83203125" style="2" customWidth="1"/>
    <col min="44" max="50" width="11.33203125" style="2" customWidth="1"/>
    <col min="51" max="57" width="11.33203125" style="14" customWidth="1"/>
    <col min="58" max="16384" width="8.83203125" style="14" hidden="1"/>
  </cols>
  <sheetData>
    <row r="1" spans="1:59" s="15" customFormat="1" ht="33.75" customHeight="1" x14ac:dyDescent="0.3">
      <c r="A1" s="56"/>
      <c r="B1" s="3"/>
      <c r="C1" s="4" t="s">
        <v>30</v>
      </c>
      <c r="D1" s="3"/>
      <c r="E1" s="3"/>
      <c r="F1" s="3"/>
      <c r="G1" s="77"/>
      <c r="H1" s="3"/>
      <c r="I1" s="3"/>
      <c r="J1" s="3"/>
      <c r="K1" s="3"/>
      <c r="M1" s="3"/>
      <c r="O1" s="3"/>
      <c r="Q1" s="3"/>
      <c r="S1" s="3"/>
      <c r="T1" s="3"/>
      <c r="U1" s="3"/>
      <c r="Z1" s="174"/>
    </row>
    <row r="2" spans="1:59" s="15" customFormat="1" ht="21.5" customHeight="1" x14ac:dyDescent="0.2">
      <c r="A2" s="1"/>
      <c r="B2" s="3"/>
      <c r="C2" s="3"/>
      <c r="D2" s="3"/>
      <c r="E2" s="3"/>
      <c r="F2" s="3"/>
      <c r="G2" s="77"/>
      <c r="H2" s="3"/>
      <c r="I2" s="3"/>
      <c r="J2" s="3"/>
      <c r="K2" s="3"/>
      <c r="M2" s="3"/>
      <c r="O2" s="3"/>
      <c r="Q2" s="3"/>
      <c r="S2" s="3"/>
      <c r="T2" s="3"/>
      <c r="U2" s="3"/>
      <c r="Z2" s="174"/>
    </row>
    <row r="3" spans="1:59" s="15" customFormat="1" ht="21.5" customHeight="1" x14ac:dyDescent="0.2">
      <c r="A3" s="1"/>
      <c r="B3" s="3"/>
      <c r="C3" s="3"/>
      <c r="D3" s="3"/>
      <c r="E3" s="3"/>
      <c r="F3" s="3"/>
      <c r="G3" s="77"/>
      <c r="H3" s="3"/>
      <c r="I3" s="3"/>
      <c r="J3" s="3"/>
      <c r="K3" s="3"/>
      <c r="M3" s="3"/>
      <c r="O3" s="3"/>
      <c r="Q3" s="3"/>
      <c r="S3" s="3"/>
      <c r="T3" s="3"/>
      <c r="U3" s="3"/>
      <c r="Z3" s="174"/>
    </row>
    <row r="4" spans="1:59" s="2" customFormat="1" ht="30" customHeight="1" x14ac:dyDescent="0.2">
      <c r="A4" s="1"/>
      <c r="B4"/>
      <c r="C4"/>
      <c r="D4"/>
      <c r="E4"/>
      <c r="F4"/>
      <c r="G4" s="78"/>
      <c r="H4"/>
      <c r="I4"/>
      <c r="J4"/>
      <c r="K4"/>
      <c r="M4"/>
      <c r="O4" s="13"/>
      <c r="Q4"/>
      <c r="S4"/>
      <c r="T4"/>
      <c r="U4"/>
      <c r="Z4" s="219"/>
      <c r="AN4" s="175"/>
    </row>
    <row r="5" spans="1:59" s="2" customFormat="1" ht="30" customHeight="1" x14ac:dyDescent="0.2">
      <c r="A5" s="9"/>
      <c r="C5" s="160" t="s">
        <v>198</v>
      </c>
      <c r="K5" s="157">
        <f ca="1">IF(ISERROR(VLOOKUP(INDIRECT($C$5),Jornada!$C$8:$F$37,4,0)),0,VLOOKUP(INDIRECT($C$5),Jornada!$C$8:$F$37,4,0))</f>
        <v>0</v>
      </c>
      <c r="L5" s="158"/>
      <c r="M5" s="157">
        <f ca="1">IF(ISERROR(VLOOKUP(INDIRECT($C$5),Jornada!$C$8:$G$37,5,0)),0,VLOOKUP(INDIRECT($C$5),Jornada!$C$8:$G$37,5,0))</f>
        <v>0</v>
      </c>
      <c r="O5" s="12"/>
      <c r="U5" s="12"/>
      <c r="Z5" s="219"/>
      <c r="AC5" s="12"/>
      <c r="AK5" s="179">
        <v>0.25</v>
      </c>
      <c r="AL5" s="155">
        <v>0.91666666666666663</v>
      </c>
      <c r="AM5" s="155">
        <v>0.20833333333333334</v>
      </c>
      <c r="AN5" s="155">
        <v>1</v>
      </c>
      <c r="AO5" s="155">
        <v>0.70833333333333337</v>
      </c>
    </row>
    <row r="6" spans="1:59" s="2" customFormat="1" ht="8" customHeight="1" thickBot="1" x14ac:dyDescent="0.25">
      <c r="A6" s="9"/>
      <c r="C6" s="198"/>
      <c r="G6" s="178"/>
      <c r="M6" s="220">
        <v>1</v>
      </c>
      <c r="O6" s="156"/>
      <c r="Q6" s="156"/>
      <c r="Z6" s="176"/>
    </row>
    <row r="7" spans="1:59" s="2" customFormat="1" ht="30" customHeight="1" thickTop="1" thickBot="1" x14ac:dyDescent="0.25">
      <c r="A7" s="1"/>
      <c r="B7"/>
      <c r="C7" s="76" t="s">
        <v>176</v>
      </c>
      <c r="D7"/>
      <c r="E7" s="281" t="str">
        <f>Lanç!E7</f>
        <v>Janeiro</v>
      </c>
      <c r="F7" s="283"/>
      <c r="G7" s="79" t="s">
        <v>58</v>
      </c>
      <c r="H7" s="82" t="s">
        <v>0</v>
      </c>
      <c r="I7" s="293" t="s">
        <v>59</v>
      </c>
      <c r="J7" s="293"/>
      <c r="K7" s="82" t="s">
        <v>60</v>
      </c>
      <c r="M7" s="73" t="s">
        <v>61</v>
      </c>
      <c r="O7" s="73" t="s">
        <v>62</v>
      </c>
      <c r="Q7" s="73" t="s">
        <v>63</v>
      </c>
      <c r="R7" s="155">
        <v>8.3333333333333329E-2</v>
      </c>
      <c r="S7" s="293" t="s">
        <v>64</v>
      </c>
      <c r="T7" s="293"/>
      <c r="U7" s="293"/>
      <c r="W7" s="2" t="s">
        <v>90</v>
      </c>
      <c r="X7" s="156">
        <v>1</v>
      </c>
      <c r="AB7" s="2">
        <f>VLOOKUP($E$7,$W$7:$X$18,2,0)</f>
        <v>1</v>
      </c>
      <c r="AG7" s="176" t="s">
        <v>167</v>
      </c>
      <c r="AH7" s="176" t="s">
        <v>168</v>
      </c>
      <c r="AI7" s="155">
        <v>0</v>
      </c>
      <c r="AJ7" s="155">
        <v>1</v>
      </c>
      <c r="AK7" s="155">
        <v>0.45833333333333331</v>
      </c>
      <c r="AL7" s="2" t="s">
        <v>0</v>
      </c>
      <c r="AM7" s="2" t="s">
        <v>162</v>
      </c>
      <c r="AN7" s="2" t="s">
        <v>184</v>
      </c>
      <c r="BE7" s="14"/>
      <c r="BF7" s="14"/>
      <c r="BG7" s="14"/>
    </row>
    <row r="8" spans="1:59" s="2" customFormat="1" ht="30" customHeight="1" thickTop="1" thickBot="1" x14ac:dyDescent="0.25">
      <c r="A8" s="1"/>
      <c r="B8"/>
      <c r="C8" s="172" t="str">
        <f>IF(Funcionários!C7=0,"",Funcionários!C7)</f>
        <v/>
      </c>
      <c r="D8"/>
      <c r="E8" s="115">
        <f>Lanç!E8</f>
        <v>1</v>
      </c>
      <c r="F8" s="189" t="str">
        <f>Lanç!F8</f>
        <v>Dom</v>
      </c>
      <c r="G8" s="80"/>
      <c r="H8" s="93"/>
      <c r="I8" s="93"/>
      <c r="J8" s="93"/>
      <c r="K8" s="93"/>
      <c r="L8" s="197"/>
      <c r="M8" s="95">
        <f>IF(AND(H8=K8,H8&lt;&gt;0),$M$6-IF(J8&lt;I8,$AJ$7+J8-I8,J8-I8),IF(H8&gt;K8,(K8+1-H8)-IF(J8&lt;I8,$AJ$7+J8-I8,J8-I8),(K8-H8)-IF(J8&lt;I8,$AJ$7+J8-I8,J8-I8)))</f>
        <v>0</v>
      </c>
      <c r="N8" s="196"/>
      <c r="O8" s="95">
        <f ca="1">IF(OR(G8=0,G8="Férias",G8="Falta Justificada",G8="Feriado",G8="Folga (DSR)"),0,IF(G8="Falta Injustificada",HLOOKUP($F8,Jornada!$X$7:$AD$37,VLOOKUP(INDIRECT($C$5),Jornada!$C$8:$W$37,21,0),0),IF(HLOOKUP($F8,Jornada!$X$7:$AD$37,VLOOKUP(INDIRECT($C$5),Jornada!$C$8:$W$37,21,0),0)-M8&gt;0,HLOOKUP($F8,Jornada!$X$7:$AD$37,VLOOKUP(INDIRECT($C$5),Jornada!$C$8:$W$37,21,0),0)-M8,0)))</f>
        <v>0</v>
      </c>
      <c r="P8" s="193">
        <f ca="1">IF(HLOOKUP($F8,Jornada!$X$7:$AD$37,VLOOKUP(INDIRECT($C$5),Jornada!$C$8:$W$37,21,0),0)-M8&lt;0,ABS(HLOOKUP($F8,Jornada!$X$7:$AD$37,VLOOKUP(INDIRECT($C$5),Jornada!$C$8:$W$37,21,0),0)-M8),0)</f>
        <v>0</v>
      </c>
      <c r="Q8" s="95">
        <f t="shared" ref="Q8:Q38" si="0">IF(G8="Normal",P8,IF(G8=0,0,IF(OR(G8="Feriado",G8="Férias"),IF(H8&gt;K8,(K8+1-H8)-IF(J8&lt;I8,$AJ$7+J8-I8,J8-I8),(K8-H8)-IF(J8&lt;I8,$AJ$7+J8-I8,J8-I8)),IF(G8="Folga (DSR)",IF(H8&gt;K8,(K8+1-H8)-IF(J8&lt;I8,$AJ$7+J8-I8,J8-I8),(K8-H8)-IF(J8&lt;I8,$AJ$7+J8-I8,J8-I8)),IF(G8="Falta Justificada",IF(H8&gt;K8,(K8+1-H8)-IF(J8&lt;I8,$AJ$7+J8-I8,J8-I8),(K8-H8)-IF(J8&lt;I8,$AJ$7+J8-I8,J8-I8)),0)))))</f>
        <v>0</v>
      </c>
      <c r="R8" s="2">
        <f>IF(Q8&gt;$R$7,1,0)</f>
        <v>0</v>
      </c>
      <c r="S8" s="294" t="s">
        <v>65</v>
      </c>
      <c r="T8" s="294"/>
      <c r="U8" s="295">
        <f>SUM(M8:M38)</f>
        <v>0</v>
      </c>
      <c r="W8" s="2" t="s">
        <v>91</v>
      </c>
      <c r="X8" s="156">
        <v>2</v>
      </c>
      <c r="AB8" s="177">
        <f>DATE('P Gerais'!$D$6,AB7,1)</f>
        <v>1</v>
      </c>
      <c r="AC8" s="2">
        <f>WEEKDAY(AB8)</f>
        <v>1</v>
      </c>
      <c r="AE8" s="2">
        <v>1</v>
      </c>
      <c r="AF8" s="2" t="s">
        <v>51</v>
      </c>
      <c r="AG8" s="220">
        <f>IF(J8&lt;I8,$AJ$7+J8-I8,J8-I8)</f>
        <v>0</v>
      </c>
      <c r="AH8" s="220">
        <f ca="1">IF(HLOOKUP($F8,Jornada!$X$7:$AD$37,VLOOKUP(INDIRECT($C$5),Jornada!$C$8:$W$37,21,0),0)=0,0,VLOOKUP(INDIRECT($C$5),Jornada!$C$8:$H$37,4,0))</f>
        <v>0</v>
      </c>
      <c r="AI8" s="155">
        <f ca="1">IF(AND(I8=0,J8=0,OR(H8&lt;&gt;0,K8&lt;&gt;0),HLOOKUP($F8,Jornada!$X$7:$AD$37,VLOOKUP(INDIRECT($C$5),Jornada!$C$8:$W$37,21,0),0)&gt;$AK$5,M8&gt;$AK$5),VLOOKUP(INDIRECT($C$5),Jornada!$C$8:$H$37,6,0),IF(AG8&gt;VLOOKUP(INDIRECT($C$5),Jornada!$C$8:$H$37,6,0),IF(VLOOKUP(INDIRECT($C$5),Jornada!$C$8:$H$37,6,0)&lt;AG8,0,ABS(VLOOKUP(INDIRECT($C$5),Jornada!$C$8:$H$37,6,0))-AG8),0))</f>
        <v>0</v>
      </c>
      <c r="AJ8" s="155">
        <f>($AJ$7-K8)+H8</f>
        <v>1</v>
      </c>
      <c r="AK8" s="155">
        <f>IF(AJ8&lt;$AK$7,$AK$7-AJ8,$AI$7)</f>
        <v>0</v>
      </c>
      <c r="AL8" s="155">
        <f ca="1">HLOOKUP($F8,Jornada!$I$5:$V$37,VLOOKUP(INDIRECT($C$5),Jornada!$C$8:$W$37,21,0)+2,0)</f>
        <v>0</v>
      </c>
      <c r="AM8" s="155">
        <f ca="1">HLOOKUP($F8,Jornada!$I$4:$V$37,VLOOKUP(INDIRECT($C$5),Jornada!$C$8:$W$37,21,0)+3,0)</f>
        <v>0</v>
      </c>
      <c r="AN8" s="155">
        <f ca="1">IF(AND(AL8&gt;=$AL$5,AL8&lt;$AN$5,H8&gt;=$AL$5,H8&lt;AL8),AL8-H8,IF(AND(AL8&gt;$AI$7,AL8&lt;=$AM$5,H8&gt;=$AL$5,H8&lt;=$AN$5),$AN$5-H8+AL8,IF(AND(AL8&gt;=$AI$7,AL8&lt;=$AM$5,H8&gt;=$AI$7,H8&lt;=$AM$5,H8&lt;AL8),H8-AL8,0)))</f>
        <v>0</v>
      </c>
      <c r="AO8" s="155">
        <f>IF(AP8&gt;Q8,0,AP8)</f>
        <v>0</v>
      </c>
      <c r="AP8" s="155">
        <f>IF(Q8=0,0,IF(AND(AM8&gt;=$AL$5,AM8&lt;$AN$5,K8&gt;=$AL$5,K8&lt;$AM$5,K8&gt;AM8),K8-AM8,IF(AND(AM8&gt;=$AL$5,AM8&lt;$AN$5,K8&lt;$AN$5,K8&gt;AM8),K8-$AL$5,IF(AND(AM8&gt;=$AI$7,AM8&lt;$AM$5,K8&lt;$AM$5),K8-AM8,IF(AND(AM8&lt;&gt;AI7,AM8&gt;=$AI$7,AM8&lt;=$AM$5,K8&gt;$AM$5,K8&gt;AM8),$AM$5-AM8,IF(AND(K8&gt;$AL$5,K8&lt;$AN$5),K8-$AL$5,IF(AND(K8&gt;$AI$7,K8&lt;$AM$5),$AN$5-$AL$5+K8,IF(AND(OR(K8&gt;$AL$5,H8&gt;$AO$5),AM8&gt;=$AI$7,AM8&lt;$AM$5,K8&gt;$AM$5),(1+$AM$5-$AL$5)-AG8,0))))))))</f>
        <v>0</v>
      </c>
      <c r="BE8" s="14"/>
      <c r="BF8" s="14"/>
      <c r="BG8" s="14"/>
    </row>
    <row r="9" spans="1:59" s="2" customFormat="1" ht="30" customHeight="1" thickTop="1" thickBot="1" x14ac:dyDescent="0.25">
      <c r="A9" s="1"/>
      <c r="B9"/>
      <c r="C9" s="172" t="str">
        <f>IF(Funcionários!C8=0,"",Funcionários!C8)</f>
        <v/>
      </c>
      <c r="D9"/>
      <c r="E9" s="115">
        <f>Lanç!E9</f>
        <v>2</v>
      </c>
      <c r="F9" s="189" t="str">
        <f>Lanç!F9</f>
        <v>Seg</v>
      </c>
      <c r="G9" s="81"/>
      <c r="H9" s="94"/>
      <c r="I9" s="94"/>
      <c r="J9" s="94"/>
      <c r="K9" s="94"/>
      <c r="L9" s="197"/>
      <c r="M9" s="95">
        <f t="shared" ref="M9:M38" si="1">IF(AND(H9=K9,H9&lt;&gt;0),$M$6-IF(J9&lt;I9,$AJ$7+J9-I9,J9-I9),IF(H9&gt;K9,(K9+1-H9)-IF(J9&lt;I9,$AJ$7+J9-I9,J9-I9),(K9-H9)-IF(J9&lt;I9,$AJ$7+J9-I9,J9-I9)))</f>
        <v>0</v>
      </c>
      <c r="N9" s="196"/>
      <c r="O9" s="95">
        <f ca="1">IF(OR(G9=0,G9="Férias",G9="Falta Justificada",G9="Feriado",G9="Folga (DSR)"),0,IF(G9="Falta Injustificada",HLOOKUP($F9,Jornada!$X$7:$AD$37,VLOOKUP(INDIRECT($C$5),Jornada!$C$8:$W$37,21,0),0),IF(HLOOKUP($F9,Jornada!$X$7:$AD$37,VLOOKUP(INDIRECT($C$5),Jornada!$C$8:$W$37,21,0),0)-M9&gt;0,HLOOKUP($F9,Jornada!$X$7:$AD$37,VLOOKUP(INDIRECT($C$5),Jornada!$C$8:$W$37,21,0),0)-M9,0)))</f>
        <v>0</v>
      </c>
      <c r="P9" s="193">
        <f ca="1">IF(HLOOKUP($F9,Jornada!$X$7:$AD$37,VLOOKUP(INDIRECT($C$5),Jornada!$C$8:$W$37,21,0),0)-M9&lt;0,ABS(HLOOKUP($F9,Jornada!$X$7:$AD$37,VLOOKUP(INDIRECT($C$5),Jornada!$C$8:$W$37,21,0),0)-M9),0)</f>
        <v>0</v>
      </c>
      <c r="Q9" s="95">
        <f t="shared" si="0"/>
        <v>0</v>
      </c>
      <c r="R9" s="2">
        <f t="shared" ref="R9:R38" si="2">IF(Q9&gt;$R$7,1,0)</f>
        <v>0</v>
      </c>
      <c r="S9" s="294"/>
      <c r="T9" s="294"/>
      <c r="U9" s="295"/>
      <c r="W9" s="2" t="s">
        <v>92</v>
      </c>
      <c r="X9" s="156">
        <v>3</v>
      </c>
      <c r="AB9" s="177">
        <f>AB8+1</f>
        <v>2</v>
      </c>
      <c r="AC9" s="2">
        <f t="shared" ref="AC9:AC35" si="3">WEEKDAY(AB9)</f>
        <v>2</v>
      </c>
      <c r="AE9" s="2">
        <v>2</v>
      </c>
      <c r="AF9" s="2" t="s">
        <v>52</v>
      </c>
      <c r="AG9" s="220">
        <f t="shared" ref="AG9:AG38" si="4">IF(J9&lt;I9,$AJ$7+J9-I9,J9-I9)</f>
        <v>0</v>
      </c>
      <c r="AH9" s="220">
        <f ca="1">IF(HLOOKUP($F9,Jornada!$X$7:$AD$37,VLOOKUP(INDIRECT($C$5),Jornada!$C$8:$W$37,21,0),0)=0,0,VLOOKUP(INDIRECT($C$5),Jornada!$C$8:$H$37,4,0))</f>
        <v>0</v>
      </c>
      <c r="AI9" s="155">
        <f ca="1">IF(AND(I9=0,J9=0,OR(H9&lt;&gt;0,K9&lt;&gt;0),HLOOKUP($F9,Jornada!$X$7:$AD$37,VLOOKUP(INDIRECT($C$5),Jornada!$C$8:$W$37,21,0),0)&gt;$AK$5,M9&gt;$AK$5),VLOOKUP(INDIRECT($C$5),Jornada!$C$8:$H$37,6,0),IF(AG9&gt;VLOOKUP(INDIRECT($C$5),Jornada!$C$8:$H$37,6,0),IF(VLOOKUP(INDIRECT($C$5),Jornada!$C$8:$H$37,6,0)&lt;AG9,0,ABS(VLOOKUP(INDIRECT($C$5),Jornada!$C$8:$H$37,6,0))-AG9),0))</f>
        <v>0</v>
      </c>
      <c r="AJ9" s="155">
        <f t="shared" ref="AJ9:AJ38" si="5">($AJ$7-K9)+H9</f>
        <v>1</v>
      </c>
      <c r="AK9" s="155">
        <f t="shared" ref="AK9:AK38" si="6">IF(AJ9&lt;$AK$7,$AK$7-AJ9,$AI$7)</f>
        <v>0</v>
      </c>
      <c r="AL9" s="155">
        <f ca="1">HLOOKUP($F9,Jornada!$I$5:$V$37,VLOOKUP(INDIRECT($C$5),Jornada!$C$8:$W$37,21,0)+2,0)</f>
        <v>0</v>
      </c>
      <c r="AM9" s="155">
        <f ca="1">HLOOKUP($F9,Jornada!$I$4:$V$37,VLOOKUP(INDIRECT($C$5),Jornada!$C$8:$W$37,21,0)+3,0)</f>
        <v>0</v>
      </c>
      <c r="AN9" s="155">
        <f t="shared" ref="AN9:AN38" ca="1" si="7">IF(AND(AL9&gt;=$AL$5,AL9&lt;$AN$5,H9&gt;=$AL$5,H9&lt;AL9),AL9-H9,IF(AND(AL9&gt;$AI$7,AL9&lt;=$AM$5,H9&gt;=$AL$5,H9&lt;=$AN$5),$AN$5-H9+AL9,IF(AND(AL9&gt;=$AI$7,AL9&lt;=$AM$5,H9&gt;=$AI$7,H9&lt;=$AM$5,H9&lt;AL9),H9-AL9,0)))</f>
        <v>0</v>
      </c>
      <c r="AO9" s="155">
        <f t="shared" ref="AO9:AO38" si="8">IF(AP9&gt;Q9,0,AP9)</f>
        <v>0</v>
      </c>
      <c r="AP9" s="155">
        <f t="shared" ref="AP9:AP38" si="9">IF(Q9=0,0,IF(AND(AM9&gt;=$AL$5,AM9&lt;$AN$5,K9&gt;=$AL$5,K9&lt;$AM$5,K9&gt;AM9),K9-AM9,IF(AND(AM9&gt;=$AL$5,AM9&lt;$AN$5,K9&lt;$AN$5,K9&gt;AM9),K9-$AL$5,IF(AND(AM9&gt;=$AI$7,AM9&lt;$AM$5,K9&lt;$AM$5),K9-AM9,IF(AND(AM9&lt;&gt;AI8,AM9&gt;=$AI$7,AM9&lt;=$AM$5,K9&gt;$AM$5,K9&gt;AM9),$AM$5-AM9,IF(AND(K9&gt;$AL$5,K9&lt;$AN$5),K9-$AL$5,IF(AND(K9&gt;$AI$7,K9&lt;$AM$5),$AN$5-$AL$5+K9,IF(AND(OR(K9&gt;$AL$5,H9&gt;$AO$5),AM9&gt;=$AI$7,AM9&lt;$AM$5,K9&gt;$AM$5),(1+$AM$5-$AL$5)-AG9,0))))))))</f>
        <v>0</v>
      </c>
      <c r="BE9" s="14"/>
      <c r="BF9" s="14"/>
      <c r="BG9" s="14"/>
    </row>
    <row r="10" spans="1:59" s="2" customFormat="1" ht="30" customHeight="1" thickTop="1" thickBot="1" x14ac:dyDescent="0.25">
      <c r="A10" s="1"/>
      <c r="B10"/>
      <c r="C10" s="172" t="str">
        <f>IF(Funcionários!C9=0,"",Funcionários!C9)</f>
        <v/>
      </c>
      <c r="D10"/>
      <c r="E10" s="115">
        <f>Lanç!E10</f>
        <v>3</v>
      </c>
      <c r="F10" s="189" t="str">
        <f>Lanç!F10</f>
        <v>Ter</v>
      </c>
      <c r="G10" s="81"/>
      <c r="H10" s="94"/>
      <c r="I10" s="94"/>
      <c r="J10" s="94"/>
      <c r="K10" s="94"/>
      <c r="L10" s="197"/>
      <c r="M10" s="95">
        <f t="shared" si="1"/>
        <v>0</v>
      </c>
      <c r="N10" s="196"/>
      <c r="O10" s="95">
        <f ca="1">IF(OR(G10=0,G10="Férias",G10="Falta Justificada",G10="Feriado",G10="Folga (DSR)"),0,IF(G10="Falta Injustificada",HLOOKUP($F10,Jornada!$X$7:$AD$37,VLOOKUP(INDIRECT($C$5),Jornada!$C$8:$W$37,21,0),0),IF(HLOOKUP($F10,Jornada!$X$7:$AD$37,VLOOKUP(INDIRECT($C$5),Jornada!$C$8:$W$37,21,0),0)-M10&gt;0,HLOOKUP($F10,Jornada!$X$7:$AD$37,VLOOKUP(INDIRECT($C$5),Jornada!$C$8:$W$37,21,0),0)-M10,0)))</f>
        <v>0</v>
      </c>
      <c r="P10" s="193">
        <f ca="1">IF(HLOOKUP($F10,Jornada!$X$7:$AD$37,VLOOKUP(INDIRECT($C$5),Jornada!$C$8:$W$37,21,0),0)-M10&lt;0,ABS(HLOOKUP($F10,Jornada!$X$7:$AD$37,VLOOKUP(INDIRECT($C$5),Jornada!$C$8:$W$37,21,0),0)-M10),0)</f>
        <v>0</v>
      </c>
      <c r="Q10" s="95">
        <f t="shared" si="0"/>
        <v>0</v>
      </c>
      <c r="R10" s="2">
        <f t="shared" si="2"/>
        <v>0</v>
      </c>
      <c r="S10" s="294" t="s">
        <v>66</v>
      </c>
      <c r="T10" s="294"/>
      <c r="U10" s="295">
        <f ca="1">IF(M5="Horas devidas",ABS(-K5+F58-U14),ABS(K5+F58-U14))</f>
        <v>0</v>
      </c>
      <c r="W10" s="2" t="s">
        <v>93</v>
      </c>
      <c r="X10" s="156">
        <v>4</v>
      </c>
      <c r="AB10" s="177">
        <f t="shared" ref="AB10:AB34" si="10">AB9+1</f>
        <v>3</v>
      </c>
      <c r="AC10" s="2">
        <f t="shared" si="3"/>
        <v>3</v>
      </c>
      <c r="AE10" s="2">
        <v>3</v>
      </c>
      <c r="AF10" s="2" t="s">
        <v>53</v>
      </c>
      <c r="AG10" s="220">
        <f t="shared" si="4"/>
        <v>0</v>
      </c>
      <c r="AH10" s="220">
        <f ca="1">IF(HLOOKUP($F10,Jornada!$X$7:$AD$37,VLOOKUP(INDIRECT($C$5),Jornada!$C$8:$W$37,21,0),0)=0,0,VLOOKUP(INDIRECT($C$5),Jornada!$C$8:$H$37,4,0))</f>
        <v>0</v>
      </c>
      <c r="AI10" s="155">
        <f ca="1">IF(AND(I10=0,J10=0,OR(H10&lt;&gt;0,K10&lt;&gt;0),HLOOKUP($F10,Jornada!$X$7:$AD$37,VLOOKUP(INDIRECT($C$5),Jornada!$C$8:$W$37,21,0),0)&gt;$AK$5,M10&gt;$AK$5),VLOOKUP(INDIRECT($C$5),Jornada!$C$8:$H$37,6,0),IF(AG10&gt;VLOOKUP(INDIRECT($C$5),Jornada!$C$8:$H$37,6,0),IF(VLOOKUP(INDIRECT($C$5),Jornada!$C$8:$H$37,6,0)&lt;AG10,0,ABS(VLOOKUP(INDIRECT($C$5),Jornada!$C$8:$H$37,6,0))-AG10),0))</f>
        <v>0</v>
      </c>
      <c r="AJ10" s="155">
        <f t="shared" si="5"/>
        <v>1</v>
      </c>
      <c r="AK10" s="155">
        <f t="shared" si="6"/>
        <v>0</v>
      </c>
      <c r="AL10" s="155">
        <f ca="1">HLOOKUP($F10,Jornada!$I$5:$V$37,VLOOKUP(INDIRECT($C$5),Jornada!$C$8:$W$37,21,0)+2,0)</f>
        <v>0</v>
      </c>
      <c r="AM10" s="155">
        <f ca="1">HLOOKUP($F10,Jornada!$I$4:$V$37,VLOOKUP(INDIRECT($C$5),Jornada!$C$8:$W$37,21,0)+3,0)</f>
        <v>0</v>
      </c>
      <c r="AN10" s="155">
        <f t="shared" ca="1" si="7"/>
        <v>0</v>
      </c>
      <c r="AO10" s="155">
        <f t="shared" si="8"/>
        <v>0</v>
      </c>
      <c r="AP10" s="155">
        <f t="shared" si="9"/>
        <v>0</v>
      </c>
      <c r="BE10" s="14"/>
      <c r="BF10" s="14"/>
      <c r="BG10" s="14"/>
    </row>
    <row r="11" spans="1:59" s="2" customFormat="1" ht="30" customHeight="1" thickTop="1" thickBot="1" x14ac:dyDescent="0.25">
      <c r="A11" s="1"/>
      <c r="B11"/>
      <c r="C11" s="172" t="str">
        <f>IF(Funcionários!C10=0,"",Funcionários!C10)</f>
        <v/>
      </c>
      <c r="D11"/>
      <c r="E11" s="115">
        <f>Lanç!E11</f>
        <v>4</v>
      </c>
      <c r="F11" s="189" t="str">
        <f>Lanç!F11</f>
        <v>Qua</v>
      </c>
      <c r="G11" s="81"/>
      <c r="H11" s="94"/>
      <c r="I11" s="94"/>
      <c r="J11" s="94"/>
      <c r="K11" s="94"/>
      <c r="L11" s="197"/>
      <c r="M11" s="95">
        <f t="shared" si="1"/>
        <v>0</v>
      </c>
      <c r="N11" s="196"/>
      <c r="O11" s="95">
        <f ca="1">IF(OR(G11=0,G11="Férias",G11="Falta Justificada",G11="Feriado",G11="Folga (DSR)"),0,IF(G11="Falta Injustificada",HLOOKUP($F11,Jornada!$X$7:$AD$37,VLOOKUP(INDIRECT($C$5),Jornada!$C$8:$W$37,21,0),0),IF(HLOOKUP($F11,Jornada!$X$7:$AD$37,VLOOKUP(INDIRECT($C$5),Jornada!$C$8:$W$37,21,0),0)-M11&gt;0,HLOOKUP($F11,Jornada!$X$7:$AD$37,VLOOKUP(INDIRECT($C$5),Jornada!$C$8:$W$37,21,0),0)-M11,0)))</f>
        <v>0</v>
      </c>
      <c r="P11" s="193">
        <f ca="1">IF(HLOOKUP($F11,Jornada!$X$7:$AD$37,VLOOKUP(INDIRECT($C$5),Jornada!$C$8:$W$37,21,0),0)-M11&lt;0,ABS(HLOOKUP($F11,Jornada!$X$7:$AD$37,VLOOKUP(INDIRECT($C$5),Jornada!$C$8:$W$37,21,0),0)-M11),0)</f>
        <v>0</v>
      </c>
      <c r="Q11" s="95">
        <f t="shared" si="0"/>
        <v>0</v>
      </c>
      <c r="R11" s="2">
        <f t="shared" si="2"/>
        <v>0</v>
      </c>
      <c r="S11" s="294"/>
      <c r="T11" s="294"/>
      <c r="U11" s="295"/>
      <c r="V11" s="2">
        <f ca="1">IF(AND(K5&gt;U12,M5="Horas devidas"),"Negativo",IF(AND(U12&gt;K5,U14&gt;F58),"Negativo",0))</f>
        <v>0</v>
      </c>
      <c r="W11" s="2" t="s">
        <v>94</v>
      </c>
      <c r="X11" s="156">
        <v>5</v>
      </c>
      <c r="Z11" s="2" t="str">
        <f ca="1">IF(AND(M5="horas extras",Z13="positivo"),"positivo",IF(AND(M5="horas devidas",Z13="Negativo"),"Negativo",IF(AND(Z13="positivo",M5="horas devidas",U12&gt;K5),"Positivo","Negativo")))</f>
        <v>Negativo</v>
      </c>
      <c r="AB11" s="177">
        <f t="shared" si="10"/>
        <v>4</v>
      </c>
      <c r="AC11" s="2">
        <f t="shared" si="3"/>
        <v>4</v>
      </c>
      <c r="AE11" s="2">
        <v>4</v>
      </c>
      <c r="AF11" s="2" t="s">
        <v>54</v>
      </c>
      <c r="AG11" s="220">
        <f t="shared" si="4"/>
        <v>0</v>
      </c>
      <c r="AH11" s="220">
        <f ca="1">IF(HLOOKUP($F11,Jornada!$X$7:$AD$37,VLOOKUP(INDIRECT($C$5),Jornada!$C$8:$W$37,21,0),0)=0,0,VLOOKUP(INDIRECT($C$5),Jornada!$C$8:$H$37,4,0))</f>
        <v>0</v>
      </c>
      <c r="AI11" s="155">
        <f ca="1">IF(AND(I11=0,J11=0,OR(H11&lt;&gt;0,K11&lt;&gt;0),HLOOKUP($F11,Jornada!$X$7:$AD$37,VLOOKUP(INDIRECT($C$5),Jornada!$C$8:$W$37,21,0),0)&gt;$AK$5,M11&gt;$AK$5),VLOOKUP(INDIRECT($C$5),Jornada!$C$8:$H$37,6,0),IF(AG11&gt;VLOOKUP(INDIRECT($C$5),Jornada!$C$8:$H$37,6,0),IF(VLOOKUP(INDIRECT($C$5),Jornada!$C$8:$H$37,6,0)&lt;AG11,0,ABS(VLOOKUP(INDIRECT($C$5),Jornada!$C$8:$H$37,6,0))-AG11),0))</f>
        <v>0</v>
      </c>
      <c r="AJ11" s="155">
        <f t="shared" si="5"/>
        <v>1</v>
      </c>
      <c r="AK11" s="155">
        <f t="shared" si="6"/>
        <v>0</v>
      </c>
      <c r="AL11" s="155">
        <f ca="1">HLOOKUP($F11,Jornada!$I$5:$V$37,VLOOKUP(INDIRECT($C$5),Jornada!$C$8:$W$37,21,0)+2,0)</f>
        <v>0</v>
      </c>
      <c r="AM11" s="155">
        <f ca="1">HLOOKUP($F11,Jornada!$I$4:$V$37,VLOOKUP(INDIRECT($C$5),Jornada!$C$8:$W$37,21,0)+3,0)</f>
        <v>0</v>
      </c>
      <c r="AN11" s="155">
        <f t="shared" ca="1" si="7"/>
        <v>0</v>
      </c>
      <c r="AO11" s="155">
        <f t="shared" si="8"/>
        <v>0</v>
      </c>
      <c r="AP11" s="155">
        <f t="shared" si="9"/>
        <v>0</v>
      </c>
      <c r="BE11" s="14"/>
      <c r="BF11" s="14"/>
      <c r="BG11" s="14"/>
    </row>
    <row r="12" spans="1:59" s="2" customFormat="1" ht="30" customHeight="1" thickTop="1" thickBot="1" x14ac:dyDescent="0.25">
      <c r="A12" s="1"/>
      <c r="B12"/>
      <c r="C12" s="172" t="str">
        <f>IF(Funcionários!C11=0,"",Funcionários!C11)</f>
        <v/>
      </c>
      <c r="D12"/>
      <c r="E12" s="115">
        <f>Lanç!E12</f>
        <v>5</v>
      </c>
      <c r="F12" s="189" t="str">
        <f>Lanç!F12</f>
        <v>Qui</v>
      </c>
      <c r="G12" s="81"/>
      <c r="H12" s="94"/>
      <c r="I12" s="94"/>
      <c r="J12" s="94"/>
      <c r="K12" s="94"/>
      <c r="L12" s="197"/>
      <c r="M12" s="95">
        <f t="shared" si="1"/>
        <v>0</v>
      </c>
      <c r="N12" s="196"/>
      <c r="O12" s="95">
        <f ca="1">IF(OR(G12=0,G12="Férias",G12="Falta Justificada",G12="Feriado",G12="Folga (DSR)"),0,IF(G12="Falta Injustificada",HLOOKUP($F12,Jornada!$X$7:$AD$37,VLOOKUP(INDIRECT($C$5),Jornada!$C$8:$W$37,21,0),0),IF(HLOOKUP($F12,Jornada!$X$7:$AD$37,VLOOKUP(INDIRECT($C$5),Jornada!$C$8:$W$37,21,0),0)-M12&gt;0,HLOOKUP($F12,Jornada!$X$7:$AD$37,VLOOKUP(INDIRECT($C$5),Jornada!$C$8:$W$37,21,0),0)-M12,0)))</f>
        <v>0</v>
      </c>
      <c r="P12" s="193">
        <f ca="1">IF(HLOOKUP($F12,Jornada!$X$7:$AD$37,VLOOKUP(INDIRECT($C$5),Jornada!$C$8:$W$37,21,0),0)-M12&lt;0,ABS(HLOOKUP($F12,Jornada!$X$7:$AD$37,VLOOKUP(INDIRECT($C$5),Jornada!$C$8:$W$37,21,0),0)-M12),0)</f>
        <v>0</v>
      </c>
      <c r="Q12" s="95">
        <f t="shared" si="0"/>
        <v>0</v>
      </c>
      <c r="R12" s="2">
        <f t="shared" si="2"/>
        <v>0</v>
      </c>
      <c r="S12" s="294" t="s">
        <v>175</v>
      </c>
      <c r="T12" s="294"/>
      <c r="U12" s="295">
        <f ca="1">IF(U14&gt;=F58,(U14)-F58,(F58-U14))</f>
        <v>0</v>
      </c>
      <c r="W12" s="2" t="s">
        <v>95</v>
      </c>
      <c r="X12" s="156">
        <v>6</v>
      </c>
      <c r="AB12" s="177">
        <f t="shared" si="10"/>
        <v>5</v>
      </c>
      <c r="AC12" s="2">
        <f t="shared" si="3"/>
        <v>5</v>
      </c>
      <c r="AE12" s="2">
        <v>5</v>
      </c>
      <c r="AF12" s="2" t="s">
        <v>55</v>
      </c>
      <c r="AG12" s="220">
        <f t="shared" si="4"/>
        <v>0</v>
      </c>
      <c r="AH12" s="220">
        <f ca="1">IF(HLOOKUP($F12,Jornada!$X$7:$AD$37,VLOOKUP(INDIRECT($C$5),Jornada!$C$8:$W$37,21,0),0)=0,0,VLOOKUP(INDIRECT($C$5),Jornada!$C$8:$H$37,4,0))</f>
        <v>0</v>
      </c>
      <c r="AI12" s="155">
        <f ca="1">IF(AND(I12=0,J12=0,OR(H12&lt;&gt;0,K12&lt;&gt;0),HLOOKUP($F12,Jornada!$X$7:$AD$37,VLOOKUP(INDIRECT($C$5),Jornada!$C$8:$W$37,21,0),0)&gt;$AK$5,M12&gt;$AK$5),VLOOKUP(INDIRECT($C$5),Jornada!$C$8:$H$37,6,0),IF(AG12&gt;VLOOKUP(INDIRECT($C$5),Jornada!$C$8:$H$37,6,0),IF(VLOOKUP(INDIRECT($C$5),Jornada!$C$8:$H$37,6,0)&lt;AG12,0,ABS(VLOOKUP(INDIRECT($C$5),Jornada!$C$8:$H$37,6,0))-AG12),0))</f>
        <v>0</v>
      </c>
      <c r="AJ12" s="155">
        <f t="shared" si="5"/>
        <v>1</v>
      </c>
      <c r="AK12" s="155">
        <f t="shared" si="6"/>
        <v>0</v>
      </c>
      <c r="AL12" s="155">
        <f ca="1">HLOOKUP($F12,Jornada!$I$5:$V$37,VLOOKUP(INDIRECT($C$5),Jornada!$C$8:$W$37,21,0)+2,0)</f>
        <v>0</v>
      </c>
      <c r="AM12" s="155">
        <f ca="1">HLOOKUP($F12,Jornada!$I$4:$V$37,VLOOKUP(INDIRECT($C$5),Jornada!$C$8:$W$37,21,0)+3,0)</f>
        <v>0</v>
      </c>
      <c r="AN12" s="155">
        <f t="shared" ca="1" si="7"/>
        <v>0</v>
      </c>
      <c r="AO12" s="155">
        <f t="shared" si="8"/>
        <v>0</v>
      </c>
      <c r="AP12" s="155">
        <f t="shared" si="9"/>
        <v>0</v>
      </c>
      <c r="BE12" s="14"/>
      <c r="BF12" s="14"/>
      <c r="BG12" s="14"/>
    </row>
    <row r="13" spans="1:59" s="2" customFormat="1" ht="30" customHeight="1" thickTop="1" thickBot="1" x14ac:dyDescent="0.25">
      <c r="A13" s="1"/>
      <c r="B13"/>
      <c r="C13" s="172" t="str">
        <f>IF(Funcionários!C12=0,"",Funcionários!C12)</f>
        <v/>
      </c>
      <c r="D13"/>
      <c r="E13" s="115">
        <f>Lanç!E13</f>
        <v>6</v>
      </c>
      <c r="F13" s="189" t="str">
        <f>Lanç!F13</f>
        <v>Sex</v>
      </c>
      <c r="G13" s="81"/>
      <c r="H13" s="94"/>
      <c r="I13" s="94"/>
      <c r="J13" s="94"/>
      <c r="K13" s="94"/>
      <c r="L13" s="197"/>
      <c r="M13" s="95">
        <f t="shared" si="1"/>
        <v>0</v>
      </c>
      <c r="N13" s="196"/>
      <c r="O13" s="95">
        <f ca="1">IF(OR(G13=0,G13="Férias",G13="Falta Justificada",G13="Feriado",G13="Folga (DSR)"),0,IF(G13="Falta Injustificada",HLOOKUP($F13,Jornada!$X$7:$AD$37,VLOOKUP(INDIRECT($C$5),Jornada!$C$8:$W$37,21,0),0),IF(HLOOKUP($F13,Jornada!$X$7:$AD$37,VLOOKUP(INDIRECT($C$5),Jornada!$C$8:$W$37,21,0),0)-M13&gt;0,HLOOKUP($F13,Jornada!$X$7:$AD$37,VLOOKUP(INDIRECT($C$5),Jornada!$C$8:$W$37,21,0),0)-M13,0)))</f>
        <v>0</v>
      </c>
      <c r="P13" s="193">
        <f ca="1">IF(HLOOKUP($F13,Jornada!$X$7:$AD$37,VLOOKUP(INDIRECT($C$5),Jornada!$C$8:$W$37,21,0),0)-M13&lt;0,ABS(HLOOKUP($F13,Jornada!$X$7:$AD$37,VLOOKUP(INDIRECT($C$5),Jornada!$C$8:$W$37,21,0),0)-M13),0)</f>
        <v>0</v>
      </c>
      <c r="Q13" s="95">
        <f t="shared" si="0"/>
        <v>0</v>
      </c>
      <c r="R13" s="2">
        <f t="shared" si="2"/>
        <v>0</v>
      </c>
      <c r="S13" s="294"/>
      <c r="T13" s="294"/>
      <c r="U13" s="295"/>
      <c r="W13" s="2" t="s">
        <v>96</v>
      </c>
      <c r="X13" s="156">
        <v>7</v>
      </c>
      <c r="Z13" s="2" t="str">
        <f ca="1">IF(U14&gt;F58,"Negativo","Positivo")</f>
        <v>Positivo</v>
      </c>
      <c r="AB13" s="177">
        <f t="shared" si="10"/>
        <v>6</v>
      </c>
      <c r="AC13" s="2">
        <f t="shared" si="3"/>
        <v>6</v>
      </c>
      <c r="AE13" s="2">
        <v>6</v>
      </c>
      <c r="AF13" s="2" t="s">
        <v>56</v>
      </c>
      <c r="AG13" s="220">
        <f t="shared" si="4"/>
        <v>0</v>
      </c>
      <c r="AH13" s="220">
        <f ca="1">IF(HLOOKUP($F13,Jornada!$X$7:$AD$37,VLOOKUP(INDIRECT($C$5),Jornada!$C$8:$W$37,21,0),0)=0,0,VLOOKUP(INDIRECT($C$5),Jornada!$C$8:$H$37,4,0))</f>
        <v>0</v>
      </c>
      <c r="AI13" s="155">
        <f ca="1">IF(AND(I13=0,J13=0,OR(H13&lt;&gt;0,K13&lt;&gt;0),HLOOKUP($F13,Jornada!$X$7:$AD$37,VLOOKUP(INDIRECT($C$5),Jornada!$C$8:$W$37,21,0),0)&gt;$AK$5,M13&gt;$AK$5),VLOOKUP(INDIRECT($C$5),Jornada!$C$8:$H$37,6,0),IF(AG13&gt;VLOOKUP(INDIRECT($C$5),Jornada!$C$8:$H$37,6,0),IF(VLOOKUP(INDIRECT($C$5),Jornada!$C$8:$H$37,6,0)&lt;AG13,0,ABS(VLOOKUP(INDIRECT($C$5),Jornada!$C$8:$H$37,6,0))-AG13),0))</f>
        <v>0</v>
      </c>
      <c r="AJ13" s="155">
        <f t="shared" si="5"/>
        <v>1</v>
      </c>
      <c r="AK13" s="155">
        <f t="shared" si="6"/>
        <v>0</v>
      </c>
      <c r="AL13" s="155">
        <f ca="1">HLOOKUP($F13,Jornada!$I$5:$V$37,VLOOKUP(INDIRECT($C$5),Jornada!$C$8:$W$37,21,0)+2,0)</f>
        <v>0</v>
      </c>
      <c r="AM13" s="155">
        <f ca="1">HLOOKUP($F13,Jornada!$I$4:$V$37,VLOOKUP(INDIRECT($C$5),Jornada!$C$8:$W$37,21,0)+3,0)</f>
        <v>0</v>
      </c>
      <c r="AN13" s="155">
        <f t="shared" ca="1" si="7"/>
        <v>0</v>
      </c>
      <c r="AO13" s="155">
        <f t="shared" si="8"/>
        <v>0</v>
      </c>
      <c r="AP13" s="155">
        <f t="shared" si="9"/>
        <v>0</v>
      </c>
      <c r="BE13" s="14"/>
      <c r="BF13" s="14"/>
      <c r="BG13" s="14"/>
    </row>
    <row r="14" spans="1:59" s="2" customFormat="1" ht="30" customHeight="1" thickTop="1" thickBot="1" x14ac:dyDescent="0.25">
      <c r="A14" s="1"/>
      <c r="B14"/>
      <c r="C14" s="172" t="str">
        <f>IF(Funcionários!C13=0,"",Funcionários!C13)</f>
        <v/>
      </c>
      <c r="D14"/>
      <c r="E14" s="115">
        <f>Lanç!E14</f>
        <v>7</v>
      </c>
      <c r="F14" s="189" t="str">
        <f>Lanç!F14</f>
        <v>Sáb</v>
      </c>
      <c r="G14" s="81"/>
      <c r="H14" s="94"/>
      <c r="I14" s="94"/>
      <c r="J14" s="94"/>
      <c r="K14" s="94"/>
      <c r="L14" s="197"/>
      <c r="M14" s="95">
        <f t="shared" si="1"/>
        <v>0</v>
      </c>
      <c r="N14" s="196"/>
      <c r="O14" s="95">
        <f ca="1">IF(OR(G14=0,G14="Férias",G14="Falta Justificada",G14="Feriado",G14="Folga (DSR)"),0,IF(G14="Falta Injustificada",HLOOKUP($F14,Jornada!$X$7:$AD$37,VLOOKUP(INDIRECT($C$5),Jornada!$C$8:$W$37,21,0),0),IF(HLOOKUP($F14,Jornada!$X$7:$AD$37,VLOOKUP(INDIRECT($C$5),Jornada!$C$8:$W$37,21,0),0)-M14&gt;0,HLOOKUP($F14,Jornada!$X$7:$AD$37,VLOOKUP(INDIRECT($C$5),Jornada!$C$8:$W$37,21,0),0)-M14,0)))</f>
        <v>0</v>
      </c>
      <c r="P14" s="193">
        <f ca="1">IF(HLOOKUP($F14,Jornada!$X$7:$AD$37,VLOOKUP(INDIRECT($C$5),Jornada!$C$8:$W$37,21,0),0)-M14&lt;0,ABS(HLOOKUP($F14,Jornada!$X$7:$AD$37,VLOOKUP(INDIRECT($C$5),Jornada!$C$8:$W$37,21,0),0)-M14),0)</f>
        <v>0</v>
      </c>
      <c r="Q14" s="95">
        <f t="shared" si="0"/>
        <v>0</v>
      </c>
      <c r="R14" s="2">
        <f t="shared" si="2"/>
        <v>0</v>
      </c>
      <c r="S14" s="294" t="s">
        <v>68</v>
      </c>
      <c r="T14" s="294"/>
      <c r="U14" s="295">
        <f ca="1">SUM(O8:O38)</f>
        <v>0</v>
      </c>
      <c r="W14" s="2" t="s">
        <v>97</v>
      </c>
      <c r="X14" s="156">
        <v>8</v>
      </c>
      <c r="AB14" s="177">
        <f t="shared" si="10"/>
        <v>7</v>
      </c>
      <c r="AC14" s="2">
        <f t="shared" si="3"/>
        <v>7</v>
      </c>
      <c r="AE14" s="2">
        <v>7</v>
      </c>
      <c r="AF14" s="2" t="s">
        <v>57</v>
      </c>
      <c r="AG14" s="220">
        <f t="shared" si="4"/>
        <v>0</v>
      </c>
      <c r="AH14" s="220">
        <f ca="1">IF(HLOOKUP($F14,Jornada!$X$7:$AD$37,VLOOKUP(INDIRECT($C$5),Jornada!$C$8:$W$37,21,0),0)=0,0,VLOOKUP(INDIRECT($C$5),Jornada!$C$8:$H$37,4,0))</f>
        <v>0</v>
      </c>
      <c r="AI14" s="155">
        <f ca="1">IF(AND(I14=0,J14=0,OR(H14&lt;&gt;0,K14&lt;&gt;0),HLOOKUP($F14,Jornada!$X$7:$AD$37,VLOOKUP(INDIRECT($C$5),Jornada!$C$8:$W$37,21,0),0)&gt;$AK$5,M14&gt;$AK$5),VLOOKUP(INDIRECT($C$5),Jornada!$C$8:$H$37,6,0),IF(AG14&gt;VLOOKUP(INDIRECT($C$5),Jornada!$C$8:$H$37,6,0),IF(VLOOKUP(INDIRECT($C$5),Jornada!$C$8:$H$37,6,0)&lt;AG14,0,ABS(VLOOKUP(INDIRECT($C$5),Jornada!$C$8:$H$37,6,0))-AG14),0))</f>
        <v>0</v>
      </c>
      <c r="AJ14" s="155">
        <f t="shared" si="5"/>
        <v>1</v>
      </c>
      <c r="AK14" s="155">
        <f t="shared" si="6"/>
        <v>0</v>
      </c>
      <c r="AL14" s="155">
        <f ca="1">HLOOKUP($F14,Jornada!$I$5:$V$37,VLOOKUP(INDIRECT($C$5),Jornada!$C$8:$W$37,21,0)+2,0)</f>
        <v>0</v>
      </c>
      <c r="AM14" s="155">
        <f ca="1">HLOOKUP($F14,Jornada!$I$4:$V$37,VLOOKUP(INDIRECT($C$5),Jornada!$C$8:$W$37,21,0)+3,0)</f>
        <v>0</v>
      </c>
      <c r="AN14" s="155">
        <f t="shared" ca="1" si="7"/>
        <v>0</v>
      </c>
      <c r="AO14" s="155">
        <f t="shared" si="8"/>
        <v>0</v>
      </c>
      <c r="AP14" s="155">
        <f t="shared" si="9"/>
        <v>0</v>
      </c>
      <c r="BE14" s="14"/>
      <c r="BF14" s="14"/>
      <c r="BG14" s="14"/>
    </row>
    <row r="15" spans="1:59" s="2" customFormat="1" ht="30" customHeight="1" thickTop="1" thickBot="1" x14ac:dyDescent="0.25">
      <c r="A15" s="1"/>
      <c r="B15"/>
      <c r="C15" s="172" t="str">
        <f>IF(Funcionários!C14=0,"",Funcionários!C14)</f>
        <v/>
      </c>
      <c r="D15"/>
      <c r="E15" s="115">
        <f>Lanç!E15</f>
        <v>8</v>
      </c>
      <c r="F15" s="189" t="str">
        <f>Lanç!F15</f>
        <v>Dom</v>
      </c>
      <c r="G15" s="81"/>
      <c r="H15" s="94"/>
      <c r="I15" s="94"/>
      <c r="J15" s="94"/>
      <c r="K15" s="94"/>
      <c r="L15" s="197"/>
      <c r="M15" s="95">
        <f t="shared" si="1"/>
        <v>0</v>
      </c>
      <c r="N15" s="196"/>
      <c r="O15" s="95">
        <f ca="1">IF(OR(G15=0,G15="Férias",G15="Falta Justificada",G15="Feriado",G15="Folga (DSR)"),0,IF(G15="Falta Injustificada",HLOOKUP($F15,Jornada!$X$7:$AD$37,VLOOKUP(INDIRECT($C$5),Jornada!$C$8:$W$37,21,0),0),IF(HLOOKUP($F15,Jornada!$X$7:$AD$37,VLOOKUP(INDIRECT($C$5),Jornada!$C$8:$W$37,21,0),0)-M15&gt;0,HLOOKUP($F15,Jornada!$X$7:$AD$37,VLOOKUP(INDIRECT($C$5),Jornada!$C$8:$W$37,21,0),0)-M15,0)))</f>
        <v>0</v>
      </c>
      <c r="P15" s="193">
        <f ca="1">IF(HLOOKUP($F15,Jornada!$X$7:$AD$37,VLOOKUP(INDIRECT($C$5),Jornada!$C$8:$W$37,21,0),0)-M15&lt;0,ABS(HLOOKUP($F15,Jornada!$X$7:$AD$37,VLOOKUP(INDIRECT($C$5),Jornada!$C$8:$W$37,21,0),0)-M15),0)</f>
        <v>0</v>
      </c>
      <c r="Q15" s="95">
        <f t="shared" si="0"/>
        <v>0</v>
      </c>
      <c r="R15" s="2">
        <f t="shared" si="2"/>
        <v>0</v>
      </c>
      <c r="S15" s="294"/>
      <c r="T15" s="294"/>
      <c r="U15" s="295"/>
      <c r="W15" s="2" t="s">
        <v>98</v>
      </c>
      <c r="X15" s="156">
        <v>9</v>
      </c>
      <c r="AB15" s="177">
        <f t="shared" si="10"/>
        <v>8</v>
      </c>
      <c r="AC15" s="2">
        <f t="shared" si="3"/>
        <v>1</v>
      </c>
      <c r="AG15" s="220">
        <f t="shared" si="4"/>
        <v>0</v>
      </c>
      <c r="AH15" s="220">
        <f ca="1">IF(HLOOKUP($F15,Jornada!$X$7:$AD$37,VLOOKUP(INDIRECT($C$5),Jornada!$C$8:$W$37,21,0),0)=0,0,VLOOKUP(INDIRECT($C$5),Jornada!$C$8:$H$37,4,0))</f>
        <v>0</v>
      </c>
      <c r="AI15" s="155">
        <f ca="1">IF(AND(I15=0,J15=0,OR(H15&lt;&gt;0,K15&lt;&gt;0),HLOOKUP($F15,Jornada!$X$7:$AD$37,VLOOKUP(INDIRECT($C$5),Jornada!$C$8:$W$37,21,0),0)&gt;$AK$5,M15&gt;$AK$5),VLOOKUP(INDIRECT($C$5),Jornada!$C$8:$H$37,6,0),IF(AG15&gt;VLOOKUP(INDIRECT($C$5),Jornada!$C$8:$H$37,6,0),IF(VLOOKUP(INDIRECT($C$5),Jornada!$C$8:$H$37,6,0)&lt;AG15,0,ABS(VLOOKUP(INDIRECT($C$5),Jornada!$C$8:$H$37,6,0))-AG15),0))</f>
        <v>0</v>
      </c>
      <c r="AJ15" s="155">
        <f t="shared" si="5"/>
        <v>1</v>
      </c>
      <c r="AK15" s="155">
        <f t="shared" si="6"/>
        <v>0</v>
      </c>
      <c r="AL15" s="155">
        <f ca="1">HLOOKUP($F15,Jornada!$I$5:$V$37,VLOOKUP(INDIRECT($C$5),Jornada!$C$8:$W$37,21,0)+2,0)</f>
        <v>0</v>
      </c>
      <c r="AM15" s="155">
        <f ca="1">HLOOKUP($F15,Jornada!$I$4:$V$37,VLOOKUP(INDIRECT($C$5),Jornada!$C$8:$W$37,21,0)+3,0)</f>
        <v>0</v>
      </c>
      <c r="AN15" s="155">
        <f t="shared" ca="1" si="7"/>
        <v>0</v>
      </c>
      <c r="AO15" s="155">
        <f t="shared" si="8"/>
        <v>0</v>
      </c>
      <c r="AP15" s="155">
        <f t="shared" si="9"/>
        <v>0</v>
      </c>
      <c r="BE15" s="14"/>
      <c r="BF15" s="14"/>
      <c r="BG15" s="14"/>
    </row>
    <row r="16" spans="1:59" s="2" customFormat="1" ht="30" customHeight="1" thickTop="1" thickBot="1" x14ac:dyDescent="0.25">
      <c r="A16" s="1"/>
      <c r="B16"/>
      <c r="C16" s="172" t="str">
        <f>IF(Funcionários!C15=0,"",Funcionários!C15)</f>
        <v/>
      </c>
      <c r="D16"/>
      <c r="E16" s="115">
        <f>Lanç!E16</f>
        <v>9</v>
      </c>
      <c r="F16" s="189" t="str">
        <f>Lanç!F16</f>
        <v>Seg</v>
      </c>
      <c r="G16" s="81"/>
      <c r="H16" s="94"/>
      <c r="I16" s="94"/>
      <c r="J16" s="94"/>
      <c r="K16" s="94"/>
      <c r="L16" s="197"/>
      <c r="M16" s="95">
        <f t="shared" si="1"/>
        <v>0</v>
      </c>
      <c r="N16" s="196"/>
      <c r="O16" s="95">
        <f ca="1">IF(OR(G16=0,G16="Férias",G16="Falta Justificada",G16="Feriado",G16="Folga (DSR)"),0,IF(G16="Falta Injustificada",HLOOKUP($F16,Jornada!$X$7:$AD$37,VLOOKUP(INDIRECT($C$5),Jornada!$C$8:$W$37,21,0),0),IF(HLOOKUP($F16,Jornada!$X$7:$AD$37,VLOOKUP(INDIRECT($C$5),Jornada!$C$8:$W$37,21,0),0)-M16&gt;0,HLOOKUP($F16,Jornada!$X$7:$AD$37,VLOOKUP(INDIRECT($C$5),Jornada!$C$8:$W$37,21,0),0)-M16,0)))</f>
        <v>0</v>
      </c>
      <c r="P16" s="193">
        <f ca="1">IF(HLOOKUP($F16,Jornada!$X$7:$AD$37,VLOOKUP(INDIRECT($C$5),Jornada!$C$8:$W$37,21,0),0)-M16&lt;0,ABS(HLOOKUP($F16,Jornada!$X$7:$AD$37,VLOOKUP(INDIRECT($C$5),Jornada!$C$8:$W$37,21,0),0)-M16),0)</f>
        <v>0</v>
      </c>
      <c r="Q16" s="95">
        <f t="shared" si="0"/>
        <v>0</v>
      </c>
      <c r="R16" s="2">
        <f t="shared" si="2"/>
        <v>0</v>
      </c>
      <c r="S16" s="294" t="s">
        <v>67</v>
      </c>
      <c r="T16" s="294"/>
      <c r="U16" s="295">
        <f>SUM(Q8:Q38)</f>
        <v>0</v>
      </c>
      <c r="W16" s="2" t="s">
        <v>99</v>
      </c>
      <c r="X16" s="156">
        <v>10</v>
      </c>
      <c r="AB16" s="177">
        <f t="shared" si="10"/>
        <v>9</v>
      </c>
      <c r="AC16" s="2">
        <f t="shared" si="3"/>
        <v>2</v>
      </c>
      <c r="AG16" s="220">
        <f t="shared" si="4"/>
        <v>0</v>
      </c>
      <c r="AH16" s="220">
        <f ca="1">IF(HLOOKUP($F16,Jornada!$X$7:$AD$37,VLOOKUP(INDIRECT($C$5),Jornada!$C$8:$W$37,21,0),0)=0,0,VLOOKUP(INDIRECT($C$5),Jornada!$C$8:$H$37,4,0))</f>
        <v>0</v>
      </c>
      <c r="AI16" s="155">
        <f ca="1">IF(AND(I16=0,J16=0,OR(H16&lt;&gt;0,K16&lt;&gt;0),HLOOKUP($F16,Jornada!$X$7:$AD$37,VLOOKUP(INDIRECT($C$5),Jornada!$C$8:$W$37,21,0),0)&gt;$AK$5,M16&gt;$AK$5),VLOOKUP(INDIRECT($C$5),Jornada!$C$8:$H$37,6,0),IF(AG16&gt;VLOOKUP(INDIRECT($C$5),Jornada!$C$8:$H$37,6,0),IF(VLOOKUP(INDIRECT($C$5),Jornada!$C$8:$H$37,6,0)&lt;AG16,0,ABS(VLOOKUP(INDIRECT($C$5),Jornada!$C$8:$H$37,6,0))-AG16),0))</f>
        <v>0</v>
      </c>
      <c r="AJ16" s="155">
        <f t="shared" si="5"/>
        <v>1</v>
      </c>
      <c r="AK16" s="155">
        <f t="shared" si="6"/>
        <v>0</v>
      </c>
      <c r="AL16" s="155">
        <f ca="1">HLOOKUP($F16,Jornada!$I$5:$V$37,VLOOKUP(INDIRECT($C$5),Jornada!$C$8:$W$37,21,0)+2,0)</f>
        <v>0</v>
      </c>
      <c r="AM16" s="155">
        <f ca="1">HLOOKUP($F16,Jornada!$I$4:$V$37,VLOOKUP(INDIRECT($C$5),Jornada!$C$8:$W$37,21,0)+3,0)</f>
        <v>0</v>
      </c>
      <c r="AN16" s="155">
        <f t="shared" ca="1" si="7"/>
        <v>0</v>
      </c>
      <c r="AO16" s="155">
        <f t="shared" si="8"/>
        <v>0</v>
      </c>
      <c r="AP16" s="155">
        <f t="shared" si="9"/>
        <v>0</v>
      </c>
      <c r="BE16" s="14"/>
      <c r="BF16" s="14"/>
      <c r="BG16" s="14"/>
    </row>
    <row r="17" spans="1:59" s="2" customFormat="1" ht="30" customHeight="1" thickTop="1" thickBot="1" x14ac:dyDescent="0.25">
      <c r="A17" s="1"/>
      <c r="B17"/>
      <c r="C17" s="172" t="str">
        <f>IF(Funcionários!C16=0,"",Funcionários!C16)</f>
        <v/>
      </c>
      <c r="D17"/>
      <c r="E17" s="115">
        <f>Lanç!E17</f>
        <v>10</v>
      </c>
      <c r="F17" s="189" t="str">
        <f>Lanç!F17</f>
        <v>Ter</v>
      </c>
      <c r="G17" s="81"/>
      <c r="H17" s="94"/>
      <c r="I17" s="94"/>
      <c r="J17" s="94"/>
      <c r="K17" s="94"/>
      <c r="L17" s="197"/>
      <c r="M17" s="95">
        <f t="shared" si="1"/>
        <v>0</v>
      </c>
      <c r="N17" s="196"/>
      <c r="O17" s="95">
        <f ca="1">IF(OR(G17=0,G17="Férias",G17="Falta Justificada",G17="Feriado",G17="Folga (DSR)"),0,IF(G17="Falta Injustificada",HLOOKUP($F17,Jornada!$X$7:$AD$37,VLOOKUP(INDIRECT($C$5),Jornada!$C$8:$W$37,21,0),0),IF(HLOOKUP($F17,Jornada!$X$7:$AD$37,VLOOKUP(INDIRECT($C$5),Jornada!$C$8:$W$37,21,0),0)-M17&gt;0,HLOOKUP($F17,Jornada!$X$7:$AD$37,VLOOKUP(INDIRECT($C$5),Jornada!$C$8:$W$37,21,0),0)-M17,0)))</f>
        <v>0</v>
      </c>
      <c r="P17" s="193">
        <f ca="1">IF(HLOOKUP($F17,Jornada!$X$7:$AD$37,VLOOKUP(INDIRECT($C$5),Jornada!$C$8:$W$37,21,0),0)-M17&lt;0,ABS(HLOOKUP($F17,Jornada!$X$7:$AD$37,VLOOKUP(INDIRECT($C$5),Jornada!$C$8:$W$37,21,0),0)-M17),0)</f>
        <v>0</v>
      </c>
      <c r="Q17" s="95">
        <f t="shared" si="0"/>
        <v>0</v>
      </c>
      <c r="R17" s="2">
        <f t="shared" si="2"/>
        <v>0</v>
      </c>
      <c r="S17" s="294"/>
      <c r="T17" s="294"/>
      <c r="U17" s="295"/>
      <c r="W17" s="2" t="s">
        <v>100</v>
      </c>
      <c r="X17" s="156">
        <v>11</v>
      </c>
      <c r="AB17" s="177">
        <f t="shared" si="10"/>
        <v>10</v>
      </c>
      <c r="AC17" s="2">
        <f t="shared" si="3"/>
        <v>3</v>
      </c>
      <c r="AG17" s="220">
        <f t="shared" si="4"/>
        <v>0</v>
      </c>
      <c r="AH17" s="220">
        <f ca="1">IF(HLOOKUP($F17,Jornada!$X$7:$AD$37,VLOOKUP(INDIRECT($C$5),Jornada!$C$8:$W$37,21,0),0)=0,0,VLOOKUP(INDIRECT($C$5),Jornada!$C$8:$H$37,4,0))</f>
        <v>0</v>
      </c>
      <c r="AI17" s="155">
        <f ca="1">IF(AND(I17=0,J17=0,OR(H17&lt;&gt;0,K17&lt;&gt;0),HLOOKUP($F17,Jornada!$X$7:$AD$37,VLOOKUP(INDIRECT($C$5),Jornada!$C$8:$W$37,21,0),0)&gt;$AK$5,M17&gt;$AK$5),VLOOKUP(INDIRECT($C$5),Jornada!$C$8:$H$37,6,0),IF(AG17&gt;VLOOKUP(INDIRECT($C$5),Jornada!$C$8:$H$37,6,0),IF(VLOOKUP(INDIRECT($C$5),Jornada!$C$8:$H$37,6,0)&lt;AG17,0,ABS(VLOOKUP(INDIRECT($C$5),Jornada!$C$8:$H$37,6,0))-AG17),0))</f>
        <v>0</v>
      </c>
      <c r="AJ17" s="155">
        <f t="shared" si="5"/>
        <v>1</v>
      </c>
      <c r="AK17" s="155">
        <f t="shared" si="6"/>
        <v>0</v>
      </c>
      <c r="AL17" s="155">
        <f ca="1">HLOOKUP($F17,Jornada!$I$5:$V$37,VLOOKUP(INDIRECT($C$5),Jornada!$C$8:$W$37,21,0)+2,0)</f>
        <v>0</v>
      </c>
      <c r="AM17" s="155">
        <f ca="1">HLOOKUP($F17,Jornada!$I$4:$V$37,VLOOKUP(INDIRECT($C$5),Jornada!$C$8:$W$37,21,0)+3,0)</f>
        <v>0</v>
      </c>
      <c r="AN17" s="155">
        <f t="shared" ca="1" si="7"/>
        <v>0</v>
      </c>
      <c r="AO17" s="155">
        <f t="shared" si="8"/>
        <v>0</v>
      </c>
      <c r="AP17" s="155">
        <f t="shared" si="9"/>
        <v>0</v>
      </c>
      <c r="BE17" s="14"/>
      <c r="BF17" s="14"/>
      <c r="BG17" s="14"/>
    </row>
    <row r="18" spans="1:59" s="2" customFormat="1" ht="30" customHeight="1" thickTop="1" thickBot="1" x14ac:dyDescent="0.25">
      <c r="A18" s="1"/>
      <c r="B18"/>
      <c r="C18" s="172" t="str">
        <f>IF(Funcionários!C17=0,"",Funcionários!C17)</f>
        <v/>
      </c>
      <c r="D18"/>
      <c r="E18" s="115">
        <f>Lanç!E18</f>
        <v>11</v>
      </c>
      <c r="F18" s="189" t="str">
        <f>Lanç!F18</f>
        <v>Qua</v>
      </c>
      <c r="G18" s="81"/>
      <c r="H18" s="94"/>
      <c r="I18" s="94"/>
      <c r="J18" s="94"/>
      <c r="K18" s="94"/>
      <c r="L18" s="197"/>
      <c r="M18" s="95">
        <f t="shared" si="1"/>
        <v>0</v>
      </c>
      <c r="N18" s="196"/>
      <c r="O18" s="95">
        <f ca="1">IF(OR(G18=0,G18="Férias",G18="Falta Justificada",G18="Feriado",G18="Folga (DSR)"),0,IF(G18="Falta Injustificada",HLOOKUP($F18,Jornada!$X$7:$AD$37,VLOOKUP(INDIRECT($C$5),Jornada!$C$8:$W$37,21,0),0),IF(HLOOKUP($F18,Jornada!$X$7:$AD$37,VLOOKUP(INDIRECT($C$5),Jornada!$C$8:$W$37,21,0),0)-M18&gt;0,HLOOKUP($F18,Jornada!$X$7:$AD$37,VLOOKUP(INDIRECT($C$5),Jornada!$C$8:$W$37,21,0),0)-M18,0)))</f>
        <v>0</v>
      </c>
      <c r="P18" s="193">
        <f ca="1">IF(HLOOKUP($F18,Jornada!$X$7:$AD$37,VLOOKUP(INDIRECT($C$5),Jornada!$C$8:$W$37,21,0),0)-M18&lt;0,ABS(HLOOKUP($F18,Jornada!$X$7:$AD$37,VLOOKUP(INDIRECT($C$5),Jornada!$C$8:$W$37,21,0),0)-M18),0)</f>
        <v>0</v>
      </c>
      <c r="Q18" s="95">
        <f t="shared" si="0"/>
        <v>0</v>
      </c>
      <c r="R18" s="2">
        <f t="shared" si="2"/>
        <v>0</v>
      </c>
      <c r="S18" s="294" t="s">
        <v>69</v>
      </c>
      <c r="T18" s="294"/>
      <c r="U18" s="299">
        <f ca="1">F54</f>
        <v>0</v>
      </c>
      <c r="W18" s="2" t="s">
        <v>101</v>
      </c>
      <c r="X18" s="156">
        <v>12</v>
      </c>
      <c r="AB18" s="177">
        <f t="shared" si="10"/>
        <v>11</v>
      </c>
      <c r="AC18" s="2">
        <f t="shared" si="3"/>
        <v>4</v>
      </c>
      <c r="AG18" s="220">
        <f t="shared" si="4"/>
        <v>0</v>
      </c>
      <c r="AH18" s="220">
        <f ca="1">IF(HLOOKUP($F18,Jornada!$X$7:$AD$37,VLOOKUP(INDIRECT($C$5),Jornada!$C$8:$W$37,21,0),0)=0,0,VLOOKUP(INDIRECT($C$5),Jornada!$C$8:$H$37,4,0))</f>
        <v>0</v>
      </c>
      <c r="AI18" s="155">
        <f ca="1">IF(AND(I18=0,J18=0,OR(H18&lt;&gt;0,K18&lt;&gt;0),HLOOKUP($F18,Jornada!$X$7:$AD$37,VLOOKUP(INDIRECT($C$5),Jornada!$C$8:$W$37,21,0),0)&gt;$AK$5,M18&gt;$AK$5),VLOOKUP(INDIRECT($C$5),Jornada!$C$8:$H$37,6,0),IF(AG18&gt;VLOOKUP(INDIRECT($C$5),Jornada!$C$8:$H$37,6,0),IF(VLOOKUP(INDIRECT($C$5),Jornada!$C$8:$H$37,6,0)&lt;AG18,0,ABS(VLOOKUP(INDIRECT($C$5),Jornada!$C$8:$H$37,6,0))-AG18),0))</f>
        <v>0</v>
      </c>
      <c r="AJ18" s="155">
        <f t="shared" si="5"/>
        <v>1</v>
      </c>
      <c r="AK18" s="155">
        <f t="shared" si="6"/>
        <v>0</v>
      </c>
      <c r="AL18" s="155">
        <f ca="1">HLOOKUP($F18,Jornada!$I$5:$V$37,VLOOKUP(INDIRECT($C$5),Jornada!$C$8:$W$37,21,0)+2,0)</f>
        <v>0</v>
      </c>
      <c r="AM18" s="155">
        <f ca="1">HLOOKUP($F18,Jornada!$I$4:$V$37,VLOOKUP(INDIRECT($C$5),Jornada!$C$8:$W$37,21,0)+3,0)</f>
        <v>0</v>
      </c>
      <c r="AN18" s="155">
        <f t="shared" ca="1" si="7"/>
        <v>0</v>
      </c>
      <c r="AO18" s="155">
        <f t="shared" si="8"/>
        <v>0</v>
      </c>
      <c r="AP18" s="155">
        <f t="shared" si="9"/>
        <v>0</v>
      </c>
      <c r="BE18" s="14"/>
      <c r="BF18" s="14"/>
      <c r="BG18" s="14"/>
    </row>
    <row r="19" spans="1:59" s="2" customFormat="1" ht="30" customHeight="1" thickTop="1" thickBot="1" x14ac:dyDescent="0.25">
      <c r="A19" s="1"/>
      <c r="B19"/>
      <c r="C19" s="172" t="str">
        <f>IF(Funcionários!C18=0,"",Funcionários!C18)</f>
        <v/>
      </c>
      <c r="D19"/>
      <c r="E19" s="115">
        <f>Lanç!E19</f>
        <v>12</v>
      </c>
      <c r="F19" s="189" t="str">
        <f>Lanç!F19</f>
        <v>Qui</v>
      </c>
      <c r="G19" s="81"/>
      <c r="H19" s="94"/>
      <c r="I19" s="94"/>
      <c r="J19" s="94"/>
      <c r="K19" s="94"/>
      <c r="L19" s="197"/>
      <c r="M19" s="95">
        <f t="shared" si="1"/>
        <v>0</v>
      </c>
      <c r="N19" s="196"/>
      <c r="O19" s="95">
        <f ca="1">IF(OR(G19=0,G19="Férias",G19="Falta Justificada",G19="Feriado",G19="Folga (DSR)"),0,IF(G19="Falta Injustificada",HLOOKUP($F19,Jornada!$X$7:$AD$37,VLOOKUP(INDIRECT($C$5),Jornada!$C$8:$W$37,21,0),0),IF(HLOOKUP($F19,Jornada!$X$7:$AD$37,VLOOKUP(INDIRECT($C$5),Jornada!$C$8:$W$37,21,0),0)-M19&gt;0,HLOOKUP($F19,Jornada!$X$7:$AD$37,VLOOKUP(INDIRECT($C$5),Jornada!$C$8:$W$37,21,0),0)-M19,0)))</f>
        <v>0</v>
      </c>
      <c r="P19" s="193">
        <f ca="1">IF(HLOOKUP($F19,Jornada!$X$7:$AD$37,VLOOKUP(INDIRECT($C$5),Jornada!$C$8:$W$37,21,0),0)-M19&lt;0,ABS(HLOOKUP($F19,Jornada!$X$7:$AD$37,VLOOKUP(INDIRECT($C$5),Jornada!$C$8:$W$37,21,0),0)-M19),0)</f>
        <v>0</v>
      </c>
      <c r="Q19" s="95">
        <f t="shared" si="0"/>
        <v>0</v>
      </c>
      <c r="R19" s="2">
        <f t="shared" si="2"/>
        <v>0</v>
      </c>
      <c r="S19" s="294"/>
      <c r="T19" s="294"/>
      <c r="U19" s="299"/>
      <c r="X19" s="177"/>
      <c r="AB19" s="177">
        <f t="shared" si="10"/>
        <v>12</v>
      </c>
      <c r="AC19" s="2">
        <f t="shared" si="3"/>
        <v>5</v>
      </c>
      <c r="AG19" s="220">
        <f t="shared" si="4"/>
        <v>0</v>
      </c>
      <c r="AH19" s="220">
        <f ca="1">IF(HLOOKUP($F19,Jornada!$X$7:$AD$37,VLOOKUP(INDIRECT($C$5),Jornada!$C$8:$W$37,21,0),0)=0,0,VLOOKUP(INDIRECT($C$5),Jornada!$C$8:$H$37,4,0))</f>
        <v>0</v>
      </c>
      <c r="AI19" s="155">
        <f ca="1">IF(AND(I19=0,J19=0,OR(H19&lt;&gt;0,K19&lt;&gt;0),HLOOKUP($F19,Jornada!$X$7:$AD$37,VLOOKUP(INDIRECT($C$5),Jornada!$C$8:$W$37,21,0),0)&gt;$AK$5,M19&gt;$AK$5),VLOOKUP(INDIRECT($C$5),Jornada!$C$8:$H$37,6,0),IF(AG19&gt;VLOOKUP(INDIRECT($C$5),Jornada!$C$8:$H$37,6,0),IF(VLOOKUP(INDIRECT($C$5),Jornada!$C$8:$H$37,6,0)&lt;AG19,0,ABS(VLOOKUP(INDIRECT($C$5),Jornada!$C$8:$H$37,6,0))-AG19),0))</f>
        <v>0</v>
      </c>
      <c r="AJ19" s="155">
        <f t="shared" si="5"/>
        <v>1</v>
      </c>
      <c r="AK19" s="155">
        <f t="shared" si="6"/>
        <v>0</v>
      </c>
      <c r="AL19" s="155">
        <f ca="1">HLOOKUP($F19,Jornada!$I$5:$V$37,VLOOKUP(INDIRECT($C$5),Jornada!$C$8:$W$37,21,0)+2,0)</f>
        <v>0</v>
      </c>
      <c r="AM19" s="155">
        <f ca="1">HLOOKUP($F19,Jornada!$I$4:$V$37,VLOOKUP(INDIRECT($C$5),Jornada!$C$8:$W$37,21,0)+3,0)</f>
        <v>0</v>
      </c>
      <c r="AN19" s="155">
        <f t="shared" ca="1" si="7"/>
        <v>0</v>
      </c>
      <c r="AO19" s="155">
        <f t="shared" si="8"/>
        <v>0</v>
      </c>
      <c r="AP19" s="155">
        <f t="shared" si="9"/>
        <v>0</v>
      </c>
      <c r="BE19" s="14"/>
      <c r="BF19" s="14"/>
      <c r="BG19" s="14"/>
    </row>
    <row r="20" spans="1:59" s="2" customFormat="1" ht="30" customHeight="1" thickTop="1" thickBot="1" x14ac:dyDescent="0.25">
      <c r="A20" s="1"/>
      <c r="B20"/>
      <c r="C20" s="172" t="str">
        <f>IF(Funcionários!C19=0,"",Funcionários!C19)</f>
        <v/>
      </c>
      <c r="D20"/>
      <c r="E20" s="115">
        <f>Lanç!E20</f>
        <v>13</v>
      </c>
      <c r="F20" s="189" t="str">
        <f>Lanç!F20</f>
        <v>Sex</v>
      </c>
      <c r="G20" s="81"/>
      <c r="H20" s="94"/>
      <c r="I20" s="94"/>
      <c r="J20" s="94"/>
      <c r="K20" s="94"/>
      <c r="L20" s="197"/>
      <c r="M20" s="95">
        <f t="shared" si="1"/>
        <v>0</v>
      </c>
      <c r="N20" s="196"/>
      <c r="O20" s="95">
        <f ca="1">IF(OR(G20=0,G20="Férias",G20="Falta Justificada",G20="Feriado",G20="Folga (DSR)"),0,IF(G20="Falta Injustificada",HLOOKUP($F20,Jornada!$X$7:$AD$37,VLOOKUP(INDIRECT($C$5),Jornada!$C$8:$W$37,21,0),0),IF(HLOOKUP($F20,Jornada!$X$7:$AD$37,VLOOKUP(INDIRECT($C$5),Jornada!$C$8:$W$37,21,0),0)-M20&gt;0,HLOOKUP($F20,Jornada!$X$7:$AD$37,VLOOKUP(INDIRECT($C$5),Jornada!$C$8:$W$37,21,0),0)-M20,0)))</f>
        <v>0</v>
      </c>
      <c r="P20" s="193">
        <f ca="1">IF(HLOOKUP($F20,Jornada!$X$7:$AD$37,VLOOKUP(INDIRECT($C$5),Jornada!$C$8:$W$37,21,0),0)-M20&lt;0,ABS(HLOOKUP($F20,Jornada!$X$7:$AD$37,VLOOKUP(INDIRECT($C$5),Jornada!$C$8:$W$37,21,0),0)-M20),0)</f>
        <v>0</v>
      </c>
      <c r="Q20" s="95">
        <f t="shared" si="0"/>
        <v>0</v>
      </c>
      <c r="R20" s="2">
        <f t="shared" si="2"/>
        <v>0</v>
      </c>
      <c r="S20"/>
      <c r="T20"/>
      <c r="U20"/>
      <c r="X20" s="177"/>
      <c r="AB20" s="177">
        <f t="shared" si="10"/>
        <v>13</v>
      </c>
      <c r="AC20" s="2">
        <f t="shared" si="3"/>
        <v>6</v>
      </c>
      <c r="AG20" s="220">
        <f t="shared" si="4"/>
        <v>0</v>
      </c>
      <c r="AH20" s="220">
        <f ca="1">IF(HLOOKUP($F20,Jornada!$X$7:$AD$37,VLOOKUP(INDIRECT($C$5),Jornada!$C$8:$W$37,21,0),0)=0,0,VLOOKUP(INDIRECT($C$5),Jornada!$C$8:$H$37,4,0))</f>
        <v>0</v>
      </c>
      <c r="AI20" s="155">
        <f ca="1">IF(AND(I20=0,J20=0,OR(H20&lt;&gt;0,K20&lt;&gt;0),HLOOKUP($F20,Jornada!$X$7:$AD$37,VLOOKUP(INDIRECT($C$5),Jornada!$C$8:$W$37,21,0),0)&gt;$AK$5,M20&gt;$AK$5),VLOOKUP(INDIRECT($C$5),Jornada!$C$8:$H$37,6,0),IF(AG20&gt;VLOOKUP(INDIRECT($C$5),Jornada!$C$8:$H$37,6,0),IF(VLOOKUP(INDIRECT($C$5),Jornada!$C$8:$H$37,6,0)&lt;AG20,0,ABS(VLOOKUP(INDIRECT($C$5),Jornada!$C$8:$H$37,6,0))-AG20),0))</f>
        <v>0</v>
      </c>
      <c r="AJ20" s="155">
        <f t="shared" si="5"/>
        <v>1</v>
      </c>
      <c r="AK20" s="155">
        <f t="shared" si="6"/>
        <v>0</v>
      </c>
      <c r="AL20" s="155">
        <f ca="1">HLOOKUP($F20,Jornada!$I$5:$V$37,VLOOKUP(INDIRECT($C$5),Jornada!$C$8:$W$37,21,0)+2,0)</f>
        <v>0</v>
      </c>
      <c r="AM20" s="155">
        <f ca="1">HLOOKUP($F20,Jornada!$I$4:$V$37,VLOOKUP(INDIRECT($C$5),Jornada!$C$8:$W$37,21,0)+3,0)</f>
        <v>0</v>
      </c>
      <c r="AN20" s="155">
        <f t="shared" ca="1" si="7"/>
        <v>0</v>
      </c>
      <c r="AO20" s="155">
        <f t="shared" si="8"/>
        <v>0</v>
      </c>
      <c r="AP20" s="155">
        <f t="shared" si="9"/>
        <v>0</v>
      </c>
      <c r="BE20" s="14"/>
      <c r="BF20" s="14"/>
      <c r="BG20" s="14"/>
    </row>
    <row r="21" spans="1:59" s="2" customFormat="1" ht="30" customHeight="1" thickTop="1" thickBot="1" x14ac:dyDescent="0.25">
      <c r="A21" s="1"/>
      <c r="B21"/>
      <c r="C21" s="172" t="str">
        <f>IF(Funcionários!C20=0,"",Funcionários!C20)</f>
        <v/>
      </c>
      <c r="D21"/>
      <c r="E21" s="115">
        <f>Lanç!E21</f>
        <v>14</v>
      </c>
      <c r="F21" s="189" t="str">
        <f>Lanç!F21</f>
        <v>Sáb</v>
      </c>
      <c r="G21" s="81"/>
      <c r="H21" s="94"/>
      <c r="I21" s="94"/>
      <c r="J21" s="94"/>
      <c r="K21" s="94"/>
      <c r="L21" s="197"/>
      <c r="M21" s="95">
        <f t="shared" si="1"/>
        <v>0</v>
      </c>
      <c r="N21" s="196"/>
      <c r="O21" s="95">
        <f ca="1">IF(OR(G21=0,G21="Férias",G21="Falta Justificada",G21="Feriado",G21="Folga (DSR)"),0,IF(G21="Falta Injustificada",HLOOKUP($F21,Jornada!$X$7:$AD$37,VLOOKUP(INDIRECT($C$5),Jornada!$C$8:$W$37,21,0),0),IF(HLOOKUP($F21,Jornada!$X$7:$AD$37,VLOOKUP(INDIRECT($C$5),Jornada!$C$8:$W$37,21,0),0)-M21&gt;0,HLOOKUP($F21,Jornada!$X$7:$AD$37,VLOOKUP(INDIRECT($C$5),Jornada!$C$8:$W$37,21,0),0)-M21,0)))</f>
        <v>0</v>
      </c>
      <c r="P21" s="193">
        <f ca="1">IF(HLOOKUP($F21,Jornada!$X$7:$AD$37,VLOOKUP(INDIRECT($C$5),Jornada!$C$8:$W$37,21,0),0)-M21&lt;0,ABS(HLOOKUP($F21,Jornada!$X$7:$AD$37,VLOOKUP(INDIRECT($C$5),Jornada!$C$8:$W$37,21,0),0)-M21),0)</f>
        <v>0</v>
      </c>
      <c r="Q21" s="95">
        <f t="shared" si="0"/>
        <v>0</v>
      </c>
      <c r="R21" s="2">
        <f t="shared" si="2"/>
        <v>0</v>
      </c>
      <c r="S21"/>
      <c r="T21"/>
      <c r="U21"/>
      <c r="X21" s="177"/>
      <c r="AB21" s="177">
        <f t="shared" si="10"/>
        <v>14</v>
      </c>
      <c r="AC21" s="2">
        <f t="shared" si="3"/>
        <v>7</v>
      </c>
      <c r="AG21" s="220">
        <f t="shared" si="4"/>
        <v>0</v>
      </c>
      <c r="AH21" s="220">
        <f ca="1">IF(HLOOKUP($F21,Jornada!$X$7:$AD$37,VLOOKUP(INDIRECT($C$5),Jornada!$C$8:$W$37,21,0),0)=0,0,VLOOKUP(INDIRECT($C$5),Jornada!$C$8:$H$37,4,0))</f>
        <v>0</v>
      </c>
      <c r="AI21" s="155">
        <f ca="1">IF(AND(I21=0,J21=0,OR(H21&lt;&gt;0,K21&lt;&gt;0),HLOOKUP($F21,Jornada!$X$7:$AD$37,VLOOKUP(INDIRECT($C$5),Jornada!$C$8:$W$37,21,0),0)&gt;$AK$5,M21&gt;$AK$5),VLOOKUP(INDIRECT($C$5),Jornada!$C$8:$H$37,6,0),IF(AG21&gt;VLOOKUP(INDIRECT($C$5),Jornada!$C$8:$H$37,6,0),IF(VLOOKUP(INDIRECT($C$5),Jornada!$C$8:$H$37,6,0)&lt;AG21,0,ABS(VLOOKUP(INDIRECT($C$5),Jornada!$C$8:$H$37,6,0))-AG21),0))</f>
        <v>0</v>
      </c>
      <c r="AJ21" s="155">
        <f t="shared" si="5"/>
        <v>1</v>
      </c>
      <c r="AK21" s="155">
        <f t="shared" si="6"/>
        <v>0</v>
      </c>
      <c r="AL21" s="155">
        <f ca="1">HLOOKUP($F21,Jornada!$I$5:$V$37,VLOOKUP(INDIRECT($C$5),Jornada!$C$8:$W$37,21,0)+2,0)</f>
        <v>0</v>
      </c>
      <c r="AM21" s="155">
        <f ca="1">HLOOKUP($F21,Jornada!$I$4:$V$37,VLOOKUP(INDIRECT($C$5),Jornada!$C$8:$W$37,21,0)+3,0)</f>
        <v>0</v>
      </c>
      <c r="AN21" s="155">
        <f t="shared" ca="1" si="7"/>
        <v>0</v>
      </c>
      <c r="AO21" s="155">
        <f t="shared" si="8"/>
        <v>0</v>
      </c>
      <c r="AP21" s="155">
        <f t="shared" si="9"/>
        <v>0</v>
      </c>
      <c r="BE21" s="14"/>
      <c r="BF21" s="14"/>
      <c r="BG21" s="14"/>
    </row>
    <row r="22" spans="1:59" s="2" customFormat="1" ht="30" customHeight="1" thickTop="1" thickBot="1" x14ac:dyDescent="0.25">
      <c r="A22" s="1"/>
      <c r="B22"/>
      <c r="C22" s="171" t="str">
        <f>IF(Funcionários!C21=0,"",Funcionários!C21)</f>
        <v/>
      </c>
      <c r="D22"/>
      <c r="E22" s="115">
        <f>Lanç!E22</f>
        <v>15</v>
      </c>
      <c r="F22" s="189" t="str">
        <f>Lanç!F22</f>
        <v>Dom</v>
      </c>
      <c r="G22" s="81"/>
      <c r="H22" s="94"/>
      <c r="I22" s="94"/>
      <c r="J22" s="94"/>
      <c r="K22" s="94"/>
      <c r="L22" s="197"/>
      <c r="M22" s="95">
        <f t="shared" si="1"/>
        <v>0</v>
      </c>
      <c r="N22" s="196"/>
      <c r="O22" s="95">
        <f ca="1">IF(OR(G22=0,G22="Férias",G22="Falta Justificada",G22="Feriado",G22="Folga (DSR)"),0,IF(G22="Falta Injustificada",HLOOKUP($F22,Jornada!$X$7:$AD$37,VLOOKUP(INDIRECT($C$5),Jornada!$C$8:$W$37,21,0),0),IF(HLOOKUP($F22,Jornada!$X$7:$AD$37,VLOOKUP(INDIRECT($C$5),Jornada!$C$8:$W$37,21,0),0)-M22&gt;0,HLOOKUP($F22,Jornada!$X$7:$AD$37,VLOOKUP(INDIRECT($C$5),Jornada!$C$8:$W$37,21,0),0)-M22,0)))</f>
        <v>0</v>
      </c>
      <c r="P22" s="193">
        <f ca="1">IF(HLOOKUP($F22,Jornada!$X$7:$AD$37,VLOOKUP(INDIRECT($C$5),Jornada!$C$8:$W$37,21,0),0)-M22&lt;0,ABS(HLOOKUP($F22,Jornada!$X$7:$AD$37,VLOOKUP(INDIRECT($C$5),Jornada!$C$8:$W$37,21,0),0)-M22),0)</f>
        <v>0</v>
      </c>
      <c r="Q22" s="95">
        <f t="shared" si="0"/>
        <v>0</v>
      </c>
      <c r="R22" s="2">
        <f t="shared" si="2"/>
        <v>0</v>
      </c>
      <c r="S22" s="300" t="s">
        <v>63</v>
      </c>
      <c r="T22" s="301"/>
      <c r="U22" s="302"/>
      <c r="X22" s="177"/>
      <c r="AB22" s="177">
        <f t="shared" si="10"/>
        <v>15</v>
      </c>
      <c r="AC22" s="2">
        <f t="shared" si="3"/>
        <v>1</v>
      </c>
      <c r="AG22" s="220">
        <f t="shared" si="4"/>
        <v>0</v>
      </c>
      <c r="AH22" s="220">
        <f ca="1">IF(HLOOKUP($F22,Jornada!$X$7:$AD$37,VLOOKUP(INDIRECT($C$5),Jornada!$C$8:$W$37,21,0),0)=0,0,VLOOKUP(INDIRECT($C$5),Jornada!$C$8:$H$37,4,0))</f>
        <v>0</v>
      </c>
      <c r="AI22" s="155">
        <f ca="1">IF(AND(I22=0,J22=0,OR(H22&lt;&gt;0,K22&lt;&gt;0),HLOOKUP($F22,Jornada!$X$7:$AD$37,VLOOKUP(INDIRECT($C$5),Jornada!$C$8:$W$37,21,0),0)&gt;$AK$5,M22&gt;$AK$5),VLOOKUP(INDIRECT($C$5),Jornada!$C$8:$H$37,6,0),IF(AG22&gt;VLOOKUP(INDIRECT($C$5),Jornada!$C$8:$H$37,6,0),IF(VLOOKUP(INDIRECT($C$5),Jornada!$C$8:$H$37,6,0)&lt;AG22,0,ABS(VLOOKUP(INDIRECT($C$5),Jornada!$C$8:$H$37,6,0))-AG22),0))</f>
        <v>0</v>
      </c>
      <c r="AJ22" s="155">
        <f t="shared" si="5"/>
        <v>1</v>
      </c>
      <c r="AK22" s="155">
        <f t="shared" si="6"/>
        <v>0</v>
      </c>
      <c r="AL22" s="155">
        <f ca="1">HLOOKUP($F22,Jornada!$I$5:$V$37,VLOOKUP(INDIRECT($C$5),Jornada!$C$8:$W$37,21,0)+2,0)</f>
        <v>0</v>
      </c>
      <c r="AM22" s="155">
        <f ca="1">HLOOKUP($F22,Jornada!$I$4:$V$37,VLOOKUP(INDIRECT($C$5),Jornada!$C$8:$W$37,21,0)+3,0)</f>
        <v>0</v>
      </c>
      <c r="AN22" s="155">
        <f t="shared" ca="1" si="7"/>
        <v>0</v>
      </c>
      <c r="AO22" s="155">
        <f t="shared" si="8"/>
        <v>0</v>
      </c>
      <c r="AP22" s="155">
        <f t="shared" si="9"/>
        <v>0</v>
      </c>
      <c r="BE22" s="14"/>
      <c r="BF22" s="14"/>
      <c r="BG22" s="14"/>
    </row>
    <row r="23" spans="1:59" s="2" customFormat="1" ht="30" customHeight="1" thickTop="1" thickBot="1" x14ac:dyDescent="0.25">
      <c r="A23" s="1"/>
      <c r="B23"/>
      <c r="C23" s="172" t="str">
        <f>IF(Funcionários!C22=0,"",Funcionários!C22)</f>
        <v/>
      </c>
      <c r="D23"/>
      <c r="E23" s="115">
        <f>Lanç!E23</f>
        <v>16</v>
      </c>
      <c r="F23" s="189" t="str">
        <f>Lanç!F23</f>
        <v>Seg</v>
      </c>
      <c r="G23" s="81"/>
      <c r="H23" s="94"/>
      <c r="I23" s="94"/>
      <c r="J23" s="94"/>
      <c r="K23" s="94"/>
      <c r="L23" s="197"/>
      <c r="M23" s="95">
        <f t="shared" si="1"/>
        <v>0</v>
      </c>
      <c r="N23" s="196"/>
      <c r="O23" s="95">
        <f ca="1">IF(OR(G23=0,G23="Férias",G23="Falta Justificada",G23="Feriado",G23="Folga (DSR)"),0,IF(G23="Falta Injustificada",HLOOKUP($F23,Jornada!$X$7:$AD$37,VLOOKUP(INDIRECT($C$5),Jornada!$C$8:$W$37,21,0),0),IF(HLOOKUP($F23,Jornada!$X$7:$AD$37,VLOOKUP(INDIRECT($C$5),Jornada!$C$8:$W$37,21,0),0)-M23&gt;0,HLOOKUP($F23,Jornada!$X$7:$AD$37,VLOOKUP(INDIRECT($C$5),Jornada!$C$8:$W$37,21,0),0)-M23,0)))</f>
        <v>0</v>
      </c>
      <c r="P23" s="193">
        <f ca="1">IF(HLOOKUP($F23,Jornada!$X$7:$AD$37,VLOOKUP(INDIRECT($C$5),Jornada!$C$8:$W$37,21,0),0)-M23&lt;0,ABS(HLOOKUP($F23,Jornada!$X$7:$AD$37,VLOOKUP(INDIRECT($C$5),Jornada!$C$8:$W$37,21,0),0)-M23),0)</f>
        <v>0</v>
      </c>
      <c r="Q23" s="95">
        <f t="shared" si="0"/>
        <v>0</v>
      </c>
      <c r="R23" s="2">
        <f t="shared" si="2"/>
        <v>0</v>
      </c>
      <c r="S23" s="296" t="str">
        <f>IF(SUM(R8:R38)&gt;0,"Segundo o art 59 da CLT, o máximo de horas extras permitidas por dia são 2 horas.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T23" s="297"/>
      <c r="U23" s="298"/>
      <c r="X23" s="177"/>
      <c r="AB23" s="177">
        <f t="shared" si="10"/>
        <v>16</v>
      </c>
      <c r="AC23" s="2">
        <f t="shared" si="3"/>
        <v>2</v>
      </c>
      <c r="AG23" s="220">
        <f t="shared" si="4"/>
        <v>0</v>
      </c>
      <c r="AH23" s="220">
        <f ca="1">IF(HLOOKUP($F23,Jornada!$X$7:$AD$37,VLOOKUP(INDIRECT($C$5),Jornada!$C$8:$W$37,21,0),0)=0,0,VLOOKUP(INDIRECT($C$5),Jornada!$C$8:$H$37,4,0))</f>
        <v>0</v>
      </c>
      <c r="AI23" s="155">
        <f ca="1">IF(AND(I23=0,J23=0,OR(H23&lt;&gt;0,K23&lt;&gt;0),HLOOKUP($F23,Jornada!$X$7:$AD$37,VLOOKUP(INDIRECT($C$5),Jornada!$C$8:$W$37,21,0),0)&gt;$AK$5,M23&gt;$AK$5),VLOOKUP(INDIRECT($C$5),Jornada!$C$8:$H$37,6,0),IF(AG23&gt;VLOOKUP(INDIRECT($C$5),Jornada!$C$8:$H$37,6,0),IF(VLOOKUP(INDIRECT($C$5),Jornada!$C$8:$H$37,6,0)&lt;AG23,0,ABS(VLOOKUP(INDIRECT($C$5),Jornada!$C$8:$H$37,6,0))-AG23),0))</f>
        <v>0</v>
      </c>
      <c r="AJ23" s="155">
        <f t="shared" si="5"/>
        <v>1</v>
      </c>
      <c r="AK23" s="155">
        <f t="shared" si="6"/>
        <v>0</v>
      </c>
      <c r="AL23" s="155">
        <f ca="1">HLOOKUP($F23,Jornada!$I$5:$V$37,VLOOKUP(INDIRECT($C$5),Jornada!$C$8:$W$37,21,0)+2,0)</f>
        <v>0</v>
      </c>
      <c r="AM23" s="155">
        <f ca="1">HLOOKUP($F23,Jornada!$I$4:$V$37,VLOOKUP(INDIRECT($C$5),Jornada!$C$8:$W$37,21,0)+3,0)</f>
        <v>0</v>
      </c>
      <c r="AN23" s="155">
        <f t="shared" ca="1" si="7"/>
        <v>0</v>
      </c>
      <c r="AO23" s="155">
        <f t="shared" si="8"/>
        <v>0</v>
      </c>
      <c r="AP23" s="155">
        <f t="shared" si="9"/>
        <v>0</v>
      </c>
      <c r="BE23" s="14"/>
      <c r="BF23" s="14"/>
      <c r="BG23" s="14"/>
    </row>
    <row r="24" spans="1:59" s="2" customFormat="1" ht="30" customHeight="1" thickTop="1" thickBot="1" x14ac:dyDescent="0.25">
      <c r="A24" s="1"/>
      <c r="B24"/>
      <c r="C24" s="172" t="str">
        <f>IF(Funcionários!C23=0,"",Funcionários!C23)</f>
        <v/>
      </c>
      <c r="D24"/>
      <c r="E24" s="115">
        <f>Lanç!E24</f>
        <v>17</v>
      </c>
      <c r="F24" s="189" t="str">
        <f>Lanç!F24</f>
        <v>Ter</v>
      </c>
      <c r="G24" s="81"/>
      <c r="H24" s="94"/>
      <c r="I24" s="94"/>
      <c r="J24" s="94"/>
      <c r="K24" s="94"/>
      <c r="L24" s="197"/>
      <c r="M24" s="95">
        <f t="shared" si="1"/>
        <v>0</v>
      </c>
      <c r="N24" s="196"/>
      <c r="O24" s="95">
        <f ca="1">IF(OR(G24=0,G24="Férias",G24="Falta Justificada",G24="Feriado",G24="Folga (DSR)"),0,IF(G24="Falta Injustificada",HLOOKUP($F24,Jornada!$X$7:$AD$37,VLOOKUP(INDIRECT($C$5),Jornada!$C$8:$W$37,21,0),0),IF(HLOOKUP($F24,Jornada!$X$7:$AD$37,VLOOKUP(INDIRECT($C$5),Jornada!$C$8:$W$37,21,0),0)-M24&gt;0,HLOOKUP($F24,Jornada!$X$7:$AD$37,VLOOKUP(INDIRECT($C$5),Jornada!$C$8:$W$37,21,0),0)-M24,0)))</f>
        <v>0</v>
      </c>
      <c r="P24" s="193">
        <f ca="1">IF(HLOOKUP($F24,Jornada!$X$7:$AD$37,VLOOKUP(INDIRECT($C$5),Jornada!$C$8:$W$37,21,0),0)-M24&lt;0,ABS(HLOOKUP($F24,Jornada!$X$7:$AD$37,VLOOKUP(INDIRECT($C$5),Jornada!$C$8:$W$37,21,0),0)-M24),0)</f>
        <v>0</v>
      </c>
      <c r="Q24" s="95">
        <f t="shared" si="0"/>
        <v>0</v>
      </c>
      <c r="R24" s="2">
        <f t="shared" si="2"/>
        <v>0</v>
      </c>
      <c r="S24" s="296"/>
      <c r="T24" s="297"/>
      <c r="U24" s="298"/>
      <c r="X24" s="177"/>
      <c r="AB24" s="177">
        <f t="shared" si="10"/>
        <v>17</v>
      </c>
      <c r="AC24" s="2">
        <f t="shared" si="3"/>
        <v>3</v>
      </c>
      <c r="AG24" s="220">
        <f t="shared" si="4"/>
        <v>0</v>
      </c>
      <c r="AH24" s="220">
        <f ca="1">IF(HLOOKUP($F24,Jornada!$X$7:$AD$37,VLOOKUP(INDIRECT($C$5),Jornada!$C$8:$W$37,21,0),0)=0,0,VLOOKUP(INDIRECT($C$5),Jornada!$C$8:$H$37,4,0))</f>
        <v>0</v>
      </c>
      <c r="AI24" s="155">
        <f ca="1">IF(AND(I24=0,J24=0,OR(H24&lt;&gt;0,K24&lt;&gt;0),HLOOKUP($F24,Jornada!$X$7:$AD$37,VLOOKUP(INDIRECT($C$5),Jornada!$C$8:$W$37,21,0),0)&gt;$AK$5,M24&gt;$AK$5),VLOOKUP(INDIRECT($C$5),Jornada!$C$8:$H$37,6,0),IF(AG24&gt;VLOOKUP(INDIRECT($C$5),Jornada!$C$8:$H$37,6,0),IF(VLOOKUP(INDIRECT($C$5),Jornada!$C$8:$H$37,6,0)&lt;AG24,0,ABS(VLOOKUP(INDIRECT($C$5),Jornada!$C$8:$H$37,6,0))-AG24),0))</f>
        <v>0</v>
      </c>
      <c r="AJ24" s="155">
        <f t="shared" si="5"/>
        <v>1</v>
      </c>
      <c r="AK24" s="155">
        <f t="shared" si="6"/>
        <v>0</v>
      </c>
      <c r="AL24" s="155">
        <f ca="1">HLOOKUP($F24,Jornada!$I$5:$V$37,VLOOKUP(INDIRECT($C$5),Jornada!$C$8:$W$37,21,0)+2,0)</f>
        <v>0</v>
      </c>
      <c r="AM24" s="155">
        <f ca="1">HLOOKUP($F24,Jornada!$I$4:$V$37,VLOOKUP(INDIRECT($C$5),Jornada!$C$8:$W$37,21,0)+3,0)</f>
        <v>0</v>
      </c>
      <c r="AN24" s="155">
        <f t="shared" ca="1" si="7"/>
        <v>0</v>
      </c>
      <c r="AO24" s="155">
        <f t="shared" si="8"/>
        <v>0</v>
      </c>
      <c r="AP24" s="155">
        <f t="shared" si="9"/>
        <v>0</v>
      </c>
      <c r="BE24" s="14"/>
      <c r="BF24" s="14"/>
      <c r="BG24" s="14"/>
    </row>
    <row r="25" spans="1:59" s="2" customFormat="1" ht="30" customHeight="1" thickTop="1" thickBot="1" x14ac:dyDescent="0.25">
      <c r="A25" s="1"/>
      <c r="B25"/>
      <c r="C25" s="172" t="str">
        <f>IF(Funcionários!C24=0,"",Funcionários!C24)</f>
        <v/>
      </c>
      <c r="D25"/>
      <c r="E25" s="115">
        <f>Lanç!E25</f>
        <v>18</v>
      </c>
      <c r="F25" s="189" t="str">
        <f>Lanç!F25</f>
        <v>Qua</v>
      </c>
      <c r="G25" s="81"/>
      <c r="H25" s="94"/>
      <c r="I25" s="94"/>
      <c r="J25" s="94"/>
      <c r="K25" s="94"/>
      <c r="L25" s="197"/>
      <c r="M25" s="95">
        <f t="shared" si="1"/>
        <v>0</v>
      </c>
      <c r="N25" s="196"/>
      <c r="O25" s="95">
        <f ca="1">IF(OR(G25=0,G25="Férias",G25="Falta Justificada",G25="Feriado",G25="Folga (DSR)"),0,IF(G25="Falta Injustificada",HLOOKUP($F25,Jornada!$X$7:$AD$37,VLOOKUP(INDIRECT($C$5),Jornada!$C$8:$W$37,21,0),0),IF(HLOOKUP($F25,Jornada!$X$7:$AD$37,VLOOKUP(INDIRECT($C$5),Jornada!$C$8:$W$37,21,0),0)-M25&gt;0,HLOOKUP($F25,Jornada!$X$7:$AD$37,VLOOKUP(INDIRECT($C$5),Jornada!$C$8:$W$37,21,0),0)-M25,0)))</f>
        <v>0</v>
      </c>
      <c r="P25" s="193">
        <f ca="1">IF(HLOOKUP($F25,Jornada!$X$7:$AD$37,VLOOKUP(INDIRECT($C$5),Jornada!$C$8:$W$37,21,0),0)-M25&lt;0,ABS(HLOOKUP($F25,Jornada!$X$7:$AD$37,VLOOKUP(INDIRECT($C$5),Jornada!$C$8:$W$37,21,0),0)-M25),0)</f>
        <v>0</v>
      </c>
      <c r="Q25" s="95">
        <f t="shared" si="0"/>
        <v>0</v>
      </c>
      <c r="R25" s="2">
        <f t="shared" si="2"/>
        <v>0</v>
      </c>
      <c r="S25" s="296"/>
      <c r="T25" s="297"/>
      <c r="U25" s="298"/>
      <c r="X25" s="177"/>
      <c r="Z25" s="2">
        <f>IF(SUM(R8:R38)&gt;0,1,0)</f>
        <v>0</v>
      </c>
      <c r="AB25" s="177">
        <f t="shared" si="10"/>
        <v>18</v>
      </c>
      <c r="AC25" s="2">
        <f t="shared" si="3"/>
        <v>4</v>
      </c>
      <c r="AG25" s="220">
        <f t="shared" si="4"/>
        <v>0</v>
      </c>
      <c r="AH25" s="220">
        <f ca="1">IF(HLOOKUP($F25,Jornada!$X$7:$AD$37,VLOOKUP(INDIRECT($C$5),Jornada!$C$8:$W$37,21,0),0)=0,0,VLOOKUP(INDIRECT($C$5),Jornada!$C$8:$H$37,4,0))</f>
        <v>0</v>
      </c>
      <c r="AI25" s="155">
        <f ca="1">IF(AND(I25=0,J25=0,OR(H25&lt;&gt;0,K25&lt;&gt;0),HLOOKUP($F25,Jornada!$X$7:$AD$37,VLOOKUP(INDIRECT($C$5),Jornada!$C$8:$W$37,21,0),0)&gt;$AK$5,M25&gt;$AK$5),VLOOKUP(INDIRECT($C$5),Jornada!$C$8:$H$37,6,0),IF(AG25&gt;VLOOKUP(INDIRECT($C$5),Jornada!$C$8:$H$37,6,0),IF(VLOOKUP(INDIRECT($C$5),Jornada!$C$8:$H$37,6,0)&lt;AG25,0,ABS(VLOOKUP(INDIRECT($C$5),Jornada!$C$8:$H$37,6,0))-AG25),0))</f>
        <v>0</v>
      </c>
      <c r="AJ25" s="155">
        <f t="shared" si="5"/>
        <v>1</v>
      </c>
      <c r="AK25" s="155">
        <f t="shared" si="6"/>
        <v>0</v>
      </c>
      <c r="AL25" s="155">
        <f ca="1">HLOOKUP($F25,Jornada!$I$5:$V$37,VLOOKUP(INDIRECT($C$5),Jornada!$C$8:$W$37,21,0)+2,0)</f>
        <v>0</v>
      </c>
      <c r="AM25" s="155">
        <f ca="1">HLOOKUP($F25,Jornada!$I$4:$V$37,VLOOKUP(INDIRECT($C$5),Jornada!$C$8:$W$37,21,0)+3,0)</f>
        <v>0</v>
      </c>
      <c r="AN25" s="155">
        <f t="shared" ca="1" si="7"/>
        <v>0</v>
      </c>
      <c r="AO25" s="155">
        <f t="shared" si="8"/>
        <v>0</v>
      </c>
      <c r="AP25" s="155">
        <f t="shared" si="9"/>
        <v>0</v>
      </c>
      <c r="BE25" s="14"/>
      <c r="BF25" s="14"/>
      <c r="BG25" s="14"/>
    </row>
    <row r="26" spans="1:59" s="2" customFormat="1" ht="30" customHeight="1" thickTop="1" thickBot="1" x14ac:dyDescent="0.25">
      <c r="A26" s="1"/>
      <c r="B26"/>
      <c r="C26" s="172" t="str">
        <f>IF(Funcionários!C25=0,"",Funcionários!C25)</f>
        <v/>
      </c>
      <c r="D26"/>
      <c r="E26" s="115">
        <f>Lanç!E26</f>
        <v>19</v>
      </c>
      <c r="F26" s="189" t="str">
        <f>Lanç!F26</f>
        <v>Qui</v>
      </c>
      <c r="G26" s="81"/>
      <c r="H26" s="94"/>
      <c r="I26" s="94"/>
      <c r="J26" s="94"/>
      <c r="K26" s="94"/>
      <c r="L26" s="197"/>
      <c r="M26" s="95">
        <f t="shared" si="1"/>
        <v>0</v>
      </c>
      <c r="N26" s="196"/>
      <c r="O26" s="95">
        <f ca="1">IF(OR(G26=0,G26="Férias",G26="Falta Justificada",G26="Feriado",G26="Folga (DSR)"),0,IF(G26="Falta Injustificada",HLOOKUP($F26,Jornada!$X$7:$AD$37,VLOOKUP(INDIRECT($C$5),Jornada!$C$8:$W$37,21,0),0),IF(HLOOKUP($F26,Jornada!$X$7:$AD$37,VLOOKUP(INDIRECT($C$5),Jornada!$C$8:$W$37,21,0),0)-M26&gt;0,HLOOKUP($F26,Jornada!$X$7:$AD$37,VLOOKUP(INDIRECT($C$5),Jornada!$C$8:$W$37,21,0),0)-M26,0)))</f>
        <v>0</v>
      </c>
      <c r="P26" s="193">
        <f ca="1">IF(HLOOKUP($F26,Jornada!$X$7:$AD$37,VLOOKUP(INDIRECT($C$5),Jornada!$C$8:$W$37,21,0),0)-M26&lt;0,ABS(HLOOKUP($F26,Jornada!$X$7:$AD$37,VLOOKUP(INDIRECT($C$5),Jornada!$C$8:$W$37,21,0),0)-M26),0)</f>
        <v>0</v>
      </c>
      <c r="Q26" s="95">
        <f t="shared" si="0"/>
        <v>0</v>
      </c>
      <c r="R26" s="2">
        <f t="shared" si="2"/>
        <v>0</v>
      </c>
      <c r="S26" s="296" t="str">
        <f>IF(COUNTIF(G8:G38,"Folga (DSR)")&lt;DAY(E39)/8,"O mês não está contemplando um DSR (Descanso Semanal Remunerado) por semana. Isso pode configurar uma irregularidade segundo as leis trabalhistas.","Parabéns!! Sua folha de pagamento contempla uma DSR por semana conforme a lei trabalhista.")</f>
        <v>O mês não está contemplando um DSR (Descanso Semanal Remunerado) por semana. Isso pode configurar uma irregularidade segundo as leis trabalhistas.</v>
      </c>
      <c r="T26" s="297"/>
      <c r="U26" s="298"/>
      <c r="X26" s="177"/>
      <c r="AB26" s="177">
        <f t="shared" si="10"/>
        <v>19</v>
      </c>
      <c r="AC26" s="2">
        <f t="shared" si="3"/>
        <v>5</v>
      </c>
      <c r="AG26" s="220">
        <f t="shared" si="4"/>
        <v>0</v>
      </c>
      <c r="AH26" s="220">
        <f ca="1">IF(HLOOKUP($F26,Jornada!$X$7:$AD$37,VLOOKUP(INDIRECT($C$5),Jornada!$C$8:$W$37,21,0),0)=0,0,VLOOKUP(INDIRECT($C$5),Jornada!$C$8:$H$37,4,0))</f>
        <v>0</v>
      </c>
      <c r="AI26" s="155">
        <f ca="1">IF(AND(I26=0,J26=0,OR(H26&lt;&gt;0,K26&lt;&gt;0),HLOOKUP($F26,Jornada!$X$7:$AD$37,VLOOKUP(INDIRECT($C$5),Jornada!$C$8:$W$37,21,0),0)&gt;$AK$5,M26&gt;$AK$5),VLOOKUP(INDIRECT($C$5),Jornada!$C$8:$H$37,6,0),IF(AG26&gt;VLOOKUP(INDIRECT($C$5),Jornada!$C$8:$H$37,6,0),IF(VLOOKUP(INDIRECT($C$5),Jornada!$C$8:$H$37,6,0)&lt;AG26,0,ABS(VLOOKUP(INDIRECT($C$5),Jornada!$C$8:$H$37,6,0))-AG26),0))</f>
        <v>0</v>
      </c>
      <c r="AJ26" s="155">
        <f t="shared" si="5"/>
        <v>1</v>
      </c>
      <c r="AK26" s="155">
        <f t="shared" si="6"/>
        <v>0</v>
      </c>
      <c r="AL26" s="155">
        <f ca="1">HLOOKUP($F26,Jornada!$I$5:$V$37,VLOOKUP(INDIRECT($C$5),Jornada!$C$8:$W$37,21,0)+2,0)</f>
        <v>0</v>
      </c>
      <c r="AM26" s="155">
        <f ca="1">HLOOKUP($F26,Jornada!$I$4:$V$37,VLOOKUP(INDIRECT($C$5),Jornada!$C$8:$W$37,21,0)+3,0)</f>
        <v>0</v>
      </c>
      <c r="AN26" s="155">
        <f t="shared" ca="1" si="7"/>
        <v>0</v>
      </c>
      <c r="AO26" s="155">
        <f t="shared" si="8"/>
        <v>0</v>
      </c>
      <c r="AP26" s="155">
        <f t="shared" si="9"/>
        <v>0</v>
      </c>
      <c r="BE26" s="14"/>
      <c r="BF26" s="14"/>
      <c r="BG26" s="14"/>
    </row>
    <row r="27" spans="1:59" s="2" customFormat="1" ht="30" customHeight="1" thickTop="1" thickBot="1" x14ac:dyDescent="0.25">
      <c r="A27" s="1"/>
      <c r="B27"/>
      <c r="C27" s="172" t="str">
        <f>IF(Funcionários!C26=0,"",Funcionários!C26)</f>
        <v/>
      </c>
      <c r="D27"/>
      <c r="E27" s="115">
        <f>Lanç!E27</f>
        <v>20</v>
      </c>
      <c r="F27" s="189" t="str">
        <f>Lanç!F27</f>
        <v>Sex</v>
      </c>
      <c r="G27" s="81"/>
      <c r="H27" s="94"/>
      <c r="I27" s="94"/>
      <c r="J27" s="94"/>
      <c r="K27" s="94"/>
      <c r="L27" s="197"/>
      <c r="M27" s="95">
        <f t="shared" si="1"/>
        <v>0</v>
      </c>
      <c r="N27" s="196"/>
      <c r="O27" s="95">
        <f ca="1">IF(OR(G27=0,G27="Férias",G27="Falta Justificada",G27="Feriado",G27="Folga (DSR)"),0,IF(G27="Falta Injustificada",HLOOKUP($F27,Jornada!$X$7:$AD$37,VLOOKUP(INDIRECT($C$5),Jornada!$C$8:$W$37,21,0),0),IF(HLOOKUP($F27,Jornada!$X$7:$AD$37,VLOOKUP(INDIRECT($C$5),Jornada!$C$8:$W$37,21,0),0)-M27&gt;0,HLOOKUP($F27,Jornada!$X$7:$AD$37,VLOOKUP(INDIRECT($C$5),Jornada!$C$8:$W$37,21,0),0)-M27,0)))</f>
        <v>0</v>
      </c>
      <c r="P27" s="193">
        <f ca="1">IF(HLOOKUP($F27,Jornada!$X$7:$AD$37,VLOOKUP(INDIRECT($C$5),Jornada!$C$8:$W$37,21,0),0)-M27&lt;0,ABS(HLOOKUP($F27,Jornada!$X$7:$AD$37,VLOOKUP(INDIRECT($C$5),Jornada!$C$8:$W$37,21,0),0)-M27),0)</f>
        <v>0</v>
      </c>
      <c r="Q27" s="95">
        <f t="shared" si="0"/>
        <v>0</v>
      </c>
      <c r="R27" s="2">
        <f t="shared" si="2"/>
        <v>0</v>
      </c>
      <c r="S27" s="296"/>
      <c r="T27" s="297"/>
      <c r="U27" s="298"/>
      <c r="X27" s="177"/>
      <c r="AB27" s="177">
        <f t="shared" si="10"/>
        <v>20</v>
      </c>
      <c r="AC27" s="2">
        <f t="shared" si="3"/>
        <v>6</v>
      </c>
      <c r="AG27" s="220">
        <f t="shared" si="4"/>
        <v>0</v>
      </c>
      <c r="AH27" s="220">
        <f ca="1">IF(HLOOKUP($F27,Jornada!$X$7:$AD$37,VLOOKUP(INDIRECT($C$5),Jornada!$C$8:$W$37,21,0),0)=0,0,VLOOKUP(INDIRECT($C$5),Jornada!$C$8:$H$37,4,0))</f>
        <v>0</v>
      </c>
      <c r="AI27" s="155">
        <f ca="1">IF(AND(I27=0,J27=0,OR(H27&lt;&gt;0,K27&lt;&gt;0),HLOOKUP($F27,Jornada!$X$7:$AD$37,VLOOKUP(INDIRECT($C$5),Jornada!$C$8:$W$37,21,0),0)&gt;$AK$5,M27&gt;$AK$5),VLOOKUP(INDIRECT($C$5),Jornada!$C$8:$H$37,6,0),IF(AG27&gt;VLOOKUP(INDIRECT($C$5),Jornada!$C$8:$H$37,6,0),IF(VLOOKUP(INDIRECT($C$5),Jornada!$C$8:$H$37,6,0)&lt;AG27,0,ABS(VLOOKUP(INDIRECT($C$5),Jornada!$C$8:$H$37,6,0))-AG27),0))</f>
        <v>0</v>
      </c>
      <c r="AJ27" s="155">
        <f t="shared" si="5"/>
        <v>1</v>
      </c>
      <c r="AK27" s="155">
        <f t="shared" si="6"/>
        <v>0</v>
      </c>
      <c r="AL27" s="155">
        <f ca="1">HLOOKUP($F27,Jornada!$I$5:$V$37,VLOOKUP(INDIRECT($C$5),Jornada!$C$8:$W$37,21,0)+2,0)</f>
        <v>0</v>
      </c>
      <c r="AM27" s="155">
        <f ca="1">HLOOKUP($F27,Jornada!$I$4:$V$37,VLOOKUP(INDIRECT($C$5),Jornada!$C$8:$W$37,21,0)+3,0)</f>
        <v>0</v>
      </c>
      <c r="AN27" s="155">
        <f t="shared" ca="1" si="7"/>
        <v>0</v>
      </c>
      <c r="AO27" s="155">
        <f t="shared" si="8"/>
        <v>0</v>
      </c>
      <c r="AP27" s="155">
        <f t="shared" si="9"/>
        <v>0</v>
      </c>
    </row>
    <row r="28" spans="1:59" s="2" customFormat="1" ht="30" customHeight="1" thickTop="1" thickBot="1" x14ac:dyDescent="0.25">
      <c r="A28" s="1"/>
      <c r="B28"/>
      <c r="C28" s="172" t="str">
        <f>IF(Funcionários!C27=0,"",Funcionários!C27)</f>
        <v/>
      </c>
      <c r="D28"/>
      <c r="E28" s="115">
        <f>Lanç!E28</f>
        <v>21</v>
      </c>
      <c r="F28" s="189" t="str">
        <f>Lanç!F28</f>
        <v>Sáb</v>
      </c>
      <c r="G28" s="81"/>
      <c r="H28" s="94"/>
      <c r="I28" s="94"/>
      <c r="J28" s="94"/>
      <c r="K28" s="94"/>
      <c r="L28" s="197"/>
      <c r="M28" s="95">
        <f t="shared" si="1"/>
        <v>0</v>
      </c>
      <c r="N28" s="196"/>
      <c r="O28" s="95">
        <f ca="1">IF(OR(G28=0,G28="Férias",G28="Falta Justificada",G28="Feriado",G28="Folga (DSR)"),0,IF(G28="Falta Injustificada",HLOOKUP($F28,Jornada!$X$7:$AD$37,VLOOKUP(INDIRECT($C$5),Jornada!$C$8:$W$37,21,0),0),IF(HLOOKUP($F28,Jornada!$X$7:$AD$37,VLOOKUP(INDIRECT($C$5),Jornada!$C$8:$W$37,21,0),0)-M28&gt;0,HLOOKUP($F28,Jornada!$X$7:$AD$37,VLOOKUP(INDIRECT($C$5),Jornada!$C$8:$W$37,21,0),0)-M28,0)))</f>
        <v>0</v>
      </c>
      <c r="P28" s="193">
        <f ca="1">IF(HLOOKUP($F28,Jornada!$X$7:$AD$37,VLOOKUP(INDIRECT($C$5),Jornada!$C$8:$W$37,21,0),0)-M28&lt;0,ABS(HLOOKUP($F28,Jornada!$X$7:$AD$37,VLOOKUP(INDIRECT($C$5),Jornada!$C$8:$W$37,21,0),0)-M28),0)</f>
        <v>0</v>
      </c>
      <c r="Q28" s="95">
        <f t="shared" si="0"/>
        <v>0</v>
      </c>
      <c r="R28" s="2">
        <f t="shared" si="2"/>
        <v>0</v>
      </c>
      <c r="S28" s="296"/>
      <c r="T28" s="297"/>
      <c r="U28" s="298"/>
      <c r="X28" s="177"/>
      <c r="AB28" s="177">
        <f t="shared" si="10"/>
        <v>21</v>
      </c>
      <c r="AC28" s="2">
        <f t="shared" si="3"/>
        <v>7</v>
      </c>
      <c r="AG28" s="220">
        <f t="shared" si="4"/>
        <v>0</v>
      </c>
      <c r="AH28" s="220">
        <f ca="1">IF(HLOOKUP($F28,Jornada!$X$7:$AD$37,VLOOKUP(INDIRECT($C$5),Jornada!$C$8:$W$37,21,0),0)=0,0,VLOOKUP(INDIRECT($C$5),Jornada!$C$8:$H$37,4,0))</f>
        <v>0</v>
      </c>
      <c r="AI28" s="155">
        <f ca="1">IF(AND(I28=0,J28=0,OR(H28&lt;&gt;0,K28&lt;&gt;0),HLOOKUP($F28,Jornada!$X$7:$AD$37,VLOOKUP(INDIRECT($C$5),Jornada!$C$8:$W$37,21,0),0)&gt;$AK$5,M28&gt;$AK$5),VLOOKUP(INDIRECT($C$5),Jornada!$C$8:$H$37,6,0),IF(AG28&gt;VLOOKUP(INDIRECT($C$5),Jornada!$C$8:$H$37,6,0),IF(VLOOKUP(INDIRECT($C$5),Jornada!$C$8:$H$37,6,0)&lt;AG28,0,ABS(VLOOKUP(INDIRECT($C$5),Jornada!$C$8:$H$37,6,0))-AG28),0))</f>
        <v>0</v>
      </c>
      <c r="AJ28" s="155">
        <f t="shared" si="5"/>
        <v>1</v>
      </c>
      <c r="AK28" s="155">
        <f t="shared" si="6"/>
        <v>0</v>
      </c>
      <c r="AL28" s="155">
        <f ca="1">HLOOKUP($F28,Jornada!$I$5:$V$37,VLOOKUP(INDIRECT($C$5),Jornada!$C$8:$W$37,21,0)+2,0)</f>
        <v>0</v>
      </c>
      <c r="AM28" s="155">
        <f ca="1">HLOOKUP($F28,Jornada!$I$4:$V$37,VLOOKUP(INDIRECT($C$5),Jornada!$C$8:$W$37,21,0)+3,0)</f>
        <v>0</v>
      </c>
      <c r="AN28" s="155">
        <f t="shared" ca="1" si="7"/>
        <v>0</v>
      </c>
      <c r="AO28" s="155">
        <f t="shared" si="8"/>
        <v>0</v>
      </c>
      <c r="AP28" s="155">
        <f t="shared" si="9"/>
        <v>0</v>
      </c>
    </row>
    <row r="29" spans="1:59" s="2" customFormat="1" ht="30" customHeight="1" thickTop="1" thickBot="1" x14ac:dyDescent="0.25">
      <c r="A29" s="1"/>
      <c r="B29"/>
      <c r="C29" s="172" t="str">
        <f>IF(Funcionários!C28=0,"",Funcionários!C28)</f>
        <v/>
      </c>
      <c r="D29"/>
      <c r="E29" s="115">
        <f>Lanç!E29</f>
        <v>22</v>
      </c>
      <c r="F29" s="189" t="str">
        <f>Lanç!F29</f>
        <v>Dom</v>
      </c>
      <c r="G29" s="81"/>
      <c r="H29" s="94"/>
      <c r="I29" s="94"/>
      <c r="J29" s="94"/>
      <c r="K29" s="94"/>
      <c r="L29" s="197"/>
      <c r="M29" s="95">
        <f t="shared" si="1"/>
        <v>0</v>
      </c>
      <c r="N29" s="196"/>
      <c r="O29" s="95">
        <f ca="1">IF(OR(G29=0,G29="Férias",G29="Falta Justificada",G29="Feriado",G29="Folga (DSR)"),0,IF(G29="Falta Injustificada",HLOOKUP($F29,Jornada!$X$7:$AD$37,VLOOKUP(INDIRECT($C$5),Jornada!$C$8:$W$37,21,0),0),IF(HLOOKUP($F29,Jornada!$X$7:$AD$37,VLOOKUP(INDIRECT($C$5),Jornada!$C$8:$W$37,21,0),0)-M29&gt;0,HLOOKUP($F29,Jornada!$X$7:$AD$37,VLOOKUP(INDIRECT($C$5),Jornada!$C$8:$W$37,21,0),0)-M29,0)))</f>
        <v>0</v>
      </c>
      <c r="P29" s="193">
        <f ca="1">IF(HLOOKUP($F29,Jornada!$X$7:$AD$37,VLOOKUP(INDIRECT($C$5),Jornada!$C$8:$W$37,21,0),0)-M29&lt;0,ABS(HLOOKUP($F29,Jornada!$X$7:$AD$37,VLOOKUP(INDIRECT($C$5),Jornada!$C$8:$W$37,21,0),0)-M29),0)</f>
        <v>0</v>
      </c>
      <c r="Q29" s="95">
        <f t="shared" si="0"/>
        <v>0</v>
      </c>
      <c r="R29" s="2">
        <f t="shared" si="2"/>
        <v>0</v>
      </c>
      <c r="S29" s="13"/>
      <c r="T29" s="74"/>
      <c r="U29" s="74"/>
      <c r="X29" s="177"/>
      <c r="AB29" s="177">
        <f t="shared" si="10"/>
        <v>22</v>
      </c>
      <c r="AC29" s="2">
        <f t="shared" si="3"/>
        <v>1</v>
      </c>
      <c r="AG29" s="220">
        <f t="shared" si="4"/>
        <v>0</v>
      </c>
      <c r="AH29" s="220">
        <f ca="1">IF(HLOOKUP($F29,Jornada!$X$7:$AD$37,VLOOKUP(INDIRECT($C$5),Jornada!$C$8:$W$37,21,0),0)=0,0,VLOOKUP(INDIRECT($C$5),Jornada!$C$8:$H$37,4,0))</f>
        <v>0</v>
      </c>
      <c r="AI29" s="155">
        <f ca="1">IF(AND(I29=0,J29=0,OR(H29&lt;&gt;0,K29&lt;&gt;0),HLOOKUP($F29,Jornada!$X$7:$AD$37,VLOOKUP(INDIRECT($C$5),Jornada!$C$8:$W$37,21,0),0)&gt;$AK$5,M29&gt;$AK$5),VLOOKUP(INDIRECT($C$5),Jornada!$C$8:$H$37,6,0),IF(AG29&gt;VLOOKUP(INDIRECT($C$5),Jornada!$C$8:$H$37,6,0),IF(VLOOKUP(INDIRECT($C$5),Jornada!$C$8:$H$37,6,0)&lt;AG29,0,ABS(VLOOKUP(INDIRECT($C$5),Jornada!$C$8:$H$37,6,0))-AG29),0))</f>
        <v>0</v>
      </c>
      <c r="AJ29" s="155">
        <f t="shared" si="5"/>
        <v>1</v>
      </c>
      <c r="AK29" s="155">
        <f t="shared" si="6"/>
        <v>0</v>
      </c>
      <c r="AL29" s="155">
        <f ca="1">HLOOKUP($F29,Jornada!$I$5:$V$37,VLOOKUP(INDIRECT($C$5),Jornada!$C$8:$W$37,21,0)+2,0)</f>
        <v>0</v>
      </c>
      <c r="AM29" s="155">
        <f ca="1">HLOOKUP($F29,Jornada!$I$4:$V$37,VLOOKUP(INDIRECT($C$5),Jornada!$C$8:$W$37,21,0)+3,0)</f>
        <v>0</v>
      </c>
      <c r="AN29" s="155">
        <f t="shared" ca="1" si="7"/>
        <v>0</v>
      </c>
      <c r="AO29" s="155">
        <f t="shared" si="8"/>
        <v>0</v>
      </c>
      <c r="AP29" s="155">
        <f t="shared" si="9"/>
        <v>0</v>
      </c>
    </row>
    <row r="30" spans="1:59" s="2" customFormat="1" ht="30" customHeight="1" thickTop="1" thickBot="1" x14ac:dyDescent="0.25">
      <c r="A30" s="1"/>
      <c r="B30"/>
      <c r="C30" s="172" t="str">
        <f>IF(Funcionários!C29=0,"",Funcionários!C29)</f>
        <v/>
      </c>
      <c r="D30"/>
      <c r="E30" s="173">
        <f>Lanç!E30</f>
        <v>23</v>
      </c>
      <c r="F30" s="189" t="str">
        <f>Lanç!F30</f>
        <v>Seg</v>
      </c>
      <c r="G30" s="81"/>
      <c r="H30" s="94"/>
      <c r="I30" s="94"/>
      <c r="J30" s="94"/>
      <c r="K30" s="94"/>
      <c r="L30" s="197"/>
      <c r="M30" s="95">
        <f t="shared" si="1"/>
        <v>0</v>
      </c>
      <c r="N30" s="196"/>
      <c r="O30" s="95">
        <f ca="1">IF(OR(G30=0,G30="Férias",G30="Falta Justificada",G30="Feriado",G30="Folga (DSR)"),0,IF(G30="Falta Injustificada",HLOOKUP($F30,Jornada!$X$7:$AD$37,VLOOKUP(INDIRECT($C$5),Jornada!$C$8:$W$37,21,0),0),IF(HLOOKUP($F30,Jornada!$X$7:$AD$37,VLOOKUP(INDIRECT($C$5),Jornada!$C$8:$W$37,21,0),0)-M30&gt;0,HLOOKUP($F30,Jornada!$X$7:$AD$37,VLOOKUP(INDIRECT($C$5),Jornada!$C$8:$W$37,21,0),0)-M30,0)))</f>
        <v>0</v>
      </c>
      <c r="P30" s="193">
        <f ca="1">IF(HLOOKUP($F30,Jornada!$X$7:$AD$37,VLOOKUP(INDIRECT($C$5),Jornada!$C$8:$W$37,21,0),0)-M30&lt;0,ABS(HLOOKUP($F30,Jornada!$X$7:$AD$37,VLOOKUP(INDIRECT($C$5),Jornada!$C$8:$W$37,21,0),0)-M30),0)</f>
        <v>0</v>
      </c>
      <c r="Q30" s="95">
        <f t="shared" si="0"/>
        <v>0</v>
      </c>
      <c r="R30" s="2">
        <f>IF(Q30&gt;$R$7,1,0)</f>
        <v>0</v>
      </c>
      <c r="S30" s="13"/>
      <c r="T30" s="74"/>
      <c r="U30" s="74"/>
      <c r="X30" s="177"/>
      <c r="AB30" s="177">
        <f t="shared" si="10"/>
        <v>23</v>
      </c>
      <c r="AC30" s="2">
        <f>WEEKDAY(AB30)</f>
        <v>2</v>
      </c>
      <c r="AG30" s="220">
        <f t="shared" si="4"/>
        <v>0</v>
      </c>
      <c r="AH30" s="220">
        <f ca="1">IF(HLOOKUP($F30,Jornada!$X$7:$AD$37,VLOOKUP(INDIRECT($C$5),Jornada!$C$8:$W$37,21,0),0)=0,0,VLOOKUP(INDIRECT($C$5),Jornada!$C$8:$H$37,4,0))</f>
        <v>0</v>
      </c>
      <c r="AI30" s="155">
        <f ca="1">IF(AND(I30=0,J30=0,OR(H30&lt;&gt;0,K30&lt;&gt;0),HLOOKUP($F30,Jornada!$X$7:$AD$37,VLOOKUP(INDIRECT($C$5),Jornada!$C$8:$W$37,21,0),0)&gt;$AK$5,M30&gt;$AK$5),VLOOKUP(INDIRECT($C$5),Jornada!$C$8:$H$37,6,0),IF(AG30&gt;VLOOKUP(INDIRECT($C$5),Jornada!$C$8:$H$37,6,0),IF(VLOOKUP(INDIRECT($C$5),Jornada!$C$8:$H$37,6,0)&lt;AG30,0,ABS(VLOOKUP(INDIRECT($C$5),Jornada!$C$8:$H$37,6,0))-AG30),0))</f>
        <v>0</v>
      </c>
      <c r="AJ30" s="155">
        <f>($AJ$7-K30)+H30</f>
        <v>1</v>
      </c>
      <c r="AK30" s="155">
        <f>IF(AJ30&lt;$AK$7,$AK$7-AJ30,$AI$7)</f>
        <v>0</v>
      </c>
      <c r="AL30" s="155">
        <f ca="1">HLOOKUP($F30,Jornada!$I$5:$V$37,VLOOKUP(INDIRECT($C$5),Jornada!$C$8:$W$37,21,0)+2,0)</f>
        <v>0</v>
      </c>
      <c r="AM30" s="155">
        <f ca="1">HLOOKUP($F30,Jornada!$I$4:$V$37,VLOOKUP(INDIRECT($C$5),Jornada!$C$8:$W$37,21,0)+3,0)</f>
        <v>0</v>
      </c>
      <c r="AN30" s="155">
        <f t="shared" ca="1" si="7"/>
        <v>0</v>
      </c>
      <c r="AO30" s="155">
        <f t="shared" si="8"/>
        <v>0</v>
      </c>
      <c r="AP30" s="155">
        <f t="shared" si="9"/>
        <v>0</v>
      </c>
    </row>
    <row r="31" spans="1:59" s="2" customFormat="1" ht="30" customHeight="1" thickTop="1" thickBot="1" x14ac:dyDescent="0.25">
      <c r="A31" s="1"/>
      <c r="B31"/>
      <c r="C31" s="172" t="str">
        <f>IF(Funcionários!C30=0,"",Funcionários!C30)</f>
        <v/>
      </c>
      <c r="D31"/>
      <c r="E31" s="173">
        <f>Lanç!E31</f>
        <v>24</v>
      </c>
      <c r="F31" s="189" t="str">
        <f>Lanç!F31</f>
        <v>Ter</v>
      </c>
      <c r="G31" s="81"/>
      <c r="H31" s="94"/>
      <c r="I31" s="94"/>
      <c r="J31" s="94"/>
      <c r="K31" s="94"/>
      <c r="L31" s="197"/>
      <c r="M31" s="95">
        <f t="shared" si="1"/>
        <v>0</v>
      </c>
      <c r="N31" s="196"/>
      <c r="O31" s="95">
        <f ca="1">IF(OR(G31=0,G31="Férias",G31="Falta Justificada",G31="Feriado",G31="Folga (DSR)"),0,IF(G31="Falta Injustificada",HLOOKUP($F31,Jornada!$X$7:$AD$37,VLOOKUP(INDIRECT($C$5),Jornada!$C$8:$W$37,21,0),0),IF(HLOOKUP($F31,Jornada!$X$7:$AD$37,VLOOKUP(INDIRECT($C$5),Jornada!$C$8:$W$37,21,0),0)-M31&gt;0,HLOOKUP($F31,Jornada!$X$7:$AD$37,VLOOKUP(INDIRECT($C$5),Jornada!$C$8:$W$37,21,0),0)-M31,0)))</f>
        <v>0</v>
      </c>
      <c r="P31" s="193">
        <f ca="1">IF(HLOOKUP($F31,Jornada!$X$7:$AD$37,VLOOKUP(INDIRECT($C$5),Jornada!$C$8:$W$37,21,0),0)-M31&lt;0,ABS(HLOOKUP($F31,Jornada!$X$7:$AD$37,VLOOKUP(INDIRECT($C$5),Jornada!$C$8:$W$37,21,0),0)-M31),0)</f>
        <v>0</v>
      </c>
      <c r="Q31" s="95">
        <f t="shared" si="0"/>
        <v>0</v>
      </c>
      <c r="R31" s="2">
        <f>IF(Q31&gt;$R$7,1,0)</f>
        <v>0</v>
      </c>
      <c r="S31" s="13"/>
      <c r="T31" s="74"/>
      <c r="U31" s="74"/>
      <c r="X31" s="177"/>
      <c r="AB31" s="177">
        <f t="shared" si="10"/>
        <v>24</v>
      </c>
      <c r="AC31" s="2">
        <f>WEEKDAY(AB31)</f>
        <v>3</v>
      </c>
      <c r="AG31" s="220">
        <f t="shared" si="4"/>
        <v>0</v>
      </c>
      <c r="AH31" s="220">
        <f ca="1">IF(HLOOKUP($F31,Jornada!$X$7:$AD$37,VLOOKUP(INDIRECT($C$5),Jornada!$C$8:$W$37,21,0),0)=0,0,VLOOKUP(INDIRECT($C$5),Jornada!$C$8:$H$37,4,0))</f>
        <v>0</v>
      </c>
      <c r="AI31" s="155">
        <f ca="1">IF(AND(I31=0,J31=0,OR(H31&lt;&gt;0,K31&lt;&gt;0),HLOOKUP($F31,Jornada!$X$7:$AD$37,VLOOKUP(INDIRECT($C$5),Jornada!$C$8:$W$37,21,0),0)&gt;$AK$5,M31&gt;$AK$5),VLOOKUP(INDIRECT($C$5),Jornada!$C$8:$H$37,6,0),IF(AG31&gt;VLOOKUP(INDIRECT($C$5),Jornada!$C$8:$H$37,6,0),IF(VLOOKUP(INDIRECT($C$5),Jornada!$C$8:$H$37,6,0)&lt;AG31,0,ABS(VLOOKUP(INDIRECT($C$5),Jornada!$C$8:$H$37,6,0))-AG31),0))</f>
        <v>0</v>
      </c>
      <c r="AJ31" s="155">
        <f>($AJ$7-K31)+H31</f>
        <v>1</v>
      </c>
      <c r="AK31" s="155">
        <f>IF(AJ31&lt;$AK$7,$AK$7-AJ31,$AI$7)</f>
        <v>0</v>
      </c>
      <c r="AL31" s="155">
        <f ca="1">HLOOKUP($F31,Jornada!$I$5:$V$37,VLOOKUP(INDIRECT($C$5),Jornada!$C$8:$W$37,21,0)+2,0)</f>
        <v>0</v>
      </c>
      <c r="AM31" s="155">
        <f ca="1">HLOOKUP($F31,Jornada!$I$4:$V$37,VLOOKUP(INDIRECT($C$5),Jornada!$C$8:$W$37,21,0)+3,0)</f>
        <v>0</v>
      </c>
      <c r="AN31" s="155">
        <f t="shared" ca="1" si="7"/>
        <v>0</v>
      </c>
      <c r="AO31" s="155">
        <f t="shared" si="8"/>
        <v>0</v>
      </c>
      <c r="AP31" s="155">
        <f t="shared" si="9"/>
        <v>0</v>
      </c>
    </row>
    <row r="32" spans="1:59" s="2" customFormat="1" ht="30" customHeight="1" thickTop="1" thickBot="1" x14ac:dyDescent="0.25">
      <c r="A32" s="1"/>
      <c r="B32"/>
      <c r="C32" s="172" t="str">
        <f>IF(Funcionários!C31=0,"",Funcionários!C31)</f>
        <v/>
      </c>
      <c r="D32"/>
      <c r="E32" s="115">
        <f>Lanç!E32</f>
        <v>25</v>
      </c>
      <c r="F32" s="189" t="str">
        <f>Lanç!F32</f>
        <v>Qua</v>
      </c>
      <c r="G32" s="81"/>
      <c r="H32" s="94"/>
      <c r="I32" s="94"/>
      <c r="J32" s="94"/>
      <c r="K32" s="94"/>
      <c r="L32" s="197"/>
      <c r="M32" s="95">
        <f t="shared" si="1"/>
        <v>0</v>
      </c>
      <c r="N32" s="196"/>
      <c r="O32" s="95">
        <f ca="1">IF(OR(G32=0,G32="Férias",G32="Falta Justificada",G32="Feriado",G32="Folga (DSR)"),0,IF(G32="Falta Injustificada",HLOOKUP($F32,Jornada!$X$7:$AD$37,VLOOKUP(INDIRECT($C$5),Jornada!$C$8:$W$37,21,0),0),IF(HLOOKUP($F32,Jornada!$X$7:$AD$37,VLOOKUP(INDIRECT($C$5),Jornada!$C$8:$W$37,21,0),0)-M32&gt;0,HLOOKUP($F32,Jornada!$X$7:$AD$37,VLOOKUP(INDIRECT($C$5),Jornada!$C$8:$W$37,21,0),0)-M32,0)))</f>
        <v>0</v>
      </c>
      <c r="P32" s="193">
        <f ca="1">IF(HLOOKUP($F32,Jornada!$X$7:$AD$37,VLOOKUP(INDIRECT($C$5),Jornada!$C$8:$W$37,21,0),0)-M32&lt;0,ABS(HLOOKUP($F32,Jornada!$X$7:$AD$37,VLOOKUP(INDIRECT($C$5),Jornada!$C$8:$W$37,21,0),0)-M32),0)</f>
        <v>0</v>
      </c>
      <c r="Q32" s="95">
        <f t="shared" si="0"/>
        <v>0</v>
      </c>
      <c r="R32" s="2">
        <f t="shared" si="2"/>
        <v>0</v>
      </c>
      <c r="S32" s="74"/>
      <c r="T32" s="74"/>
      <c r="U32" s="74"/>
      <c r="X32" s="177"/>
      <c r="AB32" s="177">
        <f t="shared" si="10"/>
        <v>25</v>
      </c>
      <c r="AC32" s="2">
        <f t="shared" si="3"/>
        <v>4</v>
      </c>
      <c r="AG32" s="220">
        <f t="shared" si="4"/>
        <v>0</v>
      </c>
      <c r="AH32" s="220">
        <f ca="1">IF(HLOOKUP($F32,Jornada!$X$7:$AD$37,VLOOKUP(INDIRECT($C$5),Jornada!$C$8:$W$37,21,0),0)=0,0,VLOOKUP(INDIRECT($C$5),Jornada!$C$8:$H$37,4,0))</f>
        <v>0</v>
      </c>
      <c r="AI32" s="155">
        <f ca="1">IF(AND(I32=0,J32=0,OR(H32&lt;&gt;0,K32&lt;&gt;0),HLOOKUP($F32,Jornada!$X$7:$AD$37,VLOOKUP(INDIRECT($C$5),Jornada!$C$8:$W$37,21,0),0)&gt;$AK$5,M32&gt;$AK$5),VLOOKUP(INDIRECT($C$5),Jornada!$C$8:$H$37,6,0),IF(AG32&gt;VLOOKUP(INDIRECT($C$5),Jornada!$C$8:$H$37,6,0),IF(VLOOKUP(INDIRECT($C$5),Jornada!$C$8:$H$37,6,0)&lt;AG32,0,ABS(VLOOKUP(INDIRECT($C$5),Jornada!$C$8:$H$37,6,0))-AG32),0))</f>
        <v>0</v>
      </c>
      <c r="AJ32" s="155">
        <f t="shared" si="5"/>
        <v>1</v>
      </c>
      <c r="AK32" s="155">
        <f t="shared" si="6"/>
        <v>0</v>
      </c>
      <c r="AL32" s="155">
        <f ca="1">HLOOKUP($F32,Jornada!$I$5:$V$37,VLOOKUP(INDIRECT($C$5),Jornada!$C$8:$W$37,21,0)+2,0)</f>
        <v>0</v>
      </c>
      <c r="AM32" s="155">
        <f ca="1">HLOOKUP($F32,Jornada!$I$4:$V$37,VLOOKUP(INDIRECT($C$5),Jornada!$C$8:$W$37,21,0)+3,0)</f>
        <v>0</v>
      </c>
      <c r="AN32" s="155">
        <f t="shared" ca="1" si="7"/>
        <v>0</v>
      </c>
      <c r="AO32" s="155">
        <f t="shared" si="8"/>
        <v>0</v>
      </c>
      <c r="AP32" s="155">
        <f t="shared" si="9"/>
        <v>0</v>
      </c>
    </row>
    <row r="33" spans="1:42" s="2" customFormat="1" ht="30" customHeight="1" thickTop="1" thickBot="1" x14ac:dyDescent="0.25">
      <c r="A33" s="1"/>
      <c r="B33"/>
      <c r="C33" s="172" t="str">
        <f>IF(Funcionários!C32=0,"",Funcionários!C32)</f>
        <v/>
      </c>
      <c r="D33"/>
      <c r="E33" s="115">
        <f>Lanç!E33</f>
        <v>26</v>
      </c>
      <c r="F33" s="189" t="str">
        <f>Lanç!F33</f>
        <v>Qui</v>
      </c>
      <c r="G33" s="81"/>
      <c r="H33" s="94"/>
      <c r="I33" s="94"/>
      <c r="J33" s="94"/>
      <c r="K33" s="94"/>
      <c r="L33" s="197"/>
      <c r="M33" s="95">
        <f t="shared" si="1"/>
        <v>0</v>
      </c>
      <c r="N33" s="196"/>
      <c r="O33" s="95">
        <f ca="1">IF(OR(G33=0,G33="Férias",G33="Falta Justificada",G33="Feriado",G33="Folga (DSR)"),0,IF(G33="Falta Injustificada",HLOOKUP($F33,Jornada!$X$7:$AD$37,VLOOKUP(INDIRECT($C$5),Jornada!$C$8:$W$37,21,0),0),IF(HLOOKUP($F33,Jornada!$X$7:$AD$37,VLOOKUP(INDIRECT($C$5),Jornada!$C$8:$W$37,21,0),0)-M33&gt;0,HLOOKUP($F33,Jornada!$X$7:$AD$37,VLOOKUP(INDIRECT($C$5),Jornada!$C$8:$W$37,21,0),0)-M33,0)))</f>
        <v>0</v>
      </c>
      <c r="P33" s="193">
        <f ca="1">IF(HLOOKUP($F33,Jornada!$X$7:$AD$37,VLOOKUP(INDIRECT($C$5),Jornada!$C$8:$W$37,21,0),0)-M33&lt;0,ABS(HLOOKUP($F33,Jornada!$X$7:$AD$37,VLOOKUP(INDIRECT($C$5),Jornada!$C$8:$W$37,21,0),0)-M33),0)</f>
        <v>0</v>
      </c>
      <c r="Q33" s="95">
        <f t="shared" si="0"/>
        <v>0</v>
      </c>
      <c r="R33" s="2">
        <f t="shared" si="2"/>
        <v>0</v>
      </c>
      <c r="S33" s="74"/>
      <c r="T33" s="74"/>
      <c r="U33" s="74"/>
      <c r="X33" s="177"/>
      <c r="AB33" s="177">
        <f t="shared" si="10"/>
        <v>26</v>
      </c>
      <c r="AC33" s="2">
        <f t="shared" si="3"/>
        <v>5</v>
      </c>
      <c r="AG33" s="220">
        <f t="shared" si="4"/>
        <v>0</v>
      </c>
      <c r="AH33" s="220">
        <f ca="1">IF(HLOOKUP($F33,Jornada!$X$7:$AD$37,VLOOKUP(INDIRECT($C$5),Jornada!$C$8:$W$37,21,0),0)=0,0,VLOOKUP(INDIRECT($C$5),Jornada!$C$8:$H$37,4,0))</f>
        <v>0</v>
      </c>
      <c r="AI33" s="155">
        <f ca="1">IF(AND(I33=0,J33=0,OR(H33&lt;&gt;0,K33&lt;&gt;0),HLOOKUP($F33,Jornada!$X$7:$AD$37,VLOOKUP(INDIRECT($C$5),Jornada!$C$8:$W$37,21,0),0)&gt;$AK$5,M33&gt;$AK$5),VLOOKUP(INDIRECT($C$5),Jornada!$C$8:$H$37,6,0),IF(AG33&gt;VLOOKUP(INDIRECT($C$5),Jornada!$C$8:$H$37,6,0),IF(VLOOKUP(INDIRECT($C$5),Jornada!$C$8:$H$37,6,0)&lt;AG33,0,ABS(VLOOKUP(INDIRECT($C$5),Jornada!$C$8:$H$37,6,0))-AG33),0))</f>
        <v>0</v>
      </c>
      <c r="AJ33" s="155">
        <f t="shared" si="5"/>
        <v>1</v>
      </c>
      <c r="AK33" s="155">
        <f t="shared" si="6"/>
        <v>0</v>
      </c>
      <c r="AL33" s="155">
        <f ca="1">HLOOKUP($F33,Jornada!$I$5:$V$37,VLOOKUP(INDIRECT($C$5),Jornada!$C$8:$W$37,21,0)+2,0)</f>
        <v>0</v>
      </c>
      <c r="AM33" s="155">
        <f ca="1">HLOOKUP($F33,Jornada!$I$4:$V$37,VLOOKUP(INDIRECT($C$5),Jornada!$C$8:$W$37,21,0)+3,0)</f>
        <v>0</v>
      </c>
      <c r="AN33" s="155">
        <f t="shared" ca="1" si="7"/>
        <v>0</v>
      </c>
      <c r="AO33" s="155">
        <f t="shared" si="8"/>
        <v>0</v>
      </c>
      <c r="AP33" s="155">
        <f t="shared" si="9"/>
        <v>0</v>
      </c>
    </row>
    <row r="34" spans="1:42" s="2" customFormat="1" ht="30" customHeight="1" thickTop="1" thickBot="1" x14ac:dyDescent="0.25">
      <c r="A34" s="1"/>
      <c r="B34"/>
      <c r="C34" s="172" t="str">
        <f>IF(Funcionários!C33=0,"",Funcionários!C33)</f>
        <v/>
      </c>
      <c r="D34"/>
      <c r="E34" s="115">
        <f>Lanç!E34</f>
        <v>27</v>
      </c>
      <c r="F34" s="189" t="str">
        <f>Lanç!F34</f>
        <v>Sex</v>
      </c>
      <c r="G34" s="81"/>
      <c r="H34" s="94"/>
      <c r="I34" s="94"/>
      <c r="J34" s="94"/>
      <c r="K34" s="94"/>
      <c r="L34" s="197"/>
      <c r="M34" s="95">
        <f t="shared" si="1"/>
        <v>0</v>
      </c>
      <c r="N34" s="196"/>
      <c r="O34" s="95">
        <f ca="1">IF(OR(G34=0,G34="Férias",G34="Falta Justificada",G34="Feriado",G34="Folga (DSR)"),0,IF(G34="Falta Injustificada",HLOOKUP($F34,Jornada!$X$7:$AD$37,VLOOKUP(INDIRECT($C$5),Jornada!$C$8:$W$37,21,0),0),IF(HLOOKUP($F34,Jornada!$X$7:$AD$37,VLOOKUP(INDIRECT($C$5),Jornada!$C$8:$W$37,21,0),0)-M34&gt;0,HLOOKUP($F34,Jornada!$X$7:$AD$37,VLOOKUP(INDIRECT($C$5),Jornada!$C$8:$W$37,21,0),0)-M34,0)))</f>
        <v>0</v>
      </c>
      <c r="P34" s="193">
        <f ca="1">IF(HLOOKUP($F34,Jornada!$X$7:$AD$37,VLOOKUP(INDIRECT($C$5),Jornada!$C$8:$W$37,21,0),0)-M34&lt;0,ABS(HLOOKUP($F34,Jornada!$X$7:$AD$37,VLOOKUP(INDIRECT($C$5),Jornada!$C$8:$W$37,21,0),0)-M34),0)</f>
        <v>0</v>
      </c>
      <c r="Q34" s="95">
        <f t="shared" si="0"/>
        <v>0</v>
      </c>
      <c r="R34" s="2">
        <f t="shared" si="2"/>
        <v>0</v>
      </c>
      <c r="S34" s="74"/>
      <c r="T34" s="74"/>
      <c r="U34" s="74"/>
      <c r="X34" s="177"/>
      <c r="AB34" s="177">
        <f t="shared" si="10"/>
        <v>27</v>
      </c>
      <c r="AC34" s="2">
        <f t="shared" si="3"/>
        <v>6</v>
      </c>
      <c r="AG34" s="220">
        <f t="shared" si="4"/>
        <v>0</v>
      </c>
      <c r="AH34" s="220">
        <f ca="1">IF(HLOOKUP($F34,Jornada!$X$7:$AD$37,VLOOKUP(INDIRECT($C$5),Jornada!$C$8:$W$37,21,0),0)=0,0,VLOOKUP(INDIRECT($C$5),Jornada!$C$8:$H$37,4,0))</f>
        <v>0</v>
      </c>
      <c r="AI34" s="155">
        <f ca="1">IF(AND(I34=0,J34=0,OR(H34&lt;&gt;0,K34&lt;&gt;0),HLOOKUP($F34,Jornada!$X$7:$AD$37,VLOOKUP(INDIRECT($C$5),Jornada!$C$8:$W$37,21,0),0)&gt;$AK$5,M34&gt;$AK$5),VLOOKUP(INDIRECT($C$5),Jornada!$C$8:$H$37,6,0),IF(AG34&gt;VLOOKUP(INDIRECT($C$5),Jornada!$C$8:$H$37,6,0),IF(VLOOKUP(INDIRECT($C$5),Jornada!$C$8:$H$37,6,0)&lt;AG34,0,ABS(VLOOKUP(INDIRECT($C$5),Jornada!$C$8:$H$37,6,0))-AG34),0))</f>
        <v>0</v>
      </c>
      <c r="AJ34" s="155">
        <f t="shared" si="5"/>
        <v>1</v>
      </c>
      <c r="AK34" s="155">
        <f t="shared" si="6"/>
        <v>0</v>
      </c>
      <c r="AL34" s="155">
        <f ca="1">HLOOKUP($F34,Jornada!$I$5:$V$37,VLOOKUP(INDIRECT($C$5),Jornada!$C$8:$W$37,21,0)+2,0)</f>
        <v>0</v>
      </c>
      <c r="AM34" s="155">
        <f ca="1">HLOOKUP($F34,Jornada!$I$4:$V$37,VLOOKUP(INDIRECT($C$5),Jornada!$C$8:$W$37,21,0)+3,0)</f>
        <v>0</v>
      </c>
      <c r="AN34" s="155">
        <f t="shared" ca="1" si="7"/>
        <v>0</v>
      </c>
      <c r="AO34" s="155">
        <f t="shared" si="8"/>
        <v>0</v>
      </c>
      <c r="AP34" s="155">
        <f t="shared" si="9"/>
        <v>0</v>
      </c>
    </row>
    <row r="35" spans="1:42" s="2" customFormat="1" ht="30" customHeight="1" thickTop="1" thickBot="1" x14ac:dyDescent="0.25">
      <c r="A35" s="1"/>
      <c r="B35"/>
      <c r="C35" s="172" t="str">
        <f>IF(Funcionários!C34=0,"",Funcionários!C34)</f>
        <v/>
      </c>
      <c r="D35"/>
      <c r="E35" s="115">
        <f>Lanç!E35</f>
        <v>28</v>
      </c>
      <c r="F35" s="189" t="str">
        <f>Lanç!F35</f>
        <v>Sáb</v>
      </c>
      <c r="G35" s="81"/>
      <c r="H35" s="94"/>
      <c r="I35" s="94"/>
      <c r="J35" s="94"/>
      <c r="K35" s="94"/>
      <c r="L35" s="197"/>
      <c r="M35" s="95">
        <f t="shared" si="1"/>
        <v>0</v>
      </c>
      <c r="N35" s="196"/>
      <c r="O35" s="95">
        <f ca="1">IF(OR(G35=0,G35="Férias",G35="Falta Justificada",G35="Feriado",G35="Folga (DSR)"),0,IF(G35="Falta Injustificada",HLOOKUP($F35,Jornada!$X$7:$AD$37,VLOOKUP(INDIRECT($C$5),Jornada!$C$8:$W$37,21,0),0),IF(HLOOKUP($F35,Jornada!$X$7:$AD$37,VLOOKUP(INDIRECT($C$5),Jornada!$C$8:$W$37,21,0),0)-M35&gt;0,HLOOKUP($F35,Jornada!$X$7:$AD$37,VLOOKUP(INDIRECT($C$5),Jornada!$C$8:$W$37,21,0),0)-M35,0)))</f>
        <v>0</v>
      </c>
      <c r="P35" s="193">
        <f ca="1">IF(HLOOKUP($F35,Jornada!$X$7:$AD$37,VLOOKUP(INDIRECT($C$5),Jornada!$C$8:$W$37,21,0),0)-M35&lt;0,ABS(HLOOKUP($F35,Jornada!$X$7:$AD$37,VLOOKUP(INDIRECT($C$5),Jornada!$C$8:$W$37,21,0),0)-M35),0)</f>
        <v>0</v>
      </c>
      <c r="Q35" s="95">
        <f t="shared" si="0"/>
        <v>0</v>
      </c>
      <c r="R35" s="2">
        <f t="shared" si="2"/>
        <v>0</v>
      </c>
      <c r="S35"/>
      <c r="T35"/>
      <c r="U35"/>
      <c r="X35" s="177"/>
      <c r="AB35" s="177">
        <f>IF(MONTH(AB34+1)&lt;&gt;MONTH(AB34),"",AB34+1)</f>
        <v>28</v>
      </c>
      <c r="AC35" s="2">
        <f t="shared" si="3"/>
        <v>7</v>
      </c>
      <c r="AG35" s="220">
        <f t="shared" si="4"/>
        <v>0</v>
      </c>
      <c r="AH35" s="220">
        <f ca="1">IF(HLOOKUP($F35,Jornada!$X$7:$AD$37,VLOOKUP(INDIRECT($C$5),Jornada!$C$8:$W$37,21,0),0)=0,0,VLOOKUP(INDIRECT($C$5),Jornada!$C$8:$H$37,4,0))</f>
        <v>0</v>
      </c>
      <c r="AI35" s="155">
        <f ca="1">IF(AND(I35=0,J35=0,OR(H35&lt;&gt;0,K35&lt;&gt;0),HLOOKUP($F35,Jornada!$X$7:$AD$37,VLOOKUP(INDIRECT($C$5),Jornada!$C$8:$W$37,21,0),0)&gt;$AK$5,M35&gt;$AK$5),VLOOKUP(INDIRECT($C$5),Jornada!$C$8:$H$37,6,0),IF(AG35&gt;VLOOKUP(INDIRECT($C$5),Jornada!$C$8:$H$37,6,0),IF(VLOOKUP(INDIRECT($C$5),Jornada!$C$8:$H$37,6,0)&lt;AG35,0,ABS(VLOOKUP(INDIRECT($C$5),Jornada!$C$8:$H$37,6,0))-AG35),0))</f>
        <v>0</v>
      </c>
      <c r="AJ35" s="155">
        <f t="shared" si="5"/>
        <v>1</v>
      </c>
      <c r="AK35" s="155">
        <f t="shared" si="6"/>
        <v>0</v>
      </c>
      <c r="AL35" s="155">
        <f ca="1">HLOOKUP($F35,Jornada!$I$5:$V$37,VLOOKUP(INDIRECT($C$5),Jornada!$C$8:$W$37,21,0)+2,0)</f>
        <v>0</v>
      </c>
      <c r="AM35" s="155">
        <f ca="1">HLOOKUP($F35,Jornada!$I$4:$V$37,VLOOKUP(INDIRECT($C$5),Jornada!$C$8:$W$37,21,0)+3,0)</f>
        <v>0</v>
      </c>
      <c r="AN35" s="155">
        <f t="shared" ca="1" si="7"/>
        <v>0</v>
      </c>
      <c r="AO35" s="155">
        <f t="shared" si="8"/>
        <v>0</v>
      </c>
      <c r="AP35" s="155">
        <f t="shared" si="9"/>
        <v>0</v>
      </c>
    </row>
    <row r="36" spans="1:42" s="2" customFormat="1" ht="30" customHeight="1" thickTop="1" thickBot="1" x14ac:dyDescent="0.25">
      <c r="A36" s="1"/>
      <c r="B36"/>
      <c r="C36" s="172" t="str">
        <f>IF(Funcionários!C35=0,"",Funcionários!C35)</f>
        <v/>
      </c>
      <c r="D36"/>
      <c r="E36" s="115">
        <f>Lanç!E36</f>
        <v>29</v>
      </c>
      <c r="F36" s="189" t="str">
        <f>Lanç!F36</f>
        <v>Dom</v>
      </c>
      <c r="G36" s="81"/>
      <c r="H36" s="94"/>
      <c r="I36" s="94"/>
      <c r="J36" s="94"/>
      <c r="K36" s="94"/>
      <c r="L36" s="197"/>
      <c r="M36" s="95">
        <f t="shared" si="1"/>
        <v>0</v>
      </c>
      <c r="N36" s="196"/>
      <c r="O36" s="95">
        <f ca="1">IF(OR(G36=0,G36="Férias",G36="Falta Justificada",G36="Feriado",G36="Folga (DSR)"),0,IF(G36="Falta Injustificada",HLOOKUP($F36,Jornada!$X$7:$AD$37,VLOOKUP(INDIRECT($C$5),Jornada!$C$8:$W$37,21,0),0),IF(HLOOKUP($F36,Jornada!$X$7:$AD$37,VLOOKUP(INDIRECT($C$5),Jornada!$C$8:$W$37,21,0),0)-M36&gt;0,HLOOKUP($F36,Jornada!$X$7:$AD$37,VLOOKUP(INDIRECT($C$5),Jornada!$C$8:$W$37,21,0),0)-M36,0)))</f>
        <v>0</v>
      </c>
      <c r="P36" s="193">
        <f ca="1">IF(HLOOKUP($F36,Jornada!$X$7:$AD$37,VLOOKUP(INDIRECT($C$5),Jornada!$C$8:$W$37,21,0),0)-M36&lt;0,ABS(HLOOKUP($F36,Jornada!$X$7:$AD$37,VLOOKUP(INDIRECT($C$5),Jornada!$C$8:$W$37,21,0),0)-M36),0)</f>
        <v>0</v>
      </c>
      <c r="Q36" s="95">
        <f t="shared" si="0"/>
        <v>0</v>
      </c>
      <c r="R36" s="2">
        <f t="shared" si="2"/>
        <v>0</v>
      </c>
      <c r="S36"/>
      <c r="T36"/>
      <c r="U36"/>
      <c r="X36" s="177"/>
      <c r="AB36" s="177">
        <f>IF(MONTH(AB35+1)&lt;&gt;MONTH(AB35),"",IF(AB35="","",AB35+1))</f>
        <v>29</v>
      </c>
      <c r="AC36" s="2">
        <f>IF(ISERROR(WEEKDAY(AB36)),"",WEEKDAY(AB36))</f>
        <v>1</v>
      </c>
      <c r="AG36" s="220">
        <f t="shared" si="4"/>
        <v>0</v>
      </c>
      <c r="AH36" s="220">
        <f ca="1">IF(HLOOKUP($F36,Jornada!$X$7:$AD$37,VLOOKUP(INDIRECT($C$5),Jornada!$C$8:$W$37,21,0),0)=0,0,VLOOKUP(INDIRECT($C$5),Jornada!$C$8:$H$37,4,0))</f>
        <v>0</v>
      </c>
      <c r="AI36" s="155">
        <f ca="1">IF(AND(I36=0,J36=0,OR(H36&lt;&gt;0,K36&lt;&gt;0),HLOOKUP($F36,Jornada!$X$7:$AD$37,VLOOKUP(INDIRECT($C$5),Jornada!$C$8:$W$37,21,0),0)&gt;$AK$5,M36&gt;$AK$5),VLOOKUP(INDIRECT($C$5),Jornada!$C$8:$H$37,6,0),IF(AG36&gt;VLOOKUP(INDIRECT($C$5),Jornada!$C$8:$H$37,6,0),IF(VLOOKUP(INDIRECT($C$5),Jornada!$C$8:$H$37,6,0)&lt;AG36,0,ABS(VLOOKUP(INDIRECT($C$5),Jornada!$C$8:$H$37,6,0))-AG36),0))</f>
        <v>0</v>
      </c>
      <c r="AJ36" s="155">
        <f t="shared" si="5"/>
        <v>1</v>
      </c>
      <c r="AK36" s="155">
        <f t="shared" si="6"/>
        <v>0</v>
      </c>
      <c r="AL36" s="155">
        <f ca="1">HLOOKUP($F36,Jornada!$I$5:$V$37,VLOOKUP(INDIRECT($C$5),Jornada!$C$8:$W$37,21,0)+2,0)</f>
        <v>0</v>
      </c>
      <c r="AM36" s="155">
        <f ca="1">HLOOKUP($F36,Jornada!$I$4:$V$37,VLOOKUP(INDIRECT($C$5),Jornada!$C$8:$W$37,21,0)+3,0)</f>
        <v>0</v>
      </c>
      <c r="AN36" s="155">
        <f t="shared" ca="1" si="7"/>
        <v>0</v>
      </c>
      <c r="AO36" s="155">
        <f t="shared" si="8"/>
        <v>0</v>
      </c>
      <c r="AP36" s="155">
        <f t="shared" si="9"/>
        <v>0</v>
      </c>
    </row>
    <row r="37" spans="1:42" s="2" customFormat="1" ht="30" customHeight="1" thickTop="1" thickBot="1" x14ac:dyDescent="0.25">
      <c r="A37" s="1"/>
      <c r="B37"/>
      <c r="C37" s="172" t="str">
        <f>IF(Funcionários!C36=0,"",Funcionários!C36)</f>
        <v/>
      </c>
      <c r="D37"/>
      <c r="E37" s="115">
        <f>Lanç!E37</f>
        <v>30</v>
      </c>
      <c r="F37" s="189" t="str">
        <f>Lanç!F37</f>
        <v>Seg</v>
      </c>
      <c r="G37" s="81"/>
      <c r="H37" s="94"/>
      <c r="I37" s="94"/>
      <c r="J37" s="94"/>
      <c r="K37" s="94"/>
      <c r="L37" s="197"/>
      <c r="M37" s="95">
        <f t="shared" si="1"/>
        <v>0</v>
      </c>
      <c r="N37" s="196"/>
      <c r="O37" s="95">
        <f ca="1">IF(OR(G37=0,G37="Férias",G37="Falta Justificada",G37="Feriado",G37="Folga (DSR)"),0,IF(G37="Falta Injustificada",HLOOKUP($F37,Jornada!$X$7:$AD$37,VLOOKUP(INDIRECT($C$5),Jornada!$C$8:$W$37,21,0),0),IF(HLOOKUP($F37,Jornada!$X$7:$AD$37,VLOOKUP(INDIRECT($C$5),Jornada!$C$8:$W$37,21,0),0)-M37&gt;0,HLOOKUP($F37,Jornada!$X$7:$AD$37,VLOOKUP(INDIRECT($C$5),Jornada!$C$8:$W$37,21,0),0)-M37,0)))</f>
        <v>0</v>
      </c>
      <c r="P37" s="193">
        <f ca="1">IF(HLOOKUP($F37,Jornada!$X$7:$AD$37,VLOOKUP(INDIRECT($C$5),Jornada!$C$8:$W$37,21,0),0)-M37&lt;0,ABS(HLOOKUP($F37,Jornada!$X$7:$AD$37,VLOOKUP(INDIRECT($C$5),Jornada!$C$8:$W$37,21,0),0)-M37),0)</f>
        <v>0</v>
      </c>
      <c r="Q37" s="95">
        <f t="shared" si="0"/>
        <v>0</v>
      </c>
      <c r="R37" s="2">
        <f t="shared" si="2"/>
        <v>0</v>
      </c>
      <c r="S37"/>
      <c r="T37"/>
      <c r="U37"/>
      <c r="X37" s="177"/>
      <c r="AB37" s="177">
        <f>IF(AB36="","",IF(MONTH(AB36+1)&lt;&gt;MONTH(AB36),"",AB36+1))</f>
        <v>30</v>
      </c>
      <c r="AC37" s="2">
        <f>IF(ISERROR(WEEKDAY(AB37)),"",WEEKDAY(AB37))</f>
        <v>2</v>
      </c>
      <c r="AG37" s="220">
        <f t="shared" si="4"/>
        <v>0</v>
      </c>
      <c r="AH37" s="220">
        <f ca="1">IF(HLOOKUP($F37,Jornada!$X$7:$AD$37,VLOOKUP(INDIRECT($C$5),Jornada!$C$8:$W$37,21,0),0)=0,0,VLOOKUP(INDIRECT($C$5),Jornada!$C$8:$H$37,4,0))</f>
        <v>0</v>
      </c>
      <c r="AI37" s="155">
        <f ca="1">IF(AND(I37=0,J37=0,OR(H37&lt;&gt;0,K37&lt;&gt;0),HLOOKUP($F37,Jornada!$X$7:$AD$37,VLOOKUP(INDIRECT($C$5),Jornada!$C$8:$W$37,21,0),0)&gt;$AK$5,M37&gt;$AK$5),VLOOKUP(INDIRECT($C$5),Jornada!$C$8:$H$37,6,0),IF(AG37&gt;VLOOKUP(INDIRECT($C$5),Jornada!$C$8:$H$37,6,0),IF(VLOOKUP(INDIRECT($C$5),Jornada!$C$8:$H$37,6,0)&lt;AG37,0,ABS(VLOOKUP(INDIRECT($C$5),Jornada!$C$8:$H$37,6,0))-AG37),0))</f>
        <v>0</v>
      </c>
      <c r="AJ37" s="155">
        <f t="shared" si="5"/>
        <v>1</v>
      </c>
      <c r="AK37" s="155">
        <f t="shared" si="6"/>
        <v>0</v>
      </c>
      <c r="AL37" s="155">
        <f ca="1">HLOOKUP($F37,Jornada!$I$5:$V$37,VLOOKUP(INDIRECT($C$5),Jornada!$C$8:$W$37,21,0)+2,0)</f>
        <v>0</v>
      </c>
      <c r="AM37" s="155">
        <f ca="1">HLOOKUP($F37,Jornada!$I$4:$V$37,VLOOKUP(INDIRECT($C$5),Jornada!$C$8:$W$37,21,0)+3,0)</f>
        <v>0</v>
      </c>
      <c r="AN37" s="155">
        <f t="shared" ca="1" si="7"/>
        <v>0</v>
      </c>
      <c r="AO37" s="155">
        <f t="shared" si="8"/>
        <v>0</v>
      </c>
      <c r="AP37" s="155">
        <f t="shared" si="9"/>
        <v>0</v>
      </c>
    </row>
    <row r="38" spans="1:42" s="2" customFormat="1" ht="30" customHeight="1" thickTop="1" thickBot="1" x14ac:dyDescent="0.25">
      <c r="A38" s="1"/>
      <c r="B38"/>
      <c r="C38"/>
      <c r="D38" s="2">
        <f t="shared" ref="D38" si="11">IF(D37=7,1,D37+1)</f>
        <v>1</v>
      </c>
      <c r="E38" s="210">
        <f>Lanç!E38</f>
        <v>31</v>
      </c>
      <c r="F38" s="210" t="str">
        <f>Lanç!F38</f>
        <v>Ter</v>
      </c>
      <c r="G38" s="81"/>
      <c r="H38" s="94"/>
      <c r="I38" s="94"/>
      <c r="J38" s="94"/>
      <c r="K38" s="94"/>
      <c r="L38" s="197"/>
      <c r="M38" s="95">
        <f t="shared" si="1"/>
        <v>0</v>
      </c>
      <c r="N38" s="196"/>
      <c r="O38" s="95">
        <f ca="1">IF(OR(G38=0,G38="Férias",G38="Falta Justificada",G38="Feriado",G38="Folga (DSR)"),0,IF(G38="Falta Injustificada",HLOOKUP($F38,Jornada!$X$7:$AD$37,VLOOKUP(INDIRECT($C$5),Jornada!$C$8:$W$37,21,0),0),IF(HLOOKUP($F38,Jornada!$X$7:$AD$37,VLOOKUP(INDIRECT($C$5),Jornada!$C$8:$W$37,21,0),0)-M38&gt;0,HLOOKUP($F38,Jornada!$X$7:$AD$37,VLOOKUP(INDIRECT($C$5),Jornada!$C$8:$W$37,21,0),0)-M38,0)))</f>
        <v>0</v>
      </c>
      <c r="P38" s="201">
        <f ca="1">IF(HLOOKUP($F38,Jornada!$X$7:$AD$37,VLOOKUP(INDIRECT($C$5),Jornada!$C$8:$W$37,21,0),0)-M38&lt;0,ABS(HLOOKUP($F38,Jornada!$X$7:$AD$37,VLOOKUP(INDIRECT($C$5),Jornada!$C$8:$W$37,21,0),0)-M38),0)</f>
        <v>0</v>
      </c>
      <c r="Q38" s="95">
        <f t="shared" si="0"/>
        <v>0</v>
      </c>
      <c r="R38" s="2">
        <f t="shared" si="2"/>
        <v>0</v>
      </c>
      <c r="X38" s="177"/>
      <c r="AB38" s="177">
        <f>IF(AB37="","",IF(MONTH(AB37+1)&lt;&gt;MONTH(AB37),"",AB37+1))</f>
        <v>31</v>
      </c>
      <c r="AC38" s="2">
        <f>IF(ISERROR(WEEKDAY(AB38)),"",WEEKDAY(AB38))</f>
        <v>3</v>
      </c>
      <c r="AG38" s="220">
        <f t="shared" si="4"/>
        <v>0</v>
      </c>
      <c r="AH38" s="220">
        <f ca="1">IF(HLOOKUP($F38,Jornada!$X$7:$AD$37,VLOOKUP(INDIRECT($C$5),Jornada!$C$8:$W$37,21,0),0)=0,0,VLOOKUP(INDIRECT($C$5),Jornada!$C$8:$H$37,4,0))</f>
        <v>0</v>
      </c>
      <c r="AI38" s="155">
        <f ca="1">IF(AND(I38=0,J38=0,OR(H38&lt;&gt;0,K38&lt;&gt;0),HLOOKUP($F38,Jornada!$X$7:$AD$37,VLOOKUP(INDIRECT($C$5),Jornada!$C$8:$W$37,21,0),0)&gt;$AK$5,M38&gt;$AK$5),VLOOKUP(INDIRECT($C$5),Jornada!$C$8:$H$37,6,0),IF(AG38&gt;VLOOKUP(INDIRECT($C$5),Jornada!$C$8:$H$37,6,0),IF(VLOOKUP(INDIRECT($C$5),Jornada!$C$8:$H$37,6,0)&lt;AG38,0,ABS(VLOOKUP(INDIRECT($C$5),Jornada!$C$8:$H$37,6,0))-AG38),0))</f>
        <v>0</v>
      </c>
      <c r="AJ38" s="155">
        <f t="shared" si="5"/>
        <v>1</v>
      </c>
      <c r="AK38" s="155">
        <f t="shared" si="6"/>
        <v>0</v>
      </c>
      <c r="AL38" s="155">
        <f ca="1">HLOOKUP($F38,Jornada!$I$5:$V$37,VLOOKUP(INDIRECT($C$5),Jornada!$C$8:$W$37,21,0)+2,0)</f>
        <v>0</v>
      </c>
      <c r="AM38" s="155">
        <f ca="1">HLOOKUP($F38,Jornada!$I$4:$V$37,VLOOKUP(INDIRECT($C$5),Jornada!$C$8:$W$37,21,0)+3,0)</f>
        <v>0</v>
      </c>
      <c r="AN38" s="155">
        <f t="shared" ca="1" si="7"/>
        <v>0</v>
      </c>
      <c r="AO38" s="155">
        <f t="shared" si="8"/>
        <v>0</v>
      </c>
      <c r="AP38" s="155">
        <f t="shared" si="9"/>
        <v>0</v>
      </c>
    </row>
    <row r="39" spans="1:42" s="2" customFormat="1" ht="30" customHeight="1" thickTop="1" x14ac:dyDescent="0.2">
      <c r="A39" s="9"/>
      <c r="B39" s="234"/>
      <c r="C39" s="234"/>
      <c r="D39" s="234"/>
      <c r="E39" s="236">
        <f>EOMONTH(AB8,0)</f>
        <v>31</v>
      </c>
      <c r="F39" s="234">
        <f>DAY(E39)</f>
        <v>31</v>
      </c>
      <c r="G39" s="237">
        <f>COUNTIF(F8:F38,"Dom")+COUNTIF(G8:G38,"Feriado")</f>
        <v>5</v>
      </c>
      <c r="H39" s="238">
        <f>(SUM(Q8:Q38)/(F39-G39))*G39</f>
        <v>0</v>
      </c>
      <c r="I39" s="234"/>
      <c r="J39" s="234"/>
      <c r="K39" s="234"/>
      <c r="L39" s="234"/>
      <c r="M39" s="234"/>
      <c r="Z39" s="219"/>
    </row>
    <row r="40" spans="1:42" s="2" customFormat="1" ht="30" customHeight="1" x14ac:dyDescent="0.2">
      <c r="A40" s="9"/>
      <c r="B40" s="234"/>
      <c r="C40" s="239"/>
      <c r="D40" s="239"/>
      <c r="E40" s="239"/>
      <c r="F40" s="240"/>
      <c r="G40" s="241"/>
      <c r="H40" s="234">
        <f ca="1">IF(INDIRECT($C$5)="",0,VLOOKUP(INDIRECT($C$5),Funcionários!$C$7:$E$36,3,0)+IF(VLOOKUP(INDIRECT($C$5),Jornada!$C$8:$E$37,2,0)="Sim",IF('P Gerais'!$I$8&lt;&gt;0,VLOOKUP(INDIRECT($C$5),Funcionários!$C$7:$E$36,3,0)*'P Gerais'!$L$14,'P Gerais'!$I$8*'P Gerais'!$L$14),0)+IF(VLOOKUP(INDIRECT($C$5),Jornada!$C$8:$E$37,3,0)="Sim",VLOOKUP(INDIRECT($C$5),Funcionários!$C$7:$E$36,3,0)*'P Gerais'!$K$14,0))</f>
        <v>0</v>
      </c>
      <c r="I40" s="234">
        <f ca="1">VLOOKUP(INDIRECT($C$5),Jornada!$C$8:$AF$37,30,0)</f>
        <v>0</v>
      </c>
      <c r="J40" s="234" t="s">
        <v>298</v>
      </c>
      <c r="K40" s="242">
        <f ca="1">IF(I40=0,0,H40/I40)</f>
        <v>0</v>
      </c>
      <c r="L40" s="234"/>
      <c r="M40" s="234"/>
      <c r="Z40" s="219"/>
    </row>
    <row r="41" spans="1:42" s="2" customFormat="1" ht="30" customHeight="1" x14ac:dyDescent="0.2">
      <c r="A41" s="9"/>
      <c r="B41" s="234" t="s">
        <v>52</v>
      </c>
      <c r="C41" s="292" t="s">
        <v>75</v>
      </c>
      <c r="D41" s="292"/>
      <c r="E41" s="292"/>
      <c r="F41" s="243">
        <f t="shared" ref="F41:F47" si="12">SUMIFS($Q$8:$Q$38,$F$8:$F$38,$B41,$G$8:$G$38,"Normal")</f>
        <v>0</v>
      </c>
      <c r="G41" s="244">
        <f>IF($M$41="Sistema de banco de horas",0,'P Gerais'!$C$14)</f>
        <v>0.5</v>
      </c>
      <c r="H41" s="245">
        <f t="shared" ref="H41:H48" ca="1" si="13">IF($M$41="Sistema de banco de horas",0,$K$40*(1+G41)*(F41*24))</f>
        <v>0</v>
      </c>
      <c r="I41" s="243">
        <f t="shared" ref="I41:I47" ca="1" si="14">IF(SUMIF($F$8:$F$38,$B41,$Q$8:$Q$38)-SUMIFS($M$8:$M$38,$F$8:$F$38,$B41,$G$8:$G$38,"Feriado")-SUMIFS($M$8:$M$38,$F$8:$F$38,$B41,$G$8:$G$38,"Folga (DSR)")-SUMIFS($M$8:$M$38,$F$8:$F$38,$B41,$G$8:$G$38,"Férias")-SUMIF($F$8:$F$38,$B41,$AN$8:$AN$38)-SUMIF($F$8:$F$38,$B41,$AO$8:$AO$38)&lt;0,0,SUMIF($F$8:$F$38,$B41,$Q$8:$Q$38)-SUMIFS($M$8:$M$38,$F$8:$F$38,$B41,$G$8:$G$38,"Feriado")-SUMIFS($M$8:$M$38,$F$8:$F$38,$B41,$G$8:$G$38,"Folga (DSR)")-SUMIFS($M$8:$M$38,$F$8:$F$38,$B41,$G$8:$G$38,"Férias")-SUMIF($F$8:$F$38,$B41,$AN$8:$AN$38)-SUMIF($F$8:$F$38,$B41,$AO$8:$AO$38))</f>
        <v>0</v>
      </c>
      <c r="J41" s="245">
        <f ca="1">H41</f>
        <v>0</v>
      </c>
      <c r="K41" s="234"/>
      <c r="L41" s="234"/>
      <c r="M41" s="234">
        <f>'P Gerais'!I10</f>
        <v>0</v>
      </c>
      <c r="Z41" s="219"/>
    </row>
    <row r="42" spans="1:42" s="2" customFormat="1" ht="30" customHeight="1" x14ac:dyDescent="0.2">
      <c r="A42" s="9"/>
      <c r="B42" s="234" t="s">
        <v>53</v>
      </c>
      <c r="C42" s="292" t="s">
        <v>76</v>
      </c>
      <c r="D42" s="292"/>
      <c r="E42" s="292"/>
      <c r="F42" s="243">
        <f t="shared" si="12"/>
        <v>0</v>
      </c>
      <c r="G42" s="244">
        <f>IF($M$41="Sistema de banco de horas",0,'P Gerais'!$C$14)</f>
        <v>0.5</v>
      </c>
      <c r="H42" s="245">
        <f t="shared" ca="1" si="13"/>
        <v>0</v>
      </c>
      <c r="I42" s="243">
        <f t="shared" ca="1" si="14"/>
        <v>0</v>
      </c>
      <c r="J42" s="245">
        <f t="shared" ref="J42:J51" ca="1" si="15">H42</f>
        <v>0</v>
      </c>
      <c r="K42" s="234"/>
      <c r="L42" s="234"/>
      <c r="M42" s="234"/>
      <c r="Z42" s="219"/>
    </row>
    <row r="43" spans="1:42" s="2" customFormat="1" ht="30" customHeight="1" x14ac:dyDescent="0.2">
      <c r="A43" s="9"/>
      <c r="B43" s="234" t="s">
        <v>54</v>
      </c>
      <c r="C43" s="292" t="s">
        <v>77</v>
      </c>
      <c r="D43" s="292"/>
      <c r="E43" s="292"/>
      <c r="F43" s="243">
        <f t="shared" si="12"/>
        <v>0</v>
      </c>
      <c r="G43" s="244">
        <f>IF($M$41="Sistema de banco de horas",0,'P Gerais'!$C$14)</f>
        <v>0.5</v>
      </c>
      <c r="H43" s="245">
        <f t="shared" ca="1" si="13"/>
        <v>0</v>
      </c>
      <c r="I43" s="243">
        <f t="shared" ca="1" si="14"/>
        <v>0</v>
      </c>
      <c r="J43" s="245">
        <f t="shared" ca="1" si="15"/>
        <v>0</v>
      </c>
      <c r="K43" s="234"/>
      <c r="L43" s="234"/>
      <c r="M43" s="234"/>
      <c r="Z43" s="219"/>
    </row>
    <row r="44" spans="1:42" s="2" customFormat="1" ht="30" customHeight="1" x14ac:dyDescent="0.2">
      <c r="A44" s="9"/>
      <c r="B44" s="234" t="s">
        <v>55</v>
      </c>
      <c r="C44" s="292" t="s">
        <v>78</v>
      </c>
      <c r="D44" s="292"/>
      <c r="E44" s="292"/>
      <c r="F44" s="243">
        <f t="shared" si="12"/>
        <v>0</v>
      </c>
      <c r="G44" s="244">
        <f>IF($M$41="Sistema de banco de horas",0,'P Gerais'!$C$14)</f>
        <v>0.5</v>
      </c>
      <c r="H44" s="245">
        <f t="shared" ca="1" si="13"/>
        <v>0</v>
      </c>
      <c r="I44" s="243">
        <f t="shared" ca="1" si="14"/>
        <v>0</v>
      </c>
      <c r="J44" s="245">
        <f t="shared" ca="1" si="15"/>
        <v>0</v>
      </c>
      <c r="K44" s="234"/>
      <c r="L44" s="234"/>
      <c r="M44" s="234"/>
      <c r="Z44" s="219"/>
    </row>
    <row r="45" spans="1:42" s="2" customFormat="1" ht="30" customHeight="1" x14ac:dyDescent="0.2">
      <c r="A45" s="9"/>
      <c r="B45" s="234" t="s">
        <v>56</v>
      </c>
      <c r="C45" s="292" t="s">
        <v>79</v>
      </c>
      <c r="D45" s="292"/>
      <c r="E45" s="292"/>
      <c r="F45" s="243">
        <f t="shared" si="12"/>
        <v>0</v>
      </c>
      <c r="G45" s="244">
        <f>IF($M$41="Sistema de banco de horas",0,'P Gerais'!$C$14)</f>
        <v>0.5</v>
      </c>
      <c r="H45" s="245">
        <f t="shared" ca="1" si="13"/>
        <v>0</v>
      </c>
      <c r="I45" s="243">
        <f t="shared" ca="1" si="14"/>
        <v>0</v>
      </c>
      <c r="J45" s="245">
        <f t="shared" ca="1" si="15"/>
        <v>0</v>
      </c>
      <c r="K45" s="234"/>
      <c r="L45" s="234"/>
      <c r="M45" s="234"/>
      <c r="Z45" s="219"/>
    </row>
    <row r="46" spans="1:42" s="2" customFormat="1" ht="30" customHeight="1" x14ac:dyDescent="0.2">
      <c r="A46" s="9"/>
      <c r="B46" s="234" t="s">
        <v>57</v>
      </c>
      <c r="C46" s="292" t="s">
        <v>82</v>
      </c>
      <c r="D46" s="292"/>
      <c r="E46" s="292"/>
      <c r="F46" s="243">
        <f t="shared" si="12"/>
        <v>0</v>
      </c>
      <c r="G46" s="244">
        <f>IF($M$41="Sistema de banco de horas",0,'P Gerais'!$E$14)</f>
        <v>0.5</v>
      </c>
      <c r="H46" s="245">
        <f t="shared" ca="1" si="13"/>
        <v>0</v>
      </c>
      <c r="I46" s="243">
        <f t="shared" ca="1" si="14"/>
        <v>0</v>
      </c>
      <c r="J46" s="245">
        <f t="shared" ca="1" si="15"/>
        <v>0</v>
      </c>
      <c r="K46" s="234"/>
      <c r="L46" s="234"/>
      <c r="M46" s="234"/>
      <c r="Z46" s="219"/>
    </row>
    <row r="47" spans="1:42" s="2" customFormat="1" ht="30" customHeight="1" x14ac:dyDescent="0.2">
      <c r="A47" s="9"/>
      <c r="B47" s="234" t="s">
        <v>51</v>
      </c>
      <c r="C47" s="292" t="s">
        <v>81</v>
      </c>
      <c r="D47" s="292"/>
      <c r="E47" s="292"/>
      <c r="F47" s="243">
        <f t="shared" si="12"/>
        <v>0</v>
      </c>
      <c r="G47" s="244">
        <f>IF($M$41="Sistema de banco de horas",0,'P Gerais'!$F$14)</f>
        <v>1</v>
      </c>
      <c r="H47" s="245">
        <f t="shared" ca="1" si="13"/>
        <v>0</v>
      </c>
      <c r="I47" s="243">
        <f t="shared" ca="1" si="14"/>
        <v>0</v>
      </c>
      <c r="J47" s="245">
        <f t="shared" ca="1" si="15"/>
        <v>0</v>
      </c>
      <c r="K47" s="234"/>
      <c r="L47" s="234"/>
      <c r="M47" s="234"/>
      <c r="Z47" s="219"/>
    </row>
    <row r="48" spans="1:42" s="2" customFormat="1" ht="30" customHeight="1" x14ac:dyDescent="0.2">
      <c r="A48" s="9"/>
      <c r="B48" s="234"/>
      <c r="C48" s="292" t="s">
        <v>80</v>
      </c>
      <c r="D48" s="292"/>
      <c r="E48" s="292"/>
      <c r="F48" s="243">
        <f>SUMIFS($Q$8:$Q$38,$G$8:$G$38,"Feriado")</f>
        <v>0</v>
      </c>
      <c r="G48" s="244">
        <f>IF($M$41="Sistema de banco de horas",0,'P Gerais'!$I$14)</f>
        <v>1</v>
      </c>
      <c r="H48" s="245">
        <f t="shared" ca="1" si="13"/>
        <v>0</v>
      </c>
      <c r="I48" s="243"/>
      <c r="J48" s="245">
        <f t="shared" ca="1" si="15"/>
        <v>0</v>
      </c>
      <c r="K48" s="234"/>
      <c r="L48" s="234"/>
      <c r="M48" s="234"/>
      <c r="Z48" s="219"/>
    </row>
    <row r="49" spans="1:26" s="2" customFormat="1" ht="15" x14ac:dyDescent="0.2">
      <c r="A49" s="9"/>
      <c r="B49" s="234"/>
      <c r="C49" s="292" t="s">
        <v>146</v>
      </c>
      <c r="D49" s="292"/>
      <c r="E49" s="292"/>
      <c r="F49" s="243">
        <f>SUMIFS($Q$8:$Q$38,$G$8:$G$38,"Folga (DSR)")</f>
        <v>0</v>
      </c>
      <c r="G49" s="244">
        <f>IF($M$41="Sistema de banco de horas",0,'P Gerais'!H14)</f>
        <v>1</v>
      </c>
      <c r="H49" s="245">
        <f ca="1">((F53/(F39-G39))*G39)</f>
        <v>0</v>
      </c>
      <c r="I49" s="243"/>
      <c r="J49" s="245">
        <f t="shared" ca="1" si="15"/>
        <v>0</v>
      </c>
      <c r="K49" s="234"/>
      <c r="L49" s="234"/>
      <c r="M49" s="234"/>
      <c r="Z49" s="219"/>
    </row>
    <row r="50" spans="1:26" s="2" customFormat="1" ht="15" x14ac:dyDescent="0.2">
      <c r="A50" s="9"/>
      <c r="B50" s="234"/>
      <c r="C50" s="292" t="s">
        <v>84</v>
      </c>
      <c r="D50" s="292"/>
      <c r="E50" s="292"/>
      <c r="F50" s="243">
        <f ca="1">IF($M$41="Sistema de banco de horas",(SUM(AI$8:AI$38)*(1+G50)),SUM(AI$8:AI$38))</f>
        <v>0</v>
      </c>
      <c r="G50" s="244">
        <f>IF($M$41="Sistema de banco de horas",0,'P Gerais'!$I$17)</f>
        <v>0.5</v>
      </c>
      <c r="H50" s="245">
        <f ca="1">IF($M$41="Sistema de banco de horas",0,$K$40*(1+G50)*(F50*24))</f>
        <v>0</v>
      </c>
      <c r="I50" s="243">
        <f ca="1">IF(SUM($AN$8:$AO$38)&gt;SUM(AI$8:AI$38),0,SUM(AI$8:AI$38)-SUM($AN$8:$AO$38))</f>
        <v>0</v>
      </c>
      <c r="J50" s="245">
        <f t="shared" ca="1" si="15"/>
        <v>0</v>
      </c>
      <c r="K50" s="234"/>
      <c r="L50" s="234"/>
      <c r="M50" s="234"/>
      <c r="Z50" s="219"/>
    </row>
    <row r="51" spans="1:26" s="2" customFormat="1" ht="15" x14ac:dyDescent="0.2">
      <c r="A51" s="9"/>
      <c r="B51" s="234"/>
      <c r="C51" s="292" t="s">
        <v>85</v>
      </c>
      <c r="D51" s="292"/>
      <c r="E51" s="292"/>
      <c r="F51" s="243">
        <f>IF($M$41="Sistema de banco de horas",(SUM(AK$8:AK$38)*(1+G51)),SUM(AK$8:AK$38))</f>
        <v>0</v>
      </c>
      <c r="G51" s="244">
        <f>IF($M$41="Sistema de banco de horas",0,'P Gerais'!$C$17)</f>
        <v>1</v>
      </c>
      <c r="H51" s="245">
        <f ca="1">IF($M$41="Sistema de banco de horas",0,$K$40*(1+G51)*(F51*24))</f>
        <v>0</v>
      </c>
      <c r="I51" s="243"/>
      <c r="J51" s="245">
        <f t="shared" ca="1" si="15"/>
        <v>0</v>
      </c>
      <c r="K51" s="234"/>
      <c r="L51" s="234"/>
      <c r="M51" s="234"/>
      <c r="Z51" s="219"/>
    </row>
    <row r="52" spans="1:26" s="2" customFormat="1" ht="15" customHeight="1" x14ac:dyDescent="0.2">
      <c r="A52" s="9"/>
      <c r="B52" s="234"/>
      <c r="C52" s="292" t="s">
        <v>87</v>
      </c>
      <c r="D52" s="292"/>
      <c r="E52" s="292"/>
      <c r="F52" s="243">
        <f ca="1">U12</f>
        <v>0</v>
      </c>
      <c r="G52" s="246"/>
      <c r="H52" s="234"/>
      <c r="I52" s="234"/>
      <c r="J52" s="234"/>
      <c r="K52" s="234"/>
      <c r="L52" s="234"/>
      <c r="M52" s="234"/>
      <c r="Z52" s="219"/>
    </row>
    <row r="53" spans="1:26" s="2" customFormat="1" ht="15" x14ac:dyDescent="0.2">
      <c r="A53" s="9"/>
      <c r="B53" s="234"/>
      <c r="C53" s="292" t="s">
        <v>299</v>
      </c>
      <c r="D53" s="292"/>
      <c r="E53" s="292"/>
      <c r="F53" s="247">
        <f ca="1">SUM(H48)+J50+H51+SUM(J41:J47)</f>
        <v>0</v>
      </c>
      <c r="G53" s="248"/>
      <c r="H53" s="234"/>
      <c r="I53" s="234"/>
      <c r="J53" s="234"/>
      <c r="K53" s="234"/>
      <c r="L53" s="234"/>
      <c r="M53" s="234"/>
      <c r="Z53" s="219"/>
    </row>
    <row r="54" spans="1:26" s="2" customFormat="1" ht="15" x14ac:dyDescent="0.2">
      <c r="A54" s="9"/>
      <c r="B54" s="234"/>
      <c r="C54" s="292" t="s">
        <v>88</v>
      </c>
      <c r="D54" s="292"/>
      <c r="E54" s="292"/>
      <c r="F54" s="247">
        <f ca="1">F53+(H49*(1+G49))</f>
        <v>0</v>
      </c>
      <c r="G54" s="248"/>
      <c r="H54" s="249"/>
      <c r="I54" s="234"/>
      <c r="J54" s="234"/>
      <c r="K54" s="234"/>
      <c r="L54" s="234"/>
      <c r="M54" s="234"/>
      <c r="Z54" s="219"/>
    </row>
    <row r="55" spans="1:26" s="2" customFormat="1" ht="15" x14ac:dyDescent="0.2">
      <c r="A55" s="9"/>
      <c r="B55" s="234"/>
      <c r="C55" s="292" t="s">
        <v>89</v>
      </c>
      <c r="D55" s="292"/>
      <c r="E55" s="292"/>
      <c r="F55" s="247">
        <f ca="1">H40+F54</f>
        <v>0</v>
      </c>
      <c r="G55" s="246"/>
      <c r="H55" s="234"/>
      <c r="I55" s="234"/>
      <c r="J55" s="234"/>
      <c r="K55" s="234"/>
      <c r="L55" s="234"/>
      <c r="M55" s="234"/>
      <c r="Z55" s="219"/>
    </row>
    <row r="56" spans="1:26" s="2" customFormat="1" ht="15" x14ac:dyDescent="0.2">
      <c r="A56" s="9"/>
      <c r="B56" s="234"/>
      <c r="C56" s="292" t="s">
        <v>178</v>
      </c>
      <c r="D56" s="292"/>
      <c r="E56" s="292"/>
      <c r="F56" s="243">
        <f>IF($M$41="Sistema de banco de horas",(SUMIF($G$8:$G$38,"Férias",Q8:Q38))*(1+G48),SUMIF($G$8:$G$38,"Férias",Q8:Q38))</f>
        <v>0</v>
      </c>
      <c r="G56" s="246"/>
      <c r="H56" s="234"/>
      <c r="I56" s="234"/>
      <c r="J56" s="234"/>
      <c r="K56" s="234"/>
      <c r="L56" s="234"/>
      <c r="M56" s="234"/>
      <c r="Z56" s="219"/>
    </row>
    <row r="57" spans="1:26" s="2" customFormat="1" ht="15" x14ac:dyDescent="0.2">
      <c r="A57" s="9"/>
      <c r="B57" s="234"/>
      <c r="C57" s="239"/>
      <c r="D57" s="239"/>
      <c r="E57" s="239"/>
      <c r="F57" s="250">
        <f ca="1">U14</f>
        <v>0</v>
      </c>
      <c r="G57" s="246"/>
      <c r="H57" s="234"/>
      <c r="I57" s="234"/>
      <c r="J57" s="234"/>
      <c r="K57" s="234"/>
      <c r="L57" s="234"/>
      <c r="M57" s="234"/>
      <c r="Z57" s="219"/>
    </row>
    <row r="58" spans="1:26" s="2" customFormat="1" ht="15" x14ac:dyDescent="0.2">
      <c r="A58" s="9"/>
      <c r="B58" s="234"/>
      <c r="C58" s="239"/>
      <c r="D58" s="239"/>
      <c r="E58" s="239"/>
      <c r="F58" s="243">
        <f ca="1">SUM(F41:F51)</f>
        <v>0</v>
      </c>
      <c r="G58" s="246"/>
      <c r="H58" s="234"/>
      <c r="I58" s="234"/>
      <c r="J58" s="234"/>
      <c r="K58" s="234"/>
      <c r="L58" s="234"/>
      <c r="M58" s="234"/>
      <c r="Z58" s="219"/>
    </row>
    <row r="59" spans="1:26" s="2" customFormat="1" ht="15" x14ac:dyDescent="0.2">
      <c r="A59" s="9"/>
      <c r="Z59" s="219"/>
    </row>
    <row r="60" spans="1:26" s="2" customFormat="1" ht="15" x14ac:dyDescent="0.2">
      <c r="A60" s="9"/>
      <c r="G60" s="178"/>
      <c r="Z60" s="219"/>
    </row>
    <row r="61" spans="1:26" ht="15" x14ac:dyDescent="0.2"/>
    <row r="62" spans="1:26" ht="15" x14ac:dyDescent="0.2"/>
    <row r="63" spans="1:26" ht="15" x14ac:dyDescent="0.2"/>
    <row r="64" spans="1:26" ht="15" x14ac:dyDescent="0.2"/>
    <row r="65" ht="15" x14ac:dyDescent="0.2"/>
    <row r="66" ht="15" x14ac:dyDescent="0.2"/>
    <row r="67" ht="15" x14ac:dyDescent="0.2"/>
    <row r="68" ht="15" x14ac:dyDescent="0.2"/>
    <row r="69" ht="15" x14ac:dyDescent="0.2"/>
    <row r="70" ht="15" x14ac:dyDescent="0.2"/>
    <row r="71" ht="15" x14ac:dyDescent="0.2"/>
    <row r="72" ht="15" x14ac:dyDescent="0.2"/>
    <row r="73" ht="15" x14ac:dyDescent="0.2"/>
    <row r="74" ht="15" x14ac:dyDescent="0.2"/>
    <row r="75" ht="15" x14ac:dyDescent="0.2"/>
    <row r="76" ht="15" x14ac:dyDescent="0.2"/>
    <row r="77" ht="15" x14ac:dyDescent="0.2"/>
    <row r="78" ht="15" x14ac:dyDescent="0.2"/>
    <row r="79" ht="15" x14ac:dyDescent="0.2"/>
    <row r="80" ht="15" x14ac:dyDescent="0.2"/>
    <row r="81" ht="15" x14ac:dyDescent="0.2"/>
    <row r="82" ht="15" x14ac:dyDescent="0.2"/>
    <row r="83" ht="15" x14ac:dyDescent="0.2"/>
    <row r="84" ht="15" x14ac:dyDescent="0.2"/>
    <row r="85" ht="15" x14ac:dyDescent="0.2"/>
    <row r="86" ht="15" x14ac:dyDescent="0.2"/>
    <row r="87" ht="15" x14ac:dyDescent="0.2"/>
    <row r="88" ht="15" x14ac:dyDescent="0.2"/>
    <row r="89" ht="15" x14ac:dyDescent="0.2"/>
    <row r="90" ht="15" x14ac:dyDescent="0.2"/>
    <row r="91" ht="15" x14ac:dyDescent="0.2"/>
    <row r="92" ht="15" x14ac:dyDescent="0.2"/>
    <row r="93" ht="15" x14ac:dyDescent="0.2"/>
    <row r="94" ht="15" x14ac:dyDescent="0.2"/>
    <row r="95" ht="15" x14ac:dyDescent="0.2"/>
    <row r="96" ht="15" x14ac:dyDescent="0.2"/>
    <row r="97" ht="15" x14ac:dyDescent="0.2"/>
    <row r="98" ht="15" x14ac:dyDescent="0.2"/>
    <row r="99" ht="15" x14ac:dyDescent="0.2"/>
    <row r="100" ht="15" x14ac:dyDescent="0.2"/>
    <row r="101" ht="15" x14ac:dyDescent="0.2"/>
    <row r="102" ht="15" x14ac:dyDescent="0.2"/>
    <row r="103" ht="15" x14ac:dyDescent="0.2"/>
  </sheetData>
  <sheetProtection sheet="1" objects="1" scenarios="1" selectLockedCells="1"/>
  <mergeCells count="34">
    <mergeCell ref="C56:E56"/>
    <mergeCell ref="C48:E48"/>
    <mergeCell ref="C49:E49"/>
    <mergeCell ref="C50:E50"/>
    <mergeCell ref="C52:E52"/>
    <mergeCell ref="C53:E53"/>
    <mergeCell ref="C54:E54"/>
    <mergeCell ref="C51:E51"/>
    <mergeCell ref="C44:E44"/>
    <mergeCell ref="C55:E55"/>
    <mergeCell ref="C45:E45"/>
    <mergeCell ref="C46:E46"/>
    <mergeCell ref="C47:E47"/>
    <mergeCell ref="S22:U22"/>
    <mergeCell ref="C41:E41"/>
    <mergeCell ref="C42:E42"/>
    <mergeCell ref="C43:E43"/>
    <mergeCell ref="S26:U28"/>
    <mergeCell ref="S23:U25"/>
    <mergeCell ref="E7:F7"/>
    <mergeCell ref="I7:J7"/>
    <mergeCell ref="S7:U7"/>
    <mergeCell ref="S8:T9"/>
    <mergeCell ref="U8:U9"/>
    <mergeCell ref="S16:T17"/>
    <mergeCell ref="U16:U17"/>
    <mergeCell ref="S18:T19"/>
    <mergeCell ref="S10:T11"/>
    <mergeCell ref="U10:U11"/>
    <mergeCell ref="S12:T13"/>
    <mergeCell ref="U12:U13"/>
    <mergeCell ref="S14:T15"/>
    <mergeCell ref="U14:U15"/>
    <mergeCell ref="U18:U19"/>
  </mergeCells>
  <phoneticPr fontId="50" type="noConversion"/>
  <conditionalFormatting sqref="G8:K35">
    <cfRule type="expression" dxfId="724" priority="93">
      <formula>OR($G8="Férias",$G8="Falta Injustificada")</formula>
    </cfRule>
    <cfRule type="expression" dxfId="723" priority="102">
      <formula>$G8="Folga (DSR)"</formula>
    </cfRule>
    <cfRule type="expression" dxfId="722" priority="103">
      <formula>$G8="Feriado"</formula>
    </cfRule>
    <cfRule type="expression" dxfId="721" priority="104">
      <formula>$F8="Dom"</formula>
    </cfRule>
  </conditionalFormatting>
  <conditionalFormatting sqref="M8:M37">
    <cfRule type="cellIs" dxfId="720" priority="111" operator="greaterThan">
      <formula>0</formula>
    </cfRule>
  </conditionalFormatting>
  <conditionalFormatting sqref="H8:K35">
    <cfRule type="expression" dxfId="719" priority="91">
      <formula>OR($G8="Falta Justificada",$G8="Falta Injustificada")</formula>
    </cfRule>
  </conditionalFormatting>
  <conditionalFormatting sqref="G36:K37">
    <cfRule type="expression" dxfId="718" priority="81">
      <formula>OR($G36="Férias",$G36="Falta Injustificada")</formula>
    </cfRule>
    <cfRule type="expression" dxfId="717" priority="84">
      <formula>$G36="Folga (DSR)"</formula>
    </cfRule>
    <cfRule type="expression" dxfId="716" priority="85">
      <formula>$G36="Feriado"</formula>
    </cfRule>
    <cfRule type="expression" dxfId="715" priority="86">
      <formula>$F36="Dom"</formula>
    </cfRule>
  </conditionalFormatting>
  <conditionalFormatting sqref="G36:L37 N36:N37">
    <cfRule type="expression" dxfId="714" priority="78">
      <formula>AND($E36&lt;$E$35,$E$8=1)</formula>
    </cfRule>
    <cfRule type="expression" dxfId="713" priority="79">
      <formula>AND($E36&gt;=$E$8,$E$8&lt;&gt;1)</formula>
    </cfRule>
  </conditionalFormatting>
  <conditionalFormatting sqref="H36:K37">
    <cfRule type="expression" dxfId="712" priority="80">
      <formula>OR($G36="Falta Justificada",$G36="Falta Injustificada")</formula>
    </cfRule>
  </conditionalFormatting>
  <conditionalFormatting sqref="E36:E38">
    <cfRule type="expression" dxfId="711" priority="76">
      <formula>AND($E36&lt;$E$35,$E$8=1)</formula>
    </cfRule>
    <cfRule type="expression" dxfId="710" priority="77">
      <formula>AND($E36&gt;=$E$8,$E$8&lt;&gt;1)</formula>
    </cfRule>
  </conditionalFormatting>
  <conditionalFormatting sqref="O8:O37">
    <cfRule type="cellIs" dxfId="709" priority="71" operator="greaterThan">
      <formula>0.000001</formula>
    </cfRule>
  </conditionalFormatting>
  <conditionalFormatting sqref="O36:O37">
    <cfRule type="expression" dxfId="708" priority="69">
      <formula>AND($E36&lt;$E$35,$E$8=1)</formula>
    </cfRule>
    <cfRule type="expression" dxfId="707" priority="70">
      <formula>AND($E36&gt;=$E$8,$E$8&lt;&gt;1)</formula>
    </cfRule>
  </conditionalFormatting>
  <conditionalFormatting sqref="F8:F38">
    <cfRule type="containsText" dxfId="706" priority="67" operator="containsText" text="Dom">
      <formula>NOT(ISERROR(SEARCH("Dom",F8)))</formula>
    </cfRule>
    <cfRule type="containsText" dxfId="705" priority="68" operator="containsText" text="Sáb">
      <formula>NOT(ISERROR(SEARCH("Sáb",F8)))</formula>
    </cfRule>
  </conditionalFormatting>
  <conditionalFormatting sqref="Q8:Q37">
    <cfRule type="cellIs" dxfId="704" priority="64" operator="greaterThan">
      <formula>0.000001</formula>
    </cfRule>
  </conditionalFormatting>
  <conditionalFormatting sqref="O38">
    <cfRule type="cellIs" dxfId="703" priority="38" operator="greaterThan">
      <formula>0.000001</formula>
    </cfRule>
  </conditionalFormatting>
  <conditionalFormatting sqref="M38">
    <cfRule type="cellIs" dxfId="702" priority="39" operator="greaterThan">
      <formula>0</formula>
    </cfRule>
  </conditionalFormatting>
  <conditionalFormatting sqref="L38:O38">
    <cfRule type="expression" dxfId="701" priority="37">
      <formula>AND($E38&gt;=$E$8,$E$8&lt;&gt;1)</formula>
    </cfRule>
  </conditionalFormatting>
  <conditionalFormatting sqref="G38:K38">
    <cfRule type="expression" dxfId="700" priority="24">
      <formula>OR($G38="Férias",$G38="Falta Injustificada")</formula>
    </cfRule>
    <cfRule type="expression" dxfId="699" priority="25">
      <formula>$G38="Folga (DSR)"</formula>
    </cfRule>
    <cfRule type="expression" dxfId="698" priority="26">
      <formula>$G38="Feriado"</formula>
    </cfRule>
    <cfRule type="expression" dxfId="697" priority="27">
      <formula>$F38="Dom"</formula>
    </cfRule>
  </conditionalFormatting>
  <conditionalFormatting sqref="H38:K38">
    <cfRule type="expression" dxfId="696" priority="23">
      <formula>OR($G38="Falta Justificada",$G38="Falta Injustificada")</formula>
    </cfRule>
  </conditionalFormatting>
  <conditionalFormatting sqref="Q38">
    <cfRule type="cellIs" dxfId="695" priority="20" operator="greaterThan">
      <formula>0.000001</formula>
    </cfRule>
  </conditionalFormatting>
  <conditionalFormatting sqref="L38:Q38">
    <cfRule type="expression" dxfId="694" priority="36">
      <formula>AND($E38&lt;$E$35,$E$8=1)</formula>
    </cfRule>
  </conditionalFormatting>
  <conditionalFormatting sqref="G38:Q38">
    <cfRule type="expression" dxfId="693" priority="21">
      <formula>AND($E38&lt;$E$35,$E$8=1)</formula>
    </cfRule>
    <cfRule type="expression" dxfId="692" priority="22">
      <formula>AND($E38&gt;=$E$8,$E$8&lt;&gt;1)</formula>
    </cfRule>
  </conditionalFormatting>
  <conditionalFormatting sqref="U10:U11">
    <cfRule type="expression" dxfId="691" priority="8">
      <formula>$V$11="Negativo"</formula>
    </cfRule>
  </conditionalFormatting>
  <conditionalFormatting sqref="U12:U13">
    <cfRule type="expression" dxfId="690" priority="544">
      <formula>$U$14&gt;$F$58</formula>
    </cfRule>
  </conditionalFormatting>
  <conditionalFormatting sqref="F40">
    <cfRule type="expression" dxfId="689" priority="545">
      <formula>$E40="Folga(DSR)"</formula>
    </cfRule>
    <cfRule type="expression" dxfId="688" priority="546">
      <formula>$E40="Feriado"</formula>
    </cfRule>
    <cfRule type="expression" dxfId="687" priority="547">
      <formula>$D40="Dom"</formula>
    </cfRule>
  </conditionalFormatting>
  <dataValidations count="3">
    <dataValidation type="list" allowBlank="1" showInputMessage="1" showErrorMessage="1" sqref="G8:G38">
      <formula1>"Normal,Feriado,Folga (DSR),Falta Justificada,Férias,Falta Injustificada"</formula1>
    </dataValidation>
    <dataValidation type="time" allowBlank="1" showInputMessage="1" showErrorMessage="1" sqref="H8:K38">
      <formula1>0</formula1>
      <formula2>0.999988425925926</formula2>
    </dataValidation>
    <dataValidation type="list" allowBlank="1" showInputMessage="1" showErrorMessage="1" sqref="E9:E35">
      <formula1>"1,5,10,16"</formula1>
    </dataValidation>
  </dataValidations>
  <hyperlinks>
    <hyperlink ref="C8" location="Lanç!A1" display="Lanç!A1"/>
    <hyperlink ref="C9" location="'Lanç (2)'!A1" display="'Lanç (2)'!A1"/>
    <hyperlink ref="C10" location="'Lanç (3)'!A1" display="'Lanç (3)'!A1"/>
    <hyperlink ref="C11" location="'Lanç (4)'!A1" display="'Lanç (4)'!A1"/>
    <hyperlink ref="C12" location="'Lanç (5)'!A1" display="'Lanç (5)'!A1"/>
    <hyperlink ref="C13" location="'Lanç (6)'!A1" display="'Lanç (6)'!A1"/>
    <hyperlink ref="C14" location="'Lanç (7)'!A1" display="'Lanç (7)'!A1"/>
    <hyperlink ref="C15" location="'Lanç (8)'!A1" display="'Lanç (8)'!A1"/>
    <hyperlink ref="C16" location="'Lanç (9)'!A1" display="'Lanç (9)'!A1"/>
    <hyperlink ref="C17" location="'Lanç (10)'!A1" display="'Lanç (10)'!A1"/>
    <hyperlink ref="C18" location="'Lanç (11)'!A1" display="'Lanç (11)'!A1"/>
    <hyperlink ref="C19" location="'Lanç (12)'!A1" display="'Lanç (12)'!A1"/>
    <hyperlink ref="C20" location="'Lanç (13)'!A1" display="'Lanç (13)'!A1"/>
    <hyperlink ref="C21" location="'Lanç (14)'!A1" display="'Lanç (14)'!A1"/>
    <hyperlink ref="C22" location="'Lanç (15)'!A1" display="'Lanç (15)'!A1"/>
    <hyperlink ref="C23" location="'Lanç (16)'!A1" display="'Lanç (16)'!A1"/>
    <hyperlink ref="C24" location="'Lanç (17)'!A1" display="'Lanç (17)'!A1"/>
    <hyperlink ref="C25" location="'Lanç (18)'!A1" display="'Lanç (18)'!A1"/>
    <hyperlink ref="C26" location="'Lanç (19)'!A1" display="'Lanç (19)'!A1"/>
    <hyperlink ref="C27" location="'Lanç (20)'!A1" display="'Lanç (20)'!A1"/>
    <hyperlink ref="C28" location="'Lanç (21)'!A1" display="'Lanç (21)'!A1"/>
    <hyperlink ref="C29" location="'Lanç (22)'!A1" display="'Lanç (22)'!A1"/>
    <hyperlink ref="C30" location="'Lanç (23)'!A1" display="'Lanç (23)'!A1"/>
    <hyperlink ref="C31" location="'Lanç (24)'!A1" display="'Lanç (24)'!A1"/>
    <hyperlink ref="C32" location="'Lanç (25)'!A1" display="'Lanç (25)'!A1"/>
    <hyperlink ref="C33" location="'Lanç (26)'!A1" display="'Lanç (26)'!A1"/>
    <hyperlink ref="C34" location="'Lanç (27)'!A1" display="'Lanç (27)'!A1"/>
    <hyperlink ref="C35" location="'Lanç (28)'!A1" display="'Lanç (28)'!A1"/>
    <hyperlink ref="C36" location="'Lanç (29)'!A1" display="'Lanç (29)'!A1"/>
    <hyperlink ref="C37" location="'Lanç (30)'!A1" display="'Lanç (30)'!A1"/>
  </hyperlinks>
  <printOptions horizontalCentered="1"/>
  <pageMargins left="0.23622047244094502" right="0.23622047244094502" top="0.74803149606299202" bottom="0.74803149606299202" header="0.31496062992126" footer="0.31496062992126"/>
  <pageSetup paperSize="9" scale="53" orientation="portrait" cellComments="atEnd"/>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57" id="{4B51CAF5-8218-4145-B269-BE0F694CB669}">
            <xm:f>'P Gerais'!$I$10:$M$10="Pagas em Dinheiro"</xm:f>
            <x14:dxf>
              <font>
                <color theme="0"/>
              </font>
              <fill>
                <patternFill>
                  <bgColor theme="0"/>
                </patternFill>
              </fill>
              <border>
                <left/>
                <right/>
                <top/>
                <bottom/>
              </border>
            </x14:dxf>
          </x14:cfRule>
          <xm:sqref>S10:T13</xm:sqref>
        </x14:conditionalFormatting>
        <x14:conditionalFormatting xmlns:xm="http://schemas.microsoft.com/office/excel/2006/main">
          <x14:cfRule type="expression" priority="56" id="{CE89B084-BDEA-5A43-B5F7-DCA1EE7F0DCA}">
            <xm:f>'P Gerais'!$I$10:$M$10="Sistema de banco de horas"</xm:f>
            <x14:dxf>
              <font>
                <color theme="0"/>
              </font>
              <fill>
                <patternFill>
                  <bgColor theme="0"/>
                </patternFill>
              </fill>
              <border>
                <left/>
                <right/>
                <top/>
                <bottom/>
              </border>
            </x14:dxf>
          </x14:cfRule>
          <xm:sqref>S18:T19</xm:sqref>
        </x14:conditionalFormatting>
        <x14:conditionalFormatting xmlns:xm="http://schemas.microsoft.com/office/excel/2006/main">
          <x14:cfRule type="expression" priority="10" id="{8A13E116-728A-2D40-B6DC-45438A1865AD}">
            <xm:f>'P Gerais'!$I$10:$M$10="Sistema de banco de horas"</xm:f>
            <x14:dxf>
              <font>
                <color theme="0"/>
              </font>
              <fill>
                <patternFill>
                  <bgColor theme="0"/>
                </patternFill>
              </fill>
              <border>
                <left/>
                <right/>
                <top/>
                <bottom/>
              </border>
            </x14:dxf>
          </x14:cfRule>
          <xm:sqref>U18:U19</xm:sqref>
        </x14:conditionalFormatting>
        <x14:conditionalFormatting xmlns:xm="http://schemas.microsoft.com/office/excel/2006/main">
          <x14:cfRule type="expression" priority="7" id="{28EA6958-634E-DE4D-A452-0F4647DB4BE9}">
            <xm:f>'P Gerais'!$I$10:$M$10="Pagas em Dinheiro"</xm:f>
            <x14:dxf>
              <font>
                <color theme="0"/>
              </font>
              <fill>
                <patternFill>
                  <bgColor theme="0"/>
                </patternFill>
              </fill>
              <border>
                <left/>
                <right/>
                <top/>
                <bottom/>
              </border>
            </x14:dxf>
          </x14:cfRule>
          <xm:sqref>U10:U13</xm:sqref>
        </x14:conditionalFormatting>
      </x14:conditionalFormattings>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18" enableFormatConditionsCalculation="0"/>
  <dimension ref="A1:BG103"/>
  <sheetViews>
    <sheetView showGridLines="0" zoomScale="90" zoomScaleNormal="90" zoomScalePageLayoutView="90" workbookViewId="0">
      <selection activeCell="H9" sqref="H9"/>
    </sheetView>
  </sheetViews>
  <sheetFormatPr baseColWidth="10" defaultColWidth="0" defaultRowHeight="0" customHeight="1" zeroHeight="1" x14ac:dyDescent="0.2"/>
  <cols>
    <col min="1" max="1" width="27.83203125" style="194" customWidth="1"/>
    <col min="2" max="2" width="3.83203125" style="14" customWidth="1"/>
    <col min="3" max="3" width="33.33203125" style="14" customWidth="1"/>
    <col min="4" max="4" width="2.83203125" style="14" customWidth="1"/>
    <col min="5" max="5" width="5.83203125" style="14" customWidth="1"/>
    <col min="6" max="6" width="11.83203125" style="14" customWidth="1"/>
    <col min="7" max="7" width="14.33203125" style="195" customWidth="1"/>
    <col min="8" max="11" width="9.83203125" style="14" customWidth="1"/>
    <col min="12" max="12" width="1.83203125" style="14" customWidth="1"/>
    <col min="13" max="13" width="13.33203125" style="14" customWidth="1"/>
    <col min="14" max="14" width="1.83203125" style="14" customWidth="1"/>
    <col min="15" max="15" width="13.33203125" style="14" customWidth="1"/>
    <col min="16" max="16" width="1.83203125" style="14" customWidth="1"/>
    <col min="17" max="17" width="13.33203125" style="14" customWidth="1"/>
    <col min="18" max="18" width="4.83203125" style="2" bestFit="1" customWidth="1"/>
    <col min="19" max="21" width="11.83203125" style="14" customWidth="1"/>
    <col min="22" max="23" width="8.83203125" style="2" customWidth="1"/>
    <col min="24" max="24" width="11.33203125" style="2" bestFit="1" customWidth="1"/>
    <col min="25" max="25" width="8.83203125" style="2" customWidth="1"/>
    <col min="26" max="26" width="8.1640625" style="219" bestFit="1" customWidth="1"/>
    <col min="27" max="27" width="8.83203125" style="2" customWidth="1"/>
    <col min="28" max="28" width="11.33203125" style="2" bestFit="1" customWidth="1"/>
    <col min="29" max="43" width="8.83203125" style="2" customWidth="1"/>
    <col min="44" max="50" width="11.33203125" style="2" customWidth="1"/>
    <col min="51" max="57" width="11.33203125" style="14" customWidth="1"/>
    <col min="58" max="16384" width="8.83203125" style="14" hidden="1"/>
  </cols>
  <sheetData>
    <row r="1" spans="1:59" s="15" customFormat="1" ht="33.75" customHeight="1" x14ac:dyDescent="0.3">
      <c r="A1" s="56"/>
      <c r="B1" s="3"/>
      <c r="C1" s="4" t="s">
        <v>30</v>
      </c>
      <c r="D1" s="3"/>
      <c r="E1" s="3"/>
      <c r="F1" s="3"/>
      <c r="G1" s="77"/>
      <c r="H1" s="3"/>
      <c r="I1" s="3"/>
      <c r="J1" s="3"/>
      <c r="K1" s="3"/>
      <c r="L1" s="3"/>
      <c r="M1" s="3"/>
      <c r="N1" s="3"/>
      <c r="O1" s="3"/>
      <c r="Q1" s="3"/>
      <c r="S1" s="3"/>
      <c r="T1" s="3"/>
      <c r="U1" s="3"/>
      <c r="Z1" s="174"/>
    </row>
    <row r="2" spans="1:59" s="15" customFormat="1" ht="21.5" customHeight="1" x14ac:dyDescent="0.2">
      <c r="A2" s="1"/>
      <c r="B2" s="3"/>
      <c r="C2" s="3"/>
      <c r="D2" s="3"/>
      <c r="E2" s="3"/>
      <c r="F2" s="3"/>
      <c r="G2" s="77"/>
      <c r="H2" s="3"/>
      <c r="I2" s="3"/>
      <c r="J2" s="3"/>
      <c r="K2" s="3"/>
      <c r="L2" s="3"/>
      <c r="M2" s="3"/>
      <c r="N2" s="3"/>
      <c r="O2" s="3"/>
      <c r="Q2" s="3"/>
      <c r="S2" s="3"/>
      <c r="T2" s="3"/>
      <c r="U2" s="3"/>
      <c r="Z2" s="174"/>
    </row>
    <row r="3" spans="1:59" s="15" customFormat="1" ht="21.5" customHeight="1" x14ac:dyDescent="0.2">
      <c r="A3" s="1"/>
      <c r="B3" s="3"/>
      <c r="C3" s="3"/>
      <c r="D3" s="3"/>
      <c r="E3" s="3"/>
      <c r="F3" s="3"/>
      <c r="G3" s="77"/>
      <c r="H3" s="3"/>
      <c r="I3" s="3"/>
      <c r="J3" s="3"/>
      <c r="K3" s="3"/>
      <c r="L3" s="3"/>
      <c r="M3" s="3"/>
      <c r="N3" s="3"/>
      <c r="O3" s="3"/>
      <c r="Q3" s="3"/>
      <c r="S3" s="3"/>
      <c r="T3" s="3"/>
      <c r="U3" s="3"/>
      <c r="Z3" s="174"/>
    </row>
    <row r="4" spans="1:59" s="2" customFormat="1" ht="30" customHeight="1" x14ac:dyDescent="0.2">
      <c r="A4" s="1"/>
      <c r="B4"/>
      <c r="C4"/>
      <c r="D4"/>
      <c r="E4"/>
      <c r="F4"/>
      <c r="G4" s="78"/>
      <c r="H4"/>
      <c r="I4"/>
      <c r="J4"/>
      <c r="K4"/>
      <c r="L4"/>
      <c r="M4"/>
      <c r="N4"/>
      <c r="O4" s="13"/>
      <c r="Q4"/>
      <c r="S4"/>
      <c r="T4"/>
      <c r="U4"/>
      <c r="Z4" s="219"/>
      <c r="AN4" s="175"/>
    </row>
    <row r="5" spans="1:59" s="2" customFormat="1" ht="30" customHeight="1" x14ac:dyDescent="0.2">
      <c r="A5" s="1"/>
      <c r="B5"/>
      <c r="C5" s="160" t="s">
        <v>199</v>
      </c>
      <c r="D5"/>
      <c r="E5"/>
      <c r="F5"/>
      <c r="G5"/>
      <c r="H5"/>
      <c r="I5"/>
      <c r="J5"/>
      <c r="K5" s="157">
        <f ca="1">IF(ISERROR(VLOOKUP(INDIRECT($C$5),Jornada!$C$8:$F$37,4,0)),0,VLOOKUP(INDIRECT($C$5),Jornada!$C$8:$F$37,4,0))</f>
        <v>0</v>
      </c>
      <c r="L5" s="158"/>
      <c r="M5" s="157">
        <f ca="1">IF(ISERROR(VLOOKUP(INDIRECT($C$5),Jornada!$C$8:$G$37,5,0)),0,VLOOKUP(INDIRECT($C$5),Jornada!$C$8:$G$37,5,0))</f>
        <v>0</v>
      </c>
      <c r="N5"/>
      <c r="O5" s="69"/>
      <c r="Q5"/>
      <c r="S5"/>
      <c r="T5"/>
      <c r="U5" s="12"/>
      <c r="Z5" s="219"/>
      <c r="AC5" s="12"/>
      <c r="AK5" s="179">
        <v>0.25</v>
      </c>
      <c r="AL5" s="155">
        <v>0.91666666666666663</v>
      </c>
      <c r="AM5" s="155">
        <v>0.20833333333333334</v>
      </c>
      <c r="AN5" s="155">
        <v>1</v>
      </c>
      <c r="AO5" s="155">
        <v>0.70833333333333337</v>
      </c>
    </row>
    <row r="6" spans="1:59" s="2" customFormat="1" ht="8" customHeight="1" thickBot="1" x14ac:dyDescent="0.25">
      <c r="A6" s="1"/>
      <c r="B6"/>
      <c r="C6" s="75"/>
      <c r="D6"/>
      <c r="E6"/>
      <c r="F6"/>
      <c r="G6" s="78"/>
      <c r="H6"/>
      <c r="I6"/>
      <c r="J6"/>
      <c r="M6" s="220">
        <v>1</v>
      </c>
      <c r="N6"/>
      <c r="O6" s="11"/>
      <c r="Q6" s="11"/>
      <c r="S6"/>
      <c r="T6"/>
      <c r="Z6" s="176"/>
    </row>
    <row r="7" spans="1:59" s="2" customFormat="1" ht="30" customHeight="1" thickTop="1" thickBot="1" x14ac:dyDescent="0.25">
      <c r="A7" s="1"/>
      <c r="B7"/>
      <c r="C7" s="76" t="s">
        <v>176</v>
      </c>
      <c r="D7"/>
      <c r="E7" s="281" t="str">
        <f>Lanç!E7</f>
        <v>Janeiro</v>
      </c>
      <c r="F7" s="283"/>
      <c r="G7" s="79" t="s">
        <v>58</v>
      </c>
      <c r="H7" s="82" t="s">
        <v>0</v>
      </c>
      <c r="I7" s="293" t="s">
        <v>59</v>
      </c>
      <c r="J7" s="293"/>
      <c r="K7" s="82" t="s">
        <v>60</v>
      </c>
      <c r="L7"/>
      <c r="M7" s="73" t="s">
        <v>61</v>
      </c>
      <c r="N7"/>
      <c r="O7" s="73" t="s">
        <v>62</v>
      </c>
      <c r="Q7" s="73" t="s">
        <v>63</v>
      </c>
      <c r="R7" s="155">
        <v>8.3333333333333329E-2</v>
      </c>
      <c r="S7" s="293" t="s">
        <v>64</v>
      </c>
      <c r="T7" s="293"/>
      <c r="U7" s="293"/>
      <c r="W7" s="2" t="s">
        <v>90</v>
      </c>
      <c r="X7" s="156">
        <v>1</v>
      </c>
      <c r="AB7" s="2">
        <f>VLOOKUP($E$7,$W$7:$X$18,2,0)</f>
        <v>1</v>
      </c>
      <c r="AG7" s="176" t="s">
        <v>167</v>
      </c>
      <c r="AH7" s="176" t="s">
        <v>168</v>
      </c>
      <c r="AI7" s="155">
        <v>0</v>
      </c>
      <c r="AJ7" s="155">
        <v>1</v>
      </c>
      <c r="AK7" s="155">
        <v>0.45833333333333331</v>
      </c>
      <c r="AL7" s="2" t="s">
        <v>0</v>
      </c>
      <c r="AM7" s="2" t="s">
        <v>162</v>
      </c>
      <c r="AN7" s="2" t="s">
        <v>184</v>
      </c>
      <c r="BE7" s="14"/>
      <c r="BF7" s="14"/>
      <c r="BG7" s="14"/>
    </row>
    <row r="8" spans="1:59" s="2" customFormat="1" ht="30" customHeight="1" thickTop="1" thickBot="1" x14ac:dyDescent="0.25">
      <c r="A8" s="1"/>
      <c r="B8"/>
      <c r="C8" s="172" t="str">
        <f>IF(Funcionários!C7=0,"",Funcionários!C7)</f>
        <v/>
      </c>
      <c r="D8"/>
      <c r="E8" s="115">
        <f>Lanç!E8</f>
        <v>1</v>
      </c>
      <c r="F8" s="189" t="str">
        <f>Lanç!F8</f>
        <v>Dom</v>
      </c>
      <c r="G8" s="80"/>
      <c r="H8" s="93"/>
      <c r="I8" s="93"/>
      <c r="J8" s="93"/>
      <c r="K8" s="93"/>
      <c r="L8" s="10"/>
      <c r="M8" s="95">
        <f>IF(AND(H8=K8,H8&lt;&gt;0),$M$6-IF(J8&lt;I8,$AJ$7+J8-I8,J8-I8),IF(H8&gt;K8,(K8+1-H8)-IF(J8&lt;I8,$AJ$7+J8-I8,J8-I8),(K8-H8)-IF(J8&lt;I8,$AJ$7+J8-I8,J8-I8)))</f>
        <v>0</v>
      </c>
      <c r="N8" s="96"/>
      <c r="O8" s="95">
        <f ca="1">IF(OR(G8=0,G8="Férias",G8="Falta Justificada",G8="Feriado",G8="Folga (DSR)"),0,IF(G8="Falta Injustificada",HLOOKUP($F8,Jornada!$X$7:$AD$37,VLOOKUP(INDIRECT($C$5),Jornada!$C$8:$W$37,21,0),0),IF(HLOOKUP($F8,Jornada!$X$7:$AD$37,VLOOKUP(INDIRECT($C$5),Jornada!$C$8:$W$37,21,0),0)-M8&gt;0,HLOOKUP($F8,Jornada!$X$7:$AD$37,VLOOKUP(INDIRECT($C$5),Jornada!$C$8:$W$37,21,0),0)-M8,0)))</f>
        <v>0</v>
      </c>
      <c r="P8" s="190">
        <f ca="1">IF(HLOOKUP($F8,Jornada!$X$7:$AD$37,VLOOKUP(INDIRECT($C$5),Jornada!$C$8:$W$37,21,0),0)-M8&lt;0,ABS(HLOOKUP($F8,Jornada!$X$7:$AD$37,VLOOKUP(INDIRECT($C$5),Jornada!$C$8:$W$37,21,0),0)-M8),0)</f>
        <v>0</v>
      </c>
      <c r="Q8" s="95">
        <f t="shared" ref="Q8:Q38" si="0">IF(G8="Normal",P8,IF(G8=0,0,IF(OR(G8="Feriado",G8="Férias"),IF(H8&gt;K8,(K8+1-H8)-IF(J8&lt;I8,$AJ$7+J8-I8,J8-I8),(K8-H8)-IF(J8&lt;I8,$AJ$7+J8-I8,J8-I8)),IF(G8="Folga (DSR)",IF(H8&gt;K8,(K8+1-H8)-IF(J8&lt;I8,$AJ$7+J8-I8,J8-I8),(K8-H8)-IF(J8&lt;I8,$AJ$7+J8-I8,J8-I8)),IF(G8="Falta Justificada",IF(H8&gt;K8,(K8+1-H8)-IF(J8&lt;I8,$AJ$7+J8-I8,J8-I8),(K8-H8)-IF(J8&lt;I8,$AJ$7+J8-I8,J8-I8)),0)))))</f>
        <v>0</v>
      </c>
      <c r="R8" s="2">
        <f>IF(Q8&gt;$R$7,1,0)</f>
        <v>0</v>
      </c>
      <c r="S8" s="294" t="s">
        <v>65</v>
      </c>
      <c r="T8" s="294"/>
      <c r="U8" s="295">
        <f>SUM(M8:M38)</f>
        <v>0</v>
      </c>
      <c r="W8" s="2" t="s">
        <v>91</v>
      </c>
      <c r="X8" s="156">
        <v>2</v>
      </c>
      <c r="AB8" s="177">
        <f>DATE('P Gerais'!$D$6,AB7,1)</f>
        <v>1</v>
      </c>
      <c r="AC8" s="2">
        <f>WEEKDAY(AB8)</f>
        <v>1</v>
      </c>
      <c r="AE8" s="2">
        <v>1</v>
      </c>
      <c r="AF8" s="2" t="s">
        <v>51</v>
      </c>
      <c r="AG8" s="220">
        <f>IF(J8&lt;I8,$AJ$7+J8-I8,J8-I8)</f>
        <v>0</v>
      </c>
      <c r="AH8" s="220">
        <f ca="1">IF(HLOOKUP($F8,Jornada!$X$7:$AD$37,VLOOKUP(INDIRECT($C$5),Jornada!$C$8:$W$37,21,0),0)=0,0,VLOOKUP(INDIRECT($C$5),Jornada!$C$8:$H$37,4,0))</f>
        <v>0</v>
      </c>
      <c r="AI8" s="155">
        <f ca="1">IF(AND(I8=0,J8=0,OR(H8&lt;&gt;0,K8&lt;&gt;0),HLOOKUP($F8,Jornada!$X$7:$AD$37,VLOOKUP(INDIRECT($C$5),Jornada!$C$8:$W$37,21,0),0)&gt;$AK$5,M8&gt;$AK$5),VLOOKUP(INDIRECT($C$5),Jornada!$C$8:$H$37,6,0),IF(AG8&gt;VLOOKUP(INDIRECT($C$5),Jornada!$C$8:$H$37,6,0),IF(VLOOKUP(INDIRECT($C$5),Jornada!$C$8:$H$37,6,0)&lt;AG8,0,ABS(VLOOKUP(INDIRECT($C$5),Jornada!$C$8:$H$37,6,0))-AG8),0))</f>
        <v>0</v>
      </c>
      <c r="AJ8" s="155">
        <f>($AJ$7-K8)+H8</f>
        <v>1</v>
      </c>
      <c r="AK8" s="155">
        <f>IF(AJ8&lt;$AK$7,$AK$7-AJ8,$AI$7)</f>
        <v>0</v>
      </c>
      <c r="AL8" s="155">
        <f ca="1">HLOOKUP($F8,Jornada!$I$5:$V$37,VLOOKUP(INDIRECT($C$5),Jornada!$C$8:$W$37,21,0)+2,0)</f>
        <v>0</v>
      </c>
      <c r="AM8" s="155">
        <f ca="1">HLOOKUP($F8,Jornada!$I$4:$V$37,VLOOKUP(INDIRECT($C$5),Jornada!$C$8:$W$37,21,0)+3,0)</f>
        <v>0</v>
      </c>
      <c r="AN8" s="155">
        <f ca="1">IF(AND(AL8&gt;=$AL$5,AL8&lt;$AN$5,H8&gt;=$AL$5,H8&lt;AL8),AL8-H8,IF(AND(AL8&gt;$AI$7,AL8&lt;=$AM$5,H8&gt;=$AL$5,H8&lt;=$AN$5),$AN$5-H8+AL8,IF(AND(AL8&gt;=$AI$7,AL8&lt;=$AM$5,H8&gt;=$AI$7,H8&lt;=$AM$5,H8&lt;AL8),H8-AL8,0)))</f>
        <v>0</v>
      </c>
      <c r="AO8" s="155">
        <f>IF(AP8&gt;Q8,0,AP8)</f>
        <v>0</v>
      </c>
      <c r="AP8" s="155">
        <f>IF(Q8=0,0,IF(AND(AM8&gt;=$AL$5,AM8&lt;$AN$5,K8&gt;=$AL$5,K8&lt;$AM$5,K8&gt;AM8),K8-AM8,IF(AND(AM8&gt;=$AL$5,AM8&lt;$AN$5,K8&lt;$AN$5,K8&gt;AM8),K8-$AL$5,IF(AND(AM8&gt;=$AI$7,AM8&lt;$AM$5,K8&lt;$AM$5),K8-AM8,IF(AND(AM8&lt;&gt;AI7,AM8&gt;=$AI$7,AM8&lt;=$AM$5,K8&gt;$AM$5,K8&gt;AM8),$AM$5-AM8,IF(AND(K8&gt;$AL$5,K8&lt;$AN$5),K8-$AL$5,IF(AND(K8&gt;$AI$7,K8&lt;$AM$5),$AN$5-$AL$5+K8,IF(AND(OR(K8&gt;$AL$5,H8&gt;$AO$5),AM8&gt;=$AI$7,AM8&lt;$AM$5,K8&gt;$AM$5),(1+$AM$5-$AL$5)-AG8,0))))))))</f>
        <v>0</v>
      </c>
      <c r="BE8" s="14"/>
      <c r="BF8" s="14"/>
      <c r="BG8" s="14"/>
    </row>
    <row r="9" spans="1:59" s="2" customFormat="1" ht="30" customHeight="1" thickTop="1" thickBot="1" x14ac:dyDescent="0.25">
      <c r="A9" s="1"/>
      <c r="B9"/>
      <c r="C9" s="172" t="str">
        <f>IF(Funcionários!C8=0,"",Funcionários!C8)</f>
        <v/>
      </c>
      <c r="D9"/>
      <c r="E9" s="115">
        <f>Lanç!E9</f>
        <v>2</v>
      </c>
      <c r="F9" s="189" t="str">
        <f>Lanç!F9</f>
        <v>Seg</v>
      </c>
      <c r="G9" s="81"/>
      <c r="H9" s="94"/>
      <c r="I9" s="94"/>
      <c r="J9" s="94"/>
      <c r="K9" s="94"/>
      <c r="L9" s="10"/>
      <c r="M9" s="95">
        <f t="shared" ref="M9:M38" si="1">IF(AND(H9=K9,H9&lt;&gt;0),$M$6-IF(J9&lt;I9,$AJ$7+J9-I9,J9-I9),IF(H9&gt;K9,(K9+1-H9)-IF(J9&lt;I9,$AJ$7+J9-I9,J9-I9),(K9-H9)-IF(J9&lt;I9,$AJ$7+J9-I9,J9-I9)))</f>
        <v>0</v>
      </c>
      <c r="N9" s="96"/>
      <c r="O9" s="95">
        <f ca="1">IF(OR(G9=0,G9="Férias",G9="Falta Justificada",G9="Feriado",G9="Folga (DSR)"),0,IF(G9="Falta Injustificada",HLOOKUP($F9,Jornada!$X$7:$AD$37,VLOOKUP(INDIRECT($C$5),Jornada!$C$8:$W$37,21,0),0),IF(HLOOKUP($F9,Jornada!$X$7:$AD$37,VLOOKUP(INDIRECT($C$5),Jornada!$C$8:$W$37,21,0),0)-M9&gt;0,HLOOKUP($F9,Jornada!$X$7:$AD$37,VLOOKUP(INDIRECT($C$5),Jornada!$C$8:$W$37,21,0),0)-M9,0)))</f>
        <v>0</v>
      </c>
      <c r="P9" s="190">
        <f ca="1">IF(HLOOKUP($F9,Jornada!$X$7:$AD$37,VLOOKUP(INDIRECT($C$5),Jornada!$C$8:$W$37,21,0),0)-M9&lt;0,ABS(HLOOKUP($F9,Jornada!$X$7:$AD$37,VLOOKUP(INDIRECT($C$5),Jornada!$C$8:$W$37,21,0),0)-M9),0)</f>
        <v>0</v>
      </c>
      <c r="Q9" s="95">
        <f t="shared" si="0"/>
        <v>0</v>
      </c>
      <c r="R9" s="2">
        <f t="shared" ref="R9:R38" si="2">IF(Q9&gt;$R$7,1,0)</f>
        <v>0</v>
      </c>
      <c r="S9" s="294"/>
      <c r="T9" s="294"/>
      <c r="U9" s="295"/>
      <c r="W9" s="2" t="s">
        <v>92</v>
      </c>
      <c r="X9" s="156">
        <v>3</v>
      </c>
      <c r="AB9" s="177">
        <f>AB8+1</f>
        <v>2</v>
      </c>
      <c r="AC9" s="2">
        <f t="shared" ref="AC9:AC35" si="3">WEEKDAY(AB9)</f>
        <v>2</v>
      </c>
      <c r="AE9" s="2">
        <v>2</v>
      </c>
      <c r="AF9" s="2" t="s">
        <v>52</v>
      </c>
      <c r="AG9" s="220">
        <f t="shared" ref="AG9:AG38" si="4">IF(J9&lt;I9,$AJ$7+J9-I9,J9-I9)</f>
        <v>0</v>
      </c>
      <c r="AH9" s="220">
        <f ca="1">IF(HLOOKUP($F9,Jornada!$X$7:$AD$37,VLOOKUP(INDIRECT($C$5),Jornada!$C$8:$W$37,21,0),0)=0,0,VLOOKUP(INDIRECT($C$5),Jornada!$C$8:$H$37,4,0))</f>
        <v>0</v>
      </c>
      <c r="AI9" s="155">
        <f ca="1">IF(AND(I9=0,J9=0,OR(H9&lt;&gt;0,K9&lt;&gt;0),HLOOKUP($F9,Jornada!$X$7:$AD$37,VLOOKUP(INDIRECT($C$5),Jornada!$C$8:$W$37,21,0),0)&gt;$AK$5,M9&gt;$AK$5),VLOOKUP(INDIRECT($C$5),Jornada!$C$8:$H$37,6,0),IF(AG9&gt;VLOOKUP(INDIRECT($C$5),Jornada!$C$8:$H$37,6,0),IF(VLOOKUP(INDIRECT($C$5),Jornada!$C$8:$H$37,6,0)&lt;AG9,0,ABS(VLOOKUP(INDIRECT($C$5),Jornada!$C$8:$H$37,6,0))-AG9),0))</f>
        <v>0</v>
      </c>
      <c r="AJ9" s="155">
        <f t="shared" ref="AJ9:AJ38" si="5">($AJ$7-K9)+H9</f>
        <v>1</v>
      </c>
      <c r="AK9" s="155">
        <f t="shared" ref="AK9:AK38" si="6">IF(AJ9&lt;$AK$7,$AK$7-AJ9,$AI$7)</f>
        <v>0</v>
      </c>
      <c r="AL9" s="155">
        <f ca="1">HLOOKUP($F9,Jornada!$I$5:$V$37,VLOOKUP(INDIRECT($C$5),Jornada!$C$8:$W$37,21,0)+2,0)</f>
        <v>0</v>
      </c>
      <c r="AM9" s="155">
        <f ca="1">HLOOKUP($F9,Jornada!$I$4:$V$37,VLOOKUP(INDIRECT($C$5),Jornada!$C$8:$W$37,21,0)+3,0)</f>
        <v>0</v>
      </c>
      <c r="AN9" s="155">
        <f t="shared" ref="AN9:AN38" ca="1" si="7">IF(AND(AL9&gt;=$AL$5,AL9&lt;$AN$5,H9&gt;=$AL$5,H9&lt;AL9),AL9-H9,IF(AND(AL9&gt;$AI$7,AL9&lt;=$AM$5,H9&gt;=$AL$5,H9&lt;=$AN$5),$AN$5-H9+AL9,IF(AND(AL9&gt;=$AI$7,AL9&lt;=$AM$5,H9&gt;=$AI$7,H9&lt;=$AM$5,H9&lt;AL9),H9-AL9,0)))</f>
        <v>0</v>
      </c>
      <c r="AO9" s="155">
        <f t="shared" ref="AO9:AO38" si="8">IF(AP9&gt;Q9,0,AP9)</f>
        <v>0</v>
      </c>
      <c r="AP9" s="155">
        <f t="shared" ref="AP9:AP38" si="9">IF(Q9=0,0,IF(AND(AM9&gt;=$AL$5,AM9&lt;$AN$5,K9&gt;=$AL$5,K9&lt;$AM$5,K9&gt;AM9),K9-AM9,IF(AND(AM9&gt;=$AL$5,AM9&lt;$AN$5,K9&lt;$AN$5,K9&gt;AM9),K9-$AL$5,IF(AND(AM9&gt;=$AI$7,AM9&lt;$AM$5,K9&lt;$AM$5),K9-AM9,IF(AND(AM9&lt;&gt;AI8,AM9&gt;=$AI$7,AM9&lt;=$AM$5,K9&gt;$AM$5,K9&gt;AM9),$AM$5-AM9,IF(AND(K9&gt;$AL$5,K9&lt;$AN$5),K9-$AL$5,IF(AND(K9&gt;$AI$7,K9&lt;$AM$5),$AN$5-$AL$5+K9,IF(AND(OR(K9&gt;$AL$5,H9&gt;$AO$5),AM9&gt;=$AI$7,AM9&lt;$AM$5,K9&gt;$AM$5),(1+$AM$5-$AL$5)-AG9,0))))))))</f>
        <v>0</v>
      </c>
      <c r="BE9" s="14"/>
      <c r="BF9" s="14"/>
      <c r="BG9" s="14"/>
    </row>
    <row r="10" spans="1:59" s="2" customFormat="1" ht="30" customHeight="1" thickTop="1" thickBot="1" x14ac:dyDescent="0.25">
      <c r="A10" s="1"/>
      <c r="B10"/>
      <c r="C10" s="172" t="str">
        <f>IF(Funcionários!C9=0,"",Funcionários!C9)</f>
        <v/>
      </c>
      <c r="D10"/>
      <c r="E10" s="115">
        <f>Lanç!E10</f>
        <v>3</v>
      </c>
      <c r="F10" s="189" t="str">
        <f>Lanç!F10</f>
        <v>Ter</v>
      </c>
      <c r="G10" s="81"/>
      <c r="H10" s="94"/>
      <c r="I10" s="94"/>
      <c r="J10" s="94"/>
      <c r="K10" s="94"/>
      <c r="L10" s="10"/>
      <c r="M10" s="95">
        <f t="shared" si="1"/>
        <v>0</v>
      </c>
      <c r="N10" s="96"/>
      <c r="O10" s="95">
        <f ca="1">IF(OR(G10=0,G10="Férias",G10="Falta Justificada",G10="Feriado",G10="Folga (DSR)"),0,IF(G10="Falta Injustificada",HLOOKUP($F10,Jornada!$X$7:$AD$37,VLOOKUP(INDIRECT($C$5),Jornada!$C$8:$W$37,21,0),0),IF(HLOOKUP($F10,Jornada!$X$7:$AD$37,VLOOKUP(INDIRECT($C$5),Jornada!$C$8:$W$37,21,0),0)-M10&gt;0,HLOOKUP($F10,Jornada!$X$7:$AD$37,VLOOKUP(INDIRECT($C$5),Jornada!$C$8:$W$37,21,0),0)-M10,0)))</f>
        <v>0</v>
      </c>
      <c r="P10" s="190">
        <f ca="1">IF(HLOOKUP($F10,Jornada!$X$7:$AD$37,VLOOKUP(INDIRECT($C$5),Jornada!$C$8:$W$37,21,0),0)-M10&lt;0,ABS(HLOOKUP($F10,Jornada!$X$7:$AD$37,VLOOKUP(INDIRECT($C$5),Jornada!$C$8:$W$37,21,0),0)-M10),0)</f>
        <v>0</v>
      </c>
      <c r="Q10" s="95">
        <f t="shared" si="0"/>
        <v>0</v>
      </c>
      <c r="R10" s="2">
        <f t="shared" si="2"/>
        <v>0</v>
      </c>
      <c r="S10" s="294" t="s">
        <v>66</v>
      </c>
      <c r="T10" s="294"/>
      <c r="U10" s="295">
        <f ca="1">IF(M5="Horas devidas",ABS(-K5+F58-U14),ABS(K5+F58-U14))</f>
        <v>0</v>
      </c>
      <c r="W10" s="2" t="s">
        <v>93</v>
      </c>
      <c r="X10" s="156">
        <v>4</v>
      </c>
      <c r="AB10" s="177">
        <f t="shared" ref="AB10:AB34" si="10">AB9+1</f>
        <v>3</v>
      </c>
      <c r="AC10" s="2">
        <f t="shared" si="3"/>
        <v>3</v>
      </c>
      <c r="AE10" s="2">
        <v>3</v>
      </c>
      <c r="AF10" s="2" t="s">
        <v>53</v>
      </c>
      <c r="AG10" s="220">
        <f t="shared" si="4"/>
        <v>0</v>
      </c>
      <c r="AH10" s="220">
        <f ca="1">IF(HLOOKUP($F10,Jornada!$X$7:$AD$37,VLOOKUP(INDIRECT($C$5),Jornada!$C$8:$W$37,21,0),0)=0,0,VLOOKUP(INDIRECT($C$5),Jornada!$C$8:$H$37,4,0))</f>
        <v>0</v>
      </c>
      <c r="AI10" s="155">
        <f ca="1">IF(AND(I10=0,J10=0,OR(H10&lt;&gt;0,K10&lt;&gt;0),HLOOKUP($F10,Jornada!$X$7:$AD$37,VLOOKUP(INDIRECT($C$5),Jornada!$C$8:$W$37,21,0),0)&gt;$AK$5,M10&gt;$AK$5),VLOOKUP(INDIRECT($C$5),Jornada!$C$8:$H$37,6,0),IF(AG10&gt;VLOOKUP(INDIRECT($C$5),Jornada!$C$8:$H$37,6,0),IF(VLOOKUP(INDIRECT($C$5),Jornada!$C$8:$H$37,6,0)&lt;AG10,0,ABS(VLOOKUP(INDIRECT($C$5),Jornada!$C$8:$H$37,6,0))-AG10),0))</f>
        <v>0</v>
      </c>
      <c r="AJ10" s="155">
        <f t="shared" si="5"/>
        <v>1</v>
      </c>
      <c r="AK10" s="155">
        <f t="shared" si="6"/>
        <v>0</v>
      </c>
      <c r="AL10" s="155">
        <f ca="1">HLOOKUP($F10,Jornada!$I$5:$V$37,VLOOKUP(INDIRECT($C$5),Jornada!$C$8:$W$37,21,0)+2,0)</f>
        <v>0</v>
      </c>
      <c r="AM10" s="155">
        <f ca="1">HLOOKUP($F10,Jornada!$I$4:$V$37,VLOOKUP(INDIRECT($C$5),Jornada!$C$8:$W$37,21,0)+3,0)</f>
        <v>0</v>
      </c>
      <c r="AN10" s="155">
        <f t="shared" ca="1" si="7"/>
        <v>0</v>
      </c>
      <c r="AO10" s="155">
        <f t="shared" si="8"/>
        <v>0</v>
      </c>
      <c r="AP10" s="155">
        <f t="shared" si="9"/>
        <v>0</v>
      </c>
      <c r="BE10" s="14"/>
      <c r="BF10" s="14"/>
      <c r="BG10" s="14"/>
    </row>
    <row r="11" spans="1:59" s="2" customFormat="1" ht="30" customHeight="1" thickTop="1" thickBot="1" x14ac:dyDescent="0.25">
      <c r="A11" s="1"/>
      <c r="B11"/>
      <c r="C11" s="172" t="str">
        <f>IF(Funcionários!C10=0,"",Funcionários!C10)</f>
        <v/>
      </c>
      <c r="D11"/>
      <c r="E11" s="115">
        <f>Lanç!E11</f>
        <v>4</v>
      </c>
      <c r="F11" s="189" t="str">
        <f>Lanç!F11</f>
        <v>Qua</v>
      </c>
      <c r="G11" s="81"/>
      <c r="H11" s="94"/>
      <c r="I11" s="94"/>
      <c r="J11" s="94"/>
      <c r="K11" s="94"/>
      <c r="L11" s="10"/>
      <c r="M11" s="95">
        <f t="shared" si="1"/>
        <v>0</v>
      </c>
      <c r="N11" s="96"/>
      <c r="O11" s="95">
        <f ca="1">IF(OR(G11=0,G11="Férias",G11="Falta Justificada",G11="Feriado",G11="Folga (DSR)"),0,IF(G11="Falta Injustificada",HLOOKUP($F11,Jornada!$X$7:$AD$37,VLOOKUP(INDIRECT($C$5),Jornada!$C$8:$W$37,21,0),0),IF(HLOOKUP($F11,Jornada!$X$7:$AD$37,VLOOKUP(INDIRECT($C$5),Jornada!$C$8:$W$37,21,0),0)-M11&gt;0,HLOOKUP($F11,Jornada!$X$7:$AD$37,VLOOKUP(INDIRECT($C$5),Jornada!$C$8:$W$37,21,0),0)-M11,0)))</f>
        <v>0</v>
      </c>
      <c r="P11" s="190">
        <f ca="1">IF(HLOOKUP($F11,Jornada!$X$7:$AD$37,VLOOKUP(INDIRECT($C$5),Jornada!$C$8:$W$37,21,0),0)-M11&lt;0,ABS(HLOOKUP($F11,Jornada!$X$7:$AD$37,VLOOKUP(INDIRECT($C$5),Jornada!$C$8:$W$37,21,0),0)-M11),0)</f>
        <v>0</v>
      </c>
      <c r="Q11" s="95">
        <f t="shared" si="0"/>
        <v>0</v>
      </c>
      <c r="R11" s="2">
        <f t="shared" si="2"/>
        <v>0</v>
      </c>
      <c r="S11" s="294"/>
      <c r="T11" s="294"/>
      <c r="U11" s="295"/>
      <c r="V11" s="2">
        <f ca="1">IF(AND(K5&gt;U12,M5="Horas devidas"),"Negativo",IF(AND(U12&gt;K5,U14&gt;F58),"Negativo",0))</f>
        <v>0</v>
      </c>
      <c r="W11" s="2" t="s">
        <v>94</v>
      </c>
      <c r="X11" s="156">
        <v>5</v>
      </c>
      <c r="Z11" s="2" t="str">
        <f ca="1">IF(AND(M5="horas extras",Z13="positivo"),"positivo",IF(AND(M5="horas devidas",Z13="Negativo"),"Negativo",IF(AND(Z13="positivo",M5="horas devidas",U12&gt;K5),"Positivo","Negativo")))</f>
        <v>Negativo</v>
      </c>
      <c r="AB11" s="177">
        <f t="shared" si="10"/>
        <v>4</v>
      </c>
      <c r="AC11" s="2">
        <f t="shared" si="3"/>
        <v>4</v>
      </c>
      <c r="AE11" s="2">
        <v>4</v>
      </c>
      <c r="AF11" s="2" t="s">
        <v>54</v>
      </c>
      <c r="AG11" s="220">
        <f t="shared" si="4"/>
        <v>0</v>
      </c>
      <c r="AH11" s="220">
        <f ca="1">IF(HLOOKUP($F11,Jornada!$X$7:$AD$37,VLOOKUP(INDIRECT($C$5),Jornada!$C$8:$W$37,21,0),0)=0,0,VLOOKUP(INDIRECT($C$5),Jornada!$C$8:$H$37,4,0))</f>
        <v>0</v>
      </c>
      <c r="AI11" s="155">
        <f ca="1">IF(AND(I11=0,J11=0,OR(H11&lt;&gt;0,K11&lt;&gt;0),HLOOKUP($F11,Jornada!$X$7:$AD$37,VLOOKUP(INDIRECT($C$5),Jornada!$C$8:$W$37,21,0),0)&gt;$AK$5,M11&gt;$AK$5),VLOOKUP(INDIRECT($C$5),Jornada!$C$8:$H$37,6,0),IF(AG11&gt;VLOOKUP(INDIRECT($C$5),Jornada!$C$8:$H$37,6,0),IF(VLOOKUP(INDIRECT($C$5),Jornada!$C$8:$H$37,6,0)&lt;AG11,0,ABS(VLOOKUP(INDIRECT($C$5),Jornada!$C$8:$H$37,6,0))-AG11),0))</f>
        <v>0</v>
      </c>
      <c r="AJ11" s="155">
        <f t="shared" si="5"/>
        <v>1</v>
      </c>
      <c r="AK11" s="155">
        <f t="shared" si="6"/>
        <v>0</v>
      </c>
      <c r="AL11" s="155">
        <f ca="1">HLOOKUP($F11,Jornada!$I$5:$V$37,VLOOKUP(INDIRECT($C$5),Jornada!$C$8:$W$37,21,0)+2,0)</f>
        <v>0</v>
      </c>
      <c r="AM11" s="155">
        <f ca="1">HLOOKUP($F11,Jornada!$I$4:$V$37,VLOOKUP(INDIRECT($C$5),Jornada!$C$8:$W$37,21,0)+3,0)</f>
        <v>0</v>
      </c>
      <c r="AN11" s="155">
        <f t="shared" ca="1" si="7"/>
        <v>0</v>
      </c>
      <c r="AO11" s="155">
        <f t="shared" si="8"/>
        <v>0</v>
      </c>
      <c r="AP11" s="155">
        <f t="shared" si="9"/>
        <v>0</v>
      </c>
      <c r="BE11" s="14"/>
      <c r="BF11" s="14"/>
      <c r="BG11" s="14"/>
    </row>
    <row r="12" spans="1:59" s="2" customFormat="1" ht="30" customHeight="1" thickTop="1" thickBot="1" x14ac:dyDescent="0.25">
      <c r="A12" s="1"/>
      <c r="B12"/>
      <c r="C12" s="172" t="str">
        <f>IF(Funcionários!C11=0,"",Funcionários!C11)</f>
        <v/>
      </c>
      <c r="D12"/>
      <c r="E12" s="115">
        <f>Lanç!E12</f>
        <v>5</v>
      </c>
      <c r="F12" s="189" t="str">
        <f>Lanç!F12</f>
        <v>Qui</v>
      </c>
      <c r="G12" s="81"/>
      <c r="H12" s="94"/>
      <c r="I12" s="94"/>
      <c r="J12" s="94"/>
      <c r="K12" s="94"/>
      <c r="L12" s="10"/>
      <c r="M12" s="95">
        <f t="shared" si="1"/>
        <v>0</v>
      </c>
      <c r="N12" s="96"/>
      <c r="O12" s="95">
        <f ca="1">IF(OR(G12=0,G12="Férias",G12="Falta Justificada",G12="Feriado",G12="Folga (DSR)"),0,IF(G12="Falta Injustificada",HLOOKUP($F12,Jornada!$X$7:$AD$37,VLOOKUP(INDIRECT($C$5),Jornada!$C$8:$W$37,21,0),0),IF(HLOOKUP($F12,Jornada!$X$7:$AD$37,VLOOKUP(INDIRECT($C$5),Jornada!$C$8:$W$37,21,0),0)-M12&gt;0,HLOOKUP($F12,Jornada!$X$7:$AD$37,VLOOKUP(INDIRECT($C$5),Jornada!$C$8:$W$37,21,0),0)-M12,0)))</f>
        <v>0</v>
      </c>
      <c r="P12" s="190">
        <f ca="1">IF(HLOOKUP($F12,Jornada!$X$7:$AD$37,VLOOKUP(INDIRECT($C$5),Jornada!$C$8:$W$37,21,0),0)-M12&lt;0,ABS(HLOOKUP($F12,Jornada!$X$7:$AD$37,VLOOKUP(INDIRECT($C$5),Jornada!$C$8:$W$37,21,0),0)-M12),0)</f>
        <v>0</v>
      </c>
      <c r="Q12" s="95">
        <f t="shared" si="0"/>
        <v>0</v>
      </c>
      <c r="R12" s="2">
        <f t="shared" si="2"/>
        <v>0</v>
      </c>
      <c r="S12" s="294" t="s">
        <v>175</v>
      </c>
      <c r="T12" s="294"/>
      <c r="U12" s="295">
        <f ca="1">IF(U14&gt;=F58,(U14)-F58,(F58-U14))</f>
        <v>0</v>
      </c>
      <c r="W12" s="2" t="s">
        <v>95</v>
      </c>
      <c r="X12" s="156">
        <v>6</v>
      </c>
      <c r="AB12" s="177">
        <f t="shared" si="10"/>
        <v>5</v>
      </c>
      <c r="AC12" s="2">
        <f t="shared" si="3"/>
        <v>5</v>
      </c>
      <c r="AE12" s="2">
        <v>5</v>
      </c>
      <c r="AF12" s="2" t="s">
        <v>55</v>
      </c>
      <c r="AG12" s="220">
        <f t="shared" si="4"/>
        <v>0</v>
      </c>
      <c r="AH12" s="220">
        <f ca="1">IF(HLOOKUP($F12,Jornada!$X$7:$AD$37,VLOOKUP(INDIRECT($C$5),Jornada!$C$8:$W$37,21,0),0)=0,0,VLOOKUP(INDIRECT($C$5),Jornada!$C$8:$H$37,4,0))</f>
        <v>0</v>
      </c>
      <c r="AI12" s="155">
        <f ca="1">IF(AND(I12=0,J12=0,OR(H12&lt;&gt;0,K12&lt;&gt;0),HLOOKUP($F12,Jornada!$X$7:$AD$37,VLOOKUP(INDIRECT($C$5),Jornada!$C$8:$W$37,21,0),0)&gt;$AK$5,M12&gt;$AK$5),VLOOKUP(INDIRECT($C$5),Jornada!$C$8:$H$37,6,0),IF(AG12&gt;VLOOKUP(INDIRECT($C$5),Jornada!$C$8:$H$37,6,0),IF(VLOOKUP(INDIRECT($C$5),Jornada!$C$8:$H$37,6,0)&lt;AG12,0,ABS(VLOOKUP(INDIRECT($C$5),Jornada!$C$8:$H$37,6,0))-AG12),0))</f>
        <v>0</v>
      </c>
      <c r="AJ12" s="155">
        <f t="shared" si="5"/>
        <v>1</v>
      </c>
      <c r="AK12" s="155">
        <f t="shared" si="6"/>
        <v>0</v>
      </c>
      <c r="AL12" s="155">
        <f ca="1">HLOOKUP($F12,Jornada!$I$5:$V$37,VLOOKUP(INDIRECT($C$5),Jornada!$C$8:$W$37,21,0)+2,0)</f>
        <v>0</v>
      </c>
      <c r="AM12" s="155">
        <f ca="1">HLOOKUP($F12,Jornada!$I$4:$V$37,VLOOKUP(INDIRECT($C$5),Jornada!$C$8:$W$37,21,0)+3,0)</f>
        <v>0</v>
      </c>
      <c r="AN12" s="155">
        <f t="shared" ca="1" si="7"/>
        <v>0</v>
      </c>
      <c r="AO12" s="155">
        <f t="shared" si="8"/>
        <v>0</v>
      </c>
      <c r="AP12" s="155">
        <f t="shared" si="9"/>
        <v>0</v>
      </c>
      <c r="BE12" s="14"/>
      <c r="BF12" s="14"/>
      <c r="BG12" s="14"/>
    </row>
    <row r="13" spans="1:59" s="2" customFormat="1" ht="30" customHeight="1" thickTop="1" thickBot="1" x14ac:dyDescent="0.25">
      <c r="A13" s="1"/>
      <c r="B13"/>
      <c r="C13" s="172" t="str">
        <f>IF(Funcionários!C12=0,"",Funcionários!C12)</f>
        <v/>
      </c>
      <c r="D13"/>
      <c r="E13" s="115">
        <f>Lanç!E13</f>
        <v>6</v>
      </c>
      <c r="F13" s="189" t="str">
        <f>Lanç!F13</f>
        <v>Sex</v>
      </c>
      <c r="G13" s="81"/>
      <c r="H13" s="94"/>
      <c r="I13" s="94"/>
      <c r="J13" s="94"/>
      <c r="K13" s="94"/>
      <c r="L13" s="10"/>
      <c r="M13" s="95">
        <f t="shared" si="1"/>
        <v>0</v>
      </c>
      <c r="N13" s="96"/>
      <c r="O13" s="95">
        <f ca="1">IF(OR(G13=0,G13="Férias",G13="Falta Justificada",G13="Feriado",G13="Folga (DSR)"),0,IF(G13="Falta Injustificada",HLOOKUP($F13,Jornada!$X$7:$AD$37,VLOOKUP(INDIRECT($C$5),Jornada!$C$8:$W$37,21,0),0),IF(HLOOKUP($F13,Jornada!$X$7:$AD$37,VLOOKUP(INDIRECT($C$5),Jornada!$C$8:$W$37,21,0),0)-M13&gt;0,HLOOKUP($F13,Jornada!$X$7:$AD$37,VLOOKUP(INDIRECT($C$5),Jornada!$C$8:$W$37,21,0),0)-M13,0)))</f>
        <v>0</v>
      </c>
      <c r="P13" s="190">
        <f ca="1">IF(HLOOKUP($F13,Jornada!$X$7:$AD$37,VLOOKUP(INDIRECT($C$5),Jornada!$C$8:$W$37,21,0),0)-M13&lt;0,ABS(HLOOKUP($F13,Jornada!$X$7:$AD$37,VLOOKUP(INDIRECT($C$5),Jornada!$C$8:$W$37,21,0),0)-M13),0)</f>
        <v>0</v>
      </c>
      <c r="Q13" s="95">
        <f t="shared" si="0"/>
        <v>0</v>
      </c>
      <c r="R13" s="2">
        <f t="shared" si="2"/>
        <v>0</v>
      </c>
      <c r="S13" s="294"/>
      <c r="T13" s="294"/>
      <c r="U13" s="295"/>
      <c r="W13" s="2" t="s">
        <v>96</v>
      </c>
      <c r="X13" s="156">
        <v>7</v>
      </c>
      <c r="Z13" s="2" t="str">
        <f ca="1">IF(U14&gt;F58,"Negativo","Positivo")</f>
        <v>Positivo</v>
      </c>
      <c r="AB13" s="177">
        <f t="shared" si="10"/>
        <v>6</v>
      </c>
      <c r="AC13" s="2">
        <f t="shared" si="3"/>
        <v>6</v>
      </c>
      <c r="AE13" s="2">
        <v>6</v>
      </c>
      <c r="AF13" s="2" t="s">
        <v>56</v>
      </c>
      <c r="AG13" s="220">
        <f t="shared" si="4"/>
        <v>0</v>
      </c>
      <c r="AH13" s="220">
        <f ca="1">IF(HLOOKUP($F13,Jornada!$X$7:$AD$37,VLOOKUP(INDIRECT($C$5),Jornada!$C$8:$W$37,21,0),0)=0,0,VLOOKUP(INDIRECT($C$5),Jornada!$C$8:$H$37,4,0))</f>
        <v>0</v>
      </c>
      <c r="AI13" s="155">
        <f ca="1">IF(AND(I13=0,J13=0,OR(H13&lt;&gt;0,K13&lt;&gt;0),HLOOKUP($F13,Jornada!$X$7:$AD$37,VLOOKUP(INDIRECT($C$5),Jornada!$C$8:$W$37,21,0),0)&gt;$AK$5,M13&gt;$AK$5),VLOOKUP(INDIRECT($C$5),Jornada!$C$8:$H$37,6,0),IF(AG13&gt;VLOOKUP(INDIRECT($C$5),Jornada!$C$8:$H$37,6,0),IF(VLOOKUP(INDIRECT($C$5),Jornada!$C$8:$H$37,6,0)&lt;AG13,0,ABS(VLOOKUP(INDIRECT($C$5),Jornada!$C$8:$H$37,6,0))-AG13),0))</f>
        <v>0</v>
      </c>
      <c r="AJ13" s="155">
        <f t="shared" si="5"/>
        <v>1</v>
      </c>
      <c r="AK13" s="155">
        <f t="shared" si="6"/>
        <v>0</v>
      </c>
      <c r="AL13" s="155">
        <f ca="1">HLOOKUP($F13,Jornada!$I$5:$V$37,VLOOKUP(INDIRECT($C$5),Jornada!$C$8:$W$37,21,0)+2,0)</f>
        <v>0</v>
      </c>
      <c r="AM13" s="155">
        <f ca="1">HLOOKUP($F13,Jornada!$I$4:$V$37,VLOOKUP(INDIRECT($C$5),Jornada!$C$8:$W$37,21,0)+3,0)</f>
        <v>0</v>
      </c>
      <c r="AN13" s="155">
        <f t="shared" ca="1" si="7"/>
        <v>0</v>
      </c>
      <c r="AO13" s="155">
        <f t="shared" si="8"/>
        <v>0</v>
      </c>
      <c r="AP13" s="155">
        <f t="shared" si="9"/>
        <v>0</v>
      </c>
      <c r="BE13" s="14"/>
      <c r="BF13" s="14"/>
      <c r="BG13" s="14"/>
    </row>
    <row r="14" spans="1:59" s="2" customFormat="1" ht="30" customHeight="1" thickTop="1" thickBot="1" x14ac:dyDescent="0.25">
      <c r="A14" s="1"/>
      <c r="B14"/>
      <c r="C14" s="172" t="str">
        <f>IF(Funcionários!C13=0,"",Funcionários!C13)</f>
        <v/>
      </c>
      <c r="D14"/>
      <c r="E14" s="115">
        <f>Lanç!E14</f>
        <v>7</v>
      </c>
      <c r="F14" s="189" t="str">
        <f>Lanç!F14</f>
        <v>Sáb</v>
      </c>
      <c r="G14" s="81"/>
      <c r="H14" s="94"/>
      <c r="I14" s="94"/>
      <c r="J14" s="94"/>
      <c r="K14" s="94"/>
      <c r="L14" s="10"/>
      <c r="M14" s="95">
        <f t="shared" si="1"/>
        <v>0</v>
      </c>
      <c r="N14" s="96"/>
      <c r="O14" s="95">
        <f ca="1">IF(OR(G14=0,G14="Férias",G14="Falta Justificada",G14="Feriado",G14="Folga (DSR)"),0,IF(G14="Falta Injustificada",HLOOKUP($F14,Jornada!$X$7:$AD$37,VLOOKUP(INDIRECT($C$5),Jornada!$C$8:$W$37,21,0),0),IF(HLOOKUP($F14,Jornada!$X$7:$AD$37,VLOOKUP(INDIRECT($C$5),Jornada!$C$8:$W$37,21,0),0)-M14&gt;0,HLOOKUP($F14,Jornada!$X$7:$AD$37,VLOOKUP(INDIRECT($C$5),Jornada!$C$8:$W$37,21,0),0)-M14,0)))</f>
        <v>0</v>
      </c>
      <c r="P14" s="190">
        <f ca="1">IF(HLOOKUP($F14,Jornada!$X$7:$AD$37,VLOOKUP(INDIRECT($C$5),Jornada!$C$8:$W$37,21,0),0)-M14&lt;0,ABS(HLOOKUP($F14,Jornada!$X$7:$AD$37,VLOOKUP(INDIRECT($C$5),Jornada!$C$8:$W$37,21,0),0)-M14),0)</f>
        <v>0</v>
      </c>
      <c r="Q14" s="95">
        <f t="shared" si="0"/>
        <v>0</v>
      </c>
      <c r="R14" s="2">
        <f t="shared" si="2"/>
        <v>0</v>
      </c>
      <c r="S14" s="294" t="s">
        <v>68</v>
      </c>
      <c r="T14" s="294"/>
      <c r="U14" s="295">
        <f ca="1">SUM(O8:O38)</f>
        <v>0</v>
      </c>
      <c r="W14" s="2" t="s">
        <v>97</v>
      </c>
      <c r="X14" s="156">
        <v>8</v>
      </c>
      <c r="AB14" s="177">
        <f t="shared" si="10"/>
        <v>7</v>
      </c>
      <c r="AC14" s="2">
        <f t="shared" si="3"/>
        <v>7</v>
      </c>
      <c r="AE14" s="2">
        <v>7</v>
      </c>
      <c r="AF14" s="2" t="s">
        <v>57</v>
      </c>
      <c r="AG14" s="220">
        <f t="shared" si="4"/>
        <v>0</v>
      </c>
      <c r="AH14" s="220">
        <f ca="1">IF(HLOOKUP($F14,Jornada!$X$7:$AD$37,VLOOKUP(INDIRECT($C$5),Jornada!$C$8:$W$37,21,0),0)=0,0,VLOOKUP(INDIRECT($C$5),Jornada!$C$8:$H$37,4,0))</f>
        <v>0</v>
      </c>
      <c r="AI14" s="155">
        <f ca="1">IF(AND(I14=0,J14=0,OR(H14&lt;&gt;0,K14&lt;&gt;0),HLOOKUP($F14,Jornada!$X$7:$AD$37,VLOOKUP(INDIRECT($C$5),Jornada!$C$8:$W$37,21,0),0)&gt;$AK$5,M14&gt;$AK$5),VLOOKUP(INDIRECT($C$5),Jornada!$C$8:$H$37,6,0),IF(AG14&gt;VLOOKUP(INDIRECT($C$5),Jornada!$C$8:$H$37,6,0),IF(VLOOKUP(INDIRECT($C$5),Jornada!$C$8:$H$37,6,0)&lt;AG14,0,ABS(VLOOKUP(INDIRECT($C$5),Jornada!$C$8:$H$37,6,0))-AG14),0))</f>
        <v>0</v>
      </c>
      <c r="AJ14" s="155">
        <f t="shared" si="5"/>
        <v>1</v>
      </c>
      <c r="AK14" s="155">
        <f t="shared" si="6"/>
        <v>0</v>
      </c>
      <c r="AL14" s="155">
        <f ca="1">HLOOKUP($F14,Jornada!$I$5:$V$37,VLOOKUP(INDIRECT($C$5),Jornada!$C$8:$W$37,21,0)+2,0)</f>
        <v>0</v>
      </c>
      <c r="AM14" s="155">
        <f ca="1">HLOOKUP($F14,Jornada!$I$4:$V$37,VLOOKUP(INDIRECT($C$5),Jornada!$C$8:$W$37,21,0)+3,0)</f>
        <v>0</v>
      </c>
      <c r="AN14" s="155">
        <f t="shared" ca="1" si="7"/>
        <v>0</v>
      </c>
      <c r="AO14" s="155">
        <f t="shared" si="8"/>
        <v>0</v>
      </c>
      <c r="AP14" s="155">
        <f t="shared" si="9"/>
        <v>0</v>
      </c>
      <c r="BE14" s="14"/>
      <c r="BF14" s="14"/>
      <c r="BG14" s="14"/>
    </row>
    <row r="15" spans="1:59" s="2" customFormat="1" ht="30" customHeight="1" thickTop="1" thickBot="1" x14ac:dyDescent="0.25">
      <c r="A15" s="1"/>
      <c r="B15"/>
      <c r="C15" s="172" t="str">
        <f>IF(Funcionários!C14=0,"",Funcionários!C14)</f>
        <v/>
      </c>
      <c r="D15"/>
      <c r="E15" s="115">
        <f>Lanç!E15</f>
        <v>8</v>
      </c>
      <c r="F15" s="189" t="str">
        <f>Lanç!F15</f>
        <v>Dom</v>
      </c>
      <c r="G15" s="81"/>
      <c r="H15" s="94"/>
      <c r="I15" s="94"/>
      <c r="J15" s="94"/>
      <c r="K15" s="94"/>
      <c r="L15" s="10"/>
      <c r="M15" s="95">
        <f t="shared" si="1"/>
        <v>0</v>
      </c>
      <c r="N15" s="96"/>
      <c r="O15" s="95">
        <f ca="1">IF(OR(G15=0,G15="Férias",G15="Falta Justificada",G15="Feriado",G15="Folga (DSR)"),0,IF(G15="Falta Injustificada",HLOOKUP($F15,Jornada!$X$7:$AD$37,VLOOKUP(INDIRECT($C$5),Jornada!$C$8:$W$37,21,0),0),IF(HLOOKUP($F15,Jornada!$X$7:$AD$37,VLOOKUP(INDIRECT($C$5),Jornada!$C$8:$W$37,21,0),0)-M15&gt;0,HLOOKUP($F15,Jornada!$X$7:$AD$37,VLOOKUP(INDIRECT($C$5),Jornada!$C$8:$W$37,21,0),0)-M15,0)))</f>
        <v>0</v>
      </c>
      <c r="P15" s="190">
        <f ca="1">IF(HLOOKUP($F15,Jornada!$X$7:$AD$37,VLOOKUP(INDIRECT($C$5),Jornada!$C$8:$W$37,21,0),0)-M15&lt;0,ABS(HLOOKUP($F15,Jornada!$X$7:$AD$37,VLOOKUP(INDIRECT($C$5),Jornada!$C$8:$W$37,21,0),0)-M15),0)</f>
        <v>0</v>
      </c>
      <c r="Q15" s="95">
        <f t="shared" si="0"/>
        <v>0</v>
      </c>
      <c r="R15" s="2">
        <f t="shared" si="2"/>
        <v>0</v>
      </c>
      <c r="S15" s="294"/>
      <c r="T15" s="294"/>
      <c r="U15" s="295"/>
      <c r="W15" s="2" t="s">
        <v>98</v>
      </c>
      <c r="X15" s="156">
        <v>9</v>
      </c>
      <c r="AB15" s="177">
        <f t="shared" si="10"/>
        <v>8</v>
      </c>
      <c r="AC15" s="2">
        <f t="shared" si="3"/>
        <v>1</v>
      </c>
      <c r="AG15" s="220">
        <f t="shared" si="4"/>
        <v>0</v>
      </c>
      <c r="AH15" s="220">
        <f ca="1">IF(HLOOKUP($F15,Jornada!$X$7:$AD$37,VLOOKUP(INDIRECT($C$5),Jornada!$C$8:$W$37,21,0),0)=0,0,VLOOKUP(INDIRECT($C$5),Jornada!$C$8:$H$37,4,0))</f>
        <v>0</v>
      </c>
      <c r="AI15" s="155">
        <f ca="1">IF(AND(I15=0,J15=0,OR(H15&lt;&gt;0,K15&lt;&gt;0),HLOOKUP($F15,Jornada!$X$7:$AD$37,VLOOKUP(INDIRECT($C$5),Jornada!$C$8:$W$37,21,0),0)&gt;$AK$5,M15&gt;$AK$5),VLOOKUP(INDIRECT($C$5),Jornada!$C$8:$H$37,6,0),IF(AG15&gt;VLOOKUP(INDIRECT($C$5),Jornada!$C$8:$H$37,6,0),IF(VLOOKUP(INDIRECT($C$5),Jornada!$C$8:$H$37,6,0)&lt;AG15,0,ABS(VLOOKUP(INDIRECT($C$5),Jornada!$C$8:$H$37,6,0))-AG15),0))</f>
        <v>0</v>
      </c>
      <c r="AJ15" s="155">
        <f t="shared" si="5"/>
        <v>1</v>
      </c>
      <c r="AK15" s="155">
        <f t="shared" si="6"/>
        <v>0</v>
      </c>
      <c r="AL15" s="155">
        <f ca="1">HLOOKUP($F15,Jornada!$I$5:$V$37,VLOOKUP(INDIRECT($C$5),Jornada!$C$8:$W$37,21,0)+2,0)</f>
        <v>0</v>
      </c>
      <c r="AM15" s="155">
        <f ca="1">HLOOKUP($F15,Jornada!$I$4:$V$37,VLOOKUP(INDIRECT($C$5),Jornada!$C$8:$W$37,21,0)+3,0)</f>
        <v>0</v>
      </c>
      <c r="AN15" s="155">
        <f t="shared" ca="1" si="7"/>
        <v>0</v>
      </c>
      <c r="AO15" s="155">
        <f t="shared" si="8"/>
        <v>0</v>
      </c>
      <c r="AP15" s="155">
        <f t="shared" si="9"/>
        <v>0</v>
      </c>
      <c r="BE15" s="14"/>
      <c r="BF15" s="14"/>
      <c r="BG15" s="14"/>
    </row>
    <row r="16" spans="1:59" s="2" customFormat="1" ht="30" customHeight="1" thickTop="1" thickBot="1" x14ac:dyDescent="0.25">
      <c r="A16" s="1"/>
      <c r="B16"/>
      <c r="C16" s="172" t="str">
        <f>IF(Funcionários!C15=0,"",Funcionários!C15)</f>
        <v/>
      </c>
      <c r="D16"/>
      <c r="E16" s="115">
        <f>Lanç!E16</f>
        <v>9</v>
      </c>
      <c r="F16" s="189" t="str">
        <f>Lanç!F16</f>
        <v>Seg</v>
      </c>
      <c r="G16" s="81"/>
      <c r="H16" s="94"/>
      <c r="I16" s="94"/>
      <c r="J16" s="94"/>
      <c r="K16" s="94"/>
      <c r="L16" s="10"/>
      <c r="M16" s="95">
        <f t="shared" si="1"/>
        <v>0</v>
      </c>
      <c r="N16" s="96"/>
      <c r="O16" s="95">
        <f ca="1">IF(OR(G16=0,G16="Férias",G16="Falta Justificada",G16="Feriado",G16="Folga (DSR)"),0,IF(G16="Falta Injustificada",HLOOKUP($F16,Jornada!$X$7:$AD$37,VLOOKUP(INDIRECT($C$5),Jornada!$C$8:$W$37,21,0),0),IF(HLOOKUP($F16,Jornada!$X$7:$AD$37,VLOOKUP(INDIRECT($C$5),Jornada!$C$8:$W$37,21,0),0)-M16&gt;0,HLOOKUP($F16,Jornada!$X$7:$AD$37,VLOOKUP(INDIRECT($C$5),Jornada!$C$8:$W$37,21,0),0)-M16,0)))</f>
        <v>0</v>
      </c>
      <c r="P16" s="190">
        <f ca="1">IF(HLOOKUP($F16,Jornada!$X$7:$AD$37,VLOOKUP(INDIRECT($C$5),Jornada!$C$8:$W$37,21,0),0)-M16&lt;0,ABS(HLOOKUP($F16,Jornada!$X$7:$AD$37,VLOOKUP(INDIRECT($C$5),Jornada!$C$8:$W$37,21,0),0)-M16),0)</f>
        <v>0</v>
      </c>
      <c r="Q16" s="95">
        <f t="shared" si="0"/>
        <v>0</v>
      </c>
      <c r="R16" s="2">
        <f t="shared" si="2"/>
        <v>0</v>
      </c>
      <c r="S16" s="294" t="s">
        <v>67</v>
      </c>
      <c r="T16" s="294"/>
      <c r="U16" s="295">
        <f>SUM(Q8:Q38)</f>
        <v>0</v>
      </c>
      <c r="W16" s="2" t="s">
        <v>99</v>
      </c>
      <c r="X16" s="156">
        <v>10</v>
      </c>
      <c r="AB16" s="177">
        <f t="shared" si="10"/>
        <v>9</v>
      </c>
      <c r="AC16" s="2">
        <f t="shared" si="3"/>
        <v>2</v>
      </c>
      <c r="AG16" s="220">
        <f t="shared" si="4"/>
        <v>0</v>
      </c>
      <c r="AH16" s="220">
        <f ca="1">IF(HLOOKUP($F16,Jornada!$X$7:$AD$37,VLOOKUP(INDIRECT($C$5),Jornada!$C$8:$W$37,21,0),0)=0,0,VLOOKUP(INDIRECT($C$5),Jornada!$C$8:$H$37,4,0))</f>
        <v>0</v>
      </c>
      <c r="AI16" s="155">
        <f ca="1">IF(AND(I16=0,J16=0,OR(H16&lt;&gt;0,K16&lt;&gt;0),HLOOKUP($F16,Jornada!$X$7:$AD$37,VLOOKUP(INDIRECT($C$5),Jornada!$C$8:$W$37,21,0),0)&gt;$AK$5,M16&gt;$AK$5),VLOOKUP(INDIRECT($C$5),Jornada!$C$8:$H$37,6,0),IF(AG16&gt;VLOOKUP(INDIRECT($C$5),Jornada!$C$8:$H$37,6,0),IF(VLOOKUP(INDIRECT($C$5),Jornada!$C$8:$H$37,6,0)&lt;AG16,0,ABS(VLOOKUP(INDIRECT($C$5),Jornada!$C$8:$H$37,6,0))-AG16),0))</f>
        <v>0</v>
      </c>
      <c r="AJ16" s="155">
        <f t="shared" si="5"/>
        <v>1</v>
      </c>
      <c r="AK16" s="155">
        <f t="shared" si="6"/>
        <v>0</v>
      </c>
      <c r="AL16" s="155">
        <f ca="1">HLOOKUP($F16,Jornada!$I$5:$V$37,VLOOKUP(INDIRECT($C$5),Jornada!$C$8:$W$37,21,0)+2,0)</f>
        <v>0</v>
      </c>
      <c r="AM16" s="155">
        <f ca="1">HLOOKUP($F16,Jornada!$I$4:$V$37,VLOOKUP(INDIRECT($C$5),Jornada!$C$8:$W$37,21,0)+3,0)</f>
        <v>0</v>
      </c>
      <c r="AN16" s="155">
        <f t="shared" ca="1" si="7"/>
        <v>0</v>
      </c>
      <c r="AO16" s="155">
        <f t="shared" si="8"/>
        <v>0</v>
      </c>
      <c r="AP16" s="155">
        <f t="shared" si="9"/>
        <v>0</v>
      </c>
      <c r="BE16" s="14"/>
      <c r="BF16" s="14"/>
      <c r="BG16" s="14"/>
    </row>
    <row r="17" spans="1:59" s="2" customFormat="1" ht="30" customHeight="1" thickTop="1" thickBot="1" x14ac:dyDescent="0.25">
      <c r="A17" s="1"/>
      <c r="B17"/>
      <c r="C17" s="172" t="str">
        <f>IF(Funcionários!C16=0,"",Funcionários!C16)</f>
        <v/>
      </c>
      <c r="D17"/>
      <c r="E17" s="115">
        <f>Lanç!E17</f>
        <v>10</v>
      </c>
      <c r="F17" s="189" t="str">
        <f>Lanç!F17</f>
        <v>Ter</v>
      </c>
      <c r="G17" s="81"/>
      <c r="H17" s="94"/>
      <c r="I17" s="94"/>
      <c r="J17" s="94"/>
      <c r="K17" s="94"/>
      <c r="L17" s="10"/>
      <c r="M17" s="95">
        <f t="shared" si="1"/>
        <v>0</v>
      </c>
      <c r="N17" s="96"/>
      <c r="O17" s="95">
        <f ca="1">IF(OR(G17=0,G17="Férias",G17="Falta Justificada",G17="Feriado",G17="Folga (DSR)"),0,IF(G17="Falta Injustificada",HLOOKUP($F17,Jornada!$X$7:$AD$37,VLOOKUP(INDIRECT($C$5),Jornada!$C$8:$W$37,21,0),0),IF(HLOOKUP($F17,Jornada!$X$7:$AD$37,VLOOKUP(INDIRECT($C$5),Jornada!$C$8:$W$37,21,0),0)-M17&gt;0,HLOOKUP($F17,Jornada!$X$7:$AD$37,VLOOKUP(INDIRECT($C$5),Jornada!$C$8:$W$37,21,0),0)-M17,0)))</f>
        <v>0</v>
      </c>
      <c r="P17" s="190">
        <f ca="1">IF(HLOOKUP($F17,Jornada!$X$7:$AD$37,VLOOKUP(INDIRECT($C$5),Jornada!$C$8:$W$37,21,0),0)-M17&lt;0,ABS(HLOOKUP($F17,Jornada!$X$7:$AD$37,VLOOKUP(INDIRECT($C$5),Jornada!$C$8:$W$37,21,0),0)-M17),0)</f>
        <v>0</v>
      </c>
      <c r="Q17" s="95">
        <f t="shared" si="0"/>
        <v>0</v>
      </c>
      <c r="R17" s="2">
        <f t="shared" si="2"/>
        <v>0</v>
      </c>
      <c r="S17" s="294"/>
      <c r="T17" s="294"/>
      <c r="U17" s="295"/>
      <c r="W17" s="2" t="s">
        <v>100</v>
      </c>
      <c r="X17" s="156">
        <v>11</v>
      </c>
      <c r="AB17" s="177">
        <f t="shared" si="10"/>
        <v>10</v>
      </c>
      <c r="AC17" s="2">
        <f t="shared" si="3"/>
        <v>3</v>
      </c>
      <c r="AG17" s="220">
        <f t="shared" si="4"/>
        <v>0</v>
      </c>
      <c r="AH17" s="220">
        <f ca="1">IF(HLOOKUP($F17,Jornada!$X$7:$AD$37,VLOOKUP(INDIRECT($C$5),Jornada!$C$8:$W$37,21,0),0)=0,0,VLOOKUP(INDIRECT($C$5),Jornada!$C$8:$H$37,4,0))</f>
        <v>0</v>
      </c>
      <c r="AI17" s="155">
        <f ca="1">IF(AND(I17=0,J17=0,OR(H17&lt;&gt;0,K17&lt;&gt;0),HLOOKUP($F17,Jornada!$X$7:$AD$37,VLOOKUP(INDIRECT($C$5),Jornada!$C$8:$W$37,21,0),0)&gt;$AK$5,M17&gt;$AK$5),VLOOKUP(INDIRECT($C$5),Jornada!$C$8:$H$37,6,0),IF(AG17&gt;VLOOKUP(INDIRECT($C$5),Jornada!$C$8:$H$37,6,0),IF(VLOOKUP(INDIRECT($C$5),Jornada!$C$8:$H$37,6,0)&lt;AG17,0,ABS(VLOOKUP(INDIRECT($C$5),Jornada!$C$8:$H$37,6,0))-AG17),0))</f>
        <v>0</v>
      </c>
      <c r="AJ17" s="155">
        <f t="shared" si="5"/>
        <v>1</v>
      </c>
      <c r="AK17" s="155">
        <f t="shared" si="6"/>
        <v>0</v>
      </c>
      <c r="AL17" s="155">
        <f ca="1">HLOOKUP($F17,Jornada!$I$5:$V$37,VLOOKUP(INDIRECT($C$5),Jornada!$C$8:$W$37,21,0)+2,0)</f>
        <v>0</v>
      </c>
      <c r="AM17" s="155">
        <f ca="1">HLOOKUP($F17,Jornada!$I$4:$V$37,VLOOKUP(INDIRECT($C$5),Jornada!$C$8:$W$37,21,0)+3,0)</f>
        <v>0</v>
      </c>
      <c r="AN17" s="155">
        <f t="shared" ca="1" si="7"/>
        <v>0</v>
      </c>
      <c r="AO17" s="155">
        <f t="shared" si="8"/>
        <v>0</v>
      </c>
      <c r="AP17" s="155">
        <f t="shared" si="9"/>
        <v>0</v>
      </c>
      <c r="BE17" s="14"/>
      <c r="BF17" s="14"/>
      <c r="BG17" s="14"/>
    </row>
    <row r="18" spans="1:59" s="2" customFormat="1" ht="30" customHeight="1" thickTop="1" thickBot="1" x14ac:dyDescent="0.25">
      <c r="A18" s="1"/>
      <c r="B18"/>
      <c r="C18" s="172" t="str">
        <f>IF(Funcionários!C17=0,"",Funcionários!C17)</f>
        <v/>
      </c>
      <c r="D18"/>
      <c r="E18" s="115">
        <f>Lanç!E18</f>
        <v>11</v>
      </c>
      <c r="F18" s="189" t="str">
        <f>Lanç!F18</f>
        <v>Qua</v>
      </c>
      <c r="G18" s="81"/>
      <c r="H18" s="94"/>
      <c r="I18" s="94"/>
      <c r="J18" s="94"/>
      <c r="K18" s="94"/>
      <c r="L18" s="10"/>
      <c r="M18" s="95">
        <f t="shared" si="1"/>
        <v>0</v>
      </c>
      <c r="N18" s="96"/>
      <c r="O18" s="95">
        <f ca="1">IF(OR(G18=0,G18="Férias",G18="Falta Justificada",G18="Feriado",G18="Folga (DSR)"),0,IF(G18="Falta Injustificada",HLOOKUP($F18,Jornada!$X$7:$AD$37,VLOOKUP(INDIRECT($C$5),Jornada!$C$8:$W$37,21,0),0),IF(HLOOKUP($F18,Jornada!$X$7:$AD$37,VLOOKUP(INDIRECT($C$5),Jornada!$C$8:$W$37,21,0),0)-M18&gt;0,HLOOKUP($F18,Jornada!$X$7:$AD$37,VLOOKUP(INDIRECT($C$5),Jornada!$C$8:$W$37,21,0),0)-M18,0)))</f>
        <v>0</v>
      </c>
      <c r="P18" s="190">
        <f ca="1">IF(HLOOKUP($F18,Jornada!$X$7:$AD$37,VLOOKUP(INDIRECT($C$5),Jornada!$C$8:$W$37,21,0),0)-M18&lt;0,ABS(HLOOKUP($F18,Jornada!$X$7:$AD$37,VLOOKUP(INDIRECT($C$5),Jornada!$C$8:$W$37,21,0),0)-M18),0)</f>
        <v>0</v>
      </c>
      <c r="Q18" s="95">
        <f t="shared" si="0"/>
        <v>0</v>
      </c>
      <c r="R18" s="2">
        <f t="shared" si="2"/>
        <v>0</v>
      </c>
      <c r="S18" s="294" t="s">
        <v>69</v>
      </c>
      <c r="T18" s="294"/>
      <c r="U18" s="299">
        <f ca="1">F54</f>
        <v>0</v>
      </c>
      <c r="W18" s="2" t="s">
        <v>101</v>
      </c>
      <c r="X18" s="156">
        <v>12</v>
      </c>
      <c r="AB18" s="177">
        <f t="shared" si="10"/>
        <v>11</v>
      </c>
      <c r="AC18" s="2">
        <f t="shared" si="3"/>
        <v>4</v>
      </c>
      <c r="AG18" s="220">
        <f t="shared" si="4"/>
        <v>0</v>
      </c>
      <c r="AH18" s="220">
        <f ca="1">IF(HLOOKUP($F18,Jornada!$X$7:$AD$37,VLOOKUP(INDIRECT($C$5),Jornada!$C$8:$W$37,21,0),0)=0,0,VLOOKUP(INDIRECT($C$5),Jornada!$C$8:$H$37,4,0))</f>
        <v>0</v>
      </c>
      <c r="AI18" s="155">
        <f ca="1">IF(AND(I18=0,J18=0,OR(H18&lt;&gt;0,K18&lt;&gt;0),HLOOKUP($F18,Jornada!$X$7:$AD$37,VLOOKUP(INDIRECT($C$5),Jornada!$C$8:$W$37,21,0),0)&gt;$AK$5,M18&gt;$AK$5),VLOOKUP(INDIRECT($C$5),Jornada!$C$8:$H$37,6,0),IF(AG18&gt;VLOOKUP(INDIRECT($C$5),Jornada!$C$8:$H$37,6,0),IF(VLOOKUP(INDIRECT($C$5),Jornada!$C$8:$H$37,6,0)&lt;AG18,0,ABS(VLOOKUP(INDIRECT($C$5),Jornada!$C$8:$H$37,6,0))-AG18),0))</f>
        <v>0</v>
      </c>
      <c r="AJ18" s="155">
        <f t="shared" si="5"/>
        <v>1</v>
      </c>
      <c r="AK18" s="155">
        <f t="shared" si="6"/>
        <v>0</v>
      </c>
      <c r="AL18" s="155">
        <f ca="1">HLOOKUP($F18,Jornada!$I$5:$V$37,VLOOKUP(INDIRECT($C$5),Jornada!$C$8:$W$37,21,0)+2,0)</f>
        <v>0</v>
      </c>
      <c r="AM18" s="155">
        <f ca="1">HLOOKUP($F18,Jornada!$I$4:$V$37,VLOOKUP(INDIRECT($C$5),Jornada!$C$8:$W$37,21,0)+3,0)</f>
        <v>0</v>
      </c>
      <c r="AN18" s="155">
        <f t="shared" ca="1" si="7"/>
        <v>0</v>
      </c>
      <c r="AO18" s="155">
        <f t="shared" si="8"/>
        <v>0</v>
      </c>
      <c r="AP18" s="155">
        <f t="shared" si="9"/>
        <v>0</v>
      </c>
      <c r="BE18" s="14"/>
      <c r="BF18" s="14"/>
      <c r="BG18" s="14"/>
    </row>
    <row r="19" spans="1:59" s="2" customFormat="1" ht="30" customHeight="1" thickTop="1" thickBot="1" x14ac:dyDescent="0.25">
      <c r="A19" s="1"/>
      <c r="B19"/>
      <c r="C19" s="172" t="str">
        <f>IF(Funcionários!C18=0,"",Funcionários!C18)</f>
        <v/>
      </c>
      <c r="D19"/>
      <c r="E19" s="115">
        <f>Lanç!E19</f>
        <v>12</v>
      </c>
      <c r="F19" s="189" t="str">
        <f>Lanç!F19</f>
        <v>Qui</v>
      </c>
      <c r="G19" s="81"/>
      <c r="H19" s="94"/>
      <c r="I19" s="94"/>
      <c r="J19" s="94"/>
      <c r="K19" s="94"/>
      <c r="L19" s="10"/>
      <c r="M19" s="95">
        <f t="shared" si="1"/>
        <v>0</v>
      </c>
      <c r="N19" s="96"/>
      <c r="O19" s="95">
        <f ca="1">IF(OR(G19=0,G19="Férias",G19="Falta Justificada",G19="Feriado",G19="Folga (DSR)"),0,IF(G19="Falta Injustificada",HLOOKUP($F19,Jornada!$X$7:$AD$37,VLOOKUP(INDIRECT($C$5),Jornada!$C$8:$W$37,21,0),0),IF(HLOOKUP($F19,Jornada!$X$7:$AD$37,VLOOKUP(INDIRECT($C$5),Jornada!$C$8:$W$37,21,0),0)-M19&gt;0,HLOOKUP($F19,Jornada!$X$7:$AD$37,VLOOKUP(INDIRECT($C$5),Jornada!$C$8:$W$37,21,0),0)-M19,0)))</f>
        <v>0</v>
      </c>
      <c r="P19" s="190">
        <f ca="1">IF(HLOOKUP($F19,Jornada!$X$7:$AD$37,VLOOKUP(INDIRECT($C$5),Jornada!$C$8:$W$37,21,0),0)-M19&lt;0,ABS(HLOOKUP($F19,Jornada!$X$7:$AD$37,VLOOKUP(INDIRECT($C$5),Jornada!$C$8:$W$37,21,0),0)-M19),0)</f>
        <v>0</v>
      </c>
      <c r="Q19" s="95">
        <f t="shared" si="0"/>
        <v>0</v>
      </c>
      <c r="R19" s="2">
        <f t="shared" si="2"/>
        <v>0</v>
      </c>
      <c r="S19" s="294"/>
      <c r="T19" s="294"/>
      <c r="U19" s="299"/>
      <c r="X19" s="177"/>
      <c r="AB19" s="177">
        <f t="shared" si="10"/>
        <v>12</v>
      </c>
      <c r="AC19" s="2">
        <f t="shared" si="3"/>
        <v>5</v>
      </c>
      <c r="AG19" s="220">
        <f t="shared" si="4"/>
        <v>0</v>
      </c>
      <c r="AH19" s="220">
        <f ca="1">IF(HLOOKUP($F19,Jornada!$X$7:$AD$37,VLOOKUP(INDIRECT($C$5),Jornada!$C$8:$W$37,21,0),0)=0,0,VLOOKUP(INDIRECT($C$5),Jornada!$C$8:$H$37,4,0))</f>
        <v>0</v>
      </c>
      <c r="AI19" s="155">
        <f ca="1">IF(AND(I19=0,J19=0,OR(H19&lt;&gt;0,K19&lt;&gt;0),HLOOKUP($F19,Jornada!$X$7:$AD$37,VLOOKUP(INDIRECT($C$5),Jornada!$C$8:$W$37,21,0),0)&gt;$AK$5,M19&gt;$AK$5),VLOOKUP(INDIRECT($C$5),Jornada!$C$8:$H$37,6,0),IF(AG19&gt;VLOOKUP(INDIRECT($C$5),Jornada!$C$8:$H$37,6,0),IF(VLOOKUP(INDIRECT($C$5),Jornada!$C$8:$H$37,6,0)&lt;AG19,0,ABS(VLOOKUP(INDIRECT($C$5),Jornada!$C$8:$H$37,6,0))-AG19),0))</f>
        <v>0</v>
      </c>
      <c r="AJ19" s="155">
        <f t="shared" si="5"/>
        <v>1</v>
      </c>
      <c r="AK19" s="155">
        <f t="shared" si="6"/>
        <v>0</v>
      </c>
      <c r="AL19" s="155">
        <f ca="1">HLOOKUP($F19,Jornada!$I$5:$V$37,VLOOKUP(INDIRECT($C$5),Jornada!$C$8:$W$37,21,0)+2,0)</f>
        <v>0</v>
      </c>
      <c r="AM19" s="155">
        <f ca="1">HLOOKUP($F19,Jornada!$I$4:$V$37,VLOOKUP(INDIRECT($C$5),Jornada!$C$8:$W$37,21,0)+3,0)</f>
        <v>0</v>
      </c>
      <c r="AN19" s="155">
        <f t="shared" ca="1" si="7"/>
        <v>0</v>
      </c>
      <c r="AO19" s="155">
        <f t="shared" si="8"/>
        <v>0</v>
      </c>
      <c r="AP19" s="155">
        <f t="shared" si="9"/>
        <v>0</v>
      </c>
      <c r="BE19" s="14"/>
      <c r="BF19" s="14"/>
      <c r="BG19" s="14"/>
    </row>
    <row r="20" spans="1:59" s="2" customFormat="1" ht="30" customHeight="1" thickTop="1" thickBot="1" x14ac:dyDescent="0.25">
      <c r="A20" s="1"/>
      <c r="B20"/>
      <c r="C20" s="172" t="str">
        <f>IF(Funcionários!C19=0,"",Funcionários!C19)</f>
        <v/>
      </c>
      <c r="D20"/>
      <c r="E20" s="115">
        <f>Lanç!E20</f>
        <v>13</v>
      </c>
      <c r="F20" s="189" t="str">
        <f>Lanç!F20</f>
        <v>Sex</v>
      </c>
      <c r="G20" s="81"/>
      <c r="H20" s="94"/>
      <c r="I20" s="94"/>
      <c r="J20" s="94"/>
      <c r="K20" s="94"/>
      <c r="L20" s="10"/>
      <c r="M20" s="95">
        <f t="shared" si="1"/>
        <v>0</v>
      </c>
      <c r="N20" s="96"/>
      <c r="O20" s="95">
        <f ca="1">IF(OR(G20=0,G20="Férias",G20="Falta Justificada",G20="Feriado",G20="Folga (DSR)"),0,IF(G20="Falta Injustificada",HLOOKUP($F20,Jornada!$X$7:$AD$37,VLOOKUP(INDIRECT($C$5),Jornada!$C$8:$W$37,21,0),0),IF(HLOOKUP($F20,Jornada!$X$7:$AD$37,VLOOKUP(INDIRECT($C$5),Jornada!$C$8:$W$37,21,0),0)-M20&gt;0,HLOOKUP($F20,Jornada!$X$7:$AD$37,VLOOKUP(INDIRECT($C$5),Jornada!$C$8:$W$37,21,0),0)-M20,0)))</f>
        <v>0</v>
      </c>
      <c r="P20" s="190">
        <f ca="1">IF(HLOOKUP($F20,Jornada!$X$7:$AD$37,VLOOKUP(INDIRECT($C$5),Jornada!$C$8:$W$37,21,0),0)-M20&lt;0,ABS(HLOOKUP($F20,Jornada!$X$7:$AD$37,VLOOKUP(INDIRECT($C$5),Jornada!$C$8:$W$37,21,0),0)-M20),0)</f>
        <v>0</v>
      </c>
      <c r="Q20" s="95">
        <f t="shared" si="0"/>
        <v>0</v>
      </c>
      <c r="R20" s="2">
        <f t="shared" si="2"/>
        <v>0</v>
      </c>
      <c r="S20"/>
      <c r="T20"/>
      <c r="U20"/>
      <c r="X20" s="177"/>
      <c r="AB20" s="177">
        <f t="shared" si="10"/>
        <v>13</v>
      </c>
      <c r="AC20" s="2">
        <f t="shared" si="3"/>
        <v>6</v>
      </c>
      <c r="AG20" s="220">
        <f t="shared" si="4"/>
        <v>0</v>
      </c>
      <c r="AH20" s="220">
        <f ca="1">IF(HLOOKUP($F20,Jornada!$X$7:$AD$37,VLOOKUP(INDIRECT($C$5),Jornada!$C$8:$W$37,21,0),0)=0,0,VLOOKUP(INDIRECT($C$5),Jornada!$C$8:$H$37,4,0))</f>
        <v>0</v>
      </c>
      <c r="AI20" s="155">
        <f ca="1">IF(AND(I20=0,J20=0,OR(H20&lt;&gt;0,K20&lt;&gt;0),HLOOKUP($F20,Jornada!$X$7:$AD$37,VLOOKUP(INDIRECT($C$5),Jornada!$C$8:$W$37,21,0),0)&gt;$AK$5,M20&gt;$AK$5),VLOOKUP(INDIRECT($C$5),Jornada!$C$8:$H$37,6,0),IF(AG20&gt;VLOOKUP(INDIRECT($C$5),Jornada!$C$8:$H$37,6,0),IF(VLOOKUP(INDIRECT($C$5),Jornada!$C$8:$H$37,6,0)&lt;AG20,0,ABS(VLOOKUP(INDIRECT($C$5),Jornada!$C$8:$H$37,6,0))-AG20),0))</f>
        <v>0</v>
      </c>
      <c r="AJ20" s="155">
        <f t="shared" si="5"/>
        <v>1</v>
      </c>
      <c r="AK20" s="155">
        <f t="shared" si="6"/>
        <v>0</v>
      </c>
      <c r="AL20" s="155">
        <f ca="1">HLOOKUP($F20,Jornada!$I$5:$V$37,VLOOKUP(INDIRECT($C$5),Jornada!$C$8:$W$37,21,0)+2,0)</f>
        <v>0</v>
      </c>
      <c r="AM20" s="155">
        <f ca="1">HLOOKUP($F20,Jornada!$I$4:$V$37,VLOOKUP(INDIRECT($C$5),Jornada!$C$8:$W$37,21,0)+3,0)</f>
        <v>0</v>
      </c>
      <c r="AN20" s="155">
        <f t="shared" ca="1" si="7"/>
        <v>0</v>
      </c>
      <c r="AO20" s="155">
        <f t="shared" si="8"/>
        <v>0</v>
      </c>
      <c r="AP20" s="155">
        <f t="shared" si="9"/>
        <v>0</v>
      </c>
      <c r="BE20" s="14"/>
      <c r="BF20" s="14"/>
      <c r="BG20" s="14"/>
    </row>
    <row r="21" spans="1:59" s="2" customFormat="1" ht="30" customHeight="1" thickTop="1" thickBot="1" x14ac:dyDescent="0.25">
      <c r="A21" s="1"/>
      <c r="B21"/>
      <c r="C21" s="172" t="str">
        <f>IF(Funcionários!C20=0,"",Funcionários!C20)</f>
        <v/>
      </c>
      <c r="D21"/>
      <c r="E21" s="115">
        <f>Lanç!E21</f>
        <v>14</v>
      </c>
      <c r="F21" s="189" t="str">
        <f>Lanç!F21</f>
        <v>Sáb</v>
      </c>
      <c r="G21" s="81"/>
      <c r="H21" s="94"/>
      <c r="I21" s="94"/>
      <c r="J21" s="94"/>
      <c r="K21" s="94"/>
      <c r="L21" s="10"/>
      <c r="M21" s="95">
        <f t="shared" si="1"/>
        <v>0</v>
      </c>
      <c r="N21" s="96"/>
      <c r="O21" s="95">
        <f ca="1">IF(OR(G21=0,G21="Férias",G21="Falta Justificada",G21="Feriado",G21="Folga (DSR)"),0,IF(G21="Falta Injustificada",HLOOKUP($F21,Jornada!$X$7:$AD$37,VLOOKUP(INDIRECT($C$5),Jornada!$C$8:$W$37,21,0),0),IF(HLOOKUP($F21,Jornada!$X$7:$AD$37,VLOOKUP(INDIRECT($C$5),Jornada!$C$8:$W$37,21,0),0)-M21&gt;0,HLOOKUP($F21,Jornada!$X$7:$AD$37,VLOOKUP(INDIRECT($C$5),Jornada!$C$8:$W$37,21,0),0)-M21,0)))</f>
        <v>0</v>
      </c>
      <c r="P21" s="190">
        <f ca="1">IF(HLOOKUP($F21,Jornada!$X$7:$AD$37,VLOOKUP(INDIRECT($C$5),Jornada!$C$8:$W$37,21,0),0)-M21&lt;0,ABS(HLOOKUP($F21,Jornada!$X$7:$AD$37,VLOOKUP(INDIRECT($C$5),Jornada!$C$8:$W$37,21,0),0)-M21),0)</f>
        <v>0</v>
      </c>
      <c r="Q21" s="95">
        <f t="shared" si="0"/>
        <v>0</v>
      </c>
      <c r="R21" s="2">
        <f t="shared" si="2"/>
        <v>0</v>
      </c>
      <c r="S21"/>
      <c r="T21"/>
      <c r="U21"/>
      <c r="X21" s="177"/>
      <c r="AB21" s="177">
        <f t="shared" si="10"/>
        <v>14</v>
      </c>
      <c r="AC21" s="2">
        <f t="shared" si="3"/>
        <v>7</v>
      </c>
      <c r="AG21" s="220">
        <f t="shared" si="4"/>
        <v>0</v>
      </c>
      <c r="AH21" s="220">
        <f ca="1">IF(HLOOKUP($F21,Jornada!$X$7:$AD$37,VLOOKUP(INDIRECT($C$5),Jornada!$C$8:$W$37,21,0),0)=0,0,VLOOKUP(INDIRECT($C$5),Jornada!$C$8:$H$37,4,0))</f>
        <v>0</v>
      </c>
      <c r="AI21" s="155">
        <f ca="1">IF(AND(I21=0,J21=0,OR(H21&lt;&gt;0,K21&lt;&gt;0),HLOOKUP($F21,Jornada!$X$7:$AD$37,VLOOKUP(INDIRECT($C$5),Jornada!$C$8:$W$37,21,0),0)&gt;$AK$5,M21&gt;$AK$5),VLOOKUP(INDIRECT($C$5),Jornada!$C$8:$H$37,6,0),IF(AG21&gt;VLOOKUP(INDIRECT($C$5),Jornada!$C$8:$H$37,6,0),IF(VLOOKUP(INDIRECT($C$5),Jornada!$C$8:$H$37,6,0)&lt;AG21,0,ABS(VLOOKUP(INDIRECT($C$5),Jornada!$C$8:$H$37,6,0))-AG21),0))</f>
        <v>0</v>
      </c>
      <c r="AJ21" s="155">
        <f t="shared" si="5"/>
        <v>1</v>
      </c>
      <c r="AK21" s="155">
        <f t="shared" si="6"/>
        <v>0</v>
      </c>
      <c r="AL21" s="155">
        <f ca="1">HLOOKUP($F21,Jornada!$I$5:$V$37,VLOOKUP(INDIRECT($C$5),Jornada!$C$8:$W$37,21,0)+2,0)</f>
        <v>0</v>
      </c>
      <c r="AM21" s="155">
        <f ca="1">HLOOKUP($F21,Jornada!$I$4:$V$37,VLOOKUP(INDIRECT($C$5),Jornada!$C$8:$W$37,21,0)+3,0)</f>
        <v>0</v>
      </c>
      <c r="AN21" s="155">
        <f t="shared" ca="1" si="7"/>
        <v>0</v>
      </c>
      <c r="AO21" s="155">
        <f t="shared" si="8"/>
        <v>0</v>
      </c>
      <c r="AP21" s="155">
        <f t="shared" si="9"/>
        <v>0</v>
      </c>
      <c r="BE21" s="14"/>
      <c r="BF21" s="14"/>
      <c r="BG21" s="14"/>
    </row>
    <row r="22" spans="1:59" s="2" customFormat="1" ht="30" customHeight="1" thickTop="1" thickBot="1" x14ac:dyDescent="0.25">
      <c r="A22" s="1"/>
      <c r="B22"/>
      <c r="C22" s="172" t="str">
        <f>IF(Funcionários!C21=0,"",Funcionários!C21)</f>
        <v/>
      </c>
      <c r="D22"/>
      <c r="E22" s="115">
        <f>Lanç!E22</f>
        <v>15</v>
      </c>
      <c r="F22" s="189" t="str">
        <f>Lanç!F22</f>
        <v>Dom</v>
      </c>
      <c r="G22" s="81"/>
      <c r="H22" s="94"/>
      <c r="I22" s="94"/>
      <c r="J22" s="94"/>
      <c r="K22" s="94"/>
      <c r="L22" s="10"/>
      <c r="M22" s="95">
        <f t="shared" si="1"/>
        <v>0</v>
      </c>
      <c r="N22" s="96"/>
      <c r="O22" s="95">
        <f ca="1">IF(OR(G22=0,G22="Férias",G22="Falta Justificada",G22="Feriado",G22="Folga (DSR)"),0,IF(G22="Falta Injustificada",HLOOKUP($F22,Jornada!$X$7:$AD$37,VLOOKUP(INDIRECT($C$5),Jornada!$C$8:$W$37,21,0),0),IF(HLOOKUP($F22,Jornada!$X$7:$AD$37,VLOOKUP(INDIRECT($C$5),Jornada!$C$8:$W$37,21,0),0)-M22&gt;0,HLOOKUP($F22,Jornada!$X$7:$AD$37,VLOOKUP(INDIRECT($C$5),Jornada!$C$8:$W$37,21,0),0)-M22,0)))</f>
        <v>0</v>
      </c>
      <c r="P22" s="190">
        <f ca="1">IF(HLOOKUP($F22,Jornada!$X$7:$AD$37,VLOOKUP(INDIRECT($C$5),Jornada!$C$8:$W$37,21,0),0)-M22&lt;0,ABS(HLOOKUP($F22,Jornada!$X$7:$AD$37,VLOOKUP(INDIRECT($C$5),Jornada!$C$8:$W$37,21,0),0)-M22),0)</f>
        <v>0</v>
      </c>
      <c r="Q22" s="95">
        <f t="shared" si="0"/>
        <v>0</v>
      </c>
      <c r="R22" s="2">
        <f t="shared" si="2"/>
        <v>0</v>
      </c>
      <c r="S22" s="300" t="s">
        <v>63</v>
      </c>
      <c r="T22" s="301"/>
      <c r="U22" s="302"/>
      <c r="X22" s="177"/>
      <c r="AB22" s="177">
        <f t="shared" si="10"/>
        <v>15</v>
      </c>
      <c r="AC22" s="2">
        <f t="shared" si="3"/>
        <v>1</v>
      </c>
      <c r="AG22" s="220">
        <f t="shared" si="4"/>
        <v>0</v>
      </c>
      <c r="AH22" s="220">
        <f ca="1">IF(HLOOKUP($F22,Jornada!$X$7:$AD$37,VLOOKUP(INDIRECT($C$5),Jornada!$C$8:$W$37,21,0),0)=0,0,VLOOKUP(INDIRECT($C$5),Jornada!$C$8:$H$37,4,0))</f>
        <v>0</v>
      </c>
      <c r="AI22" s="155">
        <f ca="1">IF(AND(I22=0,J22=0,OR(H22&lt;&gt;0,K22&lt;&gt;0),HLOOKUP($F22,Jornada!$X$7:$AD$37,VLOOKUP(INDIRECT($C$5),Jornada!$C$8:$W$37,21,0),0)&gt;$AK$5,M22&gt;$AK$5),VLOOKUP(INDIRECT($C$5),Jornada!$C$8:$H$37,6,0),IF(AG22&gt;VLOOKUP(INDIRECT($C$5),Jornada!$C$8:$H$37,6,0),IF(VLOOKUP(INDIRECT($C$5),Jornada!$C$8:$H$37,6,0)&lt;AG22,0,ABS(VLOOKUP(INDIRECT($C$5),Jornada!$C$8:$H$37,6,0))-AG22),0))</f>
        <v>0</v>
      </c>
      <c r="AJ22" s="155">
        <f t="shared" si="5"/>
        <v>1</v>
      </c>
      <c r="AK22" s="155">
        <f t="shared" si="6"/>
        <v>0</v>
      </c>
      <c r="AL22" s="155">
        <f ca="1">HLOOKUP($F22,Jornada!$I$5:$V$37,VLOOKUP(INDIRECT($C$5),Jornada!$C$8:$W$37,21,0)+2,0)</f>
        <v>0</v>
      </c>
      <c r="AM22" s="155">
        <f ca="1">HLOOKUP($F22,Jornada!$I$4:$V$37,VLOOKUP(INDIRECT($C$5),Jornada!$C$8:$W$37,21,0)+3,0)</f>
        <v>0</v>
      </c>
      <c r="AN22" s="155">
        <f t="shared" ca="1" si="7"/>
        <v>0</v>
      </c>
      <c r="AO22" s="155">
        <f t="shared" si="8"/>
        <v>0</v>
      </c>
      <c r="AP22" s="155">
        <f t="shared" si="9"/>
        <v>0</v>
      </c>
      <c r="BE22" s="14"/>
      <c r="BF22" s="14"/>
      <c r="BG22" s="14"/>
    </row>
    <row r="23" spans="1:59" s="2" customFormat="1" ht="30" customHeight="1" thickTop="1" thickBot="1" x14ac:dyDescent="0.25">
      <c r="A23" s="1"/>
      <c r="B23"/>
      <c r="C23" s="171" t="str">
        <f>IF(Funcionários!C22=0,"",Funcionários!C22)</f>
        <v/>
      </c>
      <c r="D23"/>
      <c r="E23" s="115">
        <f>Lanç!E23</f>
        <v>16</v>
      </c>
      <c r="F23" s="189" t="str">
        <f>Lanç!F23</f>
        <v>Seg</v>
      </c>
      <c r="G23" s="81"/>
      <c r="H23" s="94"/>
      <c r="I23" s="94"/>
      <c r="J23" s="94"/>
      <c r="K23" s="94"/>
      <c r="L23" s="10"/>
      <c r="M23" s="95">
        <f t="shared" si="1"/>
        <v>0</v>
      </c>
      <c r="N23" s="96"/>
      <c r="O23" s="95">
        <f ca="1">IF(OR(G23=0,G23="Férias",G23="Falta Justificada",G23="Feriado",G23="Folga (DSR)"),0,IF(G23="Falta Injustificada",HLOOKUP($F23,Jornada!$X$7:$AD$37,VLOOKUP(INDIRECT($C$5),Jornada!$C$8:$W$37,21,0),0),IF(HLOOKUP($F23,Jornada!$X$7:$AD$37,VLOOKUP(INDIRECT($C$5),Jornada!$C$8:$W$37,21,0),0)-M23&gt;0,HLOOKUP($F23,Jornada!$X$7:$AD$37,VLOOKUP(INDIRECT($C$5),Jornada!$C$8:$W$37,21,0),0)-M23,0)))</f>
        <v>0</v>
      </c>
      <c r="P23" s="190">
        <f ca="1">IF(HLOOKUP($F23,Jornada!$X$7:$AD$37,VLOOKUP(INDIRECT($C$5),Jornada!$C$8:$W$37,21,0),0)-M23&lt;0,ABS(HLOOKUP($F23,Jornada!$X$7:$AD$37,VLOOKUP(INDIRECT($C$5),Jornada!$C$8:$W$37,21,0),0)-M23),0)</f>
        <v>0</v>
      </c>
      <c r="Q23" s="95">
        <f t="shared" si="0"/>
        <v>0</v>
      </c>
      <c r="R23" s="2">
        <f t="shared" si="2"/>
        <v>0</v>
      </c>
      <c r="S23" s="296" t="str">
        <f>IF(SUM(R8:R38)&gt;0,"Segundo o art 59 da CLT, o máximo de horas extras permitidas por dia são 2 horas.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T23" s="297"/>
      <c r="U23" s="298"/>
      <c r="X23" s="177"/>
      <c r="AB23" s="177">
        <f t="shared" si="10"/>
        <v>16</v>
      </c>
      <c r="AC23" s="2">
        <f t="shared" si="3"/>
        <v>2</v>
      </c>
      <c r="AG23" s="220">
        <f t="shared" si="4"/>
        <v>0</v>
      </c>
      <c r="AH23" s="220">
        <f ca="1">IF(HLOOKUP($F23,Jornada!$X$7:$AD$37,VLOOKUP(INDIRECT($C$5),Jornada!$C$8:$W$37,21,0),0)=0,0,VLOOKUP(INDIRECT($C$5),Jornada!$C$8:$H$37,4,0))</f>
        <v>0</v>
      </c>
      <c r="AI23" s="155">
        <f ca="1">IF(AND(I23=0,J23=0,OR(H23&lt;&gt;0,K23&lt;&gt;0),HLOOKUP($F23,Jornada!$X$7:$AD$37,VLOOKUP(INDIRECT($C$5),Jornada!$C$8:$W$37,21,0),0)&gt;$AK$5,M23&gt;$AK$5),VLOOKUP(INDIRECT($C$5),Jornada!$C$8:$H$37,6,0),IF(AG23&gt;VLOOKUP(INDIRECT($C$5),Jornada!$C$8:$H$37,6,0),IF(VLOOKUP(INDIRECT($C$5),Jornada!$C$8:$H$37,6,0)&lt;AG23,0,ABS(VLOOKUP(INDIRECT($C$5),Jornada!$C$8:$H$37,6,0))-AG23),0))</f>
        <v>0</v>
      </c>
      <c r="AJ23" s="155">
        <f t="shared" si="5"/>
        <v>1</v>
      </c>
      <c r="AK23" s="155">
        <f t="shared" si="6"/>
        <v>0</v>
      </c>
      <c r="AL23" s="155">
        <f ca="1">HLOOKUP($F23,Jornada!$I$5:$V$37,VLOOKUP(INDIRECT($C$5),Jornada!$C$8:$W$37,21,0)+2,0)</f>
        <v>0</v>
      </c>
      <c r="AM23" s="155">
        <f ca="1">HLOOKUP($F23,Jornada!$I$4:$V$37,VLOOKUP(INDIRECT($C$5),Jornada!$C$8:$W$37,21,0)+3,0)</f>
        <v>0</v>
      </c>
      <c r="AN23" s="155">
        <f t="shared" ca="1" si="7"/>
        <v>0</v>
      </c>
      <c r="AO23" s="155">
        <f t="shared" si="8"/>
        <v>0</v>
      </c>
      <c r="AP23" s="155">
        <f t="shared" si="9"/>
        <v>0</v>
      </c>
      <c r="BE23" s="14"/>
      <c r="BF23" s="14"/>
      <c r="BG23" s="14"/>
    </row>
    <row r="24" spans="1:59" s="2" customFormat="1" ht="30" customHeight="1" thickTop="1" thickBot="1" x14ac:dyDescent="0.25">
      <c r="A24" s="1"/>
      <c r="B24"/>
      <c r="C24" s="172" t="str">
        <f>IF(Funcionários!C23=0,"",Funcionários!C23)</f>
        <v/>
      </c>
      <c r="D24"/>
      <c r="E24" s="115">
        <f>Lanç!E24</f>
        <v>17</v>
      </c>
      <c r="F24" s="189" t="str">
        <f>Lanç!F24</f>
        <v>Ter</v>
      </c>
      <c r="G24" s="81"/>
      <c r="H24" s="94"/>
      <c r="I24" s="94"/>
      <c r="J24" s="94"/>
      <c r="K24" s="94"/>
      <c r="L24" s="10"/>
      <c r="M24" s="95">
        <f t="shared" si="1"/>
        <v>0</v>
      </c>
      <c r="N24" s="96"/>
      <c r="O24" s="95">
        <f ca="1">IF(OR(G24=0,G24="Férias",G24="Falta Justificada",G24="Feriado",G24="Folga (DSR)"),0,IF(G24="Falta Injustificada",HLOOKUP($F24,Jornada!$X$7:$AD$37,VLOOKUP(INDIRECT($C$5),Jornada!$C$8:$W$37,21,0),0),IF(HLOOKUP($F24,Jornada!$X$7:$AD$37,VLOOKUP(INDIRECT($C$5),Jornada!$C$8:$W$37,21,0),0)-M24&gt;0,HLOOKUP($F24,Jornada!$X$7:$AD$37,VLOOKUP(INDIRECT($C$5),Jornada!$C$8:$W$37,21,0),0)-M24,0)))</f>
        <v>0</v>
      </c>
      <c r="P24" s="190">
        <f ca="1">IF(HLOOKUP($F24,Jornada!$X$7:$AD$37,VLOOKUP(INDIRECT($C$5),Jornada!$C$8:$W$37,21,0),0)-M24&lt;0,ABS(HLOOKUP($F24,Jornada!$X$7:$AD$37,VLOOKUP(INDIRECT($C$5),Jornada!$C$8:$W$37,21,0),0)-M24),0)</f>
        <v>0</v>
      </c>
      <c r="Q24" s="95">
        <f t="shared" si="0"/>
        <v>0</v>
      </c>
      <c r="R24" s="2">
        <f t="shared" si="2"/>
        <v>0</v>
      </c>
      <c r="S24" s="296"/>
      <c r="T24" s="297"/>
      <c r="U24" s="298"/>
      <c r="X24" s="177"/>
      <c r="AB24" s="177">
        <f t="shared" si="10"/>
        <v>17</v>
      </c>
      <c r="AC24" s="2">
        <f t="shared" si="3"/>
        <v>3</v>
      </c>
      <c r="AG24" s="220">
        <f t="shared" si="4"/>
        <v>0</v>
      </c>
      <c r="AH24" s="220">
        <f ca="1">IF(HLOOKUP($F24,Jornada!$X$7:$AD$37,VLOOKUP(INDIRECT($C$5),Jornada!$C$8:$W$37,21,0),0)=0,0,VLOOKUP(INDIRECT($C$5),Jornada!$C$8:$H$37,4,0))</f>
        <v>0</v>
      </c>
      <c r="AI24" s="155">
        <f ca="1">IF(AND(I24=0,J24=0,OR(H24&lt;&gt;0,K24&lt;&gt;0),HLOOKUP($F24,Jornada!$X$7:$AD$37,VLOOKUP(INDIRECT($C$5),Jornada!$C$8:$W$37,21,0),0)&gt;$AK$5,M24&gt;$AK$5),VLOOKUP(INDIRECT($C$5),Jornada!$C$8:$H$37,6,0),IF(AG24&gt;VLOOKUP(INDIRECT($C$5),Jornada!$C$8:$H$37,6,0),IF(VLOOKUP(INDIRECT($C$5),Jornada!$C$8:$H$37,6,0)&lt;AG24,0,ABS(VLOOKUP(INDIRECT($C$5),Jornada!$C$8:$H$37,6,0))-AG24),0))</f>
        <v>0</v>
      </c>
      <c r="AJ24" s="155">
        <f t="shared" si="5"/>
        <v>1</v>
      </c>
      <c r="AK24" s="155">
        <f t="shared" si="6"/>
        <v>0</v>
      </c>
      <c r="AL24" s="155">
        <f ca="1">HLOOKUP($F24,Jornada!$I$5:$V$37,VLOOKUP(INDIRECT($C$5),Jornada!$C$8:$W$37,21,0)+2,0)</f>
        <v>0</v>
      </c>
      <c r="AM24" s="155">
        <f ca="1">HLOOKUP($F24,Jornada!$I$4:$V$37,VLOOKUP(INDIRECT($C$5),Jornada!$C$8:$W$37,21,0)+3,0)</f>
        <v>0</v>
      </c>
      <c r="AN24" s="155">
        <f t="shared" ca="1" si="7"/>
        <v>0</v>
      </c>
      <c r="AO24" s="155">
        <f t="shared" si="8"/>
        <v>0</v>
      </c>
      <c r="AP24" s="155">
        <f t="shared" si="9"/>
        <v>0</v>
      </c>
      <c r="BE24" s="14"/>
      <c r="BF24" s="14"/>
      <c r="BG24" s="14"/>
    </row>
    <row r="25" spans="1:59" s="2" customFormat="1" ht="30" customHeight="1" thickTop="1" thickBot="1" x14ac:dyDescent="0.25">
      <c r="A25" s="1"/>
      <c r="B25"/>
      <c r="C25" s="172" t="str">
        <f>IF(Funcionários!C24=0,"",Funcionários!C24)</f>
        <v/>
      </c>
      <c r="D25"/>
      <c r="E25" s="115">
        <f>Lanç!E25</f>
        <v>18</v>
      </c>
      <c r="F25" s="189" t="str">
        <f>Lanç!F25</f>
        <v>Qua</v>
      </c>
      <c r="G25" s="81"/>
      <c r="H25" s="94"/>
      <c r="I25" s="94"/>
      <c r="J25" s="94"/>
      <c r="K25" s="94"/>
      <c r="L25" s="10"/>
      <c r="M25" s="95">
        <f t="shared" si="1"/>
        <v>0</v>
      </c>
      <c r="N25" s="96"/>
      <c r="O25" s="95">
        <f ca="1">IF(OR(G25=0,G25="Férias",G25="Falta Justificada",G25="Feriado",G25="Folga (DSR)"),0,IF(G25="Falta Injustificada",HLOOKUP($F25,Jornada!$X$7:$AD$37,VLOOKUP(INDIRECT($C$5),Jornada!$C$8:$W$37,21,0),0),IF(HLOOKUP($F25,Jornada!$X$7:$AD$37,VLOOKUP(INDIRECT($C$5),Jornada!$C$8:$W$37,21,0),0)-M25&gt;0,HLOOKUP($F25,Jornada!$X$7:$AD$37,VLOOKUP(INDIRECT($C$5),Jornada!$C$8:$W$37,21,0),0)-M25,0)))</f>
        <v>0</v>
      </c>
      <c r="P25" s="190">
        <f ca="1">IF(HLOOKUP($F25,Jornada!$X$7:$AD$37,VLOOKUP(INDIRECT($C$5),Jornada!$C$8:$W$37,21,0),0)-M25&lt;0,ABS(HLOOKUP($F25,Jornada!$X$7:$AD$37,VLOOKUP(INDIRECT($C$5),Jornada!$C$8:$W$37,21,0),0)-M25),0)</f>
        <v>0</v>
      </c>
      <c r="Q25" s="95">
        <f t="shared" si="0"/>
        <v>0</v>
      </c>
      <c r="R25" s="2">
        <f t="shared" si="2"/>
        <v>0</v>
      </c>
      <c r="S25" s="296"/>
      <c r="T25" s="297"/>
      <c r="U25" s="298"/>
      <c r="X25" s="177"/>
      <c r="Z25" s="2">
        <f>IF(SUM(R8:R38)&gt;0,1,0)</f>
        <v>0</v>
      </c>
      <c r="AB25" s="177">
        <f t="shared" si="10"/>
        <v>18</v>
      </c>
      <c r="AC25" s="2">
        <f t="shared" si="3"/>
        <v>4</v>
      </c>
      <c r="AG25" s="220">
        <f t="shared" si="4"/>
        <v>0</v>
      </c>
      <c r="AH25" s="220">
        <f ca="1">IF(HLOOKUP($F25,Jornada!$X$7:$AD$37,VLOOKUP(INDIRECT($C$5),Jornada!$C$8:$W$37,21,0),0)=0,0,VLOOKUP(INDIRECT($C$5),Jornada!$C$8:$H$37,4,0))</f>
        <v>0</v>
      </c>
      <c r="AI25" s="155">
        <f ca="1">IF(AND(I25=0,J25=0,OR(H25&lt;&gt;0,K25&lt;&gt;0),HLOOKUP($F25,Jornada!$X$7:$AD$37,VLOOKUP(INDIRECT($C$5),Jornada!$C$8:$W$37,21,0),0)&gt;$AK$5,M25&gt;$AK$5),VLOOKUP(INDIRECT($C$5),Jornada!$C$8:$H$37,6,0),IF(AG25&gt;VLOOKUP(INDIRECT($C$5),Jornada!$C$8:$H$37,6,0),IF(VLOOKUP(INDIRECT($C$5),Jornada!$C$8:$H$37,6,0)&lt;AG25,0,ABS(VLOOKUP(INDIRECT($C$5),Jornada!$C$8:$H$37,6,0))-AG25),0))</f>
        <v>0</v>
      </c>
      <c r="AJ25" s="155">
        <f t="shared" si="5"/>
        <v>1</v>
      </c>
      <c r="AK25" s="155">
        <f t="shared" si="6"/>
        <v>0</v>
      </c>
      <c r="AL25" s="155">
        <f ca="1">HLOOKUP($F25,Jornada!$I$5:$V$37,VLOOKUP(INDIRECT($C$5),Jornada!$C$8:$W$37,21,0)+2,0)</f>
        <v>0</v>
      </c>
      <c r="AM25" s="155">
        <f ca="1">HLOOKUP($F25,Jornada!$I$4:$V$37,VLOOKUP(INDIRECT($C$5),Jornada!$C$8:$W$37,21,0)+3,0)</f>
        <v>0</v>
      </c>
      <c r="AN25" s="155">
        <f t="shared" ca="1" si="7"/>
        <v>0</v>
      </c>
      <c r="AO25" s="155">
        <f t="shared" si="8"/>
        <v>0</v>
      </c>
      <c r="AP25" s="155">
        <f t="shared" si="9"/>
        <v>0</v>
      </c>
      <c r="BE25" s="14"/>
      <c r="BF25" s="14"/>
      <c r="BG25" s="14"/>
    </row>
    <row r="26" spans="1:59" s="2" customFormat="1" ht="30" customHeight="1" thickTop="1" thickBot="1" x14ac:dyDescent="0.25">
      <c r="A26" s="1"/>
      <c r="B26"/>
      <c r="C26" s="172" t="str">
        <f>IF(Funcionários!C25=0,"",Funcionários!C25)</f>
        <v/>
      </c>
      <c r="D26"/>
      <c r="E26" s="115">
        <f>Lanç!E26</f>
        <v>19</v>
      </c>
      <c r="F26" s="189" t="str">
        <f>Lanç!F26</f>
        <v>Qui</v>
      </c>
      <c r="G26" s="81"/>
      <c r="H26" s="94"/>
      <c r="I26" s="94"/>
      <c r="J26" s="94"/>
      <c r="K26" s="94"/>
      <c r="L26" s="10"/>
      <c r="M26" s="95">
        <f t="shared" si="1"/>
        <v>0</v>
      </c>
      <c r="N26" s="96"/>
      <c r="O26" s="95">
        <f ca="1">IF(OR(G26=0,G26="Férias",G26="Falta Justificada",G26="Feriado",G26="Folga (DSR)"),0,IF(G26="Falta Injustificada",HLOOKUP($F26,Jornada!$X$7:$AD$37,VLOOKUP(INDIRECT($C$5),Jornada!$C$8:$W$37,21,0),0),IF(HLOOKUP($F26,Jornada!$X$7:$AD$37,VLOOKUP(INDIRECT($C$5),Jornada!$C$8:$W$37,21,0),0)-M26&gt;0,HLOOKUP($F26,Jornada!$X$7:$AD$37,VLOOKUP(INDIRECT($C$5),Jornada!$C$8:$W$37,21,0),0)-M26,0)))</f>
        <v>0</v>
      </c>
      <c r="P26" s="190">
        <f ca="1">IF(HLOOKUP($F26,Jornada!$X$7:$AD$37,VLOOKUP(INDIRECT($C$5),Jornada!$C$8:$W$37,21,0),0)-M26&lt;0,ABS(HLOOKUP($F26,Jornada!$X$7:$AD$37,VLOOKUP(INDIRECT($C$5),Jornada!$C$8:$W$37,21,0),0)-M26),0)</f>
        <v>0</v>
      </c>
      <c r="Q26" s="95">
        <f t="shared" si="0"/>
        <v>0</v>
      </c>
      <c r="R26" s="2">
        <f t="shared" si="2"/>
        <v>0</v>
      </c>
      <c r="S26" s="296" t="str">
        <f>IF(COUNTIF(G8:G38,"Folga (DSR)")&lt;DAY(E39)/8,"O mês não está contemplando um DSR (Descanso Semanal Remunerado) por semana. Isso pode configurar uma irregularidade segundo as leis trabalhistas.","Parabéns!! Sua folha de pagamento contempla uma DSR por semana conforme a lei trabalhista.")</f>
        <v>O mês não está contemplando um DSR (Descanso Semanal Remunerado) por semana. Isso pode configurar uma irregularidade segundo as leis trabalhistas.</v>
      </c>
      <c r="T26" s="297"/>
      <c r="U26" s="298"/>
      <c r="X26" s="177"/>
      <c r="AB26" s="177">
        <f t="shared" si="10"/>
        <v>19</v>
      </c>
      <c r="AC26" s="2">
        <f t="shared" si="3"/>
        <v>5</v>
      </c>
      <c r="AG26" s="220">
        <f t="shared" si="4"/>
        <v>0</v>
      </c>
      <c r="AH26" s="220">
        <f ca="1">IF(HLOOKUP($F26,Jornada!$X$7:$AD$37,VLOOKUP(INDIRECT($C$5),Jornada!$C$8:$W$37,21,0),0)=0,0,VLOOKUP(INDIRECT($C$5),Jornada!$C$8:$H$37,4,0))</f>
        <v>0</v>
      </c>
      <c r="AI26" s="155">
        <f ca="1">IF(AND(I26=0,J26=0,OR(H26&lt;&gt;0,K26&lt;&gt;0),HLOOKUP($F26,Jornada!$X$7:$AD$37,VLOOKUP(INDIRECT($C$5),Jornada!$C$8:$W$37,21,0),0)&gt;$AK$5,M26&gt;$AK$5),VLOOKUP(INDIRECT($C$5),Jornada!$C$8:$H$37,6,0),IF(AG26&gt;VLOOKUP(INDIRECT($C$5),Jornada!$C$8:$H$37,6,0),IF(VLOOKUP(INDIRECT($C$5),Jornada!$C$8:$H$37,6,0)&lt;AG26,0,ABS(VLOOKUP(INDIRECT($C$5),Jornada!$C$8:$H$37,6,0))-AG26),0))</f>
        <v>0</v>
      </c>
      <c r="AJ26" s="155">
        <f t="shared" si="5"/>
        <v>1</v>
      </c>
      <c r="AK26" s="155">
        <f t="shared" si="6"/>
        <v>0</v>
      </c>
      <c r="AL26" s="155">
        <f ca="1">HLOOKUP($F26,Jornada!$I$5:$V$37,VLOOKUP(INDIRECT($C$5),Jornada!$C$8:$W$37,21,0)+2,0)</f>
        <v>0</v>
      </c>
      <c r="AM26" s="155">
        <f ca="1">HLOOKUP($F26,Jornada!$I$4:$V$37,VLOOKUP(INDIRECT($C$5),Jornada!$C$8:$W$37,21,0)+3,0)</f>
        <v>0</v>
      </c>
      <c r="AN26" s="155">
        <f t="shared" ca="1" si="7"/>
        <v>0</v>
      </c>
      <c r="AO26" s="155">
        <f t="shared" si="8"/>
        <v>0</v>
      </c>
      <c r="AP26" s="155">
        <f t="shared" si="9"/>
        <v>0</v>
      </c>
      <c r="BE26" s="14"/>
      <c r="BF26" s="14"/>
      <c r="BG26" s="14"/>
    </row>
    <row r="27" spans="1:59" s="2" customFormat="1" ht="30" customHeight="1" thickTop="1" thickBot="1" x14ac:dyDescent="0.25">
      <c r="A27" s="1"/>
      <c r="B27"/>
      <c r="C27" s="172" t="str">
        <f>IF(Funcionários!C26=0,"",Funcionários!C26)</f>
        <v/>
      </c>
      <c r="D27"/>
      <c r="E27" s="115">
        <f>Lanç!E27</f>
        <v>20</v>
      </c>
      <c r="F27" s="189" t="str">
        <f>Lanç!F27</f>
        <v>Sex</v>
      </c>
      <c r="G27" s="81"/>
      <c r="H27" s="94"/>
      <c r="I27" s="94"/>
      <c r="J27" s="94"/>
      <c r="K27" s="94"/>
      <c r="L27" s="10"/>
      <c r="M27" s="95">
        <f t="shared" si="1"/>
        <v>0</v>
      </c>
      <c r="N27" s="96"/>
      <c r="O27" s="95">
        <f ca="1">IF(OR(G27=0,G27="Férias",G27="Falta Justificada",G27="Feriado",G27="Folga (DSR)"),0,IF(G27="Falta Injustificada",HLOOKUP($F27,Jornada!$X$7:$AD$37,VLOOKUP(INDIRECT($C$5),Jornada!$C$8:$W$37,21,0),0),IF(HLOOKUP($F27,Jornada!$X$7:$AD$37,VLOOKUP(INDIRECT($C$5),Jornada!$C$8:$W$37,21,0),0)-M27&gt;0,HLOOKUP($F27,Jornada!$X$7:$AD$37,VLOOKUP(INDIRECT($C$5),Jornada!$C$8:$W$37,21,0),0)-M27,0)))</f>
        <v>0</v>
      </c>
      <c r="P27" s="190">
        <f ca="1">IF(HLOOKUP($F27,Jornada!$X$7:$AD$37,VLOOKUP(INDIRECT($C$5),Jornada!$C$8:$W$37,21,0),0)-M27&lt;0,ABS(HLOOKUP($F27,Jornada!$X$7:$AD$37,VLOOKUP(INDIRECT($C$5),Jornada!$C$8:$W$37,21,0),0)-M27),0)</f>
        <v>0</v>
      </c>
      <c r="Q27" s="95">
        <f t="shared" si="0"/>
        <v>0</v>
      </c>
      <c r="R27" s="2">
        <f t="shared" si="2"/>
        <v>0</v>
      </c>
      <c r="S27" s="296"/>
      <c r="T27" s="297"/>
      <c r="U27" s="298"/>
      <c r="X27" s="177"/>
      <c r="AB27" s="177">
        <f t="shared" si="10"/>
        <v>20</v>
      </c>
      <c r="AC27" s="2">
        <f t="shared" si="3"/>
        <v>6</v>
      </c>
      <c r="AG27" s="220">
        <f t="shared" si="4"/>
        <v>0</v>
      </c>
      <c r="AH27" s="220">
        <f ca="1">IF(HLOOKUP($F27,Jornada!$X$7:$AD$37,VLOOKUP(INDIRECT($C$5),Jornada!$C$8:$W$37,21,0),0)=0,0,VLOOKUP(INDIRECT($C$5),Jornada!$C$8:$H$37,4,0))</f>
        <v>0</v>
      </c>
      <c r="AI27" s="155">
        <f ca="1">IF(AND(I27=0,J27=0,OR(H27&lt;&gt;0,K27&lt;&gt;0),HLOOKUP($F27,Jornada!$X$7:$AD$37,VLOOKUP(INDIRECT($C$5),Jornada!$C$8:$W$37,21,0),0)&gt;$AK$5,M27&gt;$AK$5),VLOOKUP(INDIRECT($C$5),Jornada!$C$8:$H$37,6,0),IF(AG27&gt;VLOOKUP(INDIRECT($C$5),Jornada!$C$8:$H$37,6,0),IF(VLOOKUP(INDIRECT($C$5),Jornada!$C$8:$H$37,6,0)&lt;AG27,0,ABS(VLOOKUP(INDIRECT($C$5),Jornada!$C$8:$H$37,6,0))-AG27),0))</f>
        <v>0</v>
      </c>
      <c r="AJ27" s="155">
        <f t="shared" si="5"/>
        <v>1</v>
      </c>
      <c r="AK27" s="155">
        <f t="shared" si="6"/>
        <v>0</v>
      </c>
      <c r="AL27" s="155">
        <f ca="1">HLOOKUP($F27,Jornada!$I$5:$V$37,VLOOKUP(INDIRECT($C$5),Jornada!$C$8:$W$37,21,0)+2,0)</f>
        <v>0</v>
      </c>
      <c r="AM27" s="155">
        <f ca="1">HLOOKUP($F27,Jornada!$I$4:$V$37,VLOOKUP(INDIRECT($C$5),Jornada!$C$8:$W$37,21,0)+3,0)</f>
        <v>0</v>
      </c>
      <c r="AN27" s="155">
        <f t="shared" ca="1" si="7"/>
        <v>0</v>
      </c>
      <c r="AO27" s="155">
        <f t="shared" si="8"/>
        <v>0</v>
      </c>
      <c r="AP27" s="155">
        <f t="shared" si="9"/>
        <v>0</v>
      </c>
    </row>
    <row r="28" spans="1:59" s="2" customFormat="1" ht="30" customHeight="1" thickTop="1" thickBot="1" x14ac:dyDescent="0.25">
      <c r="A28" s="1"/>
      <c r="B28"/>
      <c r="C28" s="172" t="str">
        <f>IF(Funcionários!C27=0,"",Funcionários!C27)</f>
        <v/>
      </c>
      <c r="D28"/>
      <c r="E28" s="115">
        <f>Lanç!E28</f>
        <v>21</v>
      </c>
      <c r="F28" s="189" t="str">
        <f>Lanç!F28</f>
        <v>Sáb</v>
      </c>
      <c r="G28" s="81"/>
      <c r="H28" s="94"/>
      <c r="I28" s="94"/>
      <c r="J28" s="94"/>
      <c r="K28" s="94"/>
      <c r="L28" s="10"/>
      <c r="M28" s="95">
        <f t="shared" si="1"/>
        <v>0</v>
      </c>
      <c r="N28" s="96"/>
      <c r="O28" s="95">
        <f ca="1">IF(OR(G28=0,G28="Férias",G28="Falta Justificada",G28="Feriado",G28="Folga (DSR)"),0,IF(G28="Falta Injustificada",HLOOKUP($F28,Jornada!$X$7:$AD$37,VLOOKUP(INDIRECT($C$5),Jornada!$C$8:$W$37,21,0),0),IF(HLOOKUP($F28,Jornada!$X$7:$AD$37,VLOOKUP(INDIRECT($C$5),Jornada!$C$8:$W$37,21,0),0)-M28&gt;0,HLOOKUP($F28,Jornada!$X$7:$AD$37,VLOOKUP(INDIRECT($C$5),Jornada!$C$8:$W$37,21,0),0)-M28,0)))</f>
        <v>0</v>
      </c>
      <c r="P28" s="190">
        <f ca="1">IF(HLOOKUP($F28,Jornada!$X$7:$AD$37,VLOOKUP(INDIRECT($C$5),Jornada!$C$8:$W$37,21,0),0)-M28&lt;0,ABS(HLOOKUP($F28,Jornada!$X$7:$AD$37,VLOOKUP(INDIRECT($C$5),Jornada!$C$8:$W$37,21,0),0)-M28),0)</f>
        <v>0</v>
      </c>
      <c r="Q28" s="95">
        <f t="shared" si="0"/>
        <v>0</v>
      </c>
      <c r="R28" s="2">
        <f t="shared" si="2"/>
        <v>0</v>
      </c>
      <c r="S28" s="296"/>
      <c r="T28" s="297"/>
      <c r="U28" s="298"/>
      <c r="X28" s="177"/>
      <c r="AB28" s="177">
        <f t="shared" si="10"/>
        <v>21</v>
      </c>
      <c r="AC28" s="2">
        <f t="shared" si="3"/>
        <v>7</v>
      </c>
      <c r="AG28" s="220">
        <f t="shared" si="4"/>
        <v>0</v>
      </c>
      <c r="AH28" s="220">
        <f ca="1">IF(HLOOKUP($F28,Jornada!$X$7:$AD$37,VLOOKUP(INDIRECT($C$5),Jornada!$C$8:$W$37,21,0),0)=0,0,VLOOKUP(INDIRECT($C$5),Jornada!$C$8:$H$37,4,0))</f>
        <v>0</v>
      </c>
      <c r="AI28" s="155">
        <f ca="1">IF(AND(I28=0,J28=0,OR(H28&lt;&gt;0,K28&lt;&gt;0),HLOOKUP($F28,Jornada!$X$7:$AD$37,VLOOKUP(INDIRECT($C$5),Jornada!$C$8:$W$37,21,0),0)&gt;$AK$5,M28&gt;$AK$5),VLOOKUP(INDIRECT($C$5),Jornada!$C$8:$H$37,6,0),IF(AG28&gt;VLOOKUP(INDIRECT($C$5),Jornada!$C$8:$H$37,6,0),IF(VLOOKUP(INDIRECT($C$5),Jornada!$C$8:$H$37,6,0)&lt;AG28,0,ABS(VLOOKUP(INDIRECT($C$5),Jornada!$C$8:$H$37,6,0))-AG28),0))</f>
        <v>0</v>
      </c>
      <c r="AJ28" s="155">
        <f t="shared" si="5"/>
        <v>1</v>
      </c>
      <c r="AK28" s="155">
        <f t="shared" si="6"/>
        <v>0</v>
      </c>
      <c r="AL28" s="155">
        <f ca="1">HLOOKUP($F28,Jornada!$I$5:$V$37,VLOOKUP(INDIRECT($C$5),Jornada!$C$8:$W$37,21,0)+2,0)</f>
        <v>0</v>
      </c>
      <c r="AM28" s="155">
        <f ca="1">HLOOKUP($F28,Jornada!$I$4:$V$37,VLOOKUP(INDIRECT($C$5),Jornada!$C$8:$W$37,21,0)+3,0)</f>
        <v>0</v>
      </c>
      <c r="AN28" s="155">
        <f t="shared" ca="1" si="7"/>
        <v>0</v>
      </c>
      <c r="AO28" s="155">
        <f t="shared" si="8"/>
        <v>0</v>
      </c>
      <c r="AP28" s="155">
        <f t="shared" si="9"/>
        <v>0</v>
      </c>
    </row>
    <row r="29" spans="1:59" s="2" customFormat="1" ht="30" customHeight="1" thickTop="1" thickBot="1" x14ac:dyDescent="0.25">
      <c r="A29" s="1"/>
      <c r="B29"/>
      <c r="C29" s="172" t="str">
        <f>IF(Funcionários!C28=0,"",Funcionários!C28)</f>
        <v/>
      </c>
      <c r="D29"/>
      <c r="E29" s="115">
        <f>Lanç!E29</f>
        <v>22</v>
      </c>
      <c r="F29" s="189" t="str">
        <f>Lanç!F29</f>
        <v>Dom</v>
      </c>
      <c r="G29" s="81"/>
      <c r="H29" s="94"/>
      <c r="I29" s="94"/>
      <c r="J29" s="94"/>
      <c r="K29" s="94"/>
      <c r="L29" s="10"/>
      <c r="M29" s="95">
        <f t="shared" si="1"/>
        <v>0</v>
      </c>
      <c r="N29" s="96"/>
      <c r="O29" s="95">
        <f ca="1">IF(OR(G29=0,G29="Férias",G29="Falta Justificada",G29="Feriado",G29="Folga (DSR)"),0,IF(G29="Falta Injustificada",HLOOKUP($F29,Jornada!$X$7:$AD$37,VLOOKUP(INDIRECT($C$5),Jornada!$C$8:$W$37,21,0),0),IF(HLOOKUP($F29,Jornada!$X$7:$AD$37,VLOOKUP(INDIRECT($C$5),Jornada!$C$8:$W$37,21,0),0)-M29&gt;0,HLOOKUP($F29,Jornada!$X$7:$AD$37,VLOOKUP(INDIRECT($C$5),Jornada!$C$8:$W$37,21,0),0)-M29,0)))</f>
        <v>0</v>
      </c>
      <c r="P29" s="190">
        <f ca="1">IF(HLOOKUP($F29,Jornada!$X$7:$AD$37,VLOOKUP(INDIRECT($C$5),Jornada!$C$8:$W$37,21,0),0)-M29&lt;0,ABS(HLOOKUP($F29,Jornada!$X$7:$AD$37,VLOOKUP(INDIRECT($C$5),Jornada!$C$8:$W$37,21,0),0)-M29),0)</f>
        <v>0</v>
      </c>
      <c r="Q29" s="95">
        <f t="shared" si="0"/>
        <v>0</v>
      </c>
      <c r="R29" s="2">
        <f t="shared" si="2"/>
        <v>0</v>
      </c>
      <c r="S29" s="13"/>
      <c r="T29" s="74"/>
      <c r="U29" s="74"/>
      <c r="X29" s="177"/>
      <c r="AB29" s="177">
        <f t="shared" si="10"/>
        <v>22</v>
      </c>
      <c r="AC29" s="2">
        <f t="shared" si="3"/>
        <v>1</v>
      </c>
      <c r="AG29" s="220">
        <f t="shared" si="4"/>
        <v>0</v>
      </c>
      <c r="AH29" s="220">
        <f ca="1">IF(HLOOKUP($F29,Jornada!$X$7:$AD$37,VLOOKUP(INDIRECT($C$5),Jornada!$C$8:$W$37,21,0),0)=0,0,VLOOKUP(INDIRECT($C$5),Jornada!$C$8:$H$37,4,0))</f>
        <v>0</v>
      </c>
      <c r="AI29" s="155">
        <f ca="1">IF(AND(I29=0,J29=0,OR(H29&lt;&gt;0,K29&lt;&gt;0),HLOOKUP($F29,Jornada!$X$7:$AD$37,VLOOKUP(INDIRECT($C$5),Jornada!$C$8:$W$37,21,0),0)&gt;$AK$5,M29&gt;$AK$5),VLOOKUP(INDIRECT($C$5),Jornada!$C$8:$H$37,6,0),IF(AG29&gt;VLOOKUP(INDIRECT($C$5),Jornada!$C$8:$H$37,6,0),IF(VLOOKUP(INDIRECT($C$5),Jornada!$C$8:$H$37,6,0)&lt;AG29,0,ABS(VLOOKUP(INDIRECT($C$5),Jornada!$C$8:$H$37,6,0))-AG29),0))</f>
        <v>0</v>
      </c>
      <c r="AJ29" s="155">
        <f t="shared" si="5"/>
        <v>1</v>
      </c>
      <c r="AK29" s="155">
        <f t="shared" si="6"/>
        <v>0</v>
      </c>
      <c r="AL29" s="155">
        <f ca="1">HLOOKUP($F29,Jornada!$I$5:$V$37,VLOOKUP(INDIRECT($C$5),Jornada!$C$8:$W$37,21,0)+2,0)</f>
        <v>0</v>
      </c>
      <c r="AM29" s="155">
        <f ca="1">HLOOKUP($F29,Jornada!$I$4:$V$37,VLOOKUP(INDIRECT($C$5),Jornada!$C$8:$W$37,21,0)+3,0)</f>
        <v>0</v>
      </c>
      <c r="AN29" s="155">
        <f t="shared" ca="1" si="7"/>
        <v>0</v>
      </c>
      <c r="AO29" s="155">
        <f t="shared" si="8"/>
        <v>0</v>
      </c>
      <c r="AP29" s="155">
        <f t="shared" si="9"/>
        <v>0</v>
      </c>
    </row>
    <row r="30" spans="1:59" s="2" customFormat="1" ht="30" customHeight="1" thickTop="1" thickBot="1" x14ac:dyDescent="0.25">
      <c r="A30" s="1"/>
      <c r="B30"/>
      <c r="C30" s="172" t="str">
        <f>IF(Funcionários!C29=0,"",Funcionários!C29)</f>
        <v/>
      </c>
      <c r="D30"/>
      <c r="E30" s="173">
        <f>Lanç!E30</f>
        <v>23</v>
      </c>
      <c r="F30" s="189" t="str">
        <f>Lanç!F30</f>
        <v>Seg</v>
      </c>
      <c r="G30" s="81"/>
      <c r="H30" s="94"/>
      <c r="I30" s="94"/>
      <c r="J30" s="94"/>
      <c r="K30" s="94"/>
      <c r="L30" s="10"/>
      <c r="M30" s="95">
        <f t="shared" si="1"/>
        <v>0</v>
      </c>
      <c r="N30" s="96"/>
      <c r="O30" s="95">
        <f ca="1">IF(OR(G30=0,G30="Férias",G30="Falta Justificada",G30="Feriado",G30="Folga (DSR)"),0,IF(G30="Falta Injustificada",HLOOKUP($F30,Jornada!$X$7:$AD$37,VLOOKUP(INDIRECT($C$5),Jornada!$C$8:$W$37,21,0),0),IF(HLOOKUP($F30,Jornada!$X$7:$AD$37,VLOOKUP(INDIRECT($C$5),Jornada!$C$8:$W$37,21,0),0)-M30&gt;0,HLOOKUP($F30,Jornada!$X$7:$AD$37,VLOOKUP(INDIRECT($C$5),Jornada!$C$8:$W$37,21,0),0)-M30,0)))</f>
        <v>0</v>
      </c>
      <c r="P30" s="190">
        <f ca="1">IF(HLOOKUP($F30,Jornada!$X$7:$AD$37,VLOOKUP(INDIRECT($C$5),Jornada!$C$8:$W$37,21,0),0)-M30&lt;0,ABS(HLOOKUP($F30,Jornada!$X$7:$AD$37,VLOOKUP(INDIRECT($C$5),Jornada!$C$8:$W$37,21,0),0)-M30),0)</f>
        <v>0</v>
      </c>
      <c r="Q30" s="95">
        <f t="shared" si="0"/>
        <v>0</v>
      </c>
      <c r="R30" s="2">
        <f>IF(Q30&gt;$R$7,1,0)</f>
        <v>0</v>
      </c>
      <c r="S30" s="13"/>
      <c r="T30" s="74"/>
      <c r="U30" s="74"/>
      <c r="X30" s="177"/>
      <c r="AB30" s="177">
        <f t="shared" si="10"/>
        <v>23</v>
      </c>
      <c r="AC30" s="2">
        <f>WEEKDAY(AB30)</f>
        <v>2</v>
      </c>
      <c r="AG30" s="220">
        <f t="shared" si="4"/>
        <v>0</v>
      </c>
      <c r="AH30" s="220">
        <f ca="1">IF(HLOOKUP($F30,Jornada!$X$7:$AD$37,VLOOKUP(INDIRECT($C$5),Jornada!$C$8:$W$37,21,0),0)=0,0,VLOOKUP(INDIRECT($C$5),Jornada!$C$8:$H$37,4,0))</f>
        <v>0</v>
      </c>
      <c r="AI30" s="155">
        <f ca="1">IF(AND(I30=0,J30=0,OR(H30&lt;&gt;0,K30&lt;&gt;0),HLOOKUP($F30,Jornada!$X$7:$AD$37,VLOOKUP(INDIRECT($C$5),Jornada!$C$8:$W$37,21,0),0)&gt;$AK$5,M30&gt;$AK$5),VLOOKUP(INDIRECT($C$5),Jornada!$C$8:$H$37,6,0),IF(AG30&gt;VLOOKUP(INDIRECT($C$5),Jornada!$C$8:$H$37,6,0),IF(VLOOKUP(INDIRECT($C$5),Jornada!$C$8:$H$37,6,0)&lt;AG30,0,ABS(VLOOKUP(INDIRECT($C$5),Jornada!$C$8:$H$37,6,0))-AG30),0))</f>
        <v>0</v>
      </c>
      <c r="AJ30" s="155">
        <f>($AJ$7-K30)+H30</f>
        <v>1</v>
      </c>
      <c r="AK30" s="155">
        <f>IF(AJ30&lt;$AK$7,$AK$7-AJ30,$AI$7)</f>
        <v>0</v>
      </c>
      <c r="AL30" s="155">
        <f ca="1">HLOOKUP($F30,Jornada!$I$5:$V$37,VLOOKUP(INDIRECT($C$5),Jornada!$C$8:$W$37,21,0)+2,0)</f>
        <v>0</v>
      </c>
      <c r="AM30" s="155">
        <f ca="1">HLOOKUP($F30,Jornada!$I$4:$V$37,VLOOKUP(INDIRECT($C$5),Jornada!$C$8:$W$37,21,0)+3,0)</f>
        <v>0</v>
      </c>
      <c r="AN30" s="155">
        <f t="shared" ca="1" si="7"/>
        <v>0</v>
      </c>
      <c r="AO30" s="155">
        <f t="shared" si="8"/>
        <v>0</v>
      </c>
      <c r="AP30" s="155">
        <f t="shared" si="9"/>
        <v>0</v>
      </c>
    </row>
    <row r="31" spans="1:59" s="2" customFormat="1" ht="30" customHeight="1" thickTop="1" thickBot="1" x14ac:dyDescent="0.25">
      <c r="A31" s="1"/>
      <c r="B31"/>
      <c r="C31" s="172" t="str">
        <f>IF(Funcionários!C30=0,"",Funcionários!C30)</f>
        <v/>
      </c>
      <c r="D31"/>
      <c r="E31" s="173">
        <f>Lanç!E31</f>
        <v>24</v>
      </c>
      <c r="F31" s="189" t="str">
        <f>Lanç!F31</f>
        <v>Ter</v>
      </c>
      <c r="G31" s="81"/>
      <c r="H31" s="94"/>
      <c r="I31" s="94"/>
      <c r="J31" s="94"/>
      <c r="K31" s="94"/>
      <c r="L31" s="10"/>
      <c r="M31" s="95">
        <f t="shared" si="1"/>
        <v>0</v>
      </c>
      <c r="N31" s="96"/>
      <c r="O31" s="95">
        <f ca="1">IF(OR(G31=0,G31="Férias",G31="Falta Justificada",G31="Feriado",G31="Folga (DSR)"),0,IF(G31="Falta Injustificada",HLOOKUP($F31,Jornada!$X$7:$AD$37,VLOOKUP(INDIRECT($C$5),Jornada!$C$8:$W$37,21,0),0),IF(HLOOKUP($F31,Jornada!$X$7:$AD$37,VLOOKUP(INDIRECT($C$5),Jornada!$C$8:$W$37,21,0),0)-M31&gt;0,HLOOKUP($F31,Jornada!$X$7:$AD$37,VLOOKUP(INDIRECT($C$5),Jornada!$C$8:$W$37,21,0),0)-M31,0)))</f>
        <v>0</v>
      </c>
      <c r="P31" s="190">
        <f ca="1">IF(HLOOKUP($F31,Jornada!$X$7:$AD$37,VLOOKUP(INDIRECT($C$5),Jornada!$C$8:$W$37,21,0),0)-M31&lt;0,ABS(HLOOKUP($F31,Jornada!$X$7:$AD$37,VLOOKUP(INDIRECT($C$5),Jornada!$C$8:$W$37,21,0),0)-M31),0)</f>
        <v>0</v>
      </c>
      <c r="Q31" s="95">
        <f t="shared" si="0"/>
        <v>0</v>
      </c>
      <c r="R31" s="2">
        <f>IF(Q31&gt;$R$7,1,0)</f>
        <v>0</v>
      </c>
      <c r="S31" s="13"/>
      <c r="T31" s="74"/>
      <c r="U31" s="74"/>
      <c r="X31" s="177"/>
      <c r="AB31" s="177">
        <f t="shared" si="10"/>
        <v>24</v>
      </c>
      <c r="AC31" s="2">
        <f>WEEKDAY(AB31)</f>
        <v>3</v>
      </c>
      <c r="AG31" s="220">
        <f t="shared" si="4"/>
        <v>0</v>
      </c>
      <c r="AH31" s="220">
        <f ca="1">IF(HLOOKUP($F31,Jornada!$X$7:$AD$37,VLOOKUP(INDIRECT($C$5),Jornada!$C$8:$W$37,21,0),0)=0,0,VLOOKUP(INDIRECT($C$5),Jornada!$C$8:$H$37,4,0))</f>
        <v>0</v>
      </c>
      <c r="AI31" s="155">
        <f ca="1">IF(AND(I31=0,J31=0,OR(H31&lt;&gt;0,K31&lt;&gt;0),HLOOKUP($F31,Jornada!$X$7:$AD$37,VLOOKUP(INDIRECT($C$5),Jornada!$C$8:$W$37,21,0),0)&gt;$AK$5,M31&gt;$AK$5),VLOOKUP(INDIRECT($C$5),Jornada!$C$8:$H$37,6,0),IF(AG31&gt;VLOOKUP(INDIRECT($C$5),Jornada!$C$8:$H$37,6,0),IF(VLOOKUP(INDIRECT($C$5),Jornada!$C$8:$H$37,6,0)&lt;AG31,0,ABS(VLOOKUP(INDIRECT($C$5),Jornada!$C$8:$H$37,6,0))-AG31),0))</f>
        <v>0</v>
      </c>
      <c r="AJ31" s="155">
        <f>($AJ$7-K31)+H31</f>
        <v>1</v>
      </c>
      <c r="AK31" s="155">
        <f>IF(AJ31&lt;$AK$7,$AK$7-AJ31,$AI$7)</f>
        <v>0</v>
      </c>
      <c r="AL31" s="155">
        <f ca="1">HLOOKUP($F31,Jornada!$I$5:$V$37,VLOOKUP(INDIRECT($C$5),Jornada!$C$8:$W$37,21,0)+2,0)</f>
        <v>0</v>
      </c>
      <c r="AM31" s="155">
        <f ca="1">HLOOKUP($F31,Jornada!$I$4:$V$37,VLOOKUP(INDIRECT($C$5),Jornada!$C$8:$W$37,21,0)+3,0)</f>
        <v>0</v>
      </c>
      <c r="AN31" s="155">
        <f t="shared" ca="1" si="7"/>
        <v>0</v>
      </c>
      <c r="AO31" s="155">
        <f t="shared" si="8"/>
        <v>0</v>
      </c>
      <c r="AP31" s="155">
        <f t="shared" si="9"/>
        <v>0</v>
      </c>
    </row>
    <row r="32" spans="1:59" s="2" customFormat="1" ht="30" customHeight="1" thickTop="1" thickBot="1" x14ac:dyDescent="0.25">
      <c r="A32" s="1"/>
      <c r="B32"/>
      <c r="C32" s="172" t="str">
        <f>IF(Funcionários!C31=0,"",Funcionários!C31)</f>
        <v/>
      </c>
      <c r="D32"/>
      <c r="E32" s="115">
        <f>Lanç!E32</f>
        <v>25</v>
      </c>
      <c r="F32" s="189" t="str">
        <f>Lanç!F32</f>
        <v>Qua</v>
      </c>
      <c r="G32" s="81"/>
      <c r="H32" s="94"/>
      <c r="I32" s="94"/>
      <c r="J32" s="94"/>
      <c r="K32" s="94"/>
      <c r="L32" s="10"/>
      <c r="M32" s="95">
        <f t="shared" si="1"/>
        <v>0</v>
      </c>
      <c r="N32" s="96"/>
      <c r="O32" s="95">
        <f ca="1">IF(OR(G32=0,G32="Férias",G32="Falta Justificada",G32="Feriado",G32="Folga (DSR)"),0,IF(G32="Falta Injustificada",HLOOKUP($F32,Jornada!$X$7:$AD$37,VLOOKUP(INDIRECT($C$5),Jornada!$C$8:$W$37,21,0),0),IF(HLOOKUP($F32,Jornada!$X$7:$AD$37,VLOOKUP(INDIRECT($C$5),Jornada!$C$8:$W$37,21,0),0)-M32&gt;0,HLOOKUP($F32,Jornada!$X$7:$AD$37,VLOOKUP(INDIRECT($C$5),Jornada!$C$8:$W$37,21,0),0)-M32,0)))</f>
        <v>0</v>
      </c>
      <c r="P32" s="190">
        <f ca="1">IF(HLOOKUP($F32,Jornada!$X$7:$AD$37,VLOOKUP(INDIRECT($C$5),Jornada!$C$8:$W$37,21,0),0)-M32&lt;0,ABS(HLOOKUP($F32,Jornada!$X$7:$AD$37,VLOOKUP(INDIRECT($C$5),Jornada!$C$8:$W$37,21,0),0)-M32),0)</f>
        <v>0</v>
      </c>
      <c r="Q32" s="95">
        <f t="shared" si="0"/>
        <v>0</v>
      </c>
      <c r="R32" s="2">
        <f t="shared" si="2"/>
        <v>0</v>
      </c>
      <c r="S32" s="74"/>
      <c r="T32" s="74"/>
      <c r="U32" s="74"/>
      <c r="X32" s="177"/>
      <c r="AB32" s="177">
        <f t="shared" si="10"/>
        <v>25</v>
      </c>
      <c r="AC32" s="2">
        <f t="shared" si="3"/>
        <v>4</v>
      </c>
      <c r="AG32" s="220">
        <f t="shared" si="4"/>
        <v>0</v>
      </c>
      <c r="AH32" s="220">
        <f ca="1">IF(HLOOKUP($F32,Jornada!$X$7:$AD$37,VLOOKUP(INDIRECT($C$5),Jornada!$C$8:$W$37,21,0),0)=0,0,VLOOKUP(INDIRECT($C$5),Jornada!$C$8:$H$37,4,0))</f>
        <v>0</v>
      </c>
      <c r="AI32" s="155">
        <f ca="1">IF(AND(I32=0,J32=0,OR(H32&lt;&gt;0,K32&lt;&gt;0),HLOOKUP($F32,Jornada!$X$7:$AD$37,VLOOKUP(INDIRECT($C$5),Jornada!$C$8:$W$37,21,0),0)&gt;$AK$5,M32&gt;$AK$5),VLOOKUP(INDIRECT($C$5),Jornada!$C$8:$H$37,6,0),IF(AG32&gt;VLOOKUP(INDIRECT($C$5),Jornada!$C$8:$H$37,6,0),IF(VLOOKUP(INDIRECT($C$5),Jornada!$C$8:$H$37,6,0)&lt;AG32,0,ABS(VLOOKUP(INDIRECT($C$5),Jornada!$C$8:$H$37,6,0))-AG32),0))</f>
        <v>0</v>
      </c>
      <c r="AJ32" s="155">
        <f t="shared" si="5"/>
        <v>1</v>
      </c>
      <c r="AK32" s="155">
        <f t="shared" si="6"/>
        <v>0</v>
      </c>
      <c r="AL32" s="155">
        <f ca="1">HLOOKUP($F32,Jornada!$I$5:$V$37,VLOOKUP(INDIRECT($C$5),Jornada!$C$8:$W$37,21,0)+2,0)</f>
        <v>0</v>
      </c>
      <c r="AM32" s="155">
        <f ca="1">HLOOKUP($F32,Jornada!$I$4:$V$37,VLOOKUP(INDIRECT($C$5),Jornada!$C$8:$W$37,21,0)+3,0)</f>
        <v>0</v>
      </c>
      <c r="AN32" s="155">
        <f t="shared" ca="1" si="7"/>
        <v>0</v>
      </c>
      <c r="AO32" s="155">
        <f t="shared" si="8"/>
        <v>0</v>
      </c>
      <c r="AP32" s="155">
        <f t="shared" si="9"/>
        <v>0</v>
      </c>
    </row>
    <row r="33" spans="1:42" s="2" customFormat="1" ht="30" customHeight="1" thickTop="1" thickBot="1" x14ac:dyDescent="0.25">
      <c r="A33" s="1"/>
      <c r="B33"/>
      <c r="C33" s="172" t="str">
        <f>IF(Funcionários!C32=0,"",Funcionários!C32)</f>
        <v/>
      </c>
      <c r="D33"/>
      <c r="E33" s="115">
        <f>Lanç!E33</f>
        <v>26</v>
      </c>
      <c r="F33" s="189" t="str">
        <f>Lanç!F33</f>
        <v>Qui</v>
      </c>
      <c r="G33" s="81"/>
      <c r="H33" s="94"/>
      <c r="I33" s="94"/>
      <c r="J33" s="94"/>
      <c r="K33" s="94"/>
      <c r="L33" s="10"/>
      <c r="M33" s="95">
        <f t="shared" si="1"/>
        <v>0</v>
      </c>
      <c r="N33" s="96"/>
      <c r="O33" s="95">
        <f ca="1">IF(OR(G33=0,G33="Férias",G33="Falta Justificada",G33="Feriado",G33="Folga (DSR)"),0,IF(G33="Falta Injustificada",HLOOKUP($F33,Jornada!$X$7:$AD$37,VLOOKUP(INDIRECT($C$5),Jornada!$C$8:$W$37,21,0),0),IF(HLOOKUP($F33,Jornada!$X$7:$AD$37,VLOOKUP(INDIRECT($C$5),Jornada!$C$8:$W$37,21,0),0)-M33&gt;0,HLOOKUP($F33,Jornada!$X$7:$AD$37,VLOOKUP(INDIRECT($C$5),Jornada!$C$8:$W$37,21,0),0)-M33,0)))</f>
        <v>0</v>
      </c>
      <c r="P33" s="190">
        <f ca="1">IF(HLOOKUP($F33,Jornada!$X$7:$AD$37,VLOOKUP(INDIRECT($C$5),Jornada!$C$8:$W$37,21,0),0)-M33&lt;0,ABS(HLOOKUP($F33,Jornada!$X$7:$AD$37,VLOOKUP(INDIRECT($C$5),Jornada!$C$8:$W$37,21,0),0)-M33),0)</f>
        <v>0</v>
      </c>
      <c r="Q33" s="95">
        <f t="shared" si="0"/>
        <v>0</v>
      </c>
      <c r="R33" s="2">
        <f t="shared" si="2"/>
        <v>0</v>
      </c>
      <c r="S33" s="74"/>
      <c r="T33" s="74"/>
      <c r="U33" s="74"/>
      <c r="X33" s="177"/>
      <c r="AB33" s="177">
        <f t="shared" si="10"/>
        <v>26</v>
      </c>
      <c r="AC33" s="2">
        <f t="shared" si="3"/>
        <v>5</v>
      </c>
      <c r="AG33" s="220">
        <f t="shared" si="4"/>
        <v>0</v>
      </c>
      <c r="AH33" s="220">
        <f ca="1">IF(HLOOKUP($F33,Jornada!$X$7:$AD$37,VLOOKUP(INDIRECT($C$5),Jornada!$C$8:$W$37,21,0),0)=0,0,VLOOKUP(INDIRECT($C$5),Jornada!$C$8:$H$37,4,0))</f>
        <v>0</v>
      </c>
      <c r="AI33" s="155">
        <f ca="1">IF(AND(I33=0,J33=0,OR(H33&lt;&gt;0,K33&lt;&gt;0),HLOOKUP($F33,Jornada!$X$7:$AD$37,VLOOKUP(INDIRECT($C$5),Jornada!$C$8:$W$37,21,0),0)&gt;$AK$5,M33&gt;$AK$5),VLOOKUP(INDIRECT($C$5),Jornada!$C$8:$H$37,6,0),IF(AG33&gt;VLOOKUP(INDIRECT($C$5),Jornada!$C$8:$H$37,6,0),IF(VLOOKUP(INDIRECT($C$5),Jornada!$C$8:$H$37,6,0)&lt;AG33,0,ABS(VLOOKUP(INDIRECT($C$5),Jornada!$C$8:$H$37,6,0))-AG33),0))</f>
        <v>0</v>
      </c>
      <c r="AJ33" s="155">
        <f t="shared" si="5"/>
        <v>1</v>
      </c>
      <c r="AK33" s="155">
        <f t="shared" si="6"/>
        <v>0</v>
      </c>
      <c r="AL33" s="155">
        <f ca="1">HLOOKUP($F33,Jornada!$I$5:$V$37,VLOOKUP(INDIRECT($C$5),Jornada!$C$8:$W$37,21,0)+2,0)</f>
        <v>0</v>
      </c>
      <c r="AM33" s="155">
        <f ca="1">HLOOKUP($F33,Jornada!$I$4:$V$37,VLOOKUP(INDIRECT($C$5),Jornada!$C$8:$W$37,21,0)+3,0)</f>
        <v>0</v>
      </c>
      <c r="AN33" s="155">
        <f t="shared" ca="1" si="7"/>
        <v>0</v>
      </c>
      <c r="AO33" s="155">
        <f t="shared" si="8"/>
        <v>0</v>
      </c>
      <c r="AP33" s="155">
        <f t="shared" si="9"/>
        <v>0</v>
      </c>
    </row>
    <row r="34" spans="1:42" s="2" customFormat="1" ht="30" customHeight="1" thickTop="1" thickBot="1" x14ac:dyDescent="0.25">
      <c r="A34" s="1"/>
      <c r="B34"/>
      <c r="C34" s="172" t="str">
        <f>IF(Funcionários!C33=0,"",Funcionários!C33)</f>
        <v/>
      </c>
      <c r="D34"/>
      <c r="E34" s="115">
        <f>Lanç!E34</f>
        <v>27</v>
      </c>
      <c r="F34" s="189" t="str">
        <f>Lanç!F34</f>
        <v>Sex</v>
      </c>
      <c r="G34" s="81"/>
      <c r="H34" s="94"/>
      <c r="I34" s="94"/>
      <c r="J34" s="94"/>
      <c r="K34" s="94"/>
      <c r="L34" s="10"/>
      <c r="M34" s="95">
        <f t="shared" si="1"/>
        <v>0</v>
      </c>
      <c r="N34" s="96"/>
      <c r="O34" s="95">
        <f ca="1">IF(OR(G34=0,G34="Férias",G34="Falta Justificada",G34="Feriado",G34="Folga (DSR)"),0,IF(G34="Falta Injustificada",HLOOKUP($F34,Jornada!$X$7:$AD$37,VLOOKUP(INDIRECT($C$5),Jornada!$C$8:$W$37,21,0),0),IF(HLOOKUP($F34,Jornada!$X$7:$AD$37,VLOOKUP(INDIRECT($C$5),Jornada!$C$8:$W$37,21,0),0)-M34&gt;0,HLOOKUP($F34,Jornada!$X$7:$AD$37,VLOOKUP(INDIRECT($C$5),Jornada!$C$8:$W$37,21,0),0)-M34,0)))</f>
        <v>0</v>
      </c>
      <c r="P34" s="190">
        <f ca="1">IF(HLOOKUP($F34,Jornada!$X$7:$AD$37,VLOOKUP(INDIRECT($C$5),Jornada!$C$8:$W$37,21,0),0)-M34&lt;0,ABS(HLOOKUP($F34,Jornada!$X$7:$AD$37,VLOOKUP(INDIRECT($C$5),Jornada!$C$8:$W$37,21,0),0)-M34),0)</f>
        <v>0</v>
      </c>
      <c r="Q34" s="95">
        <f t="shared" si="0"/>
        <v>0</v>
      </c>
      <c r="R34" s="2">
        <f t="shared" si="2"/>
        <v>0</v>
      </c>
      <c r="S34" s="74"/>
      <c r="T34" s="74"/>
      <c r="U34" s="74"/>
      <c r="X34" s="177"/>
      <c r="AB34" s="177">
        <f t="shared" si="10"/>
        <v>27</v>
      </c>
      <c r="AC34" s="2">
        <f t="shared" si="3"/>
        <v>6</v>
      </c>
      <c r="AG34" s="220">
        <f t="shared" si="4"/>
        <v>0</v>
      </c>
      <c r="AH34" s="220">
        <f ca="1">IF(HLOOKUP($F34,Jornada!$X$7:$AD$37,VLOOKUP(INDIRECT($C$5),Jornada!$C$8:$W$37,21,0),0)=0,0,VLOOKUP(INDIRECT($C$5),Jornada!$C$8:$H$37,4,0))</f>
        <v>0</v>
      </c>
      <c r="AI34" s="155">
        <f ca="1">IF(AND(I34=0,J34=0,OR(H34&lt;&gt;0,K34&lt;&gt;0),HLOOKUP($F34,Jornada!$X$7:$AD$37,VLOOKUP(INDIRECT($C$5),Jornada!$C$8:$W$37,21,0),0)&gt;$AK$5,M34&gt;$AK$5),VLOOKUP(INDIRECT($C$5),Jornada!$C$8:$H$37,6,0),IF(AG34&gt;VLOOKUP(INDIRECT($C$5),Jornada!$C$8:$H$37,6,0),IF(VLOOKUP(INDIRECT($C$5),Jornada!$C$8:$H$37,6,0)&lt;AG34,0,ABS(VLOOKUP(INDIRECT($C$5),Jornada!$C$8:$H$37,6,0))-AG34),0))</f>
        <v>0</v>
      </c>
      <c r="AJ34" s="155">
        <f t="shared" si="5"/>
        <v>1</v>
      </c>
      <c r="AK34" s="155">
        <f t="shared" si="6"/>
        <v>0</v>
      </c>
      <c r="AL34" s="155">
        <f ca="1">HLOOKUP($F34,Jornada!$I$5:$V$37,VLOOKUP(INDIRECT($C$5),Jornada!$C$8:$W$37,21,0)+2,0)</f>
        <v>0</v>
      </c>
      <c r="AM34" s="155">
        <f ca="1">HLOOKUP($F34,Jornada!$I$4:$V$37,VLOOKUP(INDIRECT($C$5),Jornada!$C$8:$W$37,21,0)+3,0)</f>
        <v>0</v>
      </c>
      <c r="AN34" s="155">
        <f t="shared" ca="1" si="7"/>
        <v>0</v>
      </c>
      <c r="AO34" s="155">
        <f t="shared" si="8"/>
        <v>0</v>
      </c>
      <c r="AP34" s="155">
        <f t="shared" si="9"/>
        <v>0</v>
      </c>
    </row>
    <row r="35" spans="1:42" s="2" customFormat="1" ht="30" customHeight="1" thickTop="1" thickBot="1" x14ac:dyDescent="0.25">
      <c r="A35" s="1"/>
      <c r="B35"/>
      <c r="C35" s="172" t="str">
        <f>IF(Funcionários!C34=0,"",Funcionários!C34)</f>
        <v/>
      </c>
      <c r="D35"/>
      <c r="E35" s="115">
        <f>Lanç!E35</f>
        <v>28</v>
      </c>
      <c r="F35" s="189" t="str">
        <f>Lanç!F35</f>
        <v>Sáb</v>
      </c>
      <c r="G35" s="81"/>
      <c r="H35" s="94"/>
      <c r="I35" s="94"/>
      <c r="J35" s="94"/>
      <c r="K35" s="94"/>
      <c r="L35" s="10"/>
      <c r="M35" s="95">
        <f t="shared" si="1"/>
        <v>0</v>
      </c>
      <c r="N35" s="96"/>
      <c r="O35" s="95">
        <f ca="1">IF(OR(G35=0,G35="Férias",G35="Falta Justificada",G35="Feriado",G35="Folga (DSR)"),0,IF(G35="Falta Injustificada",HLOOKUP($F35,Jornada!$X$7:$AD$37,VLOOKUP(INDIRECT($C$5),Jornada!$C$8:$W$37,21,0),0),IF(HLOOKUP($F35,Jornada!$X$7:$AD$37,VLOOKUP(INDIRECT($C$5),Jornada!$C$8:$W$37,21,0),0)-M35&gt;0,HLOOKUP($F35,Jornada!$X$7:$AD$37,VLOOKUP(INDIRECT($C$5),Jornada!$C$8:$W$37,21,0),0)-M35,0)))</f>
        <v>0</v>
      </c>
      <c r="P35" s="190">
        <f ca="1">IF(HLOOKUP($F35,Jornada!$X$7:$AD$37,VLOOKUP(INDIRECT($C$5),Jornada!$C$8:$W$37,21,0),0)-M35&lt;0,ABS(HLOOKUP($F35,Jornada!$X$7:$AD$37,VLOOKUP(INDIRECT($C$5),Jornada!$C$8:$W$37,21,0),0)-M35),0)</f>
        <v>0</v>
      </c>
      <c r="Q35" s="95">
        <f t="shared" si="0"/>
        <v>0</v>
      </c>
      <c r="R35" s="2">
        <f t="shared" si="2"/>
        <v>0</v>
      </c>
      <c r="S35"/>
      <c r="T35"/>
      <c r="U35"/>
      <c r="X35" s="177"/>
      <c r="AB35" s="177">
        <f>IF(MONTH(AB34+1)&lt;&gt;MONTH(AB34),"",AB34+1)</f>
        <v>28</v>
      </c>
      <c r="AC35" s="2">
        <f t="shared" si="3"/>
        <v>7</v>
      </c>
      <c r="AG35" s="220">
        <f t="shared" si="4"/>
        <v>0</v>
      </c>
      <c r="AH35" s="220">
        <f ca="1">IF(HLOOKUP($F35,Jornada!$X$7:$AD$37,VLOOKUP(INDIRECT($C$5),Jornada!$C$8:$W$37,21,0),0)=0,0,VLOOKUP(INDIRECT($C$5),Jornada!$C$8:$H$37,4,0))</f>
        <v>0</v>
      </c>
      <c r="AI35" s="155">
        <f ca="1">IF(AND(I35=0,J35=0,OR(H35&lt;&gt;0,K35&lt;&gt;0),HLOOKUP($F35,Jornada!$X$7:$AD$37,VLOOKUP(INDIRECT($C$5),Jornada!$C$8:$W$37,21,0),0)&gt;$AK$5,M35&gt;$AK$5),VLOOKUP(INDIRECT($C$5),Jornada!$C$8:$H$37,6,0),IF(AG35&gt;VLOOKUP(INDIRECT($C$5),Jornada!$C$8:$H$37,6,0),IF(VLOOKUP(INDIRECT($C$5),Jornada!$C$8:$H$37,6,0)&lt;AG35,0,ABS(VLOOKUP(INDIRECT($C$5),Jornada!$C$8:$H$37,6,0))-AG35),0))</f>
        <v>0</v>
      </c>
      <c r="AJ35" s="155">
        <f t="shared" si="5"/>
        <v>1</v>
      </c>
      <c r="AK35" s="155">
        <f t="shared" si="6"/>
        <v>0</v>
      </c>
      <c r="AL35" s="155">
        <f ca="1">HLOOKUP($F35,Jornada!$I$5:$V$37,VLOOKUP(INDIRECT($C$5),Jornada!$C$8:$W$37,21,0)+2,0)</f>
        <v>0</v>
      </c>
      <c r="AM35" s="155">
        <f ca="1">HLOOKUP($F35,Jornada!$I$4:$V$37,VLOOKUP(INDIRECT($C$5),Jornada!$C$8:$W$37,21,0)+3,0)</f>
        <v>0</v>
      </c>
      <c r="AN35" s="155">
        <f t="shared" ca="1" si="7"/>
        <v>0</v>
      </c>
      <c r="AO35" s="155">
        <f t="shared" si="8"/>
        <v>0</v>
      </c>
      <c r="AP35" s="155">
        <f t="shared" si="9"/>
        <v>0</v>
      </c>
    </row>
    <row r="36" spans="1:42" s="2" customFormat="1" ht="30" customHeight="1" thickTop="1" thickBot="1" x14ac:dyDescent="0.25">
      <c r="A36" s="1"/>
      <c r="B36"/>
      <c r="C36" s="172" t="str">
        <f>IF(Funcionários!C35=0,"",Funcionários!C35)</f>
        <v/>
      </c>
      <c r="D36"/>
      <c r="E36" s="115">
        <f>Lanç!E36</f>
        <v>29</v>
      </c>
      <c r="F36" s="189" t="str">
        <f>Lanç!F36</f>
        <v>Dom</v>
      </c>
      <c r="G36" s="81"/>
      <c r="H36" s="94"/>
      <c r="I36" s="94"/>
      <c r="J36" s="94"/>
      <c r="K36" s="94"/>
      <c r="L36" s="10"/>
      <c r="M36" s="95">
        <f t="shared" si="1"/>
        <v>0</v>
      </c>
      <c r="N36" s="96"/>
      <c r="O36" s="95">
        <f ca="1">IF(OR(G36=0,G36="Férias",G36="Falta Justificada",G36="Feriado",G36="Folga (DSR)"),0,IF(G36="Falta Injustificada",HLOOKUP($F36,Jornada!$X$7:$AD$37,VLOOKUP(INDIRECT($C$5),Jornada!$C$8:$W$37,21,0),0),IF(HLOOKUP($F36,Jornada!$X$7:$AD$37,VLOOKUP(INDIRECT($C$5),Jornada!$C$8:$W$37,21,0),0)-M36&gt;0,HLOOKUP($F36,Jornada!$X$7:$AD$37,VLOOKUP(INDIRECT($C$5),Jornada!$C$8:$W$37,21,0),0)-M36,0)))</f>
        <v>0</v>
      </c>
      <c r="P36" s="190">
        <f ca="1">IF(HLOOKUP($F36,Jornada!$X$7:$AD$37,VLOOKUP(INDIRECT($C$5),Jornada!$C$8:$W$37,21,0),0)-M36&lt;0,ABS(HLOOKUP($F36,Jornada!$X$7:$AD$37,VLOOKUP(INDIRECT($C$5),Jornada!$C$8:$W$37,21,0),0)-M36),0)</f>
        <v>0</v>
      </c>
      <c r="Q36" s="95">
        <f t="shared" si="0"/>
        <v>0</v>
      </c>
      <c r="R36" s="2">
        <f t="shared" si="2"/>
        <v>0</v>
      </c>
      <c r="S36"/>
      <c r="T36"/>
      <c r="U36"/>
      <c r="X36" s="177"/>
      <c r="AB36" s="177">
        <f>IF(MONTH(AB35+1)&lt;&gt;MONTH(AB35),"",IF(AB35="","",AB35+1))</f>
        <v>29</v>
      </c>
      <c r="AC36" s="2">
        <f>IF(ISERROR(WEEKDAY(AB36)),"",WEEKDAY(AB36))</f>
        <v>1</v>
      </c>
      <c r="AG36" s="220">
        <f t="shared" si="4"/>
        <v>0</v>
      </c>
      <c r="AH36" s="220">
        <f ca="1">IF(HLOOKUP($F36,Jornada!$X$7:$AD$37,VLOOKUP(INDIRECT($C$5),Jornada!$C$8:$W$37,21,0),0)=0,0,VLOOKUP(INDIRECT($C$5),Jornada!$C$8:$H$37,4,0))</f>
        <v>0</v>
      </c>
      <c r="AI36" s="155">
        <f ca="1">IF(AND(I36=0,J36=0,OR(H36&lt;&gt;0,K36&lt;&gt;0),HLOOKUP($F36,Jornada!$X$7:$AD$37,VLOOKUP(INDIRECT($C$5),Jornada!$C$8:$W$37,21,0),0)&gt;$AK$5,M36&gt;$AK$5),VLOOKUP(INDIRECT($C$5),Jornada!$C$8:$H$37,6,0),IF(AG36&gt;VLOOKUP(INDIRECT($C$5),Jornada!$C$8:$H$37,6,0),IF(VLOOKUP(INDIRECT($C$5),Jornada!$C$8:$H$37,6,0)&lt;AG36,0,ABS(VLOOKUP(INDIRECT($C$5),Jornada!$C$8:$H$37,6,0))-AG36),0))</f>
        <v>0</v>
      </c>
      <c r="AJ36" s="155">
        <f t="shared" si="5"/>
        <v>1</v>
      </c>
      <c r="AK36" s="155">
        <f t="shared" si="6"/>
        <v>0</v>
      </c>
      <c r="AL36" s="155">
        <f ca="1">HLOOKUP($F36,Jornada!$I$5:$V$37,VLOOKUP(INDIRECT($C$5),Jornada!$C$8:$W$37,21,0)+2,0)</f>
        <v>0</v>
      </c>
      <c r="AM36" s="155">
        <f ca="1">HLOOKUP($F36,Jornada!$I$4:$V$37,VLOOKUP(INDIRECT($C$5),Jornada!$C$8:$W$37,21,0)+3,0)</f>
        <v>0</v>
      </c>
      <c r="AN36" s="155">
        <f t="shared" ca="1" si="7"/>
        <v>0</v>
      </c>
      <c r="AO36" s="155">
        <f t="shared" si="8"/>
        <v>0</v>
      </c>
      <c r="AP36" s="155">
        <f t="shared" si="9"/>
        <v>0</v>
      </c>
    </row>
    <row r="37" spans="1:42" s="2" customFormat="1" ht="30" customHeight="1" thickTop="1" thickBot="1" x14ac:dyDescent="0.25">
      <c r="A37" s="1"/>
      <c r="B37"/>
      <c r="C37" s="172" t="str">
        <f>IF(Funcionários!C36=0,"",Funcionários!C36)</f>
        <v/>
      </c>
      <c r="D37"/>
      <c r="E37" s="115">
        <f>Lanç!E37</f>
        <v>30</v>
      </c>
      <c r="F37" s="189" t="str">
        <f>Lanç!F37</f>
        <v>Seg</v>
      </c>
      <c r="G37" s="81"/>
      <c r="H37" s="94"/>
      <c r="I37" s="94"/>
      <c r="J37" s="94"/>
      <c r="K37" s="94"/>
      <c r="L37" s="10"/>
      <c r="M37" s="95">
        <f t="shared" si="1"/>
        <v>0</v>
      </c>
      <c r="N37" s="96"/>
      <c r="O37" s="95">
        <f ca="1">IF(OR(G37=0,G37="Férias",G37="Falta Justificada",G37="Feriado",G37="Folga (DSR)"),0,IF(G37="Falta Injustificada",HLOOKUP($F37,Jornada!$X$7:$AD$37,VLOOKUP(INDIRECT($C$5),Jornada!$C$8:$W$37,21,0),0),IF(HLOOKUP($F37,Jornada!$X$7:$AD$37,VLOOKUP(INDIRECT($C$5),Jornada!$C$8:$W$37,21,0),0)-M37&gt;0,HLOOKUP($F37,Jornada!$X$7:$AD$37,VLOOKUP(INDIRECT($C$5),Jornada!$C$8:$W$37,21,0),0)-M37,0)))</f>
        <v>0</v>
      </c>
      <c r="P37" s="190">
        <f ca="1">IF(HLOOKUP($F37,Jornada!$X$7:$AD$37,VLOOKUP(INDIRECT($C$5),Jornada!$C$8:$W$37,21,0),0)-M37&lt;0,ABS(HLOOKUP($F37,Jornada!$X$7:$AD$37,VLOOKUP(INDIRECT($C$5),Jornada!$C$8:$W$37,21,0),0)-M37),0)</f>
        <v>0</v>
      </c>
      <c r="Q37" s="95">
        <f t="shared" si="0"/>
        <v>0</v>
      </c>
      <c r="R37" s="2">
        <f t="shared" si="2"/>
        <v>0</v>
      </c>
      <c r="S37"/>
      <c r="T37"/>
      <c r="U37"/>
      <c r="X37" s="177"/>
      <c r="AB37" s="177">
        <f>IF(AB36="","",IF(MONTH(AB36+1)&lt;&gt;MONTH(AB36),"",AB36+1))</f>
        <v>30</v>
      </c>
      <c r="AC37" s="2">
        <f>IF(ISERROR(WEEKDAY(AB37)),"",WEEKDAY(AB37))</f>
        <v>2</v>
      </c>
      <c r="AG37" s="220">
        <f t="shared" si="4"/>
        <v>0</v>
      </c>
      <c r="AH37" s="220">
        <f ca="1">IF(HLOOKUP($F37,Jornada!$X$7:$AD$37,VLOOKUP(INDIRECT($C$5),Jornada!$C$8:$W$37,21,0),0)=0,0,VLOOKUP(INDIRECT($C$5),Jornada!$C$8:$H$37,4,0))</f>
        <v>0</v>
      </c>
      <c r="AI37" s="155">
        <f ca="1">IF(AND(I37=0,J37=0,OR(H37&lt;&gt;0,K37&lt;&gt;0),HLOOKUP($F37,Jornada!$X$7:$AD$37,VLOOKUP(INDIRECT($C$5),Jornada!$C$8:$W$37,21,0),0)&gt;$AK$5,M37&gt;$AK$5),VLOOKUP(INDIRECT($C$5),Jornada!$C$8:$H$37,6,0),IF(AG37&gt;VLOOKUP(INDIRECT($C$5),Jornada!$C$8:$H$37,6,0),IF(VLOOKUP(INDIRECT($C$5),Jornada!$C$8:$H$37,6,0)&lt;AG37,0,ABS(VLOOKUP(INDIRECT($C$5),Jornada!$C$8:$H$37,6,0))-AG37),0))</f>
        <v>0</v>
      </c>
      <c r="AJ37" s="155">
        <f t="shared" si="5"/>
        <v>1</v>
      </c>
      <c r="AK37" s="155">
        <f t="shared" si="6"/>
        <v>0</v>
      </c>
      <c r="AL37" s="155">
        <f ca="1">HLOOKUP($F37,Jornada!$I$5:$V$37,VLOOKUP(INDIRECT($C$5),Jornada!$C$8:$W$37,21,0)+2,0)</f>
        <v>0</v>
      </c>
      <c r="AM37" s="155">
        <f ca="1">HLOOKUP($F37,Jornada!$I$4:$V$37,VLOOKUP(INDIRECT($C$5),Jornada!$C$8:$W$37,21,0)+3,0)</f>
        <v>0</v>
      </c>
      <c r="AN37" s="155">
        <f t="shared" ca="1" si="7"/>
        <v>0</v>
      </c>
      <c r="AO37" s="155">
        <f t="shared" si="8"/>
        <v>0</v>
      </c>
      <c r="AP37" s="155">
        <f t="shared" si="9"/>
        <v>0</v>
      </c>
    </row>
    <row r="38" spans="1:42" s="2" customFormat="1" ht="30" customHeight="1" thickTop="1" thickBot="1" x14ac:dyDescent="0.25">
      <c r="A38" s="1"/>
      <c r="B38"/>
      <c r="C38"/>
      <c r="D38" s="2">
        <f t="shared" ref="D38" si="11">IF(D37=7,1,D37+1)</f>
        <v>1</v>
      </c>
      <c r="E38" s="210">
        <f>Lanç!E38</f>
        <v>31</v>
      </c>
      <c r="F38" s="210" t="str">
        <f>Lanç!F38</f>
        <v>Ter</v>
      </c>
      <c r="G38" s="81"/>
      <c r="H38" s="94"/>
      <c r="I38" s="94"/>
      <c r="J38" s="94"/>
      <c r="K38" s="94"/>
      <c r="L38" s="197"/>
      <c r="M38" s="95">
        <f t="shared" si="1"/>
        <v>0</v>
      </c>
      <c r="N38" s="196"/>
      <c r="O38" s="95">
        <f ca="1">IF(OR(G38=0,G38="Férias",G38="Falta Justificada",G38="Feriado",G38="Folga (DSR)"),0,IF(G38="Falta Injustificada",HLOOKUP($F38,Jornada!$X$7:$AD$37,VLOOKUP(INDIRECT($C$5),Jornada!$C$8:$W$37,21,0),0),IF(HLOOKUP($F38,Jornada!$X$7:$AD$37,VLOOKUP(INDIRECT($C$5),Jornada!$C$8:$W$37,21,0),0)-M38&gt;0,HLOOKUP($F38,Jornada!$X$7:$AD$37,VLOOKUP(INDIRECT($C$5),Jornada!$C$8:$W$37,21,0),0)-M38,0)))</f>
        <v>0</v>
      </c>
      <c r="P38" s="201">
        <f ca="1">IF(HLOOKUP($F38,Jornada!$X$7:$AD$37,VLOOKUP(INDIRECT($C$5),Jornada!$C$8:$W$37,21,0),0)-M38&lt;0,ABS(HLOOKUP($F38,Jornada!$X$7:$AD$37,VLOOKUP(INDIRECT($C$5),Jornada!$C$8:$W$37,21,0),0)-M38),0)</f>
        <v>0</v>
      </c>
      <c r="Q38" s="95">
        <f t="shared" si="0"/>
        <v>0</v>
      </c>
      <c r="R38" s="2">
        <f t="shared" si="2"/>
        <v>0</v>
      </c>
      <c r="X38" s="177"/>
      <c r="AB38" s="177">
        <f>IF(AB37="","",IF(MONTH(AB37+1)&lt;&gt;MONTH(AB37),"",AB37+1))</f>
        <v>31</v>
      </c>
      <c r="AC38" s="2">
        <f>IF(ISERROR(WEEKDAY(AB38)),"",WEEKDAY(AB38))</f>
        <v>3</v>
      </c>
      <c r="AG38" s="220">
        <f t="shared" si="4"/>
        <v>0</v>
      </c>
      <c r="AH38" s="220">
        <f ca="1">IF(HLOOKUP($F38,Jornada!$X$7:$AD$37,VLOOKUP(INDIRECT($C$5),Jornada!$C$8:$W$37,21,0),0)=0,0,VLOOKUP(INDIRECT($C$5),Jornada!$C$8:$H$37,4,0))</f>
        <v>0</v>
      </c>
      <c r="AI38" s="155">
        <f ca="1">IF(AND(I38=0,J38=0,OR(H38&lt;&gt;0,K38&lt;&gt;0),HLOOKUP($F38,Jornada!$X$7:$AD$37,VLOOKUP(INDIRECT($C$5),Jornada!$C$8:$W$37,21,0),0)&gt;$AK$5,M38&gt;$AK$5),VLOOKUP(INDIRECT($C$5),Jornada!$C$8:$H$37,6,0),IF(AG38&gt;VLOOKUP(INDIRECT($C$5),Jornada!$C$8:$H$37,6,0),IF(VLOOKUP(INDIRECT($C$5),Jornada!$C$8:$H$37,6,0)&lt;AG38,0,ABS(VLOOKUP(INDIRECT($C$5),Jornada!$C$8:$H$37,6,0))-AG38),0))</f>
        <v>0</v>
      </c>
      <c r="AJ38" s="155">
        <f t="shared" si="5"/>
        <v>1</v>
      </c>
      <c r="AK38" s="155">
        <f t="shared" si="6"/>
        <v>0</v>
      </c>
      <c r="AL38" s="155">
        <f ca="1">HLOOKUP($F38,Jornada!$I$5:$V$37,VLOOKUP(INDIRECT($C$5),Jornada!$C$8:$W$37,21,0)+2,0)</f>
        <v>0</v>
      </c>
      <c r="AM38" s="155">
        <f ca="1">HLOOKUP($F38,Jornada!$I$4:$V$37,VLOOKUP(INDIRECT($C$5),Jornada!$C$8:$W$37,21,0)+3,0)</f>
        <v>0</v>
      </c>
      <c r="AN38" s="155">
        <f t="shared" ca="1" si="7"/>
        <v>0</v>
      </c>
      <c r="AO38" s="155">
        <f t="shared" si="8"/>
        <v>0</v>
      </c>
      <c r="AP38" s="155">
        <f t="shared" si="9"/>
        <v>0</v>
      </c>
    </row>
    <row r="39" spans="1:42" s="2" customFormat="1" ht="30" customHeight="1" thickTop="1" x14ac:dyDescent="0.2">
      <c r="A39" s="9"/>
      <c r="B39" s="234"/>
      <c r="C39" s="234"/>
      <c r="D39" s="234"/>
      <c r="E39" s="236">
        <f>EOMONTH(AB8,0)</f>
        <v>31</v>
      </c>
      <c r="F39" s="234">
        <f>DAY(E39)</f>
        <v>31</v>
      </c>
      <c r="G39" s="237">
        <f>COUNTIF(F8:F38,"Dom")+COUNTIF(G8:G38,"Feriado")</f>
        <v>5</v>
      </c>
      <c r="H39" s="238">
        <f>(SUM(Q8:Q38)/(F39-G39))*G39</f>
        <v>0</v>
      </c>
      <c r="I39" s="234"/>
      <c r="J39" s="234"/>
      <c r="K39" s="234"/>
      <c r="L39" s="234"/>
      <c r="M39" s="234"/>
      <c r="Z39" s="219"/>
    </row>
    <row r="40" spans="1:42" s="2" customFormat="1" ht="30" customHeight="1" x14ac:dyDescent="0.2">
      <c r="A40" s="9"/>
      <c r="B40" s="234"/>
      <c r="C40" s="239"/>
      <c r="D40" s="239"/>
      <c r="E40" s="239"/>
      <c r="F40" s="240"/>
      <c r="G40" s="241"/>
      <c r="H40" s="234">
        <f ca="1">IF(INDIRECT($C$5)="",0,VLOOKUP(INDIRECT($C$5),Funcionários!$C$7:$E$36,3,0)+IF(VLOOKUP(INDIRECT($C$5),Jornada!$C$8:$E$37,2,0)="Sim",IF('P Gerais'!$I$8&lt;&gt;0,VLOOKUP(INDIRECT($C$5),Funcionários!$C$7:$E$36,3,0)*'P Gerais'!$L$14,'P Gerais'!$I$8*'P Gerais'!$L$14),0)+IF(VLOOKUP(INDIRECT($C$5),Jornada!$C$8:$E$37,3,0)="Sim",VLOOKUP(INDIRECT($C$5),Funcionários!$C$7:$E$36,3,0)*'P Gerais'!$K$14,0))</f>
        <v>0</v>
      </c>
      <c r="I40" s="234">
        <f ca="1">VLOOKUP(INDIRECT($C$5),Jornada!$C$8:$AF$37,30,0)</f>
        <v>0</v>
      </c>
      <c r="J40" s="234" t="s">
        <v>298</v>
      </c>
      <c r="K40" s="242">
        <f ca="1">IF(I40=0,0,H40/I40)</f>
        <v>0</v>
      </c>
      <c r="L40" s="234"/>
      <c r="M40" s="234"/>
      <c r="Z40" s="219"/>
    </row>
    <row r="41" spans="1:42" s="2" customFormat="1" ht="30" customHeight="1" x14ac:dyDescent="0.2">
      <c r="A41" s="9"/>
      <c r="B41" s="234" t="s">
        <v>52</v>
      </c>
      <c r="C41" s="292" t="s">
        <v>75</v>
      </c>
      <c r="D41" s="292"/>
      <c r="E41" s="292"/>
      <c r="F41" s="243">
        <f t="shared" ref="F41:F47" si="12">SUMIFS($Q$8:$Q$38,$F$8:$F$38,$B41,$G$8:$G$38,"Normal")</f>
        <v>0</v>
      </c>
      <c r="G41" s="244">
        <f>IF($M$41="Sistema de banco de horas",0,'P Gerais'!$C$14)</f>
        <v>0.5</v>
      </c>
      <c r="H41" s="245">
        <f t="shared" ref="H41:H48" ca="1" si="13">IF($M$41="Sistema de banco de horas",0,$K$40*(1+G41)*(F41*24))</f>
        <v>0</v>
      </c>
      <c r="I41" s="243">
        <f t="shared" ref="I41:I47" ca="1" si="14">IF(SUMIF($F$8:$F$38,$B41,$Q$8:$Q$38)-SUMIFS($M$8:$M$38,$F$8:$F$38,$B41,$G$8:$G$38,"Feriado")-SUMIFS($M$8:$M$38,$F$8:$F$38,$B41,$G$8:$G$38,"Folga (DSR)")-SUMIFS($M$8:$M$38,$F$8:$F$38,$B41,$G$8:$G$38,"Férias")-SUMIF($F$8:$F$38,$B41,$AN$8:$AN$38)-SUMIF($F$8:$F$38,$B41,$AO$8:$AO$38)&lt;0,0,SUMIF($F$8:$F$38,$B41,$Q$8:$Q$38)-SUMIFS($M$8:$M$38,$F$8:$F$38,$B41,$G$8:$G$38,"Feriado")-SUMIFS($M$8:$M$38,$F$8:$F$38,$B41,$G$8:$G$38,"Folga (DSR)")-SUMIFS($M$8:$M$38,$F$8:$F$38,$B41,$G$8:$G$38,"Férias")-SUMIF($F$8:$F$38,$B41,$AN$8:$AN$38)-SUMIF($F$8:$F$38,$B41,$AO$8:$AO$38))</f>
        <v>0</v>
      </c>
      <c r="J41" s="245">
        <f ca="1">H41</f>
        <v>0</v>
      </c>
      <c r="K41" s="234"/>
      <c r="L41" s="234"/>
      <c r="M41" s="234">
        <f>'P Gerais'!I10</f>
        <v>0</v>
      </c>
      <c r="Z41" s="219"/>
    </row>
    <row r="42" spans="1:42" s="2" customFormat="1" ht="30" customHeight="1" x14ac:dyDescent="0.2">
      <c r="A42" s="9"/>
      <c r="B42" s="234" t="s">
        <v>53</v>
      </c>
      <c r="C42" s="292" t="s">
        <v>76</v>
      </c>
      <c r="D42" s="292"/>
      <c r="E42" s="292"/>
      <c r="F42" s="243">
        <f t="shared" si="12"/>
        <v>0</v>
      </c>
      <c r="G42" s="244">
        <f>IF($M$41="Sistema de banco de horas",0,'P Gerais'!$C$14)</f>
        <v>0.5</v>
      </c>
      <c r="H42" s="245">
        <f t="shared" ca="1" si="13"/>
        <v>0</v>
      </c>
      <c r="I42" s="243">
        <f t="shared" ca="1" si="14"/>
        <v>0</v>
      </c>
      <c r="J42" s="245">
        <f t="shared" ref="J42:J51" ca="1" si="15">H42</f>
        <v>0</v>
      </c>
      <c r="K42" s="234"/>
      <c r="L42" s="234"/>
      <c r="M42" s="234"/>
      <c r="Z42" s="219"/>
    </row>
    <row r="43" spans="1:42" s="2" customFormat="1" ht="30" customHeight="1" x14ac:dyDescent="0.2">
      <c r="A43" s="9"/>
      <c r="B43" s="234" t="s">
        <v>54</v>
      </c>
      <c r="C43" s="292" t="s">
        <v>77</v>
      </c>
      <c r="D43" s="292"/>
      <c r="E43" s="292"/>
      <c r="F43" s="243">
        <f t="shared" si="12"/>
        <v>0</v>
      </c>
      <c r="G43" s="244">
        <f>IF($M$41="Sistema de banco de horas",0,'P Gerais'!$C$14)</f>
        <v>0.5</v>
      </c>
      <c r="H43" s="245">
        <f t="shared" ca="1" si="13"/>
        <v>0</v>
      </c>
      <c r="I43" s="243">
        <f t="shared" ca="1" si="14"/>
        <v>0</v>
      </c>
      <c r="J43" s="245">
        <f t="shared" ca="1" si="15"/>
        <v>0</v>
      </c>
      <c r="K43" s="234"/>
      <c r="L43" s="234"/>
      <c r="M43" s="234"/>
      <c r="Z43" s="219"/>
    </row>
    <row r="44" spans="1:42" s="2" customFormat="1" ht="30" customHeight="1" x14ac:dyDescent="0.2">
      <c r="A44" s="9"/>
      <c r="B44" s="234" t="s">
        <v>55</v>
      </c>
      <c r="C44" s="292" t="s">
        <v>78</v>
      </c>
      <c r="D44" s="292"/>
      <c r="E44" s="292"/>
      <c r="F44" s="243">
        <f t="shared" si="12"/>
        <v>0</v>
      </c>
      <c r="G44" s="244">
        <f>IF($M$41="Sistema de banco de horas",0,'P Gerais'!$C$14)</f>
        <v>0.5</v>
      </c>
      <c r="H44" s="245">
        <f t="shared" ca="1" si="13"/>
        <v>0</v>
      </c>
      <c r="I44" s="243">
        <f t="shared" ca="1" si="14"/>
        <v>0</v>
      </c>
      <c r="J44" s="245">
        <f t="shared" ca="1" si="15"/>
        <v>0</v>
      </c>
      <c r="K44" s="234"/>
      <c r="L44" s="234"/>
      <c r="M44" s="234"/>
      <c r="Z44" s="219"/>
    </row>
    <row r="45" spans="1:42" s="2" customFormat="1" ht="30" customHeight="1" x14ac:dyDescent="0.2">
      <c r="A45" s="9"/>
      <c r="B45" s="234" t="s">
        <v>56</v>
      </c>
      <c r="C45" s="292" t="s">
        <v>79</v>
      </c>
      <c r="D45" s="292"/>
      <c r="E45" s="292"/>
      <c r="F45" s="243">
        <f t="shared" si="12"/>
        <v>0</v>
      </c>
      <c r="G45" s="244">
        <f>IF($M$41="Sistema de banco de horas",0,'P Gerais'!$C$14)</f>
        <v>0.5</v>
      </c>
      <c r="H45" s="245">
        <f t="shared" ca="1" si="13"/>
        <v>0</v>
      </c>
      <c r="I45" s="243">
        <f t="shared" ca="1" si="14"/>
        <v>0</v>
      </c>
      <c r="J45" s="245">
        <f t="shared" ca="1" si="15"/>
        <v>0</v>
      </c>
      <c r="K45" s="234"/>
      <c r="L45" s="234"/>
      <c r="M45" s="234"/>
      <c r="Z45" s="219"/>
    </row>
    <row r="46" spans="1:42" s="2" customFormat="1" ht="30" customHeight="1" x14ac:dyDescent="0.2">
      <c r="A46" s="9"/>
      <c r="B46" s="234" t="s">
        <v>57</v>
      </c>
      <c r="C46" s="292" t="s">
        <v>82</v>
      </c>
      <c r="D46" s="292"/>
      <c r="E46" s="292"/>
      <c r="F46" s="243">
        <f t="shared" si="12"/>
        <v>0</v>
      </c>
      <c r="G46" s="244">
        <f>IF($M$41="Sistema de banco de horas",0,'P Gerais'!$E$14)</f>
        <v>0.5</v>
      </c>
      <c r="H46" s="245">
        <f t="shared" ca="1" si="13"/>
        <v>0</v>
      </c>
      <c r="I46" s="243">
        <f t="shared" ca="1" si="14"/>
        <v>0</v>
      </c>
      <c r="J46" s="245">
        <f t="shared" ca="1" si="15"/>
        <v>0</v>
      </c>
      <c r="K46" s="234"/>
      <c r="L46" s="234"/>
      <c r="M46" s="234"/>
      <c r="Z46" s="219"/>
    </row>
    <row r="47" spans="1:42" s="2" customFormat="1" ht="30" customHeight="1" x14ac:dyDescent="0.2">
      <c r="A47" s="9"/>
      <c r="B47" s="234" t="s">
        <v>51</v>
      </c>
      <c r="C47" s="292" t="s">
        <v>81</v>
      </c>
      <c r="D47" s="292"/>
      <c r="E47" s="292"/>
      <c r="F47" s="243">
        <f t="shared" si="12"/>
        <v>0</v>
      </c>
      <c r="G47" s="244">
        <f>IF($M$41="Sistema de banco de horas",0,'P Gerais'!$F$14)</f>
        <v>1</v>
      </c>
      <c r="H47" s="245">
        <f t="shared" ca="1" si="13"/>
        <v>0</v>
      </c>
      <c r="I47" s="243">
        <f t="shared" ca="1" si="14"/>
        <v>0</v>
      </c>
      <c r="J47" s="245">
        <f t="shared" ca="1" si="15"/>
        <v>0</v>
      </c>
      <c r="K47" s="234"/>
      <c r="L47" s="234"/>
      <c r="M47" s="234"/>
      <c r="Z47" s="219"/>
    </row>
    <row r="48" spans="1:42" s="2" customFormat="1" ht="30" customHeight="1" x14ac:dyDescent="0.2">
      <c r="A48" s="9"/>
      <c r="B48" s="234"/>
      <c r="C48" s="292" t="s">
        <v>80</v>
      </c>
      <c r="D48" s="292"/>
      <c r="E48" s="292"/>
      <c r="F48" s="243">
        <f>SUMIFS($Q$8:$Q$38,$G$8:$G$38,"Feriado")</f>
        <v>0</v>
      </c>
      <c r="G48" s="244">
        <f>IF($M$41="Sistema de banco de horas",0,'P Gerais'!$I$14)</f>
        <v>1</v>
      </c>
      <c r="H48" s="245">
        <f t="shared" ca="1" si="13"/>
        <v>0</v>
      </c>
      <c r="I48" s="243"/>
      <c r="J48" s="245">
        <f t="shared" ca="1" si="15"/>
        <v>0</v>
      </c>
      <c r="K48" s="234"/>
      <c r="L48" s="234"/>
      <c r="M48" s="234"/>
      <c r="Z48" s="219"/>
    </row>
    <row r="49" spans="1:26" s="2" customFormat="1" ht="15" x14ac:dyDescent="0.2">
      <c r="A49" s="9"/>
      <c r="B49" s="234"/>
      <c r="C49" s="292" t="s">
        <v>146</v>
      </c>
      <c r="D49" s="292"/>
      <c r="E49" s="292"/>
      <c r="F49" s="243">
        <f>SUMIFS($Q$8:$Q$38,$G$8:$G$38,"Folga (DSR)")</f>
        <v>0</v>
      </c>
      <c r="G49" s="244">
        <f>IF($M$41="Sistema de banco de horas",0,'P Gerais'!H14)</f>
        <v>1</v>
      </c>
      <c r="H49" s="245">
        <f ca="1">((F53/(F39-G39))*G39)</f>
        <v>0</v>
      </c>
      <c r="I49" s="243"/>
      <c r="J49" s="245">
        <f t="shared" ca="1" si="15"/>
        <v>0</v>
      </c>
      <c r="K49" s="234"/>
      <c r="L49" s="234"/>
      <c r="M49" s="234"/>
      <c r="Z49" s="219"/>
    </row>
    <row r="50" spans="1:26" s="2" customFormat="1" ht="15" x14ac:dyDescent="0.2">
      <c r="A50" s="9"/>
      <c r="B50" s="234"/>
      <c r="C50" s="292" t="s">
        <v>84</v>
      </c>
      <c r="D50" s="292"/>
      <c r="E50" s="292"/>
      <c r="F50" s="243">
        <f ca="1">IF($M$41="Sistema de banco de horas",(SUM(AI$8:AI$38)*(1+G50)),SUM(AI$8:AI$38))</f>
        <v>0</v>
      </c>
      <c r="G50" s="244">
        <f>IF($M$41="Sistema de banco de horas",0,'P Gerais'!$I$17)</f>
        <v>0.5</v>
      </c>
      <c r="H50" s="245">
        <f ca="1">IF($M$41="Sistema de banco de horas",0,$K$40*(1+G50)*(F50*24))</f>
        <v>0</v>
      </c>
      <c r="I50" s="243">
        <f ca="1">IF(SUM($AN$8:$AO$38)&gt;SUM(AI$8:AI$38),0,SUM(AI$8:AI$38)-SUM($AN$8:$AO$38))</f>
        <v>0</v>
      </c>
      <c r="J50" s="245">
        <f t="shared" ca="1" si="15"/>
        <v>0</v>
      </c>
      <c r="K50" s="234"/>
      <c r="L50" s="234"/>
      <c r="M50" s="234"/>
      <c r="Z50" s="219"/>
    </row>
    <row r="51" spans="1:26" s="2" customFormat="1" ht="15" x14ac:dyDescent="0.2">
      <c r="A51" s="9"/>
      <c r="B51" s="234"/>
      <c r="C51" s="292" t="s">
        <v>85</v>
      </c>
      <c r="D51" s="292"/>
      <c r="E51" s="292"/>
      <c r="F51" s="243">
        <f>IF($M$41="Sistema de banco de horas",(SUM(AK$8:AK$38)*(1+G51)),SUM(AK$8:AK$38))</f>
        <v>0</v>
      </c>
      <c r="G51" s="244">
        <f>IF($M$41="Sistema de banco de horas",0,'P Gerais'!$C$17)</f>
        <v>1</v>
      </c>
      <c r="H51" s="245">
        <f ca="1">IF($M$41="Sistema de banco de horas",0,$K$40*(1+G51)*(F51*24))</f>
        <v>0</v>
      </c>
      <c r="I51" s="243"/>
      <c r="J51" s="245">
        <f t="shared" ca="1" si="15"/>
        <v>0</v>
      </c>
      <c r="K51" s="234"/>
      <c r="L51" s="234"/>
      <c r="M51" s="234"/>
      <c r="Z51" s="219"/>
    </row>
    <row r="52" spans="1:26" s="2" customFormat="1" ht="15" customHeight="1" x14ac:dyDescent="0.2">
      <c r="A52" s="9"/>
      <c r="B52" s="234"/>
      <c r="C52" s="292" t="s">
        <v>87</v>
      </c>
      <c r="D52" s="292"/>
      <c r="E52" s="292"/>
      <c r="F52" s="243">
        <f ca="1">U12</f>
        <v>0</v>
      </c>
      <c r="G52" s="246"/>
      <c r="H52" s="234"/>
      <c r="I52" s="234"/>
      <c r="J52" s="234"/>
      <c r="K52" s="234"/>
      <c r="L52" s="234"/>
      <c r="M52" s="234"/>
      <c r="Z52" s="219"/>
    </row>
    <row r="53" spans="1:26" s="2" customFormat="1" ht="15" x14ac:dyDescent="0.2">
      <c r="A53" s="9"/>
      <c r="B53" s="234"/>
      <c r="C53" s="292" t="s">
        <v>299</v>
      </c>
      <c r="D53" s="292"/>
      <c r="E53" s="292"/>
      <c r="F53" s="247">
        <f ca="1">SUM(H48)+J50+H51+SUM(J41:J47)</f>
        <v>0</v>
      </c>
      <c r="G53" s="248"/>
      <c r="H53" s="234"/>
      <c r="I53" s="234"/>
      <c r="J53" s="234"/>
      <c r="K53" s="234"/>
      <c r="L53" s="234"/>
      <c r="M53" s="234"/>
      <c r="Z53" s="219"/>
    </row>
    <row r="54" spans="1:26" s="2" customFormat="1" ht="15" x14ac:dyDescent="0.2">
      <c r="A54" s="9"/>
      <c r="B54" s="234"/>
      <c r="C54" s="292" t="s">
        <v>88</v>
      </c>
      <c r="D54" s="292"/>
      <c r="E54" s="292"/>
      <c r="F54" s="247">
        <f ca="1">F53+(H49*(1+G49))</f>
        <v>0</v>
      </c>
      <c r="G54" s="248"/>
      <c r="H54" s="249"/>
      <c r="I54" s="234"/>
      <c r="J54" s="234"/>
      <c r="K54" s="234"/>
      <c r="L54" s="234"/>
      <c r="M54" s="234"/>
      <c r="Z54" s="219"/>
    </row>
    <row r="55" spans="1:26" s="2" customFormat="1" ht="15" x14ac:dyDescent="0.2">
      <c r="A55" s="9"/>
      <c r="B55" s="234"/>
      <c r="C55" s="292" t="s">
        <v>89</v>
      </c>
      <c r="D55" s="292"/>
      <c r="E55" s="292"/>
      <c r="F55" s="247">
        <f ca="1">H40+F54</f>
        <v>0</v>
      </c>
      <c r="G55" s="246"/>
      <c r="H55" s="234"/>
      <c r="I55" s="234"/>
      <c r="J55" s="234"/>
      <c r="K55" s="234"/>
      <c r="L55" s="234"/>
      <c r="M55" s="234"/>
      <c r="Z55" s="219"/>
    </row>
    <row r="56" spans="1:26" s="2" customFormat="1" ht="15" x14ac:dyDescent="0.2">
      <c r="A56" s="9"/>
      <c r="B56" s="234"/>
      <c r="C56" s="292" t="s">
        <v>178</v>
      </c>
      <c r="D56" s="292"/>
      <c r="E56" s="292"/>
      <c r="F56" s="243">
        <f>IF($M$41="Sistema de banco de horas",(SUMIF($G$8:$G$38,"Férias",Q8:Q38))*(1+G48),SUMIF($G$8:$G$38,"Férias",Q8:Q38))</f>
        <v>0</v>
      </c>
      <c r="G56" s="246"/>
      <c r="H56" s="234"/>
      <c r="I56" s="234"/>
      <c r="J56" s="234"/>
      <c r="K56" s="234"/>
      <c r="L56" s="234"/>
      <c r="M56" s="234"/>
      <c r="Z56" s="219"/>
    </row>
    <row r="57" spans="1:26" s="2" customFormat="1" ht="15" x14ac:dyDescent="0.2">
      <c r="A57" s="9"/>
      <c r="B57" s="234"/>
      <c r="C57" s="239"/>
      <c r="D57" s="239"/>
      <c r="E57" s="239"/>
      <c r="F57" s="250">
        <f ca="1">U14</f>
        <v>0</v>
      </c>
      <c r="G57" s="246"/>
      <c r="H57" s="234"/>
      <c r="I57" s="234"/>
      <c r="J57" s="234"/>
      <c r="K57" s="234"/>
      <c r="L57" s="234"/>
      <c r="M57" s="234"/>
      <c r="Z57" s="219"/>
    </row>
    <row r="58" spans="1:26" s="2" customFormat="1" ht="15" x14ac:dyDescent="0.2">
      <c r="A58" s="9"/>
      <c r="B58" s="234"/>
      <c r="C58" s="239"/>
      <c r="D58" s="239"/>
      <c r="E58" s="239"/>
      <c r="F58" s="243">
        <f ca="1">SUM(F41:F51)</f>
        <v>0</v>
      </c>
      <c r="G58" s="246"/>
      <c r="H58" s="234"/>
      <c r="I58" s="234"/>
      <c r="J58" s="234"/>
      <c r="K58" s="234"/>
      <c r="L58" s="234"/>
      <c r="M58" s="234"/>
      <c r="Z58" s="219"/>
    </row>
    <row r="59" spans="1:26" s="2" customFormat="1" ht="15" x14ac:dyDescent="0.2">
      <c r="A59" s="9"/>
      <c r="Z59" s="219"/>
    </row>
    <row r="60" spans="1:26" s="2" customFormat="1" ht="15" x14ac:dyDescent="0.2">
      <c r="A60" s="9"/>
      <c r="G60" s="178"/>
      <c r="Z60" s="219"/>
    </row>
    <row r="61" spans="1:26" ht="15" x14ac:dyDescent="0.2"/>
    <row r="62" spans="1:26" ht="15" x14ac:dyDescent="0.2"/>
    <row r="63" spans="1:26" ht="15" x14ac:dyDescent="0.2"/>
    <row r="64" spans="1:26" ht="15" x14ac:dyDescent="0.2"/>
    <row r="65" ht="15" x14ac:dyDescent="0.2"/>
    <row r="66" ht="15" x14ac:dyDescent="0.2"/>
    <row r="67" ht="15" x14ac:dyDescent="0.2"/>
    <row r="68" ht="15" x14ac:dyDescent="0.2"/>
    <row r="69" ht="15" x14ac:dyDescent="0.2"/>
    <row r="70" ht="15" x14ac:dyDescent="0.2"/>
    <row r="71" ht="15" x14ac:dyDescent="0.2"/>
    <row r="72" ht="15" x14ac:dyDescent="0.2"/>
    <row r="73" ht="15" x14ac:dyDescent="0.2"/>
    <row r="74" ht="15" x14ac:dyDescent="0.2"/>
    <row r="75" ht="15" x14ac:dyDescent="0.2"/>
    <row r="76" ht="15" x14ac:dyDescent="0.2"/>
    <row r="77" ht="15" x14ac:dyDescent="0.2"/>
    <row r="78" ht="15" x14ac:dyDescent="0.2"/>
    <row r="79" ht="15" x14ac:dyDescent="0.2"/>
    <row r="80" ht="15" x14ac:dyDescent="0.2"/>
    <row r="81" ht="15" x14ac:dyDescent="0.2"/>
    <row r="82" ht="15" x14ac:dyDescent="0.2"/>
    <row r="83" ht="15" x14ac:dyDescent="0.2"/>
    <row r="84" ht="15" x14ac:dyDescent="0.2"/>
    <row r="85" ht="15" x14ac:dyDescent="0.2"/>
    <row r="86" ht="15" x14ac:dyDescent="0.2"/>
    <row r="87" ht="15" x14ac:dyDescent="0.2"/>
    <row r="88" ht="15" x14ac:dyDescent="0.2"/>
    <row r="89" ht="15" x14ac:dyDescent="0.2"/>
    <row r="90" ht="15" x14ac:dyDescent="0.2"/>
    <row r="91" ht="15" x14ac:dyDescent="0.2"/>
    <row r="92" ht="15" x14ac:dyDescent="0.2"/>
    <row r="93" ht="15" x14ac:dyDescent="0.2"/>
    <row r="94" ht="15" x14ac:dyDescent="0.2"/>
    <row r="95" ht="15" x14ac:dyDescent="0.2"/>
    <row r="96" ht="15" x14ac:dyDescent="0.2"/>
    <row r="97" ht="15" x14ac:dyDescent="0.2"/>
    <row r="98" ht="15" x14ac:dyDescent="0.2"/>
    <row r="99" ht="15" x14ac:dyDescent="0.2"/>
    <row r="100" ht="15" x14ac:dyDescent="0.2"/>
    <row r="101" ht="15" x14ac:dyDescent="0.2"/>
    <row r="102" ht="15" x14ac:dyDescent="0.2"/>
    <row r="103" ht="15" x14ac:dyDescent="0.2"/>
  </sheetData>
  <sheetProtection sheet="1" objects="1" scenarios="1" selectLockedCells="1"/>
  <mergeCells count="34">
    <mergeCell ref="C56:E56"/>
    <mergeCell ref="C48:E48"/>
    <mergeCell ref="C49:E49"/>
    <mergeCell ref="C50:E50"/>
    <mergeCell ref="C52:E52"/>
    <mergeCell ref="C53:E53"/>
    <mergeCell ref="C54:E54"/>
    <mergeCell ref="C51:E51"/>
    <mergeCell ref="C44:E44"/>
    <mergeCell ref="C55:E55"/>
    <mergeCell ref="C45:E45"/>
    <mergeCell ref="C46:E46"/>
    <mergeCell ref="C47:E47"/>
    <mergeCell ref="S22:U22"/>
    <mergeCell ref="C41:E41"/>
    <mergeCell ref="C42:E42"/>
    <mergeCell ref="C43:E43"/>
    <mergeCell ref="S26:U28"/>
    <mergeCell ref="S23:U25"/>
    <mergeCell ref="E7:F7"/>
    <mergeCell ref="I7:J7"/>
    <mergeCell ref="S7:U7"/>
    <mergeCell ref="S8:T9"/>
    <mergeCell ref="U8:U9"/>
    <mergeCell ref="S16:T17"/>
    <mergeCell ref="U16:U17"/>
    <mergeCell ref="S18:T19"/>
    <mergeCell ref="S10:T11"/>
    <mergeCell ref="U10:U11"/>
    <mergeCell ref="S12:T13"/>
    <mergeCell ref="U12:U13"/>
    <mergeCell ref="S14:T15"/>
    <mergeCell ref="U14:U15"/>
    <mergeCell ref="U18:U19"/>
  </mergeCells>
  <conditionalFormatting sqref="G8:K35">
    <cfRule type="expression" dxfId="682" priority="92">
      <formula>OR($G8="Férias",$G8="Falta Injustificada")</formula>
    </cfRule>
    <cfRule type="expression" dxfId="681" priority="101">
      <formula>$G8="Folga (DSR)"</formula>
    </cfRule>
    <cfRule type="expression" dxfId="680" priority="102">
      <formula>$G8="Feriado"</formula>
    </cfRule>
    <cfRule type="expression" dxfId="679" priority="103">
      <formula>$F8="Dom"</formula>
    </cfRule>
  </conditionalFormatting>
  <conditionalFormatting sqref="M8:M37">
    <cfRule type="cellIs" dxfId="678" priority="110" operator="greaterThan">
      <formula>0</formula>
    </cfRule>
  </conditionalFormatting>
  <conditionalFormatting sqref="H8:K35">
    <cfRule type="expression" dxfId="677" priority="90">
      <formula>OR($G8="Falta Justificada",$G8="Falta Injustificada")</formula>
    </cfRule>
  </conditionalFormatting>
  <conditionalFormatting sqref="G36:K37">
    <cfRule type="expression" dxfId="676" priority="80">
      <formula>OR($G36="Férias",$G36="Falta Injustificada")</formula>
    </cfRule>
    <cfRule type="expression" dxfId="675" priority="83">
      <formula>$G36="Folga (DSR)"</formula>
    </cfRule>
    <cfRule type="expression" dxfId="674" priority="84">
      <formula>$G36="Feriado"</formula>
    </cfRule>
    <cfRule type="expression" dxfId="673" priority="85">
      <formula>$F36="Dom"</formula>
    </cfRule>
  </conditionalFormatting>
  <conditionalFormatting sqref="G36:L37 N36:N37">
    <cfRule type="expression" dxfId="672" priority="77">
      <formula>AND($E36&lt;$E$35,$E$8=1)</formula>
    </cfRule>
    <cfRule type="expression" dxfId="671" priority="78">
      <formula>AND($E36&gt;=$E$8,$E$8&lt;&gt;1)</formula>
    </cfRule>
  </conditionalFormatting>
  <conditionalFormatting sqref="H36:K37">
    <cfRule type="expression" dxfId="670" priority="79">
      <formula>OR($G36="Falta Justificada",$G36="Falta Injustificada")</formula>
    </cfRule>
  </conditionalFormatting>
  <conditionalFormatting sqref="E36:E38">
    <cfRule type="expression" dxfId="669" priority="75">
      <formula>AND($E36&lt;$E$35,$E$8=1)</formula>
    </cfRule>
    <cfRule type="expression" dxfId="668" priority="76">
      <formula>AND($E36&gt;=$E$8,$E$8&lt;&gt;1)</formula>
    </cfRule>
  </conditionalFormatting>
  <conditionalFormatting sqref="O8:O37">
    <cfRule type="cellIs" dxfId="667" priority="70" operator="greaterThan">
      <formula>0.000001</formula>
    </cfRule>
  </conditionalFormatting>
  <conditionalFormatting sqref="O36:O37">
    <cfRule type="expression" dxfId="666" priority="68">
      <formula>AND($E36&lt;$E$35,$E$8=1)</formula>
    </cfRule>
    <cfRule type="expression" dxfId="665" priority="69">
      <formula>AND($E36&gt;=$E$8,$E$8&lt;&gt;1)</formula>
    </cfRule>
  </conditionalFormatting>
  <conditionalFormatting sqref="F8:F38">
    <cfRule type="containsText" dxfId="664" priority="66" operator="containsText" text="Dom">
      <formula>NOT(ISERROR(SEARCH("Dom",F8)))</formula>
    </cfRule>
    <cfRule type="containsText" dxfId="663" priority="67" operator="containsText" text="Sáb">
      <formula>NOT(ISERROR(SEARCH("Sáb",F8)))</formula>
    </cfRule>
  </conditionalFormatting>
  <conditionalFormatting sqref="Q8:Q37">
    <cfRule type="cellIs" dxfId="662" priority="64" operator="greaterThan">
      <formula>0.000001</formula>
    </cfRule>
  </conditionalFormatting>
  <conditionalFormatting sqref="O38">
    <cfRule type="cellIs" dxfId="661" priority="38" operator="greaterThan">
      <formula>0.000001</formula>
    </cfRule>
  </conditionalFormatting>
  <conditionalFormatting sqref="M38">
    <cfRule type="cellIs" dxfId="660" priority="39" operator="greaterThan">
      <formula>0</formula>
    </cfRule>
  </conditionalFormatting>
  <conditionalFormatting sqref="L38:O38">
    <cfRule type="expression" dxfId="659" priority="37">
      <formula>AND($E38&gt;=$E$8,$E$8&lt;&gt;1)</formula>
    </cfRule>
  </conditionalFormatting>
  <conditionalFormatting sqref="G38:K38">
    <cfRule type="expression" dxfId="658" priority="24">
      <formula>OR($G38="Férias",$G38="Falta Injustificada")</formula>
    </cfRule>
    <cfRule type="expression" dxfId="657" priority="25">
      <formula>$G38="Folga (DSR)"</formula>
    </cfRule>
    <cfRule type="expression" dxfId="656" priority="26">
      <formula>$G38="Feriado"</formula>
    </cfRule>
    <cfRule type="expression" dxfId="655" priority="27">
      <formula>$F38="Dom"</formula>
    </cfRule>
  </conditionalFormatting>
  <conditionalFormatting sqref="H38:K38">
    <cfRule type="expression" dxfId="654" priority="23">
      <formula>OR($G38="Falta Justificada",$G38="Falta Injustificada")</formula>
    </cfRule>
  </conditionalFormatting>
  <conditionalFormatting sqref="Q38">
    <cfRule type="cellIs" dxfId="653" priority="20" operator="greaterThan">
      <formula>0.000001</formula>
    </cfRule>
  </conditionalFormatting>
  <conditionalFormatting sqref="L38:Q38">
    <cfRule type="expression" dxfId="652" priority="36">
      <formula>AND($E38&lt;$E$35,$E$8=1)</formula>
    </cfRule>
  </conditionalFormatting>
  <conditionalFormatting sqref="G38:Q38">
    <cfRule type="expression" dxfId="651" priority="21">
      <formula>AND($E38&lt;$E$35,$E$8=1)</formula>
    </cfRule>
    <cfRule type="expression" dxfId="650" priority="22">
      <formula>AND($E38&gt;=$E$8,$E$8&lt;&gt;1)</formula>
    </cfRule>
  </conditionalFormatting>
  <conditionalFormatting sqref="U10:U11">
    <cfRule type="expression" dxfId="649" priority="8">
      <formula>$V$11="Negativo"</formula>
    </cfRule>
  </conditionalFormatting>
  <conditionalFormatting sqref="U12:U13">
    <cfRule type="expression" dxfId="648" priority="540">
      <formula>$U$14&gt;$F$58</formula>
    </cfRule>
  </conditionalFormatting>
  <conditionalFormatting sqref="F40">
    <cfRule type="expression" dxfId="647" priority="541">
      <formula>$E40="Folga(DSR)"</formula>
    </cfRule>
    <cfRule type="expression" dxfId="646" priority="542">
      <formula>$E40="Feriado"</formula>
    </cfRule>
    <cfRule type="expression" dxfId="645" priority="543">
      <formula>$D40="Dom"</formula>
    </cfRule>
  </conditionalFormatting>
  <dataValidations count="3">
    <dataValidation type="time" allowBlank="1" showInputMessage="1" showErrorMessage="1" sqref="H8:K38">
      <formula1>0</formula1>
      <formula2>0.999988425925926</formula2>
    </dataValidation>
    <dataValidation type="list" allowBlank="1" showInputMessage="1" showErrorMessage="1" sqref="G8:G38">
      <formula1>"Normal,Feriado,Folga (DSR),Falta Justificada,Férias,Falta Injustificada"</formula1>
    </dataValidation>
    <dataValidation type="list" allowBlank="1" showInputMessage="1" showErrorMessage="1" sqref="E9:E35">
      <formula1>"1,5,10,16"</formula1>
    </dataValidation>
  </dataValidations>
  <hyperlinks>
    <hyperlink ref="C8" location="Lanç!A1" display="Lanç!A1"/>
    <hyperlink ref="C9" location="'Lanç (2)'!A1" display="'Lanç (2)'!A1"/>
    <hyperlink ref="C10" location="'Lanç (3)'!A1" display="'Lanç (3)'!A1"/>
    <hyperlink ref="C11" location="'Lanç (4)'!A1" display="'Lanç (4)'!A1"/>
    <hyperlink ref="C12" location="'Lanç (5)'!A1" display="'Lanç (5)'!A1"/>
    <hyperlink ref="C13" location="'Lanç (6)'!A1" display="'Lanç (6)'!A1"/>
    <hyperlink ref="C14" location="'Lanç (7)'!A1" display="'Lanç (7)'!A1"/>
    <hyperlink ref="C15" location="'Lanç (8)'!A1" display="'Lanç (8)'!A1"/>
    <hyperlink ref="C16" location="'Lanç (9)'!A1" display="'Lanç (9)'!A1"/>
    <hyperlink ref="C17" location="'Lanç (10)'!A1" display="'Lanç (10)'!A1"/>
    <hyperlink ref="C18" location="'Lanç (11)'!A1" display="'Lanç (11)'!A1"/>
    <hyperlink ref="C19" location="'Lanç (12)'!A1" display="'Lanç (12)'!A1"/>
    <hyperlink ref="C20" location="'Lanç (13)'!A1" display="'Lanç (13)'!A1"/>
    <hyperlink ref="C21" location="'Lanç (14)'!A1" display="'Lanç (14)'!A1"/>
    <hyperlink ref="C22" location="'Lanç (15)'!A1" display="'Lanç (15)'!A1"/>
    <hyperlink ref="C23" location="'Lanç (16)'!A1" display="'Lanç (16)'!A1"/>
    <hyperlink ref="C24" location="'Lanç (17)'!A1" display="'Lanç (17)'!A1"/>
    <hyperlink ref="C25" location="'Lanç (18)'!A1" display="'Lanç (18)'!A1"/>
    <hyperlink ref="C26" location="'Lanç (19)'!A1" display="'Lanç (19)'!A1"/>
    <hyperlink ref="C27" location="'Lanç (20)'!A1" display="'Lanç (20)'!A1"/>
    <hyperlink ref="C28" location="'Lanç (21)'!A1" display="'Lanç (21)'!A1"/>
    <hyperlink ref="C29" location="'Lanç (22)'!A1" display="'Lanç (22)'!A1"/>
    <hyperlink ref="C30" location="'Lanç (23)'!A1" display="'Lanç (23)'!A1"/>
    <hyperlink ref="C31" location="'Lanç (24)'!A1" display="'Lanç (24)'!A1"/>
    <hyperlink ref="C32" location="'Lanç (25)'!A1" display="'Lanç (25)'!A1"/>
    <hyperlink ref="C33" location="'Lanç (26)'!A1" display="'Lanç (26)'!A1"/>
    <hyperlink ref="C34" location="'Lanç (27)'!A1" display="'Lanç (27)'!A1"/>
    <hyperlink ref="C35" location="'Lanç (28)'!A1" display="'Lanç (28)'!A1"/>
    <hyperlink ref="C36" location="'Lanç (29)'!A1" display="'Lanç (29)'!A1"/>
    <hyperlink ref="C37" location="'Lanç (30)'!A1" display="'Lanç (30)'!A1"/>
  </hyperlinks>
  <printOptions horizontalCentered="1"/>
  <pageMargins left="0.23622047244094502" right="0.23622047244094502" top="0.74803149606299202" bottom="0.74803149606299202" header="0.31496062992126" footer="0.31496062992126"/>
  <pageSetup paperSize="9" scale="53" orientation="portrait" cellComments="atEnd"/>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57" id="{2645B454-AEE5-744C-B371-0D76435E1723}">
            <xm:f>'P Gerais'!$I$10:$M$10="Pagas em Dinheiro"</xm:f>
            <x14:dxf>
              <font>
                <color theme="0"/>
              </font>
              <fill>
                <patternFill>
                  <bgColor theme="0"/>
                </patternFill>
              </fill>
              <border>
                <left/>
                <right/>
                <top/>
                <bottom/>
              </border>
            </x14:dxf>
          </x14:cfRule>
          <xm:sqref>S10:T13</xm:sqref>
        </x14:conditionalFormatting>
        <x14:conditionalFormatting xmlns:xm="http://schemas.microsoft.com/office/excel/2006/main">
          <x14:cfRule type="expression" priority="56" id="{B73F1FB3-3719-D242-966D-3D4A25D7852B}">
            <xm:f>'P Gerais'!$I$10:$M$10="Sistema de banco de horas"</xm:f>
            <x14:dxf>
              <font>
                <color theme="0"/>
              </font>
              <fill>
                <patternFill>
                  <bgColor theme="0"/>
                </patternFill>
              </fill>
              <border>
                <left/>
                <right/>
                <top/>
                <bottom/>
              </border>
            </x14:dxf>
          </x14:cfRule>
          <xm:sqref>S18:T19</xm:sqref>
        </x14:conditionalFormatting>
        <x14:conditionalFormatting xmlns:xm="http://schemas.microsoft.com/office/excel/2006/main">
          <x14:cfRule type="expression" priority="10" id="{83019F01-E6C7-CD4E-8207-AC3A4E445C2F}">
            <xm:f>'P Gerais'!$I$10:$M$10="Sistema de banco de horas"</xm:f>
            <x14:dxf>
              <font>
                <color theme="0"/>
              </font>
              <fill>
                <patternFill>
                  <bgColor theme="0"/>
                </patternFill>
              </fill>
              <border>
                <left/>
                <right/>
                <top/>
                <bottom/>
              </border>
            </x14:dxf>
          </x14:cfRule>
          <xm:sqref>U18:U19</xm:sqref>
        </x14:conditionalFormatting>
        <x14:conditionalFormatting xmlns:xm="http://schemas.microsoft.com/office/excel/2006/main">
          <x14:cfRule type="expression" priority="7" id="{AF3283A2-DA8B-314F-B3FE-76A620458E1D}">
            <xm:f>'P Gerais'!$I$10:$M$10="Pagas em Dinheiro"</xm:f>
            <x14:dxf>
              <font>
                <color theme="0"/>
              </font>
              <fill>
                <patternFill>
                  <bgColor theme="0"/>
                </patternFill>
              </fill>
              <border>
                <left/>
                <right/>
                <top/>
                <bottom/>
              </border>
            </x14:dxf>
          </x14:cfRule>
          <xm:sqref>U10:U13</xm:sqref>
        </x14:conditionalFormatting>
      </x14:conditionalFormattings>
    </ext>
  </extLs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19" enableFormatConditionsCalculation="0"/>
  <dimension ref="A1:BG103"/>
  <sheetViews>
    <sheetView showGridLines="0" zoomScale="90" zoomScaleNormal="90" zoomScalePageLayoutView="90" workbookViewId="0">
      <selection activeCell="G17" sqref="G17"/>
    </sheetView>
  </sheetViews>
  <sheetFormatPr baseColWidth="10" defaultColWidth="0" defaultRowHeight="0" customHeight="1" zeroHeight="1" x14ac:dyDescent="0.2"/>
  <cols>
    <col min="1" max="1" width="27.83203125" style="194" customWidth="1"/>
    <col min="2" max="2" width="3.83203125" style="14" customWidth="1"/>
    <col min="3" max="3" width="33.33203125" style="14" customWidth="1"/>
    <col min="4" max="4" width="2.83203125" style="14" customWidth="1"/>
    <col min="5" max="5" width="5.83203125" style="14" customWidth="1"/>
    <col min="6" max="6" width="11.83203125" style="14" customWidth="1"/>
    <col min="7" max="7" width="14.33203125" style="195" customWidth="1"/>
    <col min="8" max="11" width="9.83203125" style="14" customWidth="1"/>
    <col min="12" max="12" width="1.83203125" style="14" customWidth="1"/>
    <col min="13" max="13" width="13.33203125" style="14" customWidth="1"/>
    <col min="14" max="14" width="1.83203125" style="14" customWidth="1"/>
    <col min="15" max="15" width="13.33203125" style="14" customWidth="1"/>
    <col min="16" max="16" width="1.83203125" style="14" customWidth="1"/>
    <col min="17" max="17" width="13.33203125" style="14" customWidth="1"/>
    <col min="18" max="18" width="4.83203125" style="2" bestFit="1" customWidth="1"/>
    <col min="19" max="21" width="11.83203125" style="14" customWidth="1"/>
    <col min="22" max="23" width="8.83203125" style="2" customWidth="1"/>
    <col min="24" max="24" width="11.33203125" style="2" bestFit="1" customWidth="1"/>
    <col min="25" max="25" width="8.83203125" style="2" customWidth="1"/>
    <col min="26" max="26" width="8.1640625" style="219" bestFit="1" customWidth="1"/>
    <col min="27" max="27" width="8.83203125" style="2" customWidth="1"/>
    <col min="28" max="28" width="11.33203125" style="2" bestFit="1" customWidth="1"/>
    <col min="29" max="43" width="8.83203125" style="2" customWidth="1"/>
    <col min="44" max="50" width="11.33203125" style="2" customWidth="1"/>
    <col min="51" max="57" width="11.33203125" style="14" customWidth="1"/>
    <col min="58" max="16384" width="8.83203125" style="14" hidden="1"/>
  </cols>
  <sheetData>
    <row r="1" spans="1:59" s="15" customFormat="1" ht="33.75" customHeight="1" x14ac:dyDescent="0.3">
      <c r="A1" s="56"/>
      <c r="B1" s="3"/>
      <c r="C1" s="4" t="s">
        <v>30</v>
      </c>
      <c r="D1" s="3"/>
      <c r="E1" s="3"/>
      <c r="F1" s="3"/>
      <c r="G1" s="77"/>
      <c r="H1" s="3"/>
      <c r="I1" s="3"/>
      <c r="J1" s="3"/>
      <c r="K1" s="3"/>
      <c r="L1" s="3"/>
      <c r="M1" s="3"/>
      <c r="N1" s="3"/>
      <c r="O1" s="3"/>
      <c r="Q1" s="3"/>
      <c r="S1" s="3"/>
      <c r="T1" s="3"/>
      <c r="U1" s="3"/>
      <c r="Z1" s="174"/>
    </row>
    <row r="2" spans="1:59" s="15" customFormat="1" ht="21.5" customHeight="1" x14ac:dyDescent="0.2">
      <c r="A2" s="1"/>
      <c r="B2" s="3"/>
      <c r="C2" s="3"/>
      <c r="D2" s="3"/>
      <c r="E2" s="3"/>
      <c r="F2" s="3"/>
      <c r="G2" s="77"/>
      <c r="H2" s="3"/>
      <c r="I2" s="3"/>
      <c r="J2" s="3"/>
      <c r="K2" s="3"/>
      <c r="L2" s="3"/>
      <c r="M2" s="3"/>
      <c r="N2" s="3"/>
      <c r="O2" s="3"/>
      <c r="Q2" s="3"/>
      <c r="S2" s="3"/>
      <c r="T2" s="3"/>
      <c r="U2" s="3"/>
      <c r="Z2" s="174"/>
    </row>
    <row r="3" spans="1:59" s="15" customFormat="1" ht="21.5" customHeight="1" x14ac:dyDescent="0.2">
      <c r="A3" s="1"/>
      <c r="B3" s="3"/>
      <c r="C3" s="3"/>
      <c r="D3" s="3"/>
      <c r="E3" s="3"/>
      <c r="F3" s="3"/>
      <c r="G3" s="77"/>
      <c r="H3" s="3"/>
      <c r="I3" s="3"/>
      <c r="J3" s="3"/>
      <c r="K3" s="3"/>
      <c r="L3" s="3"/>
      <c r="M3" s="3"/>
      <c r="N3" s="3"/>
      <c r="O3" s="3"/>
      <c r="Q3" s="3"/>
      <c r="S3" s="3"/>
      <c r="T3" s="3"/>
      <c r="U3" s="3"/>
      <c r="Z3" s="174"/>
    </row>
    <row r="4" spans="1:59" s="2" customFormat="1" ht="30" customHeight="1" x14ac:dyDescent="0.2">
      <c r="A4" s="1"/>
      <c r="B4"/>
      <c r="C4"/>
      <c r="D4"/>
      <c r="E4"/>
      <c r="F4"/>
      <c r="G4" s="78"/>
      <c r="H4"/>
      <c r="I4"/>
      <c r="J4"/>
      <c r="K4"/>
      <c r="L4"/>
      <c r="M4"/>
      <c r="N4"/>
      <c r="O4" s="13"/>
      <c r="Q4"/>
      <c r="S4"/>
      <c r="T4"/>
      <c r="U4"/>
      <c r="Z4" s="219"/>
      <c r="AN4" s="175"/>
    </row>
    <row r="5" spans="1:59" s="2" customFormat="1" ht="30" customHeight="1" x14ac:dyDescent="0.2">
      <c r="A5" s="1"/>
      <c r="B5"/>
      <c r="C5" s="160" t="s">
        <v>200</v>
      </c>
      <c r="D5"/>
      <c r="E5"/>
      <c r="F5"/>
      <c r="G5"/>
      <c r="H5"/>
      <c r="I5"/>
      <c r="J5"/>
      <c r="K5" s="157">
        <f ca="1">IF(ISERROR(VLOOKUP(INDIRECT($C$5),Jornada!$C$8:$F$37,4,0)),0,VLOOKUP(INDIRECT($C$5),Jornada!$C$8:$F$37,4,0))</f>
        <v>0</v>
      </c>
      <c r="L5" s="158"/>
      <c r="M5" s="157">
        <f ca="1">IF(ISERROR(VLOOKUP(INDIRECT($C$5),Jornada!$C$8:$G$37,5,0)),0,VLOOKUP(INDIRECT($C$5),Jornada!$C$8:$G$37,5,0))</f>
        <v>0</v>
      </c>
      <c r="N5"/>
      <c r="O5" s="69"/>
      <c r="Q5"/>
      <c r="S5"/>
      <c r="T5"/>
      <c r="U5" s="12"/>
      <c r="Z5" s="219"/>
      <c r="AC5" s="12"/>
      <c r="AK5" s="179">
        <v>0.25</v>
      </c>
      <c r="AL5" s="155">
        <v>0.91666666666666663</v>
      </c>
      <c r="AM5" s="155">
        <v>0.20833333333333334</v>
      </c>
      <c r="AN5" s="155">
        <v>1</v>
      </c>
      <c r="AO5" s="155">
        <v>0.70833333333333337</v>
      </c>
    </row>
    <row r="6" spans="1:59" s="2" customFormat="1" ht="8" customHeight="1" thickBot="1" x14ac:dyDescent="0.25">
      <c r="A6" s="1"/>
      <c r="B6"/>
      <c r="C6" s="75"/>
      <c r="D6"/>
      <c r="E6"/>
      <c r="F6"/>
      <c r="G6" s="78"/>
      <c r="H6"/>
      <c r="I6"/>
      <c r="J6"/>
      <c r="M6" s="220">
        <v>1</v>
      </c>
      <c r="N6"/>
      <c r="O6" s="11"/>
      <c r="Q6" s="11"/>
      <c r="S6"/>
      <c r="T6"/>
      <c r="Z6" s="176"/>
    </row>
    <row r="7" spans="1:59" s="2" customFormat="1" ht="30" customHeight="1" thickTop="1" thickBot="1" x14ac:dyDescent="0.25">
      <c r="A7" s="1"/>
      <c r="B7"/>
      <c r="C7" s="76" t="s">
        <v>176</v>
      </c>
      <c r="D7"/>
      <c r="E7" s="281" t="str">
        <f>Lanç!E7</f>
        <v>Janeiro</v>
      </c>
      <c r="F7" s="283"/>
      <c r="G7" s="79" t="s">
        <v>58</v>
      </c>
      <c r="H7" s="82" t="s">
        <v>0</v>
      </c>
      <c r="I7" s="293" t="s">
        <v>59</v>
      </c>
      <c r="J7" s="293"/>
      <c r="K7" s="82" t="s">
        <v>60</v>
      </c>
      <c r="L7"/>
      <c r="M7" s="73" t="s">
        <v>61</v>
      </c>
      <c r="N7"/>
      <c r="O7" s="73" t="s">
        <v>62</v>
      </c>
      <c r="Q7" s="73" t="s">
        <v>63</v>
      </c>
      <c r="R7" s="155">
        <v>8.3333333333333329E-2</v>
      </c>
      <c r="S7" s="293" t="s">
        <v>64</v>
      </c>
      <c r="T7" s="293"/>
      <c r="U7" s="293"/>
      <c r="W7" s="2" t="s">
        <v>90</v>
      </c>
      <c r="X7" s="156">
        <v>1</v>
      </c>
      <c r="AB7" s="2">
        <f>VLOOKUP($E$7,$W$7:$X$18,2,0)</f>
        <v>1</v>
      </c>
      <c r="AG7" s="176" t="s">
        <v>167</v>
      </c>
      <c r="AH7" s="176" t="s">
        <v>168</v>
      </c>
      <c r="AI7" s="155">
        <v>0</v>
      </c>
      <c r="AJ7" s="155">
        <v>1</v>
      </c>
      <c r="AK7" s="155">
        <v>0.45833333333333331</v>
      </c>
      <c r="AL7" s="2" t="s">
        <v>0</v>
      </c>
      <c r="AM7" s="2" t="s">
        <v>162</v>
      </c>
      <c r="AN7" s="2" t="s">
        <v>184</v>
      </c>
      <c r="BE7" s="14"/>
      <c r="BF7" s="14"/>
      <c r="BG7" s="14"/>
    </row>
    <row r="8" spans="1:59" s="2" customFormat="1" ht="30" customHeight="1" thickTop="1" thickBot="1" x14ac:dyDescent="0.25">
      <c r="A8" s="1"/>
      <c r="B8"/>
      <c r="C8" s="172" t="str">
        <f>IF(Funcionários!C7=0,"",Funcionários!C7)</f>
        <v/>
      </c>
      <c r="D8"/>
      <c r="E8" s="115">
        <f>Lanç!E8</f>
        <v>1</v>
      </c>
      <c r="F8" s="189" t="str">
        <f>Lanç!F8</f>
        <v>Dom</v>
      </c>
      <c r="G8" s="80"/>
      <c r="H8" s="93"/>
      <c r="I8" s="93"/>
      <c r="J8" s="93"/>
      <c r="K8" s="93"/>
      <c r="L8" s="10"/>
      <c r="M8" s="95">
        <f>IF(AND(H8=K8,H8&lt;&gt;0),$M$6-IF(J8&lt;I8,$AJ$7+J8-I8,J8-I8),IF(H8&gt;K8,(K8+1-H8)-IF(J8&lt;I8,$AJ$7+J8-I8,J8-I8),(K8-H8)-IF(J8&lt;I8,$AJ$7+J8-I8,J8-I8)))</f>
        <v>0</v>
      </c>
      <c r="N8" s="96"/>
      <c r="O8" s="95">
        <f ca="1">IF(OR(G8=0,G8="Férias",G8="Falta Justificada",G8="Feriado",G8="Folga (DSR)"),0,IF(G8="Falta Injustificada",HLOOKUP($F8,Jornada!$X$7:$AD$37,VLOOKUP(INDIRECT($C$5),Jornada!$C$8:$W$37,21,0),0),IF(HLOOKUP($F8,Jornada!$X$7:$AD$37,VLOOKUP(INDIRECT($C$5),Jornada!$C$8:$W$37,21,0),0)-M8&gt;0,HLOOKUP($F8,Jornada!$X$7:$AD$37,VLOOKUP(INDIRECT($C$5),Jornada!$C$8:$W$37,21,0),0)-M8,0)))</f>
        <v>0</v>
      </c>
      <c r="P8" s="190">
        <f ca="1">IF(HLOOKUP($F8,Jornada!$X$7:$AD$37,VLOOKUP(INDIRECT($C$5),Jornada!$C$8:$W$37,21,0),0)-M8&lt;0,ABS(HLOOKUP($F8,Jornada!$X$7:$AD$37,VLOOKUP(INDIRECT($C$5),Jornada!$C$8:$W$37,21,0),0)-M8),0)</f>
        <v>0</v>
      </c>
      <c r="Q8" s="95">
        <f t="shared" ref="Q8:Q38" si="0">IF(G8="Normal",P8,IF(G8=0,0,IF(OR(G8="Feriado",G8="Férias"),IF(H8&gt;K8,(K8+1-H8)-IF(J8&lt;I8,$AJ$7+J8-I8,J8-I8),(K8-H8)-IF(J8&lt;I8,$AJ$7+J8-I8,J8-I8)),IF(G8="Folga (DSR)",IF(H8&gt;K8,(K8+1-H8)-IF(J8&lt;I8,$AJ$7+J8-I8,J8-I8),(K8-H8)-IF(J8&lt;I8,$AJ$7+J8-I8,J8-I8)),IF(G8="Falta Justificada",IF(H8&gt;K8,(K8+1-H8)-IF(J8&lt;I8,$AJ$7+J8-I8,J8-I8),(K8-H8)-IF(J8&lt;I8,$AJ$7+J8-I8,J8-I8)),0)))))</f>
        <v>0</v>
      </c>
      <c r="R8" s="2">
        <f>IF(Q8&gt;$R$7,1,0)</f>
        <v>0</v>
      </c>
      <c r="S8" s="294" t="s">
        <v>65</v>
      </c>
      <c r="T8" s="294"/>
      <c r="U8" s="295">
        <f>SUM(M8:M38)</f>
        <v>0</v>
      </c>
      <c r="W8" s="2" t="s">
        <v>91</v>
      </c>
      <c r="X8" s="156">
        <v>2</v>
      </c>
      <c r="AB8" s="177">
        <f>DATE('P Gerais'!$D$6,AB7,1)</f>
        <v>1</v>
      </c>
      <c r="AC8" s="2">
        <f>WEEKDAY(AB8)</f>
        <v>1</v>
      </c>
      <c r="AE8" s="2">
        <v>1</v>
      </c>
      <c r="AF8" s="2" t="s">
        <v>51</v>
      </c>
      <c r="AG8" s="220">
        <f>IF(J8&lt;I8,$AJ$7+J8-I8,J8-I8)</f>
        <v>0</v>
      </c>
      <c r="AH8" s="220">
        <f ca="1">IF(HLOOKUP($F8,Jornada!$X$7:$AD$37,VLOOKUP(INDIRECT($C$5),Jornada!$C$8:$W$37,21,0),0)=0,0,VLOOKUP(INDIRECT($C$5),Jornada!$C$8:$H$37,4,0))</f>
        <v>0</v>
      </c>
      <c r="AI8" s="155">
        <f ca="1">IF(AND(I8=0,J8=0,OR(H8&lt;&gt;0,K8&lt;&gt;0),HLOOKUP($F8,Jornada!$X$7:$AD$37,VLOOKUP(INDIRECT($C$5),Jornada!$C$8:$W$37,21,0),0)&gt;$AK$5,M8&gt;$AK$5),VLOOKUP(INDIRECT($C$5),Jornada!$C$8:$H$37,6,0),IF(AG8&gt;VLOOKUP(INDIRECT($C$5),Jornada!$C$8:$H$37,6,0),IF(VLOOKUP(INDIRECT($C$5),Jornada!$C$8:$H$37,6,0)&lt;AG8,0,ABS(VLOOKUP(INDIRECT($C$5),Jornada!$C$8:$H$37,6,0))-AG8),0))</f>
        <v>0</v>
      </c>
      <c r="AJ8" s="155">
        <f>($AJ$7-K8)+H8</f>
        <v>1</v>
      </c>
      <c r="AK8" s="155">
        <f>IF(AJ8&lt;$AK$7,$AK$7-AJ8,$AI$7)</f>
        <v>0</v>
      </c>
      <c r="AL8" s="155">
        <f ca="1">HLOOKUP($F8,Jornada!$I$5:$V$37,VLOOKUP(INDIRECT($C$5),Jornada!$C$8:$W$37,21,0)+2,0)</f>
        <v>0</v>
      </c>
      <c r="AM8" s="155">
        <f ca="1">HLOOKUP($F8,Jornada!$I$4:$V$37,VLOOKUP(INDIRECT($C$5),Jornada!$C$8:$W$37,21,0)+3,0)</f>
        <v>0</v>
      </c>
      <c r="AN8" s="155">
        <f ca="1">IF(AND(AL8&gt;=$AL$5,AL8&lt;$AN$5,H8&gt;=$AL$5,H8&lt;AL8),AL8-H8,IF(AND(AL8&gt;$AI$7,AL8&lt;=$AM$5,H8&gt;=$AL$5,H8&lt;=$AN$5),$AN$5-H8+AL8,IF(AND(AL8&gt;=$AI$7,AL8&lt;=$AM$5,H8&gt;=$AI$7,H8&lt;=$AM$5,H8&lt;AL8),H8-AL8,0)))</f>
        <v>0</v>
      </c>
      <c r="AO8" s="155">
        <f>IF(AP8&gt;Q8,0,AP8)</f>
        <v>0</v>
      </c>
      <c r="AP8" s="155">
        <f>IF(Q8=0,0,IF(AND(AM8&gt;=$AL$5,AM8&lt;$AN$5,K8&gt;=$AL$5,K8&lt;$AM$5,K8&gt;AM8),K8-AM8,IF(AND(AM8&gt;=$AL$5,AM8&lt;$AN$5,K8&lt;$AN$5,K8&gt;AM8),K8-$AL$5,IF(AND(AM8&gt;=$AI$7,AM8&lt;$AM$5,K8&lt;$AM$5),K8-AM8,IF(AND(AM8&lt;&gt;AI7,AM8&gt;=$AI$7,AM8&lt;=$AM$5,K8&gt;$AM$5,K8&gt;AM8),$AM$5-AM8,IF(AND(K8&gt;$AL$5,K8&lt;$AN$5),K8-$AL$5,IF(AND(K8&gt;$AI$7,K8&lt;$AM$5),$AN$5-$AL$5+K8,IF(AND(OR(K8&gt;$AL$5,H8&gt;$AO$5),AM8&gt;=$AI$7,AM8&lt;$AM$5,K8&gt;$AM$5),(1+$AM$5-$AL$5)-AG8,0))))))))</f>
        <v>0</v>
      </c>
      <c r="BE8" s="14"/>
      <c r="BF8" s="14"/>
      <c r="BG8" s="14"/>
    </row>
    <row r="9" spans="1:59" s="2" customFormat="1" ht="30" customHeight="1" thickTop="1" thickBot="1" x14ac:dyDescent="0.25">
      <c r="A9" s="1"/>
      <c r="B9"/>
      <c r="C9" s="172" t="str">
        <f>IF(Funcionários!C8=0,"",Funcionários!C8)</f>
        <v/>
      </c>
      <c r="D9"/>
      <c r="E9" s="115">
        <f>Lanç!E9</f>
        <v>2</v>
      </c>
      <c r="F9" s="189" t="str">
        <f>Lanç!F9</f>
        <v>Seg</v>
      </c>
      <c r="G9" s="81"/>
      <c r="H9" s="94"/>
      <c r="I9" s="94"/>
      <c r="J9" s="94"/>
      <c r="K9" s="94"/>
      <c r="L9" s="10"/>
      <c r="M9" s="95">
        <f t="shared" ref="M9:M38" si="1">IF(AND(H9=K9,H9&lt;&gt;0),$M$6-IF(J9&lt;I9,$AJ$7+J9-I9,J9-I9),IF(H9&gt;K9,(K9+1-H9)-IF(J9&lt;I9,$AJ$7+J9-I9,J9-I9),(K9-H9)-IF(J9&lt;I9,$AJ$7+J9-I9,J9-I9)))</f>
        <v>0</v>
      </c>
      <c r="N9" s="96"/>
      <c r="O9" s="95">
        <f ca="1">IF(OR(G9=0,G9="Férias",G9="Falta Justificada",G9="Feriado",G9="Folga (DSR)"),0,IF(G9="Falta Injustificada",HLOOKUP($F9,Jornada!$X$7:$AD$37,VLOOKUP(INDIRECT($C$5),Jornada!$C$8:$W$37,21,0),0),IF(HLOOKUP($F9,Jornada!$X$7:$AD$37,VLOOKUP(INDIRECT($C$5),Jornada!$C$8:$W$37,21,0),0)-M9&gt;0,HLOOKUP($F9,Jornada!$X$7:$AD$37,VLOOKUP(INDIRECT($C$5),Jornada!$C$8:$W$37,21,0),0)-M9,0)))</f>
        <v>0</v>
      </c>
      <c r="P9" s="190">
        <f ca="1">IF(HLOOKUP($F9,Jornada!$X$7:$AD$37,VLOOKUP(INDIRECT($C$5),Jornada!$C$8:$W$37,21,0),0)-M9&lt;0,ABS(HLOOKUP($F9,Jornada!$X$7:$AD$37,VLOOKUP(INDIRECT($C$5),Jornada!$C$8:$W$37,21,0),0)-M9),0)</f>
        <v>0</v>
      </c>
      <c r="Q9" s="95">
        <f t="shared" si="0"/>
        <v>0</v>
      </c>
      <c r="R9" s="2">
        <f t="shared" ref="R9:R38" si="2">IF(Q9&gt;$R$7,1,0)</f>
        <v>0</v>
      </c>
      <c r="S9" s="294"/>
      <c r="T9" s="294"/>
      <c r="U9" s="295"/>
      <c r="W9" s="2" t="s">
        <v>92</v>
      </c>
      <c r="X9" s="156">
        <v>3</v>
      </c>
      <c r="AB9" s="177">
        <f>AB8+1</f>
        <v>2</v>
      </c>
      <c r="AC9" s="2">
        <f t="shared" ref="AC9:AC35" si="3">WEEKDAY(AB9)</f>
        <v>2</v>
      </c>
      <c r="AE9" s="2">
        <v>2</v>
      </c>
      <c r="AF9" s="2" t="s">
        <v>52</v>
      </c>
      <c r="AG9" s="220">
        <f t="shared" ref="AG9:AG38" si="4">IF(J9&lt;I9,$AJ$7+J9-I9,J9-I9)</f>
        <v>0</v>
      </c>
      <c r="AH9" s="220">
        <f ca="1">IF(HLOOKUP($F9,Jornada!$X$7:$AD$37,VLOOKUP(INDIRECT($C$5),Jornada!$C$8:$W$37,21,0),0)=0,0,VLOOKUP(INDIRECT($C$5),Jornada!$C$8:$H$37,4,0))</f>
        <v>0</v>
      </c>
      <c r="AI9" s="155">
        <f ca="1">IF(AND(I9=0,J9=0,OR(H9&lt;&gt;0,K9&lt;&gt;0),HLOOKUP($F9,Jornada!$X$7:$AD$37,VLOOKUP(INDIRECT($C$5),Jornada!$C$8:$W$37,21,0),0)&gt;$AK$5,M9&gt;$AK$5),VLOOKUP(INDIRECT($C$5),Jornada!$C$8:$H$37,6,0),IF(AG9&gt;VLOOKUP(INDIRECT($C$5),Jornada!$C$8:$H$37,6,0),IF(VLOOKUP(INDIRECT($C$5),Jornada!$C$8:$H$37,6,0)&lt;AG9,0,ABS(VLOOKUP(INDIRECT($C$5),Jornada!$C$8:$H$37,6,0))-AG9),0))</f>
        <v>0</v>
      </c>
      <c r="AJ9" s="155">
        <f t="shared" ref="AJ9:AJ38" si="5">($AJ$7-K9)+H9</f>
        <v>1</v>
      </c>
      <c r="AK9" s="155">
        <f t="shared" ref="AK9:AK38" si="6">IF(AJ9&lt;$AK$7,$AK$7-AJ9,$AI$7)</f>
        <v>0</v>
      </c>
      <c r="AL9" s="155">
        <f ca="1">HLOOKUP($F9,Jornada!$I$5:$V$37,VLOOKUP(INDIRECT($C$5),Jornada!$C$8:$W$37,21,0)+2,0)</f>
        <v>0</v>
      </c>
      <c r="AM9" s="155">
        <f ca="1">HLOOKUP($F9,Jornada!$I$4:$V$37,VLOOKUP(INDIRECT($C$5),Jornada!$C$8:$W$37,21,0)+3,0)</f>
        <v>0</v>
      </c>
      <c r="AN9" s="155">
        <f t="shared" ref="AN9:AN38" ca="1" si="7">IF(AND(AL9&gt;=$AL$5,AL9&lt;$AN$5,H9&gt;=$AL$5,H9&lt;AL9),AL9-H9,IF(AND(AL9&gt;$AI$7,AL9&lt;=$AM$5,H9&gt;=$AL$5,H9&lt;=$AN$5),$AN$5-H9+AL9,IF(AND(AL9&gt;=$AI$7,AL9&lt;=$AM$5,H9&gt;=$AI$7,H9&lt;=$AM$5,H9&lt;AL9),H9-AL9,0)))</f>
        <v>0</v>
      </c>
      <c r="AO9" s="155">
        <f t="shared" ref="AO9:AO38" si="8">IF(AP9&gt;Q9,0,AP9)</f>
        <v>0</v>
      </c>
      <c r="AP9" s="155">
        <f t="shared" ref="AP9:AP38" si="9">IF(Q9=0,0,IF(AND(AM9&gt;=$AL$5,AM9&lt;$AN$5,K9&gt;=$AL$5,K9&lt;$AM$5,K9&gt;AM9),K9-AM9,IF(AND(AM9&gt;=$AL$5,AM9&lt;$AN$5,K9&lt;$AN$5,K9&gt;AM9),K9-$AL$5,IF(AND(AM9&gt;=$AI$7,AM9&lt;$AM$5,K9&lt;$AM$5),K9-AM9,IF(AND(AM9&lt;&gt;AI8,AM9&gt;=$AI$7,AM9&lt;=$AM$5,K9&gt;$AM$5,K9&gt;AM9),$AM$5-AM9,IF(AND(K9&gt;$AL$5,K9&lt;$AN$5),K9-$AL$5,IF(AND(K9&gt;$AI$7,K9&lt;$AM$5),$AN$5-$AL$5+K9,IF(AND(OR(K9&gt;$AL$5,H9&gt;$AO$5),AM9&gt;=$AI$7,AM9&lt;$AM$5,K9&gt;$AM$5),(1+$AM$5-$AL$5)-AG9,0))))))))</f>
        <v>0</v>
      </c>
      <c r="BE9" s="14"/>
      <c r="BF9" s="14"/>
      <c r="BG9" s="14"/>
    </row>
    <row r="10" spans="1:59" s="2" customFormat="1" ht="30" customHeight="1" thickTop="1" thickBot="1" x14ac:dyDescent="0.25">
      <c r="A10" s="1"/>
      <c r="B10"/>
      <c r="C10" s="172" t="str">
        <f>IF(Funcionários!C9=0,"",Funcionários!C9)</f>
        <v/>
      </c>
      <c r="D10"/>
      <c r="E10" s="115">
        <f>Lanç!E10</f>
        <v>3</v>
      </c>
      <c r="F10" s="189" t="str">
        <f>Lanç!F10</f>
        <v>Ter</v>
      </c>
      <c r="G10" s="81"/>
      <c r="H10" s="94"/>
      <c r="I10" s="94"/>
      <c r="J10" s="94"/>
      <c r="K10" s="94"/>
      <c r="L10" s="10"/>
      <c r="M10" s="95">
        <f t="shared" si="1"/>
        <v>0</v>
      </c>
      <c r="N10" s="96"/>
      <c r="O10" s="95">
        <f ca="1">IF(OR(G10=0,G10="Férias",G10="Falta Justificada",G10="Feriado",G10="Folga (DSR)"),0,IF(G10="Falta Injustificada",HLOOKUP($F10,Jornada!$X$7:$AD$37,VLOOKUP(INDIRECT($C$5),Jornada!$C$8:$W$37,21,0),0),IF(HLOOKUP($F10,Jornada!$X$7:$AD$37,VLOOKUP(INDIRECT($C$5),Jornada!$C$8:$W$37,21,0),0)-M10&gt;0,HLOOKUP($F10,Jornada!$X$7:$AD$37,VLOOKUP(INDIRECT($C$5),Jornada!$C$8:$W$37,21,0),0)-M10,0)))</f>
        <v>0</v>
      </c>
      <c r="P10" s="190">
        <f ca="1">IF(HLOOKUP($F10,Jornada!$X$7:$AD$37,VLOOKUP(INDIRECT($C$5),Jornada!$C$8:$W$37,21,0),0)-M10&lt;0,ABS(HLOOKUP($F10,Jornada!$X$7:$AD$37,VLOOKUP(INDIRECT($C$5),Jornada!$C$8:$W$37,21,0),0)-M10),0)</f>
        <v>0</v>
      </c>
      <c r="Q10" s="95">
        <f t="shared" si="0"/>
        <v>0</v>
      </c>
      <c r="R10" s="2">
        <f t="shared" si="2"/>
        <v>0</v>
      </c>
      <c r="S10" s="294" t="s">
        <v>66</v>
      </c>
      <c r="T10" s="294"/>
      <c r="U10" s="295">
        <f ca="1">IF(M5="Horas devidas",ABS(-K5+F58-U14),ABS(K5+F58-U14))</f>
        <v>0</v>
      </c>
      <c r="W10" s="2" t="s">
        <v>93</v>
      </c>
      <c r="X10" s="156">
        <v>4</v>
      </c>
      <c r="AB10" s="177">
        <f t="shared" ref="AB10:AB34" si="10">AB9+1</f>
        <v>3</v>
      </c>
      <c r="AC10" s="2">
        <f t="shared" si="3"/>
        <v>3</v>
      </c>
      <c r="AE10" s="2">
        <v>3</v>
      </c>
      <c r="AF10" s="2" t="s">
        <v>53</v>
      </c>
      <c r="AG10" s="220">
        <f t="shared" si="4"/>
        <v>0</v>
      </c>
      <c r="AH10" s="220">
        <f ca="1">IF(HLOOKUP($F10,Jornada!$X$7:$AD$37,VLOOKUP(INDIRECT($C$5),Jornada!$C$8:$W$37,21,0),0)=0,0,VLOOKUP(INDIRECT($C$5),Jornada!$C$8:$H$37,4,0))</f>
        <v>0</v>
      </c>
      <c r="AI10" s="155">
        <f ca="1">IF(AND(I10=0,J10=0,OR(H10&lt;&gt;0,K10&lt;&gt;0),HLOOKUP($F10,Jornada!$X$7:$AD$37,VLOOKUP(INDIRECT($C$5),Jornada!$C$8:$W$37,21,0),0)&gt;$AK$5,M10&gt;$AK$5),VLOOKUP(INDIRECT($C$5),Jornada!$C$8:$H$37,6,0),IF(AG10&gt;VLOOKUP(INDIRECT($C$5),Jornada!$C$8:$H$37,6,0),IF(VLOOKUP(INDIRECT($C$5),Jornada!$C$8:$H$37,6,0)&lt;AG10,0,ABS(VLOOKUP(INDIRECT($C$5),Jornada!$C$8:$H$37,6,0))-AG10),0))</f>
        <v>0</v>
      </c>
      <c r="AJ10" s="155">
        <f t="shared" si="5"/>
        <v>1</v>
      </c>
      <c r="AK10" s="155">
        <f t="shared" si="6"/>
        <v>0</v>
      </c>
      <c r="AL10" s="155">
        <f ca="1">HLOOKUP($F10,Jornada!$I$5:$V$37,VLOOKUP(INDIRECT($C$5),Jornada!$C$8:$W$37,21,0)+2,0)</f>
        <v>0</v>
      </c>
      <c r="AM10" s="155">
        <f ca="1">HLOOKUP($F10,Jornada!$I$4:$V$37,VLOOKUP(INDIRECT($C$5),Jornada!$C$8:$W$37,21,0)+3,0)</f>
        <v>0</v>
      </c>
      <c r="AN10" s="155">
        <f t="shared" ca="1" si="7"/>
        <v>0</v>
      </c>
      <c r="AO10" s="155">
        <f t="shared" si="8"/>
        <v>0</v>
      </c>
      <c r="AP10" s="155">
        <f t="shared" si="9"/>
        <v>0</v>
      </c>
      <c r="BE10" s="14"/>
      <c r="BF10" s="14"/>
      <c r="BG10" s="14"/>
    </row>
    <row r="11" spans="1:59" s="2" customFormat="1" ht="30" customHeight="1" thickTop="1" thickBot="1" x14ac:dyDescent="0.25">
      <c r="A11" s="1"/>
      <c r="B11"/>
      <c r="C11" s="172" t="str">
        <f>IF(Funcionários!C10=0,"",Funcionários!C10)</f>
        <v/>
      </c>
      <c r="D11"/>
      <c r="E11" s="115">
        <f>Lanç!E11</f>
        <v>4</v>
      </c>
      <c r="F11" s="189" t="str">
        <f>Lanç!F11</f>
        <v>Qua</v>
      </c>
      <c r="G11" s="81"/>
      <c r="H11" s="94"/>
      <c r="I11" s="94"/>
      <c r="J11" s="94"/>
      <c r="K11" s="94"/>
      <c r="L11" s="10"/>
      <c r="M11" s="95">
        <f t="shared" si="1"/>
        <v>0</v>
      </c>
      <c r="N11" s="96"/>
      <c r="O11" s="95">
        <f ca="1">IF(OR(G11=0,G11="Férias",G11="Falta Justificada",G11="Feriado",G11="Folga (DSR)"),0,IF(G11="Falta Injustificada",HLOOKUP($F11,Jornada!$X$7:$AD$37,VLOOKUP(INDIRECT($C$5),Jornada!$C$8:$W$37,21,0),0),IF(HLOOKUP($F11,Jornada!$X$7:$AD$37,VLOOKUP(INDIRECT($C$5),Jornada!$C$8:$W$37,21,0),0)-M11&gt;0,HLOOKUP($F11,Jornada!$X$7:$AD$37,VLOOKUP(INDIRECT($C$5),Jornada!$C$8:$W$37,21,0),0)-M11,0)))</f>
        <v>0</v>
      </c>
      <c r="P11" s="190">
        <f ca="1">IF(HLOOKUP($F11,Jornada!$X$7:$AD$37,VLOOKUP(INDIRECT($C$5),Jornada!$C$8:$W$37,21,0),0)-M11&lt;0,ABS(HLOOKUP($F11,Jornada!$X$7:$AD$37,VLOOKUP(INDIRECT($C$5),Jornada!$C$8:$W$37,21,0),0)-M11),0)</f>
        <v>0</v>
      </c>
      <c r="Q11" s="95">
        <f t="shared" si="0"/>
        <v>0</v>
      </c>
      <c r="R11" s="2">
        <f t="shared" si="2"/>
        <v>0</v>
      </c>
      <c r="S11" s="294"/>
      <c r="T11" s="294"/>
      <c r="U11" s="295"/>
      <c r="V11" s="2">
        <f ca="1">IF(AND(K5&gt;U12,M5="Horas devidas"),"Negativo",IF(AND(U12&gt;K5,U14&gt;F58),"Negativo",0))</f>
        <v>0</v>
      </c>
      <c r="W11" s="2" t="s">
        <v>94</v>
      </c>
      <c r="X11" s="156">
        <v>5</v>
      </c>
      <c r="Z11" s="2" t="str">
        <f ca="1">IF(AND(M5="horas extras",Z13="positivo"),"positivo",IF(AND(M5="horas devidas",Z13="Negativo"),"Negativo",IF(AND(Z13="positivo",M5="horas devidas",U12&gt;K5),"Positivo","Negativo")))</f>
        <v>Negativo</v>
      </c>
      <c r="AB11" s="177">
        <f t="shared" si="10"/>
        <v>4</v>
      </c>
      <c r="AC11" s="2">
        <f t="shared" si="3"/>
        <v>4</v>
      </c>
      <c r="AE11" s="2">
        <v>4</v>
      </c>
      <c r="AF11" s="2" t="s">
        <v>54</v>
      </c>
      <c r="AG11" s="220">
        <f t="shared" si="4"/>
        <v>0</v>
      </c>
      <c r="AH11" s="220">
        <f ca="1">IF(HLOOKUP($F11,Jornada!$X$7:$AD$37,VLOOKUP(INDIRECT($C$5),Jornada!$C$8:$W$37,21,0),0)=0,0,VLOOKUP(INDIRECT($C$5),Jornada!$C$8:$H$37,4,0))</f>
        <v>0</v>
      </c>
      <c r="AI11" s="155">
        <f ca="1">IF(AND(I11=0,J11=0,OR(H11&lt;&gt;0,K11&lt;&gt;0),HLOOKUP($F11,Jornada!$X$7:$AD$37,VLOOKUP(INDIRECT($C$5),Jornada!$C$8:$W$37,21,0),0)&gt;$AK$5,M11&gt;$AK$5),VLOOKUP(INDIRECT($C$5),Jornada!$C$8:$H$37,6,0),IF(AG11&gt;VLOOKUP(INDIRECT($C$5),Jornada!$C$8:$H$37,6,0),IF(VLOOKUP(INDIRECT($C$5),Jornada!$C$8:$H$37,6,0)&lt;AG11,0,ABS(VLOOKUP(INDIRECT($C$5),Jornada!$C$8:$H$37,6,0))-AG11),0))</f>
        <v>0</v>
      </c>
      <c r="AJ11" s="155">
        <f t="shared" si="5"/>
        <v>1</v>
      </c>
      <c r="AK11" s="155">
        <f t="shared" si="6"/>
        <v>0</v>
      </c>
      <c r="AL11" s="155">
        <f ca="1">HLOOKUP($F11,Jornada!$I$5:$V$37,VLOOKUP(INDIRECT($C$5),Jornada!$C$8:$W$37,21,0)+2,0)</f>
        <v>0</v>
      </c>
      <c r="AM11" s="155">
        <f ca="1">HLOOKUP($F11,Jornada!$I$4:$V$37,VLOOKUP(INDIRECT($C$5),Jornada!$C$8:$W$37,21,0)+3,0)</f>
        <v>0</v>
      </c>
      <c r="AN11" s="155">
        <f t="shared" ca="1" si="7"/>
        <v>0</v>
      </c>
      <c r="AO11" s="155">
        <f t="shared" si="8"/>
        <v>0</v>
      </c>
      <c r="AP11" s="155">
        <f t="shared" si="9"/>
        <v>0</v>
      </c>
      <c r="BE11" s="14"/>
      <c r="BF11" s="14"/>
      <c r="BG11" s="14"/>
    </row>
    <row r="12" spans="1:59" s="2" customFormat="1" ht="30" customHeight="1" thickTop="1" thickBot="1" x14ac:dyDescent="0.25">
      <c r="A12" s="1"/>
      <c r="B12"/>
      <c r="C12" s="172" t="str">
        <f>IF(Funcionários!C11=0,"",Funcionários!C11)</f>
        <v/>
      </c>
      <c r="D12"/>
      <c r="E12" s="115">
        <f>Lanç!E12</f>
        <v>5</v>
      </c>
      <c r="F12" s="189" t="str">
        <f>Lanç!F12</f>
        <v>Qui</v>
      </c>
      <c r="G12" s="81"/>
      <c r="H12" s="94"/>
      <c r="I12" s="94"/>
      <c r="J12" s="94"/>
      <c r="K12" s="94"/>
      <c r="L12" s="10"/>
      <c r="M12" s="95">
        <f t="shared" si="1"/>
        <v>0</v>
      </c>
      <c r="N12" s="96"/>
      <c r="O12" s="95">
        <f ca="1">IF(OR(G12=0,G12="Férias",G12="Falta Justificada",G12="Feriado",G12="Folga (DSR)"),0,IF(G12="Falta Injustificada",HLOOKUP($F12,Jornada!$X$7:$AD$37,VLOOKUP(INDIRECT($C$5),Jornada!$C$8:$W$37,21,0),0),IF(HLOOKUP($F12,Jornada!$X$7:$AD$37,VLOOKUP(INDIRECT($C$5),Jornada!$C$8:$W$37,21,0),0)-M12&gt;0,HLOOKUP($F12,Jornada!$X$7:$AD$37,VLOOKUP(INDIRECT($C$5),Jornada!$C$8:$W$37,21,0),0)-M12,0)))</f>
        <v>0</v>
      </c>
      <c r="P12" s="190">
        <f ca="1">IF(HLOOKUP($F12,Jornada!$X$7:$AD$37,VLOOKUP(INDIRECT($C$5),Jornada!$C$8:$W$37,21,0),0)-M12&lt;0,ABS(HLOOKUP($F12,Jornada!$X$7:$AD$37,VLOOKUP(INDIRECT($C$5),Jornada!$C$8:$W$37,21,0),0)-M12),0)</f>
        <v>0</v>
      </c>
      <c r="Q12" s="95">
        <f t="shared" si="0"/>
        <v>0</v>
      </c>
      <c r="R12" s="2">
        <f t="shared" si="2"/>
        <v>0</v>
      </c>
      <c r="S12" s="294" t="s">
        <v>175</v>
      </c>
      <c r="T12" s="294"/>
      <c r="U12" s="295">
        <f ca="1">IF(U14&gt;=F58,(U14)-F58,(F58-U14))</f>
        <v>0</v>
      </c>
      <c r="W12" s="2" t="s">
        <v>95</v>
      </c>
      <c r="X12" s="156">
        <v>6</v>
      </c>
      <c r="AB12" s="177">
        <f t="shared" si="10"/>
        <v>5</v>
      </c>
      <c r="AC12" s="2">
        <f t="shared" si="3"/>
        <v>5</v>
      </c>
      <c r="AE12" s="2">
        <v>5</v>
      </c>
      <c r="AF12" s="2" t="s">
        <v>55</v>
      </c>
      <c r="AG12" s="220">
        <f t="shared" si="4"/>
        <v>0</v>
      </c>
      <c r="AH12" s="220">
        <f ca="1">IF(HLOOKUP($F12,Jornada!$X$7:$AD$37,VLOOKUP(INDIRECT($C$5),Jornada!$C$8:$W$37,21,0),0)=0,0,VLOOKUP(INDIRECT($C$5),Jornada!$C$8:$H$37,4,0))</f>
        <v>0</v>
      </c>
      <c r="AI12" s="155">
        <f ca="1">IF(AND(I12=0,J12=0,OR(H12&lt;&gt;0,K12&lt;&gt;0),HLOOKUP($F12,Jornada!$X$7:$AD$37,VLOOKUP(INDIRECT($C$5),Jornada!$C$8:$W$37,21,0),0)&gt;$AK$5,M12&gt;$AK$5),VLOOKUP(INDIRECT($C$5),Jornada!$C$8:$H$37,6,0),IF(AG12&gt;VLOOKUP(INDIRECT($C$5),Jornada!$C$8:$H$37,6,0),IF(VLOOKUP(INDIRECT($C$5),Jornada!$C$8:$H$37,6,0)&lt;AG12,0,ABS(VLOOKUP(INDIRECT($C$5),Jornada!$C$8:$H$37,6,0))-AG12),0))</f>
        <v>0</v>
      </c>
      <c r="AJ12" s="155">
        <f t="shared" si="5"/>
        <v>1</v>
      </c>
      <c r="AK12" s="155">
        <f t="shared" si="6"/>
        <v>0</v>
      </c>
      <c r="AL12" s="155">
        <f ca="1">HLOOKUP($F12,Jornada!$I$5:$V$37,VLOOKUP(INDIRECT($C$5),Jornada!$C$8:$W$37,21,0)+2,0)</f>
        <v>0</v>
      </c>
      <c r="AM12" s="155">
        <f ca="1">HLOOKUP($F12,Jornada!$I$4:$V$37,VLOOKUP(INDIRECT($C$5),Jornada!$C$8:$W$37,21,0)+3,0)</f>
        <v>0</v>
      </c>
      <c r="AN12" s="155">
        <f t="shared" ca="1" si="7"/>
        <v>0</v>
      </c>
      <c r="AO12" s="155">
        <f t="shared" si="8"/>
        <v>0</v>
      </c>
      <c r="AP12" s="155">
        <f t="shared" si="9"/>
        <v>0</v>
      </c>
      <c r="BE12" s="14"/>
      <c r="BF12" s="14"/>
      <c r="BG12" s="14"/>
    </row>
    <row r="13" spans="1:59" s="2" customFormat="1" ht="30" customHeight="1" thickTop="1" thickBot="1" x14ac:dyDescent="0.25">
      <c r="A13" s="1"/>
      <c r="B13"/>
      <c r="C13" s="172" t="str">
        <f>IF(Funcionários!C12=0,"",Funcionários!C12)</f>
        <v/>
      </c>
      <c r="D13"/>
      <c r="E13" s="115">
        <f>Lanç!E13</f>
        <v>6</v>
      </c>
      <c r="F13" s="189" t="str">
        <f>Lanç!F13</f>
        <v>Sex</v>
      </c>
      <c r="G13" s="81"/>
      <c r="H13" s="94"/>
      <c r="I13" s="94"/>
      <c r="J13" s="94"/>
      <c r="K13" s="94"/>
      <c r="L13" s="10"/>
      <c r="M13" s="95">
        <f t="shared" si="1"/>
        <v>0</v>
      </c>
      <c r="N13" s="96"/>
      <c r="O13" s="95">
        <f ca="1">IF(OR(G13=0,G13="Férias",G13="Falta Justificada",G13="Feriado",G13="Folga (DSR)"),0,IF(G13="Falta Injustificada",HLOOKUP($F13,Jornada!$X$7:$AD$37,VLOOKUP(INDIRECT($C$5),Jornada!$C$8:$W$37,21,0),0),IF(HLOOKUP($F13,Jornada!$X$7:$AD$37,VLOOKUP(INDIRECT($C$5),Jornada!$C$8:$W$37,21,0),0)-M13&gt;0,HLOOKUP($F13,Jornada!$X$7:$AD$37,VLOOKUP(INDIRECT($C$5),Jornada!$C$8:$W$37,21,0),0)-M13,0)))</f>
        <v>0</v>
      </c>
      <c r="P13" s="190">
        <f ca="1">IF(HLOOKUP($F13,Jornada!$X$7:$AD$37,VLOOKUP(INDIRECT($C$5),Jornada!$C$8:$W$37,21,0),0)-M13&lt;0,ABS(HLOOKUP($F13,Jornada!$X$7:$AD$37,VLOOKUP(INDIRECT($C$5),Jornada!$C$8:$W$37,21,0),0)-M13),0)</f>
        <v>0</v>
      </c>
      <c r="Q13" s="95">
        <f t="shared" si="0"/>
        <v>0</v>
      </c>
      <c r="R13" s="2">
        <f t="shared" si="2"/>
        <v>0</v>
      </c>
      <c r="S13" s="294"/>
      <c r="T13" s="294"/>
      <c r="U13" s="295"/>
      <c r="W13" s="2" t="s">
        <v>96</v>
      </c>
      <c r="X13" s="156">
        <v>7</v>
      </c>
      <c r="Z13" s="2" t="str">
        <f ca="1">IF(U14&gt;F58,"Negativo","Positivo")</f>
        <v>Positivo</v>
      </c>
      <c r="AB13" s="177">
        <f t="shared" si="10"/>
        <v>6</v>
      </c>
      <c r="AC13" s="2">
        <f t="shared" si="3"/>
        <v>6</v>
      </c>
      <c r="AE13" s="2">
        <v>6</v>
      </c>
      <c r="AF13" s="2" t="s">
        <v>56</v>
      </c>
      <c r="AG13" s="220">
        <f t="shared" si="4"/>
        <v>0</v>
      </c>
      <c r="AH13" s="220">
        <f ca="1">IF(HLOOKUP($F13,Jornada!$X$7:$AD$37,VLOOKUP(INDIRECT($C$5),Jornada!$C$8:$W$37,21,0),0)=0,0,VLOOKUP(INDIRECT($C$5),Jornada!$C$8:$H$37,4,0))</f>
        <v>0</v>
      </c>
      <c r="AI13" s="155">
        <f ca="1">IF(AND(I13=0,J13=0,OR(H13&lt;&gt;0,K13&lt;&gt;0),HLOOKUP($F13,Jornada!$X$7:$AD$37,VLOOKUP(INDIRECT($C$5),Jornada!$C$8:$W$37,21,0),0)&gt;$AK$5,M13&gt;$AK$5),VLOOKUP(INDIRECT($C$5),Jornada!$C$8:$H$37,6,0),IF(AG13&gt;VLOOKUP(INDIRECT($C$5),Jornada!$C$8:$H$37,6,0),IF(VLOOKUP(INDIRECT($C$5),Jornada!$C$8:$H$37,6,0)&lt;AG13,0,ABS(VLOOKUP(INDIRECT($C$5),Jornada!$C$8:$H$37,6,0))-AG13),0))</f>
        <v>0</v>
      </c>
      <c r="AJ13" s="155">
        <f t="shared" si="5"/>
        <v>1</v>
      </c>
      <c r="AK13" s="155">
        <f t="shared" si="6"/>
        <v>0</v>
      </c>
      <c r="AL13" s="155">
        <f ca="1">HLOOKUP($F13,Jornada!$I$5:$V$37,VLOOKUP(INDIRECT($C$5),Jornada!$C$8:$W$37,21,0)+2,0)</f>
        <v>0</v>
      </c>
      <c r="AM13" s="155">
        <f ca="1">HLOOKUP($F13,Jornada!$I$4:$V$37,VLOOKUP(INDIRECT($C$5),Jornada!$C$8:$W$37,21,0)+3,0)</f>
        <v>0</v>
      </c>
      <c r="AN13" s="155">
        <f t="shared" ca="1" si="7"/>
        <v>0</v>
      </c>
      <c r="AO13" s="155">
        <f t="shared" si="8"/>
        <v>0</v>
      </c>
      <c r="AP13" s="155">
        <f t="shared" si="9"/>
        <v>0</v>
      </c>
      <c r="BE13" s="14"/>
      <c r="BF13" s="14"/>
      <c r="BG13" s="14"/>
    </row>
    <row r="14" spans="1:59" s="2" customFormat="1" ht="30" customHeight="1" thickTop="1" thickBot="1" x14ac:dyDescent="0.25">
      <c r="A14" s="1"/>
      <c r="B14"/>
      <c r="C14" s="172" t="str">
        <f>IF(Funcionários!C13=0,"",Funcionários!C13)</f>
        <v/>
      </c>
      <c r="D14"/>
      <c r="E14" s="115">
        <f>Lanç!E14</f>
        <v>7</v>
      </c>
      <c r="F14" s="189" t="str">
        <f>Lanç!F14</f>
        <v>Sáb</v>
      </c>
      <c r="G14" s="81"/>
      <c r="H14" s="94"/>
      <c r="I14" s="94"/>
      <c r="J14" s="94"/>
      <c r="K14" s="94"/>
      <c r="L14" s="10"/>
      <c r="M14" s="95">
        <f t="shared" si="1"/>
        <v>0</v>
      </c>
      <c r="N14" s="96"/>
      <c r="O14" s="95">
        <f ca="1">IF(OR(G14=0,G14="Férias",G14="Falta Justificada",G14="Feriado",G14="Folga (DSR)"),0,IF(G14="Falta Injustificada",HLOOKUP($F14,Jornada!$X$7:$AD$37,VLOOKUP(INDIRECT($C$5),Jornada!$C$8:$W$37,21,0),0),IF(HLOOKUP($F14,Jornada!$X$7:$AD$37,VLOOKUP(INDIRECT($C$5),Jornada!$C$8:$W$37,21,0),0)-M14&gt;0,HLOOKUP($F14,Jornada!$X$7:$AD$37,VLOOKUP(INDIRECT($C$5),Jornada!$C$8:$W$37,21,0),0)-M14,0)))</f>
        <v>0</v>
      </c>
      <c r="P14" s="190">
        <f ca="1">IF(HLOOKUP($F14,Jornada!$X$7:$AD$37,VLOOKUP(INDIRECT($C$5),Jornada!$C$8:$W$37,21,0),0)-M14&lt;0,ABS(HLOOKUP($F14,Jornada!$X$7:$AD$37,VLOOKUP(INDIRECT($C$5),Jornada!$C$8:$W$37,21,0),0)-M14),0)</f>
        <v>0</v>
      </c>
      <c r="Q14" s="95">
        <f t="shared" si="0"/>
        <v>0</v>
      </c>
      <c r="R14" s="2">
        <f t="shared" si="2"/>
        <v>0</v>
      </c>
      <c r="S14" s="294" t="s">
        <v>68</v>
      </c>
      <c r="T14" s="294"/>
      <c r="U14" s="295">
        <f ca="1">SUM(O8:O38)</f>
        <v>0</v>
      </c>
      <c r="W14" s="2" t="s">
        <v>97</v>
      </c>
      <c r="X14" s="156">
        <v>8</v>
      </c>
      <c r="AB14" s="177">
        <f t="shared" si="10"/>
        <v>7</v>
      </c>
      <c r="AC14" s="2">
        <f t="shared" si="3"/>
        <v>7</v>
      </c>
      <c r="AE14" s="2">
        <v>7</v>
      </c>
      <c r="AF14" s="2" t="s">
        <v>57</v>
      </c>
      <c r="AG14" s="220">
        <f t="shared" si="4"/>
        <v>0</v>
      </c>
      <c r="AH14" s="220">
        <f ca="1">IF(HLOOKUP($F14,Jornada!$X$7:$AD$37,VLOOKUP(INDIRECT($C$5),Jornada!$C$8:$W$37,21,0),0)=0,0,VLOOKUP(INDIRECT($C$5),Jornada!$C$8:$H$37,4,0))</f>
        <v>0</v>
      </c>
      <c r="AI14" s="155">
        <f ca="1">IF(AND(I14=0,J14=0,OR(H14&lt;&gt;0,K14&lt;&gt;0),HLOOKUP($F14,Jornada!$X$7:$AD$37,VLOOKUP(INDIRECT($C$5),Jornada!$C$8:$W$37,21,0),0)&gt;$AK$5,M14&gt;$AK$5),VLOOKUP(INDIRECT($C$5),Jornada!$C$8:$H$37,6,0),IF(AG14&gt;VLOOKUP(INDIRECT($C$5),Jornada!$C$8:$H$37,6,0),IF(VLOOKUP(INDIRECT($C$5),Jornada!$C$8:$H$37,6,0)&lt;AG14,0,ABS(VLOOKUP(INDIRECT($C$5),Jornada!$C$8:$H$37,6,0))-AG14),0))</f>
        <v>0</v>
      </c>
      <c r="AJ14" s="155">
        <f t="shared" si="5"/>
        <v>1</v>
      </c>
      <c r="AK14" s="155">
        <f t="shared" si="6"/>
        <v>0</v>
      </c>
      <c r="AL14" s="155">
        <f ca="1">HLOOKUP($F14,Jornada!$I$5:$V$37,VLOOKUP(INDIRECT($C$5),Jornada!$C$8:$W$37,21,0)+2,0)</f>
        <v>0</v>
      </c>
      <c r="AM14" s="155">
        <f ca="1">HLOOKUP($F14,Jornada!$I$4:$V$37,VLOOKUP(INDIRECT($C$5),Jornada!$C$8:$W$37,21,0)+3,0)</f>
        <v>0</v>
      </c>
      <c r="AN14" s="155">
        <f t="shared" ca="1" si="7"/>
        <v>0</v>
      </c>
      <c r="AO14" s="155">
        <f t="shared" si="8"/>
        <v>0</v>
      </c>
      <c r="AP14" s="155">
        <f t="shared" si="9"/>
        <v>0</v>
      </c>
      <c r="BE14" s="14"/>
      <c r="BF14" s="14"/>
      <c r="BG14" s="14"/>
    </row>
    <row r="15" spans="1:59" s="2" customFormat="1" ht="30" customHeight="1" thickTop="1" thickBot="1" x14ac:dyDescent="0.25">
      <c r="A15" s="1"/>
      <c r="B15"/>
      <c r="C15" s="172" t="str">
        <f>IF(Funcionários!C14=0,"",Funcionários!C14)</f>
        <v/>
      </c>
      <c r="D15"/>
      <c r="E15" s="115">
        <f>Lanç!E15</f>
        <v>8</v>
      </c>
      <c r="F15" s="189" t="str">
        <f>Lanç!F15</f>
        <v>Dom</v>
      </c>
      <c r="G15" s="81"/>
      <c r="H15" s="94"/>
      <c r="I15" s="94"/>
      <c r="J15" s="94"/>
      <c r="K15" s="94"/>
      <c r="L15" s="10"/>
      <c r="M15" s="95">
        <f t="shared" si="1"/>
        <v>0</v>
      </c>
      <c r="N15" s="96"/>
      <c r="O15" s="95">
        <f ca="1">IF(OR(G15=0,G15="Férias",G15="Falta Justificada",G15="Feriado",G15="Folga (DSR)"),0,IF(G15="Falta Injustificada",HLOOKUP($F15,Jornada!$X$7:$AD$37,VLOOKUP(INDIRECT($C$5),Jornada!$C$8:$W$37,21,0),0),IF(HLOOKUP($F15,Jornada!$X$7:$AD$37,VLOOKUP(INDIRECT($C$5),Jornada!$C$8:$W$37,21,0),0)-M15&gt;0,HLOOKUP($F15,Jornada!$X$7:$AD$37,VLOOKUP(INDIRECT($C$5),Jornada!$C$8:$W$37,21,0),0)-M15,0)))</f>
        <v>0</v>
      </c>
      <c r="P15" s="190">
        <f ca="1">IF(HLOOKUP($F15,Jornada!$X$7:$AD$37,VLOOKUP(INDIRECT($C$5),Jornada!$C$8:$W$37,21,0),0)-M15&lt;0,ABS(HLOOKUP($F15,Jornada!$X$7:$AD$37,VLOOKUP(INDIRECT($C$5),Jornada!$C$8:$W$37,21,0),0)-M15),0)</f>
        <v>0</v>
      </c>
      <c r="Q15" s="95">
        <f t="shared" si="0"/>
        <v>0</v>
      </c>
      <c r="R15" s="2">
        <f t="shared" si="2"/>
        <v>0</v>
      </c>
      <c r="S15" s="294"/>
      <c r="T15" s="294"/>
      <c r="U15" s="295"/>
      <c r="W15" s="2" t="s">
        <v>98</v>
      </c>
      <c r="X15" s="156">
        <v>9</v>
      </c>
      <c r="AB15" s="177">
        <f t="shared" si="10"/>
        <v>8</v>
      </c>
      <c r="AC15" s="2">
        <f t="shared" si="3"/>
        <v>1</v>
      </c>
      <c r="AG15" s="220">
        <f t="shared" si="4"/>
        <v>0</v>
      </c>
      <c r="AH15" s="220">
        <f ca="1">IF(HLOOKUP($F15,Jornada!$X$7:$AD$37,VLOOKUP(INDIRECT($C$5),Jornada!$C$8:$W$37,21,0),0)=0,0,VLOOKUP(INDIRECT($C$5),Jornada!$C$8:$H$37,4,0))</f>
        <v>0</v>
      </c>
      <c r="AI15" s="155">
        <f ca="1">IF(AND(I15=0,J15=0,OR(H15&lt;&gt;0,K15&lt;&gt;0),HLOOKUP($F15,Jornada!$X$7:$AD$37,VLOOKUP(INDIRECT($C$5),Jornada!$C$8:$W$37,21,0),0)&gt;$AK$5,M15&gt;$AK$5),VLOOKUP(INDIRECT($C$5),Jornada!$C$8:$H$37,6,0),IF(AG15&gt;VLOOKUP(INDIRECT($C$5),Jornada!$C$8:$H$37,6,0),IF(VLOOKUP(INDIRECT($C$5),Jornada!$C$8:$H$37,6,0)&lt;AG15,0,ABS(VLOOKUP(INDIRECT($C$5),Jornada!$C$8:$H$37,6,0))-AG15),0))</f>
        <v>0</v>
      </c>
      <c r="AJ15" s="155">
        <f t="shared" si="5"/>
        <v>1</v>
      </c>
      <c r="AK15" s="155">
        <f t="shared" si="6"/>
        <v>0</v>
      </c>
      <c r="AL15" s="155">
        <f ca="1">HLOOKUP($F15,Jornada!$I$5:$V$37,VLOOKUP(INDIRECT($C$5),Jornada!$C$8:$W$37,21,0)+2,0)</f>
        <v>0</v>
      </c>
      <c r="AM15" s="155">
        <f ca="1">HLOOKUP($F15,Jornada!$I$4:$V$37,VLOOKUP(INDIRECT($C$5),Jornada!$C$8:$W$37,21,0)+3,0)</f>
        <v>0</v>
      </c>
      <c r="AN15" s="155">
        <f t="shared" ca="1" si="7"/>
        <v>0</v>
      </c>
      <c r="AO15" s="155">
        <f t="shared" si="8"/>
        <v>0</v>
      </c>
      <c r="AP15" s="155">
        <f t="shared" si="9"/>
        <v>0</v>
      </c>
      <c r="BE15" s="14"/>
      <c r="BF15" s="14"/>
      <c r="BG15" s="14"/>
    </row>
    <row r="16" spans="1:59" s="2" customFormat="1" ht="30" customHeight="1" thickTop="1" thickBot="1" x14ac:dyDescent="0.25">
      <c r="A16" s="1"/>
      <c r="B16"/>
      <c r="C16" s="172" t="str">
        <f>IF(Funcionários!C15=0,"",Funcionários!C15)</f>
        <v/>
      </c>
      <c r="D16"/>
      <c r="E16" s="115">
        <f>Lanç!E16</f>
        <v>9</v>
      </c>
      <c r="F16" s="189" t="str">
        <f>Lanç!F16</f>
        <v>Seg</v>
      </c>
      <c r="G16" s="81"/>
      <c r="H16" s="94"/>
      <c r="I16" s="94"/>
      <c r="J16" s="94"/>
      <c r="K16" s="94"/>
      <c r="L16" s="10"/>
      <c r="M16" s="95">
        <f t="shared" si="1"/>
        <v>0</v>
      </c>
      <c r="N16" s="96"/>
      <c r="O16" s="95">
        <f ca="1">IF(OR(G16=0,G16="Férias",G16="Falta Justificada",G16="Feriado",G16="Folga (DSR)"),0,IF(G16="Falta Injustificada",HLOOKUP($F16,Jornada!$X$7:$AD$37,VLOOKUP(INDIRECT($C$5),Jornada!$C$8:$W$37,21,0),0),IF(HLOOKUP($F16,Jornada!$X$7:$AD$37,VLOOKUP(INDIRECT($C$5),Jornada!$C$8:$W$37,21,0),0)-M16&gt;0,HLOOKUP($F16,Jornada!$X$7:$AD$37,VLOOKUP(INDIRECT($C$5),Jornada!$C$8:$W$37,21,0),0)-M16,0)))</f>
        <v>0</v>
      </c>
      <c r="P16" s="190">
        <f ca="1">IF(HLOOKUP($F16,Jornada!$X$7:$AD$37,VLOOKUP(INDIRECT($C$5),Jornada!$C$8:$W$37,21,0),0)-M16&lt;0,ABS(HLOOKUP($F16,Jornada!$X$7:$AD$37,VLOOKUP(INDIRECT($C$5),Jornada!$C$8:$W$37,21,0),0)-M16),0)</f>
        <v>0</v>
      </c>
      <c r="Q16" s="95">
        <f t="shared" si="0"/>
        <v>0</v>
      </c>
      <c r="R16" s="2">
        <f t="shared" si="2"/>
        <v>0</v>
      </c>
      <c r="S16" s="294" t="s">
        <v>67</v>
      </c>
      <c r="T16" s="294"/>
      <c r="U16" s="295">
        <f>SUM(Q8:Q38)</f>
        <v>0</v>
      </c>
      <c r="W16" s="2" t="s">
        <v>99</v>
      </c>
      <c r="X16" s="156">
        <v>10</v>
      </c>
      <c r="AB16" s="177">
        <f t="shared" si="10"/>
        <v>9</v>
      </c>
      <c r="AC16" s="2">
        <f t="shared" si="3"/>
        <v>2</v>
      </c>
      <c r="AG16" s="220">
        <f t="shared" si="4"/>
        <v>0</v>
      </c>
      <c r="AH16" s="220">
        <f ca="1">IF(HLOOKUP($F16,Jornada!$X$7:$AD$37,VLOOKUP(INDIRECT($C$5),Jornada!$C$8:$W$37,21,0),0)=0,0,VLOOKUP(INDIRECT($C$5),Jornada!$C$8:$H$37,4,0))</f>
        <v>0</v>
      </c>
      <c r="AI16" s="155">
        <f ca="1">IF(AND(I16=0,J16=0,OR(H16&lt;&gt;0,K16&lt;&gt;0),HLOOKUP($F16,Jornada!$X$7:$AD$37,VLOOKUP(INDIRECT($C$5),Jornada!$C$8:$W$37,21,0),0)&gt;$AK$5,M16&gt;$AK$5),VLOOKUP(INDIRECT($C$5),Jornada!$C$8:$H$37,6,0),IF(AG16&gt;VLOOKUP(INDIRECT($C$5),Jornada!$C$8:$H$37,6,0),IF(VLOOKUP(INDIRECT($C$5),Jornada!$C$8:$H$37,6,0)&lt;AG16,0,ABS(VLOOKUP(INDIRECT($C$5),Jornada!$C$8:$H$37,6,0))-AG16),0))</f>
        <v>0</v>
      </c>
      <c r="AJ16" s="155">
        <f t="shared" si="5"/>
        <v>1</v>
      </c>
      <c r="AK16" s="155">
        <f t="shared" si="6"/>
        <v>0</v>
      </c>
      <c r="AL16" s="155">
        <f ca="1">HLOOKUP($F16,Jornada!$I$5:$V$37,VLOOKUP(INDIRECT($C$5),Jornada!$C$8:$W$37,21,0)+2,0)</f>
        <v>0</v>
      </c>
      <c r="AM16" s="155">
        <f ca="1">HLOOKUP($F16,Jornada!$I$4:$V$37,VLOOKUP(INDIRECT($C$5),Jornada!$C$8:$W$37,21,0)+3,0)</f>
        <v>0</v>
      </c>
      <c r="AN16" s="155">
        <f t="shared" ca="1" si="7"/>
        <v>0</v>
      </c>
      <c r="AO16" s="155">
        <f t="shared" si="8"/>
        <v>0</v>
      </c>
      <c r="AP16" s="155">
        <f t="shared" si="9"/>
        <v>0</v>
      </c>
      <c r="BE16" s="14"/>
      <c r="BF16" s="14"/>
      <c r="BG16" s="14"/>
    </row>
    <row r="17" spans="1:59" s="2" customFormat="1" ht="30" customHeight="1" thickTop="1" thickBot="1" x14ac:dyDescent="0.25">
      <c r="A17" s="1"/>
      <c r="B17"/>
      <c r="C17" s="172" t="str">
        <f>IF(Funcionários!C16=0,"",Funcionários!C16)</f>
        <v/>
      </c>
      <c r="D17"/>
      <c r="E17" s="115">
        <f>Lanç!E17</f>
        <v>10</v>
      </c>
      <c r="F17" s="189" t="str">
        <f>Lanç!F17</f>
        <v>Ter</v>
      </c>
      <c r="G17" s="81"/>
      <c r="H17" s="94"/>
      <c r="I17" s="94"/>
      <c r="J17" s="94"/>
      <c r="K17" s="94"/>
      <c r="L17" s="10"/>
      <c r="M17" s="95">
        <f t="shared" si="1"/>
        <v>0</v>
      </c>
      <c r="N17" s="96"/>
      <c r="O17" s="95">
        <f ca="1">IF(OR(G17=0,G17="Férias",G17="Falta Justificada",G17="Feriado",G17="Folga (DSR)"),0,IF(G17="Falta Injustificada",HLOOKUP($F17,Jornada!$X$7:$AD$37,VLOOKUP(INDIRECT($C$5),Jornada!$C$8:$W$37,21,0),0),IF(HLOOKUP($F17,Jornada!$X$7:$AD$37,VLOOKUP(INDIRECT($C$5),Jornada!$C$8:$W$37,21,0),0)-M17&gt;0,HLOOKUP($F17,Jornada!$X$7:$AD$37,VLOOKUP(INDIRECT($C$5),Jornada!$C$8:$W$37,21,0),0)-M17,0)))</f>
        <v>0</v>
      </c>
      <c r="P17" s="190">
        <f ca="1">IF(HLOOKUP($F17,Jornada!$X$7:$AD$37,VLOOKUP(INDIRECT($C$5),Jornada!$C$8:$W$37,21,0),0)-M17&lt;0,ABS(HLOOKUP($F17,Jornada!$X$7:$AD$37,VLOOKUP(INDIRECT($C$5),Jornada!$C$8:$W$37,21,0),0)-M17),0)</f>
        <v>0</v>
      </c>
      <c r="Q17" s="95">
        <f t="shared" si="0"/>
        <v>0</v>
      </c>
      <c r="R17" s="2">
        <f t="shared" si="2"/>
        <v>0</v>
      </c>
      <c r="S17" s="294"/>
      <c r="T17" s="294"/>
      <c r="U17" s="295"/>
      <c r="W17" s="2" t="s">
        <v>100</v>
      </c>
      <c r="X17" s="156">
        <v>11</v>
      </c>
      <c r="AB17" s="177">
        <f t="shared" si="10"/>
        <v>10</v>
      </c>
      <c r="AC17" s="2">
        <f t="shared" si="3"/>
        <v>3</v>
      </c>
      <c r="AG17" s="220">
        <f t="shared" si="4"/>
        <v>0</v>
      </c>
      <c r="AH17" s="220">
        <f ca="1">IF(HLOOKUP($F17,Jornada!$X$7:$AD$37,VLOOKUP(INDIRECT($C$5),Jornada!$C$8:$W$37,21,0),0)=0,0,VLOOKUP(INDIRECT($C$5),Jornada!$C$8:$H$37,4,0))</f>
        <v>0</v>
      </c>
      <c r="AI17" s="155">
        <f ca="1">IF(AND(I17=0,J17=0,OR(H17&lt;&gt;0,K17&lt;&gt;0),HLOOKUP($F17,Jornada!$X$7:$AD$37,VLOOKUP(INDIRECT($C$5),Jornada!$C$8:$W$37,21,0),0)&gt;$AK$5,M17&gt;$AK$5),VLOOKUP(INDIRECT($C$5),Jornada!$C$8:$H$37,6,0),IF(AG17&gt;VLOOKUP(INDIRECT($C$5),Jornada!$C$8:$H$37,6,0),IF(VLOOKUP(INDIRECT($C$5),Jornada!$C$8:$H$37,6,0)&lt;AG17,0,ABS(VLOOKUP(INDIRECT($C$5),Jornada!$C$8:$H$37,6,0))-AG17),0))</f>
        <v>0</v>
      </c>
      <c r="AJ17" s="155">
        <f t="shared" si="5"/>
        <v>1</v>
      </c>
      <c r="AK17" s="155">
        <f t="shared" si="6"/>
        <v>0</v>
      </c>
      <c r="AL17" s="155">
        <f ca="1">HLOOKUP($F17,Jornada!$I$5:$V$37,VLOOKUP(INDIRECT($C$5),Jornada!$C$8:$W$37,21,0)+2,0)</f>
        <v>0</v>
      </c>
      <c r="AM17" s="155">
        <f ca="1">HLOOKUP($F17,Jornada!$I$4:$V$37,VLOOKUP(INDIRECT($C$5),Jornada!$C$8:$W$37,21,0)+3,0)</f>
        <v>0</v>
      </c>
      <c r="AN17" s="155">
        <f t="shared" ca="1" si="7"/>
        <v>0</v>
      </c>
      <c r="AO17" s="155">
        <f t="shared" si="8"/>
        <v>0</v>
      </c>
      <c r="AP17" s="155">
        <f t="shared" si="9"/>
        <v>0</v>
      </c>
      <c r="BE17" s="14"/>
      <c r="BF17" s="14"/>
      <c r="BG17" s="14"/>
    </row>
    <row r="18" spans="1:59" s="2" customFormat="1" ht="30" customHeight="1" thickTop="1" thickBot="1" x14ac:dyDescent="0.25">
      <c r="A18" s="1"/>
      <c r="B18"/>
      <c r="C18" s="172" t="str">
        <f>IF(Funcionários!C17=0,"",Funcionários!C17)</f>
        <v/>
      </c>
      <c r="D18"/>
      <c r="E18" s="115">
        <f>Lanç!E18</f>
        <v>11</v>
      </c>
      <c r="F18" s="189" t="str">
        <f>Lanç!F18</f>
        <v>Qua</v>
      </c>
      <c r="G18" s="81"/>
      <c r="H18" s="94"/>
      <c r="I18" s="94"/>
      <c r="J18" s="94"/>
      <c r="K18" s="94"/>
      <c r="L18" s="10"/>
      <c r="M18" s="95">
        <f t="shared" si="1"/>
        <v>0</v>
      </c>
      <c r="N18" s="96"/>
      <c r="O18" s="95">
        <f ca="1">IF(OR(G18=0,G18="Férias",G18="Falta Justificada",G18="Feriado",G18="Folga (DSR)"),0,IF(G18="Falta Injustificada",HLOOKUP($F18,Jornada!$X$7:$AD$37,VLOOKUP(INDIRECT($C$5),Jornada!$C$8:$W$37,21,0),0),IF(HLOOKUP($F18,Jornada!$X$7:$AD$37,VLOOKUP(INDIRECT($C$5),Jornada!$C$8:$W$37,21,0),0)-M18&gt;0,HLOOKUP($F18,Jornada!$X$7:$AD$37,VLOOKUP(INDIRECT($C$5),Jornada!$C$8:$W$37,21,0),0)-M18,0)))</f>
        <v>0</v>
      </c>
      <c r="P18" s="190">
        <f ca="1">IF(HLOOKUP($F18,Jornada!$X$7:$AD$37,VLOOKUP(INDIRECT($C$5),Jornada!$C$8:$W$37,21,0),0)-M18&lt;0,ABS(HLOOKUP($F18,Jornada!$X$7:$AD$37,VLOOKUP(INDIRECT($C$5),Jornada!$C$8:$W$37,21,0),0)-M18),0)</f>
        <v>0</v>
      </c>
      <c r="Q18" s="95">
        <f t="shared" si="0"/>
        <v>0</v>
      </c>
      <c r="R18" s="2">
        <f t="shared" si="2"/>
        <v>0</v>
      </c>
      <c r="S18" s="294" t="s">
        <v>69</v>
      </c>
      <c r="T18" s="294"/>
      <c r="U18" s="299">
        <f ca="1">F54</f>
        <v>0</v>
      </c>
      <c r="W18" s="2" t="s">
        <v>101</v>
      </c>
      <c r="X18" s="156">
        <v>12</v>
      </c>
      <c r="AB18" s="177">
        <f t="shared" si="10"/>
        <v>11</v>
      </c>
      <c r="AC18" s="2">
        <f t="shared" si="3"/>
        <v>4</v>
      </c>
      <c r="AG18" s="220">
        <f t="shared" si="4"/>
        <v>0</v>
      </c>
      <c r="AH18" s="220">
        <f ca="1">IF(HLOOKUP($F18,Jornada!$X$7:$AD$37,VLOOKUP(INDIRECT($C$5),Jornada!$C$8:$W$37,21,0),0)=0,0,VLOOKUP(INDIRECT($C$5),Jornada!$C$8:$H$37,4,0))</f>
        <v>0</v>
      </c>
      <c r="AI18" s="155">
        <f ca="1">IF(AND(I18=0,J18=0,OR(H18&lt;&gt;0,K18&lt;&gt;0),HLOOKUP($F18,Jornada!$X$7:$AD$37,VLOOKUP(INDIRECT($C$5),Jornada!$C$8:$W$37,21,0),0)&gt;$AK$5,M18&gt;$AK$5),VLOOKUP(INDIRECT($C$5),Jornada!$C$8:$H$37,6,0),IF(AG18&gt;VLOOKUP(INDIRECT($C$5),Jornada!$C$8:$H$37,6,0),IF(VLOOKUP(INDIRECT($C$5),Jornada!$C$8:$H$37,6,0)&lt;AG18,0,ABS(VLOOKUP(INDIRECT($C$5),Jornada!$C$8:$H$37,6,0))-AG18),0))</f>
        <v>0</v>
      </c>
      <c r="AJ18" s="155">
        <f t="shared" si="5"/>
        <v>1</v>
      </c>
      <c r="AK18" s="155">
        <f t="shared" si="6"/>
        <v>0</v>
      </c>
      <c r="AL18" s="155">
        <f ca="1">HLOOKUP($F18,Jornada!$I$5:$V$37,VLOOKUP(INDIRECT($C$5),Jornada!$C$8:$W$37,21,0)+2,0)</f>
        <v>0</v>
      </c>
      <c r="AM18" s="155">
        <f ca="1">HLOOKUP($F18,Jornada!$I$4:$V$37,VLOOKUP(INDIRECT($C$5),Jornada!$C$8:$W$37,21,0)+3,0)</f>
        <v>0</v>
      </c>
      <c r="AN18" s="155">
        <f t="shared" ca="1" si="7"/>
        <v>0</v>
      </c>
      <c r="AO18" s="155">
        <f t="shared" si="8"/>
        <v>0</v>
      </c>
      <c r="AP18" s="155">
        <f t="shared" si="9"/>
        <v>0</v>
      </c>
      <c r="BE18" s="14"/>
      <c r="BF18" s="14"/>
      <c r="BG18" s="14"/>
    </row>
    <row r="19" spans="1:59" s="2" customFormat="1" ht="30" customHeight="1" thickTop="1" thickBot="1" x14ac:dyDescent="0.25">
      <c r="A19" s="1"/>
      <c r="B19"/>
      <c r="C19" s="172" t="str">
        <f>IF(Funcionários!C18=0,"",Funcionários!C18)</f>
        <v/>
      </c>
      <c r="D19"/>
      <c r="E19" s="115">
        <f>Lanç!E19</f>
        <v>12</v>
      </c>
      <c r="F19" s="189" t="str">
        <f>Lanç!F19</f>
        <v>Qui</v>
      </c>
      <c r="G19" s="81"/>
      <c r="H19" s="94"/>
      <c r="I19" s="94"/>
      <c r="J19" s="94"/>
      <c r="K19" s="94"/>
      <c r="L19" s="10"/>
      <c r="M19" s="95">
        <f t="shared" si="1"/>
        <v>0</v>
      </c>
      <c r="N19" s="96"/>
      <c r="O19" s="95">
        <f ca="1">IF(OR(G19=0,G19="Férias",G19="Falta Justificada",G19="Feriado",G19="Folga (DSR)"),0,IF(G19="Falta Injustificada",HLOOKUP($F19,Jornada!$X$7:$AD$37,VLOOKUP(INDIRECT($C$5),Jornada!$C$8:$W$37,21,0),0),IF(HLOOKUP($F19,Jornada!$X$7:$AD$37,VLOOKUP(INDIRECT($C$5),Jornada!$C$8:$W$37,21,0),0)-M19&gt;0,HLOOKUP($F19,Jornada!$X$7:$AD$37,VLOOKUP(INDIRECT($C$5),Jornada!$C$8:$W$37,21,0),0)-M19,0)))</f>
        <v>0</v>
      </c>
      <c r="P19" s="190">
        <f ca="1">IF(HLOOKUP($F19,Jornada!$X$7:$AD$37,VLOOKUP(INDIRECT($C$5),Jornada!$C$8:$W$37,21,0),0)-M19&lt;0,ABS(HLOOKUP($F19,Jornada!$X$7:$AD$37,VLOOKUP(INDIRECT($C$5),Jornada!$C$8:$W$37,21,0),0)-M19),0)</f>
        <v>0</v>
      </c>
      <c r="Q19" s="95">
        <f t="shared" si="0"/>
        <v>0</v>
      </c>
      <c r="R19" s="2">
        <f t="shared" si="2"/>
        <v>0</v>
      </c>
      <c r="S19" s="294"/>
      <c r="T19" s="294"/>
      <c r="U19" s="299"/>
      <c r="X19" s="177"/>
      <c r="AB19" s="177">
        <f t="shared" si="10"/>
        <v>12</v>
      </c>
      <c r="AC19" s="2">
        <f t="shared" si="3"/>
        <v>5</v>
      </c>
      <c r="AG19" s="220">
        <f t="shared" si="4"/>
        <v>0</v>
      </c>
      <c r="AH19" s="220">
        <f ca="1">IF(HLOOKUP($F19,Jornada!$X$7:$AD$37,VLOOKUP(INDIRECT($C$5),Jornada!$C$8:$W$37,21,0),0)=0,0,VLOOKUP(INDIRECT($C$5),Jornada!$C$8:$H$37,4,0))</f>
        <v>0</v>
      </c>
      <c r="AI19" s="155">
        <f ca="1">IF(AND(I19=0,J19=0,OR(H19&lt;&gt;0,K19&lt;&gt;0),HLOOKUP($F19,Jornada!$X$7:$AD$37,VLOOKUP(INDIRECT($C$5),Jornada!$C$8:$W$37,21,0),0)&gt;$AK$5,M19&gt;$AK$5),VLOOKUP(INDIRECT($C$5),Jornada!$C$8:$H$37,6,0),IF(AG19&gt;VLOOKUP(INDIRECT($C$5),Jornada!$C$8:$H$37,6,0),IF(VLOOKUP(INDIRECT($C$5),Jornada!$C$8:$H$37,6,0)&lt;AG19,0,ABS(VLOOKUP(INDIRECT($C$5),Jornada!$C$8:$H$37,6,0))-AG19),0))</f>
        <v>0</v>
      </c>
      <c r="AJ19" s="155">
        <f t="shared" si="5"/>
        <v>1</v>
      </c>
      <c r="AK19" s="155">
        <f t="shared" si="6"/>
        <v>0</v>
      </c>
      <c r="AL19" s="155">
        <f ca="1">HLOOKUP($F19,Jornada!$I$5:$V$37,VLOOKUP(INDIRECT($C$5),Jornada!$C$8:$W$37,21,0)+2,0)</f>
        <v>0</v>
      </c>
      <c r="AM19" s="155">
        <f ca="1">HLOOKUP($F19,Jornada!$I$4:$V$37,VLOOKUP(INDIRECT($C$5),Jornada!$C$8:$W$37,21,0)+3,0)</f>
        <v>0</v>
      </c>
      <c r="AN19" s="155">
        <f t="shared" ca="1" si="7"/>
        <v>0</v>
      </c>
      <c r="AO19" s="155">
        <f t="shared" si="8"/>
        <v>0</v>
      </c>
      <c r="AP19" s="155">
        <f t="shared" si="9"/>
        <v>0</v>
      </c>
      <c r="BE19" s="14"/>
      <c r="BF19" s="14"/>
      <c r="BG19" s="14"/>
    </row>
    <row r="20" spans="1:59" s="2" customFormat="1" ht="30" customHeight="1" thickTop="1" thickBot="1" x14ac:dyDescent="0.25">
      <c r="A20" s="1"/>
      <c r="B20"/>
      <c r="C20" s="172" t="str">
        <f>IF(Funcionários!C19=0,"",Funcionários!C19)</f>
        <v/>
      </c>
      <c r="D20"/>
      <c r="E20" s="115">
        <f>Lanç!E20</f>
        <v>13</v>
      </c>
      <c r="F20" s="189" t="str">
        <f>Lanç!F20</f>
        <v>Sex</v>
      </c>
      <c r="G20" s="81"/>
      <c r="H20" s="94"/>
      <c r="I20" s="94"/>
      <c r="J20" s="94"/>
      <c r="K20" s="94"/>
      <c r="L20" s="10"/>
      <c r="M20" s="95">
        <f t="shared" si="1"/>
        <v>0</v>
      </c>
      <c r="N20" s="96"/>
      <c r="O20" s="95">
        <f ca="1">IF(OR(G20=0,G20="Férias",G20="Falta Justificada",G20="Feriado",G20="Folga (DSR)"),0,IF(G20="Falta Injustificada",HLOOKUP($F20,Jornada!$X$7:$AD$37,VLOOKUP(INDIRECT($C$5),Jornada!$C$8:$W$37,21,0),0),IF(HLOOKUP($F20,Jornada!$X$7:$AD$37,VLOOKUP(INDIRECT($C$5),Jornada!$C$8:$W$37,21,0),0)-M20&gt;0,HLOOKUP($F20,Jornada!$X$7:$AD$37,VLOOKUP(INDIRECT($C$5),Jornada!$C$8:$W$37,21,0),0)-M20,0)))</f>
        <v>0</v>
      </c>
      <c r="P20" s="190">
        <f ca="1">IF(HLOOKUP($F20,Jornada!$X$7:$AD$37,VLOOKUP(INDIRECT($C$5),Jornada!$C$8:$W$37,21,0),0)-M20&lt;0,ABS(HLOOKUP($F20,Jornada!$X$7:$AD$37,VLOOKUP(INDIRECT($C$5),Jornada!$C$8:$W$37,21,0),0)-M20),0)</f>
        <v>0</v>
      </c>
      <c r="Q20" s="95">
        <f t="shared" si="0"/>
        <v>0</v>
      </c>
      <c r="R20" s="2">
        <f t="shared" si="2"/>
        <v>0</v>
      </c>
      <c r="S20"/>
      <c r="T20"/>
      <c r="U20"/>
      <c r="X20" s="177"/>
      <c r="AB20" s="177">
        <f t="shared" si="10"/>
        <v>13</v>
      </c>
      <c r="AC20" s="2">
        <f t="shared" si="3"/>
        <v>6</v>
      </c>
      <c r="AG20" s="220">
        <f t="shared" si="4"/>
        <v>0</v>
      </c>
      <c r="AH20" s="220">
        <f ca="1">IF(HLOOKUP($F20,Jornada!$X$7:$AD$37,VLOOKUP(INDIRECT($C$5),Jornada!$C$8:$W$37,21,0),0)=0,0,VLOOKUP(INDIRECT($C$5),Jornada!$C$8:$H$37,4,0))</f>
        <v>0</v>
      </c>
      <c r="AI20" s="155">
        <f ca="1">IF(AND(I20=0,J20=0,OR(H20&lt;&gt;0,K20&lt;&gt;0),HLOOKUP($F20,Jornada!$X$7:$AD$37,VLOOKUP(INDIRECT($C$5),Jornada!$C$8:$W$37,21,0),0)&gt;$AK$5,M20&gt;$AK$5),VLOOKUP(INDIRECT($C$5),Jornada!$C$8:$H$37,6,0),IF(AG20&gt;VLOOKUP(INDIRECT($C$5),Jornada!$C$8:$H$37,6,0),IF(VLOOKUP(INDIRECT($C$5),Jornada!$C$8:$H$37,6,0)&lt;AG20,0,ABS(VLOOKUP(INDIRECT($C$5),Jornada!$C$8:$H$37,6,0))-AG20),0))</f>
        <v>0</v>
      </c>
      <c r="AJ20" s="155">
        <f t="shared" si="5"/>
        <v>1</v>
      </c>
      <c r="AK20" s="155">
        <f t="shared" si="6"/>
        <v>0</v>
      </c>
      <c r="AL20" s="155">
        <f ca="1">HLOOKUP($F20,Jornada!$I$5:$V$37,VLOOKUP(INDIRECT($C$5),Jornada!$C$8:$W$37,21,0)+2,0)</f>
        <v>0</v>
      </c>
      <c r="AM20" s="155">
        <f ca="1">HLOOKUP($F20,Jornada!$I$4:$V$37,VLOOKUP(INDIRECT($C$5),Jornada!$C$8:$W$37,21,0)+3,0)</f>
        <v>0</v>
      </c>
      <c r="AN20" s="155">
        <f t="shared" ca="1" si="7"/>
        <v>0</v>
      </c>
      <c r="AO20" s="155">
        <f t="shared" si="8"/>
        <v>0</v>
      </c>
      <c r="AP20" s="155">
        <f t="shared" si="9"/>
        <v>0</v>
      </c>
      <c r="BE20" s="14"/>
      <c r="BF20" s="14"/>
      <c r="BG20" s="14"/>
    </row>
    <row r="21" spans="1:59" s="2" customFormat="1" ht="30" customHeight="1" thickTop="1" thickBot="1" x14ac:dyDescent="0.25">
      <c r="A21" s="1"/>
      <c r="B21"/>
      <c r="C21" s="172" t="str">
        <f>IF(Funcionários!C20=0,"",Funcionários!C20)</f>
        <v/>
      </c>
      <c r="D21"/>
      <c r="E21" s="115">
        <f>Lanç!E21</f>
        <v>14</v>
      </c>
      <c r="F21" s="189" t="str">
        <f>Lanç!F21</f>
        <v>Sáb</v>
      </c>
      <c r="G21" s="81"/>
      <c r="H21" s="94"/>
      <c r="I21" s="94"/>
      <c r="J21" s="94"/>
      <c r="K21" s="94"/>
      <c r="L21" s="10"/>
      <c r="M21" s="95">
        <f t="shared" si="1"/>
        <v>0</v>
      </c>
      <c r="N21" s="96"/>
      <c r="O21" s="95">
        <f ca="1">IF(OR(G21=0,G21="Férias",G21="Falta Justificada",G21="Feriado",G21="Folga (DSR)"),0,IF(G21="Falta Injustificada",HLOOKUP($F21,Jornada!$X$7:$AD$37,VLOOKUP(INDIRECT($C$5),Jornada!$C$8:$W$37,21,0),0),IF(HLOOKUP($F21,Jornada!$X$7:$AD$37,VLOOKUP(INDIRECT($C$5),Jornada!$C$8:$W$37,21,0),0)-M21&gt;0,HLOOKUP($F21,Jornada!$X$7:$AD$37,VLOOKUP(INDIRECT($C$5),Jornada!$C$8:$W$37,21,0),0)-M21,0)))</f>
        <v>0</v>
      </c>
      <c r="P21" s="190">
        <f ca="1">IF(HLOOKUP($F21,Jornada!$X$7:$AD$37,VLOOKUP(INDIRECT($C$5),Jornada!$C$8:$W$37,21,0),0)-M21&lt;0,ABS(HLOOKUP($F21,Jornada!$X$7:$AD$37,VLOOKUP(INDIRECT($C$5),Jornada!$C$8:$W$37,21,0),0)-M21),0)</f>
        <v>0</v>
      </c>
      <c r="Q21" s="95">
        <f t="shared" si="0"/>
        <v>0</v>
      </c>
      <c r="R21" s="2">
        <f t="shared" si="2"/>
        <v>0</v>
      </c>
      <c r="S21"/>
      <c r="T21"/>
      <c r="U21"/>
      <c r="X21" s="177"/>
      <c r="AB21" s="177">
        <f t="shared" si="10"/>
        <v>14</v>
      </c>
      <c r="AC21" s="2">
        <f t="shared" si="3"/>
        <v>7</v>
      </c>
      <c r="AG21" s="220">
        <f t="shared" si="4"/>
        <v>0</v>
      </c>
      <c r="AH21" s="220">
        <f ca="1">IF(HLOOKUP($F21,Jornada!$X$7:$AD$37,VLOOKUP(INDIRECT($C$5),Jornada!$C$8:$W$37,21,0),0)=0,0,VLOOKUP(INDIRECT($C$5),Jornada!$C$8:$H$37,4,0))</f>
        <v>0</v>
      </c>
      <c r="AI21" s="155">
        <f ca="1">IF(AND(I21=0,J21=0,OR(H21&lt;&gt;0,K21&lt;&gt;0),HLOOKUP($F21,Jornada!$X$7:$AD$37,VLOOKUP(INDIRECT($C$5),Jornada!$C$8:$W$37,21,0),0)&gt;$AK$5,M21&gt;$AK$5),VLOOKUP(INDIRECT($C$5),Jornada!$C$8:$H$37,6,0),IF(AG21&gt;VLOOKUP(INDIRECT($C$5),Jornada!$C$8:$H$37,6,0),IF(VLOOKUP(INDIRECT($C$5),Jornada!$C$8:$H$37,6,0)&lt;AG21,0,ABS(VLOOKUP(INDIRECT($C$5),Jornada!$C$8:$H$37,6,0))-AG21),0))</f>
        <v>0</v>
      </c>
      <c r="AJ21" s="155">
        <f t="shared" si="5"/>
        <v>1</v>
      </c>
      <c r="AK21" s="155">
        <f t="shared" si="6"/>
        <v>0</v>
      </c>
      <c r="AL21" s="155">
        <f ca="1">HLOOKUP($F21,Jornada!$I$5:$V$37,VLOOKUP(INDIRECT($C$5),Jornada!$C$8:$W$37,21,0)+2,0)</f>
        <v>0</v>
      </c>
      <c r="AM21" s="155">
        <f ca="1">HLOOKUP($F21,Jornada!$I$4:$V$37,VLOOKUP(INDIRECT($C$5),Jornada!$C$8:$W$37,21,0)+3,0)</f>
        <v>0</v>
      </c>
      <c r="AN21" s="155">
        <f t="shared" ca="1" si="7"/>
        <v>0</v>
      </c>
      <c r="AO21" s="155">
        <f t="shared" si="8"/>
        <v>0</v>
      </c>
      <c r="AP21" s="155">
        <f t="shared" si="9"/>
        <v>0</v>
      </c>
      <c r="BE21" s="14"/>
      <c r="BF21" s="14"/>
      <c r="BG21" s="14"/>
    </row>
    <row r="22" spans="1:59" s="2" customFormat="1" ht="30" customHeight="1" thickTop="1" thickBot="1" x14ac:dyDescent="0.25">
      <c r="A22" s="1"/>
      <c r="B22"/>
      <c r="C22" s="172" t="str">
        <f>IF(Funcionários!C21=0,"",Funcionários!C21)</f>
        <v/>
      </c>
      <c r="D22"/>
      <c r="E22" s="115">
        <f>Lanç!E22</f>
        <v>15</v>
      </c>
      <c r="F22" s="189" t="str">
        <f>Lanç!F22</f>
        <v>Dom</v>
      </c>
      <c r="G22" s="81"/>
      <c r="H22" s="94"/>
      <c r="I22" s="94"/>
      <c r="J22" s="94"/>
      <c r="K22" s="94"/>
      <c r="L22" s="10"/>
      <c r="M22" s="95">
        <f t="shared" si="1"/>
        <v>0</v>
      </c>
      <c r="N22" s="96"/>
      <c r="O22" s="95">
        <f ca="1">IF(OR(G22=0,G22="Férias",G22="Falta Justificada",G22="Feriado",G22="Folga (DSR)"),0,IF(G22="Falta Injustificada",HLOOKUP($F22,Jornada!$X$7:$AD$37,VLOOKUP(INDIRECT($C$5),Jornada!$C$8:$W$37,21,0),0),IF(HLOOKUP($F22,Jornada!$X$7:$AD$37,VLOOKUP(INDIRECT($C$5),Jornada!$C$8:$W$37,21,0),0)-M22&gt;0,HLOOKUP($F22,Jornada!$X$7:$AD$37,VLOOKUP(INDIRECT($C$5),Jornada!$C$8:$W$37,21,0),0)-M22,0)))</f>
        <v>0</v>
      </c>
      <c r="P22" s="190">
        <f ca="1">IF(HLOOKUP($F22,Jornada!$X$7:$AD$37,VLOOKUP(INDIRECT($C$5),Jornada!$C$8:$W$37,21,0),0)-M22&lt;0,ABS(HLOOKUP($F22,Jornada!$X$7:$AD$37,VLOOKUP(INDIRECT($C$5),Jornada!$C$8:$W$37,21,0),0)-M22),0)</f>
        <v>0</v>
      </c>
      <c r="Q22" s="95">
        <f t="shared" si="0"/>
        <v>0</v>
      </c>
      <c r="R22" s="2">
        <f t="shared" si="2"/>
        <v>0</v>
      </c>
      <c r="S22" s="300" t="s">
        <v>63</v>
      </c>
      <c r="T22" s="301"/>
      <c r="U22" s="302"/>
      <c r="X22" s="177"/>
      <c r="AB22" s="177">
        <f t="shared" si="10"/>
        <v>15</v>
      </c>
      <c r="AC22" s="2">
        <f t="shared" si="3"/>
        <v>1</v>
      </c>
      <c r="AG22" s="220">
        <f t="shared" si="4"/>
        <v>0</v>
      </c>
      <c r="AH22" s="220">
        <f ca="1">IF(HLOOKUP($F22,Jornada!$X$7:$AD$37,VLOOKUP(INDIRECT($C$5),Jornada!$C$8:$W$37,21,0),0)=0,0,VLOOKUP(INDIRECT($C$5),Jornada!$C$8:$H$37,4,0))</f>
        <v>0</v>
      </c>
      <c r="AI22" s="155">
        <f ca="1">IF(AND(I22=0,J22=0,OR(H22&lt;&gt;0,K22&lt;&gt;0),HLOOKUP($F22,Jornada!$X$7:$AD$37,VLOOKUP(INDIRECT($C$5),Jornada!$C$8:$W$37,21,0),0)&gt;$AK$5,M22&gt;$AK$5),VLOOKUP(INDIRECT($C$5),Jornada!$C$8:$H$37,6,0),IF(AG22&gt;VLOOKUP(INDIRECT($C$5),Jornada!$C$8:$H$37,6,0),IF(VLOOKUP(INDIRECT($C$5),Jornada!$C$8:$H$37,6,0)&lt;AG22,0,ABS(VLOOKUP(INDIRECT($C$5),Jornada!$C$8:$H$37,6,0))-AG22),0))</f>
        <v>0</v>
      </c>
      <c r="AJ22" s="155">
        <f t="shared" si="5"/>
        <v>1</v>
      </c>
      <c r="AK22" s="155">
        <f t="shared" si="6"/>
        <v>0</v>
      </c>
      <c r="AL22" s="155">
        <f ca="1">HLOOKUP($F22,Jornada!$I$5:$V$37,VLOOKUP(INDIRECT($C$5),Jornada!$C$8:$W$37,21,0)+2,0)</f>
        <v>0</v>
      </c>
      <c r="AM22" s="155">
        <f ca="1">HLOOKUP($F22,Jornada!$I$4:$V$37,VLOOKUP(INDIRECT($C$5),Jornada!$C$8:$W$37,21,0)+3,0)</f>
        <v>0</v>
      </c>
      <c r="AN22" s="155">
        <f t="shared" ca="1" si="7"/>
        <v>0</v>
      </c>
      <c r="AO22" s="155">
        <f t="shared" si="8"/>
        <v>0</v>
      </c>
      <c r="AP22" s="155">
        <f t="shared" si="9"/>
        <v>0</v>
      </c>
      <c r="BE22" s="14"/>
      <c r="BF22" s="14"/>
      <c r="BG22" s="14"/>
    </row>
    <row r="23" spans="1:59" s="2" customFormat="1" ht="30" customHeight="1" thickTop="1" thickBot="1" x14ac:dyDescent="0.25">
      <c r="A23" s="1"/>
      <c r="B23"/>
      <c r="C23" s="172" t="str">
        <f>IF(Funcionários!C22=0,"",Funcionários!C22)</f>
        <v/>
      </c>
      <c r="D23"/>
      <c r="E23" s="115">
        <f>Lanç!E23</f>
        <v>16</v>
      </c>
      <c r="F23" s="189" t="str">
        <f>Lanç!F23</f>
        <v>Seg</v>
      </c>
      <c r="G23" s="81"/>
      <c r="H23" s="94"/>
      <c r="I23" s="94"/>
      <c r="J23" s="94"/>
      <c r="K23" s="94"/>
      <c r="L23" s="10"/>
      <c r="M23" s="95">
        <f t="shared" si="1"/>
        <v>0</v>
      </c>
      <c r="N23" s="96"/>
      <c r="O23" s="95">
        <f ca="1">IF(OR(G23=0,G23="Férias",G23="Falta Justificada",G23="Feriado",G23="Folga (DSR)"),0,IF(G23="Falta Injustificada",HLOOKUP($F23,Jornada!$X$7:$AD$37,VLOOKUP(INDIRECT($C$5),Jornada!$C$8:$W$37,21,0),0),IF(HLOOKUP($F23,Jornada!$X$7:$AD$37,VLOOKUP(INDIRECT($C$5),Jornada!$C$8:$W$37,21,0),0)-M23&gt;0,HLOOKUP($F23,Jornada!$X$7:$AD$37,VLOOKUP(INDIRECT($C$5),Jornada!$C$8:$W$37,21,0),0)-M23,0)))</f>
        <v>0</v>
      </c>
      <c r="P23" s="190">
        <f ca="1">IF(HLOOKUP($F23,Jornada!$X$7:$AD$37,VLOOKUP(INDIRECT($C$5),Jornada!$C$8:$W$37,21,0),0)-M23&lt;0,ABS(HLOOKUP($F23,Jornada!$X$7:$AD$37,VLOOKUP(INDIRECT($C$5),Jornada!$C$8:$W$37,21,0),0)-M23),0)</f>
        <v>0</v>
      </c>
      <c r="Q23" s="95">
        <f t="shared" si="0"/>
        <v>0</v>
      </c>
      <c r="R23" s="2">
        <f t="shared" si="2"/>
        <v>0</v>
      </c>
      <c r="S23" s="296" t="str">
        <f>IF(SUM(R8:R38)&gt;0,"Segundo o art 59 da CLT, o máximo de horas extras permitidas por dia são 2 horas.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T23" s="297"/>
      <c r="U23" s="298"/>
      <c r="X23" s="177"/>
      <c r="AB23" s="177">
        <f t="shared" si="10"/>
        <v>16</v>
      </c>
      <c r="AC23" s="2">
        <f t="shared" si="3"/>
        <v>2</v>
      </c>
      <c r="AG23" s="220">
        <f t="shared" si="4"/>
        <v>0</v>
      </c>
      <c r="AH23" s="220">
        <f ca="1">IF(HLOOKUP($F23,Jornada!$X$7:$AD$37,VLOOKUP(INDIRECT($C$5),Jornada!$C$8:$W$37,21,0),0)=0,0,VLOOKUP(INDIRECT($C$5),Jornada!$C$8:$H$37,4,0))</f>
        <v>0</v>
      </c>
      <c r="AI23" s="155">
        <f ca="1">IF(AND(I23=0,J23=0,OR(H23&lt;&gt;0,K23&lt;&gt;0),HLOOKUP($F23,Jornada!$X$7:$AD$37,VLOOKUP(INDIRECT($C$5),Jornada!$C$8:$W$37,21,0),0)&gt;$AK$5,M23&gt;$AK$5),VLOOKUP(INDIRECT($C$5),Jornada!$C$8:$H$37,6,0),IF(AG23&gt;VLOOKUP(INDIRECT($C$5),Jornada!$C$8:$H$37,6,0),IF(VLOOKUP(INDIRECT($C$5),Jornada!$C$8:$H$37,6,0)&lt;AG23,0,ABS(VLOOKUP(INDIRECT($C$5),Jornada!$C$8:$H$37,6,0))-AG23),0))</f>
        <v>0</v>
      </c>
      <c r="AJ23" s="155">
        <f t="shared" si="5"/>
        <v>1</v>
      </c>
      <c r="AK23" s="155">
        <f t="shared" si="6"/>
        <v>0</v>
      </c>
      <c r="AL23" s="155">
        <f ca="1">HLOOKUP($F23,Jornada!$I$5:$V$37,VLOOKUP(INDIRECT($C$5),Jornada!$C$8:$W$37,21,0)+2,0)</f>
        <v>0</v>
      </c>
      <c r="AM23" s="155">
        <f ca="1">HLOOKUP($F23,Jornada!$I$4:$V$37,VLOOKUP(INDIRECT($C$5),Jornada!$C$8:$W$37,21,0)+3,0)</f>
        <v>0</v>
      </c>
      <c r="AN23" s="155">
        <f t="shared" ca="1" si="7"/>
        <v>0</v>
      </c>
      <c r="AO23" s="155">
        <f t="shared" si="8"/>
        <v>0</v>
      </c>
      <c r="AP23" s="155">
        <f t="shared" si="9"/>
        <v>0</v>
      </c>
      <c r="BE23" s="14"/>
      <c r="BF23" s="14"/>
      <c r="BG23" s="14"/>
    </row>
    <row r="24" spans="1:59" s="2" customFormat="1" ht="30" customHeight="1" thickTop="1" thickBot="1" x14ac:dyDescent="0.25">
      <c r="A24" s="1"/>
      <c r="B24"/>
      <c r="C24" s="171" t="str">
        <f>IF(Funcionários!C23=0,"",Funcionários!C23)</f>
        <v/>
      </c>
      <c r="D24"/>
      <c r="E24" s="115">
        <f>Lanç!E24</f>
        <v>17</v>
      </c>
      <c r="F24" s="189" t="str">
        <f>Lanç!F24</f>
        <v>Ter</v>
      </c>
      <c r="G24" s="81"/>
      <c r="H24" s="94"/>
      <c r="I24" s="94"/>
      <c r="J24" s="94"/>
      <c r="K24" s="94"/>
      <c r="L24" s="10"/>
      <c r="M24" s="95">
        <f t="shared" si="1"/>
        <v>0</v>
      </c>
      <c r="N24" s="96"/>
      <c r="O24" s="95">
        <f ca="1">IF(OR(G24=0,G24="Férias",G24="Falta Justificada",G24="Feriado",G24="Folga (DSR)"),0,IF(G24="Falta Injustificada",HLOOKUP($F24,Jornada!$X$7:$AD$37,VLOOKUP(INDIRECT($C$5),Jornada!$C$8:$W$37,21,0),0),IF(HLOOKUP($F24,Jornada!$X$7:$AD$37,VLOOKUP(INDIRECT($C$5),Jornada!$C$8:$W$37,21,0),0)-M24&gt;0,HLOOKUP($F24,Jornada!$X$7:$AD$37,VLOOKUP(INDIRECT($C$5),Jornada!$C$8:$W$37,21,0),0)-M24,0)))</f>
        <v>0</v>
      </c>
      <c r="P24" s="190">
        <f ca="1">IF(HLOOKUP($F24,Jornada!$X$7:$AD$37,VLOOKUP(INDIRECT($C$5),Jornada!$C$8:$W$37,21,0),0)-M24&lt;0,ABS(HLOOKUP($F24,Jornada!$X$7:$AD$37,VLOOKUP(INDIRECT($C$5),Jornada!$C$8:$W$37,21,0),0)-M24),0)</f>
        <v>0</v>
      </c>
      <c r="Q24" s="95">
        <f t="shared" si="0"/>
        <v>0</v>
      </c>
      <c r="R24" s="2">
        <f t="shared" si="2"/>
        <v>0</v>
      </c>
      <c r="S24" s="296"/>
      <c r="T24" s="297"/>
      <c r="U24" s="298"/>
      <c r="X24" s="177"/>
      <c r="AB24" s="177">
        <f t="shared" si="10"/>
        <v>17</v>
      </c>
      <c r="AC24" s="2">
        <f t="shared" si="3"/>
        <v>3</v>
      </c>
      <c r="AG24" s="220">
        <f t="shared" si="4"/>
        <v>0</v>
      </c>
      <c r="AH24" s="220">
        <f ca="1">IF(HLOOKUP($F24,Jornada!$X$7:$AD$37,VLOOKUP(INDIRECT($C$5),Jornada!$C$8:$W$37,21,0),0)=0,0,VLOOKUP(INDIRECT($C$5),Jornada!$C$8:$H$37,4,0))</f>
        <v>0</v>
      </c>
      <c r="AI24" s="155">
        <f ca="1">IF(AND(I24=0,J24=0,OR(H24&lt;&gt;0,K24&lt;&gt;0),HLOOKUP($F24,Jornada!$X$7:$AD$37,VLOOKUP(INDIRECT($C$5),Jornada!$C$8:$W$37,21,0),0)&gt;$AK$5,M24&gt;$AK$5),VLOOKUP(INDIRECT($C$5),Jornada!$C$8:$H$37,6,0),IF(AG24&gt;VLOOKUP(INDIRECT($C$5),Jornada!$C$8:$H$37,6,0),IF(VLOOKUP(INDIRECT($C$5),Jornada!$C$8:$H$37,6,0)&lt;AG24,0,ABS(VLOOKUP(INDIRECT($C$5),Jornada!$C$8:$H$37,6,0))-AG24),0))</f>
        <v>0</v>
      </c>
      <c r="AJ24" s="155">
        <f t="shared" si="5"/>
        <v>1</v>
      </c>
      <c r="AK24" s="155">
        <f t="shared" si="6"/>
        <v>0</v>
      </c>
      <c r="AL24" s="155">
        <f ca="1">HLOOKUP($F24,Jornada!$I$5:$V$37,VLOOKUP(INDIRECT($C$5),Jornada!$C$8:$W$37,21,0)+2,0)</f>
        <v>0</v>
      </c>
      <c r="AM24" s="155">
        <f ca="1">HLOOKUP($F24,Jornada!$I$4:$V$37,VLOOKUP(INDIRECT($C$5),Jornada!$C$8:$W$37,21,0)+3,0)</f>
        <v>0</v>
      </c>
      <c r="AN24" s="155">
        <f t="shared" ca="1" si="7"/>
        <v>0</v>
      </c>
      <c r="AO24" s="155">
        <f t="shared" si="8"/>
        <v>0</v>
      </c>
      <c r="AP24" s="155">
        <f t="shared" si="9"/>
        <v>0</v>
      </c>
      <c r="BE24" s="14"/>
      <c r="BF24" s="14"/>
      <c r="BG24" s="14"/>
    </row>
    <row r="25" spans="1:59" s="2" customFormat="1" ht="30" customHeight="1" thickTop="1" thickBot="1" x14ac:dyDescent="0.25">
      <c r="A25" s="1"/>
      <c r="B25"/>
      <c r="C25" s="172" t="str">
        <f>IF(Funcionários!C24=0,"",Funcionários!C24)</f>
        <v/>
      </c>
      <c r="D25"/>
      <c r="E25" s="115">
        <f>Lanç!E25</f>
        <v>18</v>
      </c>
      <c r="F25" s="189" t="str">
        <f>Lanç!F25</f>
        <v>Qua</v>
      </c>
      <c r="G25" s="81"/>
      <c r="H25" s="94"/>
      <c r="I25" s="94"/>
      <c r="J25" s="94"/>
      <c r="K25" s="94"/>
      <c r="L25" s="10"/>
      <c r="M25" s="95">
        <f t="shared" si="1"/>
        <v>0</v>
      </c>
      <c r="N25" s="96"/>
      <c r="O25" s="95">
        <f ca="1">IF(OR(G25=0,G25="Férias",G25="Falta Justificada",G25="Feriado",G25="Folga (DSR)"),0,IF(G25="Falta Injustificada",HLOOKUP($F25,Jornada!$X$7:$AD$37,VLOOKUP(INDIRECT($C$5),Jornada!$C$8:$W$37,21,0),0),IF(HLOOKUP($F25,Jornada!$X$7:$AD$37,VLOOKUP(INDIRECT($C$5),Jornada!$C$8:$W$37,21,0),0)-M25&gt;0,HLOOKUP($F25,Jornada!$X$7:$AD$37,VLOOKUP(INDIRECT($C$5),Jornada!$C$8:$W$37,21,0),0)-M25,0)))</f>
        <v>0</v>
      </c>
      <c r="P25" s="190">
        <f ca="1">IF(HLOOKUP($F25,Jornada!$X$7:$AD$37,VLOOKUP(INDIRECT($C$5),Jornada!$C$8:$W$37,21,0),0)-M25&lt;0,ABS(HLOOKUP($F25,Jornada!$X$7:$AD$37,VLOOKUP(INDIRECT($C$5),Jornada!$C$8:$W$37,21,0),0)-M25),0)</f>
        <v>0</v>
      </c>
      <c r="Q25" s="95">
        <f t="shared" si="0"/>
        <v>0</v>
      </c>
      <c r="R25" s="2">
        <f t="shared" si="2"/>
        <v>0</v>
      </c>
      <c r="S25" s="296"/>
      <c r="T25" s="297"/>
      <c r="U25" s="298"/>
      <c r="X25" s="177"/>
      <c r="Z25" s="2">
        <f>IF(SUM(R8:R38)&gt;0,1,0)</f>
        <v>0</v>
      </c>
      <c r="AB25" s="177">
        <f t="shared" si="10"/>
        <v>18</v>
      </c>
      <c r="AC25" s="2">
        <f t="shared" si="3"/>
        <v>4</v>
      </c>
      <c r="AG25" s="220">
        <f t="shared" si="4"/>
        <v>0</v>
      </c>
      <c r="AH25" s="220">
        <f ca="1">IF(HLOOKUP($F25,Jornada!$X$7:$AD$37,VLOOKUP(INDIRECT($C$5),Jornada!$C$8:$W$37,21,0),0)=0,0,VLOOKUP(INDIRECT($C$5),Jornada!$C$8:$H$37,4,0))</f>
        <v>0</v>
      </c>
      <c r="AI25" s="155">
        <f ca="1">IF(AND(I25=0,J25=0,OR(H25&lt;&gt;0,K25&lt;&gt;0),HLOOKUP($F25,Jornada!$X$7:$AD$37,VLOOKUP(INDIRECT($C$5),Jornada!$C$8:$W$37,21,0),0)&gt;$AK$5,M25&gt;$AK$5),VLOOKUP(INDIRECT($C$5),Jornada!$C$8:$H$37,6,0),IF(AG25&gt;VLOOKUP(INDIRECT($C$5),Jornada!$C$8:$H$37,6,0),IF(VLOOKUP(INDIRECT($C$5),Jornada!$C$8:$H$37,6,0)&lt;AG25,0,ABS(VLOOKUP(INDIRECT($C$5),Jornada!$C$8:$H$37,6,0))-AG25),0))</f>
        <v>0</v>
      </c>
      <c r="AJ25" s="155">
        <f t="shared" si="5"/>
        <v>1</v>
      </c>
      <c r="AK25" s="155">
        <f t="shared" si="6"/>
        <v>0</v>
      </c>
      <c r="AL25" s="155">
        <f ca="1">HLOOKUP($F25,Jornada!$I$5:$V$37,VLOOKUP(INDIRECT($C$5),Jornada!$C$8:$W$37,21,0)+2,0)</f>
        <v>0</v>
      </c>
      <c r="AM25" s="155">
        <f ca="1">HLOOKUP($F25,Jornada!$I$4:$V$37,VLOOKUP(INDIRECT($C$5),Jornada!$C$8:$W$37,21,0)+3,0)</f>
        <v>0</v>
      </c>
      <c r="AN25" s="155">
        <f t="shared" ca="1" si="7"/>
        <v>0</v>
      </c>
      <c r="AO25" s="155">
        <f t="shared" si="8"/>
        <v>0</v>
      </c>
      <c r="AP25" s="155">
        <f t="shared" si="9"/>
        <v>0</v>
      </c>
      <c r="BE25" s="14"/>
      <c r="BF25" s="14"/>
      <c r="BG25" s="14"/>
    </row>
    <row r="26" spans="1:59" s="2" customFormat="1" ht="30" customHeight="1" thickTop="1" thickBot="1" x14ac:dyDescent="0.25">
      <c r="A26" s="1"/>
      <c r="B26"/>
      <c r="C26" s="172" t="str">
        <f>IF(Funcionários!C25=0,"",Funcionários!C25)</f>
        <v/>
      </c>
      <c r="D26"/>
      <c r="E26" s="115">
        <f>Lanç!E26</f>
        <v>19</v>
      </c>
      <c r="F26" s="189" t="str">
        <f>Lanç!F26</f>
        <v>Qui</v>
      </c>
      <c r="G26" s="81"/>
      <c r="H26" s="94"/>
      <c r="I26" s="94"/>
      <c r="J26" s="94"/>
      <c r="K26" s="94"/>
      <c r="L26" s="10"/>
      <c r="M26" s="95">
        <f t="shared" si="1"/>
        <v>0</v>
      </c>
      <c r="N26" s="96"/>
      <c r="O26" s="95">
        <f ca="1">IF(OR(G26=0,G26="Férias",G26="Falta Justificada",G26="Feriado",G26="Folga (DSR)"),0,IF(G26="Falta Injustificada",HLOOKUP($F26,Jornada!$X$7:$AD$37,VLOOKUP(INDIRECT($C$5),Jornada!$C$8:$W$37,21,0),0),IF(HLOOKUP($F26,Jornada!$X$7:$AD$37,VLOOKUP(INDIRECT($C$5),Jornada!$C$8:$W$37,21,0),0)-M26&gt;0,HLOOKUP($F26,Jornada!$X$7:$AD$37,VLOOKUP(INDIRECT($C$5),Jornada!$C$8:$W$37,21,0),0)-M26,0)))</f>
        <v>0</v>
      </c>
      <c r="P26" s="190">
        <f ca="1">IF(HLOOKUP($F26,Jornada!$X$7:$AD$37,VLOOKUP(INDIRECT($C$5),Jornada!$C$8:$W$37,21,0),0)-M26&lt;0,ABS(HLOOKUP($F26,Jornada!$X$7:$AD$37,VLOOKUP(INDIRECT($C$5),Jornada!$C$8:$W$37,21,0),0)-M26),0)</f>
        <v>0</v>
      </c>
      <c r="Q26" s="95">
        <f t="shared" si="0"/>
        <v>0</v>
      </c>
      <c r="R26" s="2">
        <f t="shared" si="2"/>
        <v>0</v>
      </c>
      <c r="S26" s="296" t="str">
        <f>IF(COUNTIF(G8:G38,"Folga (DSR)")&lt;DAY(E39)/8,"O mês não está contemplando um DSR (Descanso Semanal Remunerado) por semana. Isso pode configurar uma irregularidade segundo as leis trabalhistas.","Parabéns!! Sua folha de pagamento contempla uma DSR por semana conforme a lei trabalhista.")</f>
        <v>O mês não está contemplando um DSR (Descanso Semanal Remunerado) por semana. Isso pode configurar uma irregularidade segundo as leis trabalhistas.</v>
      </c>
      <c r="T26" s="297"/>
      <c r="U26" s="298"/>
      <c r="X26" s="177"/>
      <c r="AB26" s="177">
        <f t="shared" si="10"/>
        <v>19</v>
      </c>
      <c r="AC26" s="2">
        <f t="shared" si="3"/>
        <v>5</v>
      </c>
      <c r="AG26" s="220">
        <f t="shared" si="4"/>
        <v>0</v>
      </c>
      <c r="AH26" s="220">
        <f ca="1">IF(HLOOKUP($F26,Jornada!$X$7:$AD$37,VLOOKUP(INDIRECT($C$5),Jornada!$C$8:$W$37,21,0),0)=0,0,VLOOKUP(INDIRECT($C$5),Jornada!$C$8:$H$37,4,0))</f>
        <v>0</v>
      </c>
      <c r="AI26" s="155">
        <f ca="1">IF(AND(I26=0,J26=0,OR(H26&lt;&gt;0,K26&lt;&gt;0),HLOOKUP($F26,Jornada!$X$7:$AD$37,VLOOKUP(INDIRECT($C$5),Jornada!$C$8:$W$37,21,0),0)&gt;$AK$5,M26&gt;$AK$5),VLOOKUP(INDIRECT($C$5),Jornada!$C$8:$H$37,6,0),IF(AG26&gt;VLOOKUP(INDIRECT($C$5),Jornada!$C$8:$H$37,6,0),IF(VLOOKUP(INDIRECT($C$5),Jornada!$C$8:$H$37,6,0)&lt;AG26,0,ABS(VLOOKUP(INDIRECT($C$5),Jornada!$C$8:$H$37,6,0))-AG26),0))</f>
        <v>0</v>
      </c>
      <c r="AJ26" s="155">
        <f t="shared" si="5"/>
        <v>1</v>
      </c>
      <c r="AK26" s="155">
        <f t="shared" si="6"/>
        <v>0</v>
      </c>
      <c r="AL26" s="155">
        <f ca="1">HLOOKUP($F26,Jornada!$I$5:$V$37,VLOOKUP(INDIRECT($C$5),Jornada!$C$8:$W$37,21,0)+2,0)</f>
        <v>0</v>
      </c>
      <c r="AM26" s="155">
        <f ca="1">HLOOKUP($F26,Jornada!$I$4:$V$37,VLOOKUP(INDIRECT($C$5),Jornada!$C$8:$W$37,21,0)+3,0)</f>
        <v>0</v>
      </c>
      <c r="AN26" s="155">
        <f t="shared" ca="1" si="7"/>
        <v>0</v>
      </c>
      <c r="AO26" s="155">
        <f t="shared" si="8"/>
        <v>0</v>
      </c>
      <c r="AP26" s="155">
        <f t="shared" si="9"/>
        <v>0</v>
      </c>
      <c r="BE26" s="14"/>
      <c r="BF26" s="14"/>
      <c r="BG26" s="14"/>
    </row>
    <row r="27" spans="1:59" s="2" customFormat="1" ht="30" customHeight="1" thickTop="1" thickBot="1" x14ac:dyDescent="0.25">
      <c r="A27" s="1"/>
      <c r="B27"/>
      <c r="C27" s="172" t="str">
        <f>IF(Funcionários!C26=0,"",Funcionários!C26)</f>
        <v/>
      </c>
      <c r="D27"/>
      <c r="E27" s="115">
        <f>Lanç!E27</f>
        <v>20</v>
      </c>
      <c r="F27" s="189" t="str">
        <f>Lanç!F27</f>
        <v>Sex</v>
      </c>
      <c r="G27" s="81"/>
      <c r="H27" s="94"/>
      <c r="I27" s="94"/>
      <c r="J27" s="94"/>
      <c r="K27" s="94"/>
      <c r="L27" s="10"/>
      <c r="M27" s="95">
        <f t="shared" si="1"/>
        <v>0</v>
      </c>
      <c r="N27" s="96"/>
      <c r="O27" s="95">
        <f ca="1">IF(OR(G27=0,G27="Férias",G27="Falta Justificada",G27="Feriado",G27="Folga (DSR)"),0,IF(G27="Falta Injustificada",HLOOKUP($F27,Jornada!$X$7:$AD$37,VLOOKUP(INDIRECT($C$5),Jornada!$C$8:$W$37,21,0),0),IF(HLOOKUP($F27,Jornada!$X$7:$AD$37,VLOOKUP(INDIRECT($C$5),Jornada!$C$8:$W$37,21,0),0)-M27&gt;0,HLOOKUP($F27,Jornada!$X$7:$AD$37,VLOOKUP(INDIRECT($C$5),Jornada!$C$8:$W$37,21,0),0)-M27,0)))</f>
        <v>0</v>
      </c>
      <c r="P27" s="190">
        <f ca="1">IF(HLOOKUP($F27,Jornada!$X$7:$AD$37,VLOOKUP(INDIRECT($C$5),Jornada!$C$8:$W$37,21,0),0)-M27&lt;0,ABS(HLOOKUP($F27,Jornada!$X$7:$AD$37,VLOOKUP(INDIRECT($C$5),Jornada!$C$8:$W$37,21,0),0)-M27),0)</f>
        <v>0</v>
      </c>
      <c r="Q27" s="95">
        <f t="shared" si="0"/>
        <v>0</v>
      </c>
      <c r="R27" s="2">
        <f t="shared" si="2"/>
        <v>0</v>
      </c>
      <c r="S27" s="296"/>
      <c r="T27" s="297"/>
      <c r="U27" s="298"/>
      <c r="X27" s="177"/>
      <c r="AB27" s="177">
        <f t="shared" si="10"/>
        <v>20</v>
      </c>
      <c r="AC27" s="2">
        <f t="shared" si="3"/>
        <v>6</v>
      </c>
      <c r="AG27" s="220">
        <f t="shared" si="4"/>
        <v>0</v>
      </c>
      <c r="AH27" s="220">
        <f ca="1">IF(HLOOKUP($F27,Jornada!$X$7:$AD$37,VLOOKUP(INDIRECT($C$5),Jornada!$C$8:$W$37,21,0),0)=0,0,VLOOKUP(INDIRECT($C$5),Jornada!$C$8:$H$37,4,0))</f>
        <v>0</v>
      </c>
      <c r="AI27" s="155">
        <f ca="1">IF(AND(I27=0,J27=0,OR(H27&lt;&gt;0,K27&lt;&gt;0),HLOOKUP($F27,Jornada!$X$7:$AD$37,VLOOKUP(INDIRECT($C$5),Jornada!$C$8:$W$37,21,0),0)&gt;$AK$5,M27&gt;$AK$5),VLOOKUP(INDIRECT($C$5),Jornada!$C$8:$H$37,6,0),IF(AG27&gt;VLOOKUP(INDIRECT($C$5),Jornada!$C$8:$H$37,6,0),IF(VLOOKUP(INDIRECT($C$5),Jornada!$C$8:$H$37,6,0)&lt;AG27,0,ABS(VLOOKUP(INDIRECT($C$5),Jornada!$C$8:$H$37,6,0))-AG27),0))</f>
        <v>0</v>
      </c>
      <c r="AJ27" s="155">
        <f t="shared" si="5"/>
        <v>1</v>
      </c>
      <c r="AK27" s="155">
        <f t="shared" si="6"/>
        <v>0</v>
      </c>
      <c r="AL27" s="155">
        <f ca="1">HLOOKUP($F27,Jornada!$I$5:$V$37,VLOOKUP(INDIRECT($C$5),Jornada!$C$8:$W$37,21,0)+2,0)</f>
        <v>0</v>
      </c>
      <c r="AM27" s="155">
        <f ca="1">HLOOKUP($F27,Jornada!$I$4:$V$37,VLOOKUP(INDIRECT($C$5),Jornada!$C$8:$W$37,21,0)+3,0)</f>
        <v>0</v>
      </c>
      <c r="AN27" s="155">
        <f t="shared" ca="1" si="7"/>
        <v>0</v>
      </c>
      <c r="AO27" s="155">
        <f t="shared" si="8"/>
        <v>0</v>
      </c>
      <c r="AP27" s="155">
        <f t="shared" si="9"/>
        <v>0</v>
      </c>
    </row>
    <row r="28" spans="1:59" s="2" customFormat="1" ht="30" customHeight="1" thickTop="1" thickBot="1" x14ac:dyDescent="0.25">
      <c r="A28" s="1"/>
      <c r="B28"/>
      <c r="C28" s="172" t="str">
        <f>IF(Funcionários!C27=0,"",Funcionários!C27)</f>
        <v/>
      </c>
      <c r="D28"/>
      <c r="E28" s="115">
        <f>Lanç!E28</f>
        <v>21</v>
      </c>
      <c r="F28" s="189" t="str">
        <f>Lanç!F28</f>
        <v>Sáb</v>
      </c>
      <c r="G28" s="81"/>
      <c r="H28" s="94"/>
      <c r="I28" s="94"/>
      <c r="J28" s="94"/>
      <c r="K28" s="94"/>
      <c r="L28" s="10"/>
      <c r="M28" s="95">
        <f t="shared" si="1"/>
        <v>0</v>
      </c>
      <c r="N28" s="96"/>
      <c r="O28" s="95">
        <f ca="1">IF(OR(G28=0,G28="Férias",G28="Falta Justificada",G28="Feriado",G28="Folga (DSR)"),0,IF(G28="Falta Injustificada",HLOOKUP($F28,Jornada!$X$7:$AD$37,VLOOKUP(INDIRECT($C$5),Jornada!$C$8:$W$37,21,0),0),IF(HLOOKUP($F28,Jornada!$X$7:$AD$37,VLOOKUP(INDIRECT($C$5),Jornada!$C$8:$W$37,21,0),0)-M28&gt;0,HLOOKUP($F28,Jornada!$X$7:$AD$37,VLOOKUP(INDIRECT($C$5),Jornada!$C$8:$W$37,21,0),0)-M28,0)))</f>
        <v>0</v>
      </c>
      <c r="P28" s="190">
        <f ca="1">IF(HLOOKUP($F28,Jornada!$X$7:$AD$37,VLOOKUP(INDIRECT($C$5),Jornada!$C$8:$W$37,21,0),0)-M28&lt;0,ABS(HLOOKUP($F28,Jornada!$X$7:$AD$37,VLOOKUP(INDIRECT($C$5),Jornada!$C$8:$W$37,21,0),0)-M28),0)</f>
        <v>0</v>
      </c>
      <c r="Q28" s="95">
        <f t="shared" si="0"/>
        <v>0</v>
      </c>
      <c r="R28" s="2">
        <f t="shared" si="2"/>
        <v>0</v>
      </c>
      <c r="S28" s="296"/>
      <c r="T28" s="297"/>
      <c r="U28" s="298"/>
      <c r="X28" s="177"/>
      <c r="AB28" s="177">
        <f t="shared" si="10"/>
        <v>21</v>
      </c>
      <c r="AC28" s="2">
        <f t="shared" si="3"/>
        <v>7</v>
      </c>
      <c r="AG28" s="220">
        <f t="shared" si="4"/>
        <v>0</v>
      </c>
      <c r="AH28" s="220">
        <f ca="1">IF(HLOOKUP($F28,Jornada!$X$7:$AD$37,VLOOKUP(INDIRECT($C$5),Jornada!$C$8:$W$37,21,0),0)=0,0,VLOOKUP(INDIRECT($C$5),Jornada!$C$8:$H$37,4,0))</f>
        <v>0</v>
      </c>
      <c r="AI28" s="155">
        <f ca="1">IF(AND(I28=0,J28=0,OR(H28&lt;&gt;0,K28&lt;&gt;0),HLOOKUP($F28,Jornada!$X$7:$AD$37,VLOOKUP(INDIRECT($C$5),Jornada!$C$8:$W$37,21,0),0)&gt;$AK$5,M28&gt;$AK$5),VLOOKUP(INDIRECT($C$5),Jornada!$C$8:$H$37,6,0),IF(AG28&gt;VLOOKUP(INDIRECT($C$5),Jornada!$C$8:$H$37,6,0),IF(VLOOKUP(INDIRECT($C$5),Jornada!$C$8:$H$37,6,0)&lt;AG28,0,ABS(VLOOKUP(INDIRECT($C$5),Jornada!$C$8:$H$37,6,0))-AG28),0))</f>
        <v>0</v>
      </c>
      <c r="AJ28" s="155">
        <f t="shared" si="5"/>
        <v>1</v>
      </c>
      <c r="AK28" s="155">
        <f t="shared" si="6"/>
        <v>0</v>
      </c>
      <c r="AL28" s="155">
        <f ca="1">HLOOKUP($F28,Jornada!$I$5:$V$37,VLOOKUP(INDIRECT($C$5),Jornada!$C$8:$W$37,21,0)+2,0)</f>
        <v>0</v>
      </c>
      <c r="AM28" s="155">
        <f ca="1">HLOOKUP($F28,Jornada!$I$4:$V$37,VLOOKUP(INDIRECT($C$5),Jornada!$C$8:$W$37,21,0)+3,0)</f>
        <v>0</v>
      </c>
      <c r="AN28" s="155">
        <f t="shared" ca="1" si="7"/>
        <v>0</v>
      </c>
      <c r="AO28" s="155">
        <f t="shared" si="8"/>
        <v>0</v>
      </c>
      <c r="AP28" s="155">
        <f t="shared" si="9"/>
        <v>0</v>
      </c>
    </row>
    <row r="29" spans="1:59" s="2" customFormat="1" ht="30" customHeight="1" thickTop="1" thickBot="1" x14ac:dyDescent="0.25">
      <c r="A29" s="1"/>
      <c r="B29"/>
      <c r="C29" s="172" t="str">
        <f>IF(Funcionários!C28=0,"",Funcionários!C28)</f>
        <v/>
      </c>
      <c r="D29"/>
      <c r="E29" s="115">
        <f>Lanç!E29</f>
        <v>22</v>
      </c>
      <c r="F29" s="189" t="str">
        <f>Lanç!F29</f>
        <v>Dom</v>
      </c>
      <c r="G29" s="81"/>
      <c r="H29" s="94"/>
      <c r="I29" s="94"/>
      <c r="J29" s="94"/>
      <c r="K29" s="94"/>
      <c r="L29" s="10"/>
      <c r="M29" s="95">
        <f t="shared" si="1"/>
        <v>0</v>
      </c>
      <c r="N29" s="96"/>
      <c r="O29" s="95">
        <f ca="1">IF(OR(G29=0,G29="Férias",G29="Falta Justificada",G29="Feriado",G29="Folga (DSR)"),0,IF(G29="Falta Injustificada",HLOOKUP($F29,Jornada!$X$7:$AD$37,VLOOKUP(INDIRECT($C$5),Jornada!$C$8:$W$37,21,0),0),IF(HLOOKUP($F29,Jornada!$X$7:$AD$37,VLOOKUP(INDIRECT($C$5),Jornada!$C$8:$W$37,21,0),0)-M29&gt;0,HLOOKUP($F29,Jornada!$X$7:$AD$37,VLOOKUP(INDIRECT($C$5),Jornada!$C$8:$W$37,21,0),0)-M29,0)))</f>
        <v>0</v>
      </c>
      <c r="P29" s="190">
        <f ca="1">IF(HLOOKUP($F29,Jornada!$X$7:$AD$37,VLOOKUP(INDIRECT($C$5),Jornada!$C$8:$W$37,21,0),0)-M29&lt;0,ABS(HLOOKUP($F29,Jornada!$X$7:$AD$37,VLOOKUP(INDIRECT($C$5),Jornada!$C$8:$W$37,21,0),0)-M29),0)</f>
        <v>0</v>
      </c>
      <c r="Q29" s="95">
        <f t="shared" si="0"/>
        <v>0</v>
      </c>
      <c r="R29" s="2">
        <f t="shared" si="2"/>
        <v>0</v>
      </c>
      <c r="S29" s="13"/>
      <c r="T29" s="74"/>
      <c r="U29" s="74"/>
      <c r="X29" s="177"/>
      <c r="AB29" s="177">
        <f t="shared" si="10"/>
        <v>22</v>
      </c>
      <c r="AC29" s="2">
        <f t="shared" si="3"/>
        <v>1</v>
      </c>
      <c r="AG29" s="220">
        <f t="shared" si="4"/>
        <v>0</v>
      </c>
      <c r="AH29" s="220">
        <f ca="1">IF(HLOOKUP($F29,Jornada!$X$7:$AD$37,VLOOKUP(INDIRECT($C$5),Jornada!$C$8:$W$37,21,0),0)=0,0,VLOOKUP(INDIRECT($C$5),Jornada!$C$8:$H$37,4,0))</f>
        <v>0</v>
      </c>
      <c r="AI29" s="155">
        <f ca="1">IF(AND(I29=0,J29=0,OR(H29&lt;&gt;0,K29&lt;&gt;0),HLOOKUP($F29,Jornada!$X$7:$AD$37,VLOOKUP(INDIRECT($C$5),Jornada!$C$8:$W$37,21,0),0)&gt;$AK$5,M29&gt;$AK$5),VLOOKUP(INDIRECT($C$5),Jornada!$C$8:$H$37,6,0),IF(AG29&gt;VLOOKUP(INDIRECT($C$5),Jornada!$C$8:$H$37,6,0),IF(VLOOKUP(INDIRECT($C$5),Jornada!$C$8:$H$37,6,0)&lt;AG29,0,ABS(VLOOKUP(INDIRECT($C$5),Jornada!$C$8:$H$37,6,0))-AG29),0))</f>
        <v>0</v>
      </c>
      <c r="AJ29" s="155">
        <f t="shared" si="5"/>
        <v>1</v>
      </c>
      <c r="AK29" s="155">
        <f t="shared" si="6"/>
        <v>0</v>
      </c>
      <c r="AL29" s="155">
        <f ca="1">HLOOKUP($F29,Jornada!$I$5:$V$37,VLOOKUP(INDIRECT($C$5),Jornada!$C$8:$W$37,21,0)+2,0)</f>
        <v>0</v>
      </c>
      <c r="AM29" s="155">
        <f ca="1">HLOOKUP($F29,Jornada!$I$4:$V$37,VLOOKUP(INDIRECT($C$5),Jornada!$C$8:$W$37,21,0)+3,0)</f>
        <v>0</v>
      </c>
      <c r="AN29" s="155">
        <f t="shared" ca="1" si="7"/>
        <v>0</v>
      </c>
      <c r="AO29" s="155">
        <f t="shared" si="8"/>
        <v>0</v>
      </c>
      <c r="AP29" s="155">
        <f t="shared" si="9"/>
        <v>0</v>
      </c>
    </row>
    <row r="30" spans="1:59" s="2" customFormat="1" ht="30" customHeight="1" thickTop="1" thickBot="1" x14ac:dyDescent="0.25">
      <c r="A30" s="1"/>
      <c r="B30"/>
      <c r="C30" s="172" t="str">
        <f>IF(Funcionários!C29=0,"",Funcionários!C29)</f>
        <v/>
      </c>
      <c r="D30"/>
      <c r="E30" s="173">
        <f>Lanç!E30</f>
        <v>23</v>
      </c>
      <c r="F30" s="189" t="str">
        <f>Lanç!F30</f>
        <v>Seg</v>
      </c>
      <c r="G30" s="81"/>
      <c r="H30" s="94"/>
      <c r="I30" s="94"/>
      <c r="J30" s="94"/>
      <c r="K30" s="94"/>
      <c r="L30" s="10"/>
      <c r="M30" s="95">
        <f t="shared" si="1"/>
        <v>0</v>
      </c>
      <c r="N30" s="96"/>
      <c r="O30" s="95">
        <f ca="1">IF(OR(G30=0,G30="Férias",G30="Falta Justificada",G30="Feriado",G30="Folga (DSR)"),0,IF(G30="Falta Injustificada",HLOOKUP($F30,Jornada!$X$7:$AD$37,VLOOKUP(INDIRECT($C$5),Jornada!$C$8:$W$37,21,0),0),IF(HLOOKUP($F30,Jornada!$X$7:$AD$37,VLOOKUP(INDIRECT($C$5),Jornada!$C$8:$W$37,21,0),0)-M30&gt;0,HLOOKUP($F30,Jornada!$X$7:$AD$37,VLOOKUP(INDIRECT($C$5),Jornada!$C$8:$W$37,21,0),0)-M30,0)))</f>
        <v>0</v>
      </c>
      <c r="P30" s="190">
        <f ca="1">IF(HLOOKUP($F30,Jornada!$X$7:$AD$37,VLOOKUP(INDIRECT($C$5),Jornada!$C$8:$W$37,21,0),0)-M30&lt;0,ABS(HLOOKUP($F30,Jornada!$X$7:$AD$37,VLOOKUP(INDIRECT($C$5),Jornada!$C$8:$W$37,21,0),0)-M30),0)</f>
        <v>0</v>
      </c>
      <c r="Q30" s="95">
        <f t="shared" si="0"/>
        <v>0</v>
      </c>
      <c r="R30" s="2">
        <f>IF(Q30&gt;$R$7,1,0)</f>
        <v>0</v>
      </c>
      <c r="S30" s="13"/>
      <c r="T30" s="74"/>
      <c r="U30" s="74"/>
      <c r="X30" s="177"/>
      <c r="AB30" s="177">
        <f t="shared" si="10"/>
        <v>23</v>
      </c>
      <c r="AC30" s="2">
        <f>WEEKDAY(AB30)</f>
        <v>2</v>
      </c>
      <c r="AG30" s="220">
        <f t="shared" si="4"/>
        <v>0</v>
      </c>
      <c r="AH30" s="220">
        <f ca="1">IF(HLOOKUP($F30,Jornada!$X$7:$AD$37,VLOOKUP(INDIRECT($C$5),Jornada!$C$8:$W$37,21,0),0)=0,0,VLOOKUP(INDIRECT($C$5),Jornada!$C$8:$H$37,4,0))</f>
        <v>0</v>
      </c>
      <c r="AI30" s="155">
        <f ca="1">IF(AND(I30=0,J30=0,OR(H30&lt;&gt;0,K30&lt;&gt;0),HLOOKUP($F30,Jornada!$X$7:$AD$37,VLOOKUP(INDIRECT($C$5),Jornada!$C$8:$W$37,21,0),0)&gt;$AK$5,M30&gt;$AK$5),VLOOKUP(INDIRECT($C$5),Jornada!$C$8:$H$37,6,0),IF(AG30&gt;VLOOKUP(INDIRECT($C$5),Jornada!$C$8:$H$37,6,0),IF(VLOOKUP(INDIRECT($C$5),Jornada!$C$8:$H$37,6,0)&lt;AG30,0,ABS(VLOOKUP(INDIRECT($C$5),Jornada!$C$8:$H$37,6,0))-AG30),0))</f>
        <v>0</v>
      </c>
      <c r="AJ30" s="155">
        <f>($AJ$7-K30)+H30</f>
        <v>1</v>
      </c>
      <c r="AK30" s="155">
        <f>IF(AJ30&lt;$AK$7,$AK$7-AJ30,$AI$7)</f>
        <v>0</v>
      </c>
      <c r="AL30" s="155">
        <f ca="1">HLOOKUP($F30,Jornada!$I$5:$V$37,VLOOKUP(INDIRECT($C$5),Jornada!$C$8:$W$37,21,0)+2,0)</f>
        <v>0</v>
      </c>
      <c r="AM30" s="155">
        <f ca="1">HLOOKUP($F30,Jornada!$I$4:$V$37,VLOOKUP(INDIRECT($C$5),Jornada!$C$8:$W$37,21,0)+3,0)</f>
        <v>0</v>
      </c>
      <c r="AN30" s="155">
        <f t="shared" ca="1" si="7"/>
        <v>0</v>
      </c>
      <c r="AO30" s="155">
        <f t="shared" si="8"/>
        <v>0</v>
      </c>
      <c r="AP30" s="155">
        <f t="shared" si="9"/>
        <v>0</v>
      </c>
    </row>
    <row r="31" spans="1:59" s="2" customFormat="1" ht="30" customHeight="1" thickTop="1" thickBot="1" x14ac:dyDescent="0.25">
      <c r="A31" s="1"/>
      <c r="B31"/>
      <c r="C31" s="172" t="str">
        <f>IF(Funcionários!C30=0,"",Funcionários!C30)</f>
        <v/>
      </c>
      <c r="D31"/>
      <c r="E31" s="173">
        <f>Lanç!E31</f>
        <v>24</v>
      </c>
      <c r="F31" s="189" t="str">
        <f>Lanç!F31</f>
        <v>Ter</v>
      </c>
      <c r="G31" s="81"/>
      <c r="H31" s="94"/>
      <c r="I31" s="94"/>
      <c r="J31" s="94"/>
      <c r="K31" s="94"/>
      <c r="L31" s="10"/>
      <c r="M31" s="95">
        <f t="shared" si="1"/>
        <v>0</v>
      </c>
      <c r="N31" s="96"/>
      <c r="O31" s="95">
        <f ca="1">IF(OR(G31=0,G31="Férias",G31="Falta Justificada",G31="Feriado",G31="Folga (DSR)"),0,IF(G31="Falta Injustificada",HLOOKUP($F31,Jornada!$X$7:$AD$37,VLOOKUP(INDIRECT($C$5),Jornada!$C$8:$W$37,21,0),0),IF(HLOOKUP($F31,Jornada!$X$7:$AD$37,VLOOKUP(INDIRECT($C$5),Jornada!$C$8:$W$37,21,0),0)-M31&gt;0,HLOOKUP($F31,Jornada!$X$7:$AD$37,VLOOKUP(INDIRECT($C$5),Jornada!$C$8:$W$37,21,0),0)-M31,0)))</f>
        <v>0</v>
      </c>
      <c r="P31" s="190">
        <f ca="1">IF(HLOOKUP($F31,Jornada!$X$7:$AD$37,VLOOKUP(INDIRECT($C$5),Jornada!$C$8:$W$37,21,0),0)-M31&lt;0,ABS(HLOOKUP($F31,Jornada!$X$7:$AD$37,VLOOKUP(INDIRECT($C$5),Jornada!$C$8:$W$37,21,0),0)-M31),0)</f>
        <v>0</v>
      </c>
      <c r="Q31" s="95">
        <f t="shared" si="0"/>
        <v>0</v>
      </c>
      <c r="R31" s="2">
        <f>IF(Q31&gt;$R$7,1,0)</f>
        <v>0</v>
      </c>
      <c r="S31" s="13"/>
      <c r="T31" s="74"/>
      <c r="U31" s="74"/>
      <c r="X31" s="177"/>
      <c r="AB31" s="177">
        <f t="shared" si="10"/>
        <v>24</v>
      </c>
      <c r="AC31" s="2">
        <f>WEEKDAY(AB31)</f>
        <v>3</v>
      </c>
      <c r="AG31" s="220">
        <f t="shared" si="4"/>
        <v>0</v>
      </c>
      <c r="AH31" s="220">
        <f ca="1">IF(HLOOKUP($F31,Jornada!$X$7:$AD$37,VLOOKUP(INDIRECT($C$5),Jornada!$C$8:$W$37,21,0),0)=0,0,VLOOKUP(INDIRECT($C$5),Jornada!$C$8:$H$37,4,0))</f>
        <v>0</v>
      </c>
      <c r="AI31" s="155">
        <f ca="1">IF(AND(I31=0,J31=0,OR(H31&lt;&gt;0,K31&lt;&gt;0),HLOOKUP($F31,Jornada!$X$7:$AD$37,VLOOKUP(INDIRECT($C$5),Jornada!$C$8:$W$37,21,0),0)&gt;$AK$5,M31&gt;$AK$5),VLOOKUP(INDIRECT($C$5),Jornada!$C$8:$H$37,6,0),IF(AG31&gt;VLOOKUP(INDIRECT($C$5),Jornada!$C$8:$H$37,6,0),IF(VLOOKUP(INDIRECT($C$5),Jornada!$C$8:$H$37,6,0)&lt;AG31,0,ABS(VLOOKUP(INDIRECT($C$5),Jornada!$C$8:$H$37,6,0))-AG31),0))</f>
        <v>0</v>
      </c>
      <c r="AJ31" s="155">
        <f>($AJ$7-K31)+H31</f>
        <v>1</v>
      </c>
      <c r="AK31" s="155">
        <f>IF(AJ31&lt;$AK$7,$AK$7-AJ31,$AI$7)</f>
        <v>0</v>
      </c>
      <c r="AL31" s="155">
        <f ca="1">HLOOKUP($F31,Jornada!$I$5:$V$37,VLOOKUP(INDIRECT($C$5),Jornada!$C$8:$W$37,21,0)+2,0)</f>
        <v>0</v>
      </c>
      <c r="AM31" s="155">
        <f ca="1">HLOOKUP($F31,Jornada!$I$4:$V$37,VLOOKUP(INDIRECT($C$5),Jornada!$C$8:$W$37,21,0)+3,0)</f>
        <v>0</v>
      </c>
      <c r="AN31" s="155">
        <f t="shared" ca="1" si="7"/>
        <v>0</v>
      </c>
      <c r="AO31" s="155">
        <f t="shared" si="8"/>
        <v>0</v>
      </c>
      <c r="AP31" s="155">
        <f t="shared" si="9"/>
        <v>0</v>
      </c>
    </row>
    <row r="32" spans="1:59" s="2" customFormat="1" ht="30" customHeight="1" thickTop="1" thickBot="1" x14ac:dyDescent="0.25">
      <c r="A32" s="1"/>
      <c r="B32"/>
      <c r="C32" s="172" t="str">
        <f>IF(Funcionários!C31=0,"",Funcionários!C31)</f>
        <v/>
      </c>
      <c r="D32"/>
      <c r="E32" s="115">
        <f>Lanç!E32</f>
        <v>25</v>
      </c>
      <c r="F32" s="189" t="str">
        <f>Lanç!F32</f>
        <v>Qua</v>
      </c>
      <c r="G32" s="81"/>
      <c r="H32" s="94"/>
      <c r="I32" s="94"/>
      <c r="J32" s="94"/>
      <c r="K32" s="94"/>
      <c r="L32" s="10"/>
      <c r="M32" s="95">
        <f t="shared" si="1"/>
        <v>0</v>
      </c>
      <c r="N32" s="96"/>
      <c r="O32" s="95">
        <f ca="1">IF(OR(G32=0,G32="Férias",G32="Falta Justificada",G32="Feriado",G32="Folga (DSR)"),0,IF(G32="Falta Injustificada",HLOOKUP($F32,Jornada!$X$7:$AD$37,VLOOKUP(INDIRECT($C$5),Jornada!$C$8:$W$37,21,0),0),IF(HLOOKUP($F32,Jornada!$X$7:$AD$37,VLOOKUP(INDIRECT($C$5),Jornada!$C$8:$W$37,21,0),0)-M32&gt;0,HLOOKUP($F32,Jornada!$X$7:$AD$37,VLOOKUP(INDIRECT($C$5),Jornada!$C$8:$W$37,21,0),0)-M32,0)))</f>
        <v>0</v>
      </c>
      <c r="P32" s="190">
        <f ca="1">IF(HLOOKUP($F32,Jornada!$X$7:$AD$37,VLOOKUP(INDIRECT($C$5),Jornada!$C$8:$W$37,21,0),0)-M32&lt;0,ABS(HLOOKUP($F32,Jornada!$X$7:$AD$37,VLOOKUP(INDIRECT($C$5),Jornada!$C$8:$W$37,21,0),0)-M32),0)</f>
        <v>0</v>
      </c>
      <c r="Q32" s="95">
        <f t="shared" si="0"/>
        <v>0</v>
      </c>
      <c r="R32" s="2">
        <f t="shared" si="2"/>
        <v>0</v>
      </c>
      <c r="S32" s="74"/>
      <c r="T32" s="74"/>
      <c r="U32" s="74"/>
      <c r="X32" s="177"/>
      <c r="AB32" s="177">
        <f t="shared" si="10"/>
        <v>25</v>
      </c>
      <c r="AC32" s="2">
        <f t="shared" si="3"/>
        <v>4</v>
      </c>
      <c r="AG32" s="220">
        <f t="shared" si="4"/>
        <v>0</v>
      </c>
      <c r="AH32" s="220">
        <f ca="1">IF(HLOOKUP($F32,Jornada!$X$7:$AD$37,VLOOKUP(INDIRECT($C$5),Jornada!$C$8:$W$37,21,0),0)=0,0,VLOOKUP(INDIRECT($C$5),Jornada!$C$8:$H$37,4,0))</f>
        <v>0</v>
      </c>
      <c r="AI32" s="155">
        <f ca="1">IF(AND(I32=0,J32=0,OR(H32&lt;&gt;0,K32&lt;&gt;0),HLOOKUP($F32,Jornada!$X$7:$AD$37,VLOOKUP(INDIRECT($C$5),Jornada!$C$8:$W$37,21,0),0)&gt;$AK$5,M32&gt;$AK$5),VLOOKUP(INDIRECT($C$5),Jornada!$C$8:$H$37,6,0),IF(AG32&gt;VLOOKUP(INDIRECT($C$5),Jornada!$C$8:$H$37,6,0),IF(VLOOKUP(INDIRECT($C$5),Jornada!$C$8:$H$37,6,0)&lt;AG32,0,ABS(VLOOKUP(INDIRECT($C$5),Jornada!$C$8:$H$37,6,0))-AG32),0))</f>
        <v>0</v>
      </c>
      <c r="AJ32" s="155">
        <f t="shared" si="5"/>
        <v>1</v>
      </c>
      <c r="AK32" s="155">
        <f t="shared" si="6"/>
        <v>0</v>
      </c>
      <c r="AL32" s="155">
        <f ca="1">HLOOKUP($F32,Jornada!$I$5:$V$37,VLOOKUP(INDIRECT($C$5),Jornada!$C$8:$W$37,21,0)+2,0)</f>
        <v>0</v>
      </c>
      <c r="AM32" s="155">
        <f ca="1">HLOOKUP($F32,Jornada!$I$4:$V$37,VLOOKUP(INDIRECT($C$5),Jornada!$C$8:$W$37,21,0)+3,0)</f>
        <v>0</v>
      </c>
      <c r="AN32" s="155">
        <f t="shared" ca="1" si="7"/>
        <v>0</v>
      </c>
      <c r="AO32" s="155">
        <f t="shared" si="8"/>
        <v>0</v>
      </c>
      <c r="AP32" s="155">
        <f t="shared" si="9"/>
        <v>0</v>
      </c>
    </row>
    <row r="33" spans="1:42" s="2" customFormat="1" ht="30" customHeight="1" thickTop="1" thickBot="1" x14ac:dyDescent="0.25">
      <c r="A33" s="1"/>
      <c r="B33"/>
      <c r="C33" s="172" t="str">
        <f>IF(Funcionários!C32=0,"",Funcionários!C32)</f>
        <v/>
      </c>
      <c r="D33"/>
      <c r="E33" s="115">
        <f>Lanç!E33</f>
        <v>26</v>
      </c>
      <c r="F33" s="189" t="str">
        <f>Lanç!F33</f>
        <v>Qui</v>
      </c>
      <c r="G33" s="81"/>
      <c r="H33" s="94"/>
      <c r="I33" s="94"/>
      <c r="J33" s="94"/>
      <c r="K33" s="94"/>
      <c r="L33" s="10"/>
      <c r="M33" s="95">
        <f t="shared" si="1"/>
        <v>0</v>
      </c>
      <c r="N33" s="96"/>
      <c r="O33" s="95">
        <f ca="1">IF(OR(G33=0,G33="Férias",G33="Falta Justificada",G33="Feriado",G33="Folga (DSR)"),0,IF(G33="Falta Injustificada",HLOOKUP($F33,Jornada!$X$7:$AD$37,VLOOKUP(INDIRECT($C$5),Jornada!$C$8:$W$37,21,0),0),IF(HLOOKUP($F33,Jornada!$X$7:$AD$37,VLOOKUP(INDIRECT($C$5),Jornada!$C$8:$W$37,21,0),0)-M33&gt;0,HLOOKUP($F33,Jornada!$X$7:$AD$37,VLOOKUP(INDIRECT($C$5),Jornada!$C$8:$W$37,21,0),0)-M33,0)))</f>
        <v>0</v>
      </c>
      <c r="P33" s="190">
        <f ca="1">IF(HLOOKUP($F33,Jornada!$X$7:$AD$37,VLOOKUP(INDIRECT($C$5),Jornada!$C$8:$W$37,21,0),0)-M33&lt;0,ABS(HLOOKUP($F33,Jornada!$X$7:$AD$37,VLOOKUP(INDIRECT($C$5),Jornada!$C$8:$W$37,21,0),0)-M33),0)</f>
        <v>0</v>
      </c>
      <c r="Q33" s="95">
        <f t="shared" si="0"/>
        <v>0</v>
      </c>
      <c r="R33" s="2">
        <f t="shared" si="2"/>
        <v>0</v>
      </c>
      <c r="S33" s="74"/>
      <c r="T33" s="74"/>
      <c r="U33" s="74"/>
      <c r="X33" s="177"/>
      <c r="AB33" s="177">
        <f t="shared" si="10"/>
        <v>26</v>
      </c>
      <c r="AC33" s="2">
        <f t="shared" si="3"/>
        <v>5</v>
      </c>
      <c r="AG33" s="220">
        <f t="shared" si="4"/>
        <v>0</v>
      </c>
      <c r="AH33" s="220">
        <f ca="1">IF(HLOOKUP($F33,Jornada!$X$7:$AD$37,VLOOKUP(INDIRECT($C$5),Jornada!$C$8:$W$37,21,0),0)=0,0,VLOOKUP(INDIRECT($C$5),Jornada!$C$8:$H$37,4,0))</f>
        <v>0</v>
      </c>
      <c r="AI33" s="155">
        <f ca="1">IF(AND(I33=0,J33=0,OR(H33&lt;&gt;0,K33&lt;&gt;0),HLOOKUP($F33,Jornada!$X$7:$AD$37,VLOOKUP(INDIRECT($C$5),Jornada!$C$8:$W$37,21,0),0)&gt;$AK$5,M33&gt;$AK$5),VLOOKUP(INDIRECT($C$5),Jornada!$C$8:$H$37,6,0),IF(AG33&gt;VLOOKUP(INDIRECT($C$5),Jornada!$C$8:$H$37,6,0),IF(VLOOKUP(INDIRECT($C$5),Jornada!$C$8:$H$37,6,0)&lt;AG33,0,ABS(VLOOKUP(INDIRECT($C$5),Jornada!$C$8:$H$37,6,0))-AG33),0))</f>
        <v>0</v>
      </c>
      <c r="AJ33" s="155">
        <f t="shared" si="5"/>
        <v>1</v>
      </c>
      <c r="AK33" s="155">
        <f t="shared" si="6"/>
        <v>0</v>
      </c>
      <c r="AL33" s="155">
        <f ca="1">HLOOKUP($F33,Jornada!$I$5:$V$37,VLOOKUP(INDIRECT($C$5),Jornada!$C$8:$W$37,21,0)+2,0)</f>
        <v>0</v>
      </c>
      <c r="AM33" s="155">
        <f ca="1">HLOOKUP($F33,Jornada!$I$4:$V$37,VLOOKUP(INDIRECT($C$5),Jornada!$C$8:$W$37,21,0)+3,0)</f>
        <v>0</v>
      </c>
      <c r="AN33" s="155">
        <f t="shared" ca="1" si="7"/>
        <v>0</v>
      </c>
      <c r="AO33" s="155">
        <f t="shared" si="8"/>
        <v>0</v>
      </c>
      <c r="AP33" s="155">
        <f t="shared" si="9"/>
        <v>0</v>
      </c>
    </row>
    <row r="34" spans="1:42" s="2" customFormat="1" ht="30" customHeight="1" thickTop="1" thickBot="1" x14ac:dyDescent="0.25">
      <c r="A34" s="1"/>
      <c r="B34"/>
      <c r="C34" s="172" t="str">
        <f>IF(Funcionários!C33=0,"",Funcionários!C33)</f>
        <v/>
      </c>
      <c r="D34"/>
      <c r="E34" s="115">
        <f>Lanç!E34</f>
        <v>27</v>
      </c>
      <c r="F34" s="189" t="str">
        <f>Lanç!F34</f>
        <v>Sex</v>
      </c>
      <c r="G34" s="81"/>
      <c r="H34" s="94"/>
      <c r="I34" s="94"/>
      <c r="J34" s="94"/>
      <c r="K34" s="94"/>
      <c r="L34" s="10"/>
      <c r="M34" s="95">
        <f t="shared" si="1"/>
        <v>0</v>
      </c>
      <c r="N34" s="96"/>
      <c r="O34" s="95">
        <f ca="1">IF(OR(G34=0,G34="Férias",G34="Falta Justificada",G34="Feriado",G34="Folga (DSR)"),0,IF(G34="Falta Injustificada",HLOOKUP($F34,Jornada!$X$7:$AD$37,VLOOKUP(INDIRECT($C$5),Jornada!$C$8:$W$37,21,0),0),IF(HLOOKUP($F34,Jornada!$X$7:$AD$37,VLOOKUP(INDIRECT($C$5),Jornada!$C$8:$W$37,21,0),0)-M34&gt;0,HLOOKUP($F34,Jornada!$X$7:$AD$37,VLOOKUP(INDIRECT($C$5),Jornada!$C$8:$W$37,21,0),0)-M34,0)))</f>
        <v>0</v>
      </c>
      <c r="P34" s="190">
        <f ca="1">IF(HLOOKUP($F34,Jornada!$X$7:$AD$37,VLOOKUP(INDIRECT($C$5),Jornada!$C$8:$W$37,21,0),0)-M34&lt;0,ABS(HLOOKUP($F34,Jornada!$X$7:$AD$37,VLOOKUP(INDIRECT($C$5),Jornada!$C$8:$W$37,21,0),0)-M34),0)</f>
        <v>0</v>
      </c>
      <c r="Q34" s="95">
        <f t="shared" si="0"/>
        <v>0</v>
      </c>
      <c r="R34" s="2">
        <f t="shared" si="2"/>
        <v>0</v>
      </c>
      <c r="S34" s="74"/>
      <c r="T34" s="74"/>
      <c r="U34" s="74"/>
      <c r="X34" s="177"/>
      <c r="AB34" s="177">
        <f t="shared" si="10"/>
        <v>27</v>
      </c>
      <c r="AC34" s="2">
        <f t="shared" si="3"/>
        <v>6</v>
      </c>
      <c r="AG34" s="220">
        <f t="shared" si="4"/>
        <v>0</v>
      </c>
      <c r="AH34" s="220">
        <f ca="1">IF(HLOOKUP($F34,Jornada!$X$7:$AD$37,VLOOKUP(INDIRECT($C$5),Jornada!$C$8:$W$37,21,0),0)=0,0,VLOOKUP(INDIRECT($C$5),Jornada!$C$8:$H$37,4,0))</f>
        <v>0</v>
      </c>
      <c r="AI34" s="155">
        <f ca="1">IF(AND(I34=0,J34=0,OR(H34&lt;&gt;0,K34&lt;&gt;0),HLOOKUP($F34,Jornada!$X$7:$AD$37,VLOOKUP(INDIRECT($C$5),Jornada!$C$8:$W$37,21,0),0)&gt;$AK$5,M34&gt;$AK$5),VLOOKUP(INDIRECT($C$5),Jornada!$C$8:$H$37,6,0),IF(AG34&gt;VLOOKUP(INDIRECT($C$5),Jornada!$C$8:$H$37,6,0),IF(VLOOKUP(INDIRECT($C$5),Jornada!$C$8:$H$37,6,0)&lt;AG34,0,ABS(VLOOKUP(INDIRECT($C$5),Jornada!$C$8:$H$37,6,0))-AG34),0))</f>
        <v>0</v>
      </c>
      <c r="AJ34" s="155">
        <f t="shared" si="5"/>
        <v>1</v>
      </c>
      <c r="AK34" s="155">
        <f t="shared" si="6"/>
        <v>0</v>
      </c>
      <c r="AL34" s="155">
        <f ca="1">HLOOKUP($F34,Jornada!$I$5:$V$37,VLOOKUP(INDIRECT($C$5),Jornada!$C$8:$W$37,21,0)+2,0)</f>
        <v>0</v>
      </c>
      <c r="AM34" s="155">
        <f ca="1">HLOOKUP($F34,Jornada!$I$4:$V$37,VLOOKUP(INDIRECT($C$5),Jornada!$C$8:$W$37,21,0)+3,0)</f>
        <v>0</v>
      </c>
      <c r="AN34" s="155">
        <f t="shared" ca="1" si="7"/>
        <v>0</v>
      </c>
      <c r="AO34" s="155">
        <f t="shared" si="8"/>
        <v>0</v>
      </c>
      <c r="AP34" s="155">
        <f t="shared" si="9"/>
        <v>0</v>
      </c>
    </row>
    <row r="35" spans="1:42" s="2" customFormat="1" ht="30" customHeight="1" thickTop="1" thickBot="1" x14ac:dyDescent="0.25">
      <c r="A35" s="1"/>
      <c r="B35"/>
      <c r="C35" s="172" t="str">
        <f>IF(Funcionários!C34=0,"",Funcionários!C34)</f>
        <v/>
      </c>
      <c r="D35"/>
      <c r="E35" s="115">
        <f>Lanç!E35</f>
        <v>28</v>
      </c>
      <c r="F35" s="189" t="str">
        <f>Lanç!F35</f>
        <v>Sáb</v>
      </c>
      <c r="G35" s="81"/>
      <c r="H35" s="94"/>
      <c r="I35" s="94"/>
      <c r="J35" s="94"/>
      <c r="K35" s="94"/>
      <c r="L35" s="10"/>
      <c r="M35" s="95">
        <f t="shared" si="1"/>
        <v>0</v>
      </c>
      <c r="N35" s="96"/>
      <c r="O35" s="95">
        <f ca="1">IF(OR(G35=0,G35="Férias",G35="Falta Justificada",G35="Feriado",G35="Folga (DSR)"),0,IF(G35="Falta Injustificada",HLOOKUP($F35,Jornada!$X$7:$AD$37,VLOOKUP(INDIRECT($C$5),Jornada!$C$8:$W$37,21,0),0),IF(HLOOKUP($F35,Jornada!$X$7:$AD$37,VLOOKUP(INDIRECT($C$5),Jornada!$C$8:$W$37,21,0),0)-M35&gt;0,HLOOKUP($F35,Jornada!$X$7:$AD$37,VLOOKUP(INDIRECT($C$5),Jornada!$C$8:$W$37,21,0),0)-M35,0)))</f>
        <v>0</v>
      </c>
      <c r="P35" s="190">
        <f ca="1">IF(HLOOKUP($F35,Jornada!$X$7:$AD$37,VLOOKUP(INDIRECT($C$5),Jornada!$C$8:$W$37,21,0),0)-M35&lt;0,ABS(HLOOKUP($F35,Jornada!$X$7:$AD$37,VLOOKUP(INDIRECT($C$5),Jornada!$C$8:$W$37,21,0),0)-M35),0)</f>
        <v>0</v>
      </c>
      <c r="Q35" s="95">
        <f t="shared" si="0"/>
        <v>0</v>
      </c>
      <c r="R35" s="2">
        <f t="shared" si="2"/>
        <v>0</v>
      </c>
      <c r="S35"/>
      <c r="T35"/>
      <c r="U35"/>
      <c r="X35" s="177"/>
      <c r="AB35" s="177">
        <f>IF(MONTH(AB34+1)&lt;&gt;MONTH(AB34),"",AB34+1)</f>
        <v>28</v>
      </c>
      <c r="AC35" s="2">
        <f t="shared" si="3"/>
        <v>7</v>
      </c>
      <c r="AG35" s="220">
        <f t="shared" si="4"/>
        <v>0</v>
      </c>
      <c r="AH35" s="220">
        <f ca="1">IF(HLOOKUP($F35,Jornada!$X$7:$AD$37,VLOOKUP(INDIRECT($C$5),Jornada!$C$8:$W$37,21,0),0)=0,0,VLOOKUP(INDIRECT($C$5),Jornada!$C$8:$H$37,4,0))</f>
        <v>0</v>
      </c>
      <c r="AI35" s="155">
        <f ca="1">IF(AND(I35=0,J35=0,OR(H35&lt;&gt;0,K35&lt;&gt;0),HLOOKUP($F35,Jornada!$X$7:$AD$37,VLOOKUP(INDIRECT($C$5),Jornada!$C$8:$W$37,21,0),0)&gt;$AK$5,M35&gt;$AK$5),VLOOKUP(INDIRECT($C$5),Jornada!$C$8:$H$37,6,0),IF(AG35&gt;VLOOKUP(INDIRECT($C$5),Jornada!$C$8:$H$37,6,0),IF(VLOOKUP(INDIRECT($C$5),Jornada!$C$8:$H$37,6,0)&lt;AG35,0,ABS(VLOOKUP(INDIRECT($C$5),Jornada!$C$8:$H$37,6,0))-AG35),0))</f>
        <v>0</v>
      </c>
      <c r="AJ35" s="155">
        <f t="shared" si="5"/>
        <v>1</v>
      </c>
      <c r="AK35" s="155">
        <f t="shared" si="6"/>
        <v>0</v>
      </c>
      <c r="AL35" s="155">
        <f ca="1">HLOOKUP($F35,Jornada!$I$5:$V$37,VLOOKUP(INDIRECT($C$5),Jornada!$C$8:$W$37,21,0)+2,0)</f>
        <v>0</v>
      </c>
      <c r="AM35" s="155">
        <f ca="1">HLOOKUP($F35,Jornada!$I$4:$V$37,VLOOKUP(INDIRECT($C$5),Jornada!$C$8:$W$37,21,0)+3,0)</f>
        <v>0</v>
      </c>
      <c r="AN35" s="155">
        <f t="shared" ca="1" si="7"/>
        <v>0</v>
      </c>
      <c r="AO35" s="155">
        <f t="shared" si="8"/>
        <v>0</v>
      </c>
      <c r="AP35" s="155">
        <f t="shared" si="9"/>
        <v>0</v>
      </c>
    </row>
    <row r="36" spans="1:42" s="2" customFormat="1" ht="30" customHeight="1" thickTop="1" thickBot="1" x14ac:dyDescent="0.25">
      <c r="A36" s="1"/>
      <c r="B36"/>
      <c r="C36" s="172" t="str">
        <f>IF(Funcionários!C35=0,"",Funcionários!C35)</f>
        <v/>
      </c>
      <c r="D36"/>
      <c r="E36" s="115">
        <f>Lanç!E36</f>
        <v>29</v>
      </c>
      <c r="F36" s="189" t="str">
        <f>Lanç!F36</f>
        <v>Dom</v>
      </c>
      <c r="G36" s="81"/>
      <c r="H36" s="94"/>
      <c r="I36" s="94"/>
      <c r="J36" s="94"/>
      <c r="K36" s="94"/>
      <c r="L36" s="10"/>
      <c r="M36" s="95">
        <f t="shared" si="1"/>
        <v>0</v>
      </c>
      <c r="N36" s="96"/>
      <c r="O36" s="95">
        <f ca="1">IF(OR(G36=0,G36="Férias",G36="Falta Justificada",G36="Feriado",G36="Folga (DSR)"),0,IF(G36="Falta Injustificada",HLOOKUP($F36,Jornada!$X$7:$AD$37,VLOOKUP(INDIRECT($C$5),Jornada!$C$8:$W$37,21,0),0),IF(HLOOKUP($F36,Jornada!$X$7:$AD$37,VLOOKUP(INDIRECT($C$5),Jornada!$C$8:$W$37,21,0),0)-M36&gt;0,HLOOKUP($F36,Jornada!$X$7:$AD$37,VLOOKUP(INDIRECT($C$5),Jornada!$C$8:$W$37,21,0),0)-M36,0)))</f>
        <v>0</v>
      </c>
      <c r="P36" s="190">
        <f ca="1">IF(HLOOKUP($F36,Jornada!$X$7:$AD$37,VLOOKUP(INDIRECT($C$5),Jornada!$C$8:$W$37,21,0),0)-M36&lt;0,ABS(HLOOKUP($F36,Jornada!$X$7:$AD$37,VLOOKUP(INDIRECT($C$5),Jornada!$C$8:$W$37,21,0),0)-M36),0)</f>
        <v>0</v>
      </c>
      <c r="Q36" s="95">
        <f t="shared" si="0"/>
        <v>0</v>
      </c>
      <c r="R36" s="2">
        <f t="shared" si="2"/>
        <v>0</v>
      </c>
      <c r="S36"/>
      <c r="T36"/>
      <c r="U36"/>
      <c r="X36" s="177"/>
      <c r="AB36" s="177">
        <f>IF(MONTH(AB35+1)&lt;&gt;MONTH(AB35),"",IF(AB35="","",AB35+1))</f>
        <v>29</v>
      </c>
      <c r="AC36" s="2">
        <f>IF(ISERROR(WEEKDAY(AB36)),"",WEEKDAY(AB36))</f>
        <v>1</v>
      </c>
      <c r="AG36" s="220">
        <f t="shared" si="4"/>
        <v>0</v>
      </c>
      <c r="AH36" s="220">
        <f ca="1">IF(HLOOKUP($F36,Jornada!$X$7:$AD$37,VLOOKUP(INDIRECT($C$5),Jornada!$C$8:$W$37,21,0),0)=0,0,VLOOKUP(INDIRECT($C$5),Jornada!$C$8:$H$37,4,0))</f>
        <v>0</v>
      </c>
      <c r="AI36" s="155">
        <f ca="1">IF(AND(I36=0,J36=0,OR(H36&lt;&gt;0,K36&lt;&gt;0),HLOOKUP($F36,Jornada!$X$7:$AD$37,VLOOKUP(INDIRECT($C$5),Jornada!$C$8:$W$37,21,0),0)&gt;$AK$5,M36&gt;$AK$5),VLOOKUP(INDIRECT($C$5),Jornada!$C$8:$H$37,6,0),IF(AG36&gt;VLOOKUP(INDIRECT($C$5),Jornada!$C$8:$H$37,6,0),IF(VLOOKUP(INDIRECT($C$5),Jornada!$C$8:$H$37,6,0)&lt;AG36,0,ABS(VLOOKUP(INDIRECT($C$5),Jornada!$C$8:$H$37,6,0))-AG36),0))</f>
        <v>0</v>
      </c>
      <c r="AJ36" s="155">
        <f t="shared" si="5"/>
        <v>1</v>
      </c>
      <c r="AK36" s="155">
        <f t="shared" si="6"/>
        <v>0</v>
      </c>
      <c r="AL36" s="155">
        <f ca="1">HLOOKUP($F36,Jornada!$I$5:$V$37,VLOOKUP(INDIRECT($C$5),Jornada!$C$8:$W$37,21,0)+2,0)</f>
        <v>0</v>
      </c>
      <c r="AM36" s="155">
        <f ca="1">HLOOKUP($F36,Jornada!$I$4:$V$37,VLOOKUP(INDIRECT($C$5),Jornada!$C$8:$W$37,21,0)+3,0)</f>
        <v>0</v>
      </c>
      <c r="AN36" s="155">
        <f t="shared" ca="1" si="7"/>
        <v>0</v>
      </c>
      <c r="AO36" s="155">
        <f t="shared" si="8"/>
        <v>0</v>
      </c>
      <c r="AP36" s="155">
        <f t="shared" si="9"/>
        <v>0</v>
      </c>
    </row>
    <row r="37" spans="1:42" s="2" customFormat="1" ht="30" customHeight="1" thickTop="1" thickBot="1" x14ac:dyDescent="0.25">
      <c r="A37" s="1"/>
      <c r="B37"/>
      <c r="C37" s="172" t="str">
        <f>IF(Funcionários!C36=0,"",Funcionários!C36)</f>
        <v/>
      </c>
      <c r="D37"/>
      <c r="E37" s="115">
        <f>Lanç!E37</f>
        <v>30</v>
      </c>
      <c r="F37" s="189" t="str">
        <f>Lanç!F37</f>
        <v>Seg</v>
      </c>
      <c r="G37" s="81"/>
      <c r="H37" s="94"/>
      <c r="I37" s="94"/>
      <c r="J37" s="94"/>
      <c r="K37" s="94"/>
      <c r="L37" s="10"/>
      <c r="M37" s="95">
        <f t="shared" si="1"/>
        <v>0</v>
      </c>
      <c r="N37" s="96"/>
      <c r="O37" s="95">
        <f ca="1">IF(OR(G37=0,G37="Férias",G37="Falta Justificada",G37="Feriado",G37="Folga (DSR)"),0,IF(G37="Falta Injustificada",HLOOKUP($F37,Jornada!$X$7:$AD$37,VLOOKUP(INDIRECT($C$5),Jornada!$C$8:$W$37,21,0),0),IF(HLOOKUP($F37,Jornada!$X$7:$AD$37,VLOOKUP(INDIRECT($C$5),Jornada!$C$8:$W$37,21,0),0)-M37&gt;0,HLOOKUP($F37,Jornada!$X$7:$AD$37,VLOOKUP(INDIRECT($C$5),Jornada!$C$8:$W$37,21,0),0)-M37,0)))</f>
        <v>0</v>
      </c>
      <c r="P37" s="190">
        <f ca="1">IF(HLOOKUP($F37,Jornada!$X$7:$AD$37,VLOOKUP(INDIRECT($C$5),Jornada!$C$8:$W$37,21,0),0)-M37&lt;0,ABS(HLOOKUP($F37,Jornada!$X$7:$AD$37,VLOOKUP(INDIRECT($C$5),Jornada!$C$8:$W$37,21,0),0)-M37),0)</f>
        <v>0</v>
      </c>
      <c r="Q37" s="95">
        <f t="shared" si="0"/>
        <v>0</v>
      </c>
      <c r="R37" s="2">
        <f t="shared" si="2"/>
        <v>0</v>
      </c>
      <c r="S37"/>
      <c r="T37"/>
      <c r="U37"/>
      <c r="X37" s="177"/>
      <c r="AB37" s="177">
        <f>IF(AB36="","",IF(MONTH(AB36+1)&lt;&gt;MONTH(AB36),"",AB36+1))</f>
        <v>30</v>
      </c>
      <c r="AC37" s="2">
        <f>IF(ISERROR(WEEKDAY(AB37)),"",WEEKDAY(AB37))</f>
        <v>2</v>
      </c>
      <c r="AG37" s="220">
        <f t="shared" si="4"/>
        <v>0</v>
      </c>
      <c r="AH37" s="220">
        <f ca="1">IF(HLOOKUP($F37,Jornada!$X$7:$AD$37,VLOOKUP(INDIRECT($C$5),Jornada!$C$8:$W$37,21,0),0)=0,0,VLOOKUP(INDIRECT($C$5),Jornada!$C$8:$H$37,4,0))</f>
        <v>0</v>
      </c>
      <c r="AI37" s="155">
        <f ca="1">IF(AND(I37=0,J37=0,OR(H37&lt;&gt;0,K37&lt;&gt;0),HLOOKUP($F37,Jornada!$X$7:$AD$37,VLOOKUP(INDIRECT($C$5),Jornada!$C$8:$W$37,21,0),0)&gt;$AK$5,M37&gt;$AK$5),VLOOKUP(INDIRECT($C$5),Jornada!$C$8:$H$37,6,0),IF(AG37&gt;VLOOKUP(INDIRECT($C$5),Jornada!$C$8:$H$37,6,0),IF(VLOOKUP(INDIRECT($C$5),Jornada!$C$8:$H$37,6,0)&lt;AG37,0,ABS(VLOOKUP(INDIRECT($C$5),Jornada!$C$8:$H$37,6,0))-AG37),0))</f>
        <v>0</v>
      </c>
      <c r="AJ37" s="155">
        <f t="shared" si="5"/>
        <v>1</v>
      </c>
      <c r="AK37" s="155">
        <f t="shared" si="6"/>
        <v>0</v>
      </c>
      <c r="AL37" s="155">
        <f ca="1">HLOOKUP($F37,Jornada!$I$5:$V$37,VLOOKUP(INDIRECT($C$5),Jornada!$C$8:$W$37,21,0)+2,0)</f>
        <v>0</v>
      </c>
      <c r="AM37" s="155">
        <f ca="1">HLOOKUP($F37,Jornada!$I$4:$V$37,VLOOKUP(INDIRECT($C$5),Jornada!$C$8:$W$37,21,0)+3,0)</f>
        <v>0</v>
      </c>
      <c r="AN37" s="155">
        <f t="shared" ca="1" si="7"/>
        <v>0</v>
      </c>
      <c r="AO37" s="155">
        <f t="shared" si="8"/>
        <v>0</v>
      </c>
      <c r="AP37" s="155">
        <f t="shared" si="9"/>
        <v>0</v>
      </c>
    </row>
    <row r="38" spans="1:42" s="2" customFormat="1" ht="30" customHeight="1" thickTop="1" thickBot="1" x14ac:dyDescent="0.25">
      <c r="A38" s="1"/>
      <c r="B38"/>
      <c r="C38"/>
      <c r="D38" s="2">
        <f t="shared" ref="D38" si="11">IF(D37=7,1,D37+1)</f>
        <v>1</v>
      </c>
      <c r="E38" s="210">
        <f>Lanç!E38</f>
        <v>31</v>
      </c>
      <c r="F38" s="210" t="str">
        <f>Lanç!F38</f>
        <v>Ter</v>
      </c>
      <c r="G38" s="81"/>
      <c r="H38" s="94"/>
      <c r="I38" s="94"/>
      <c r="J38" s="94"/>
      <c r="K38" s="94"/>
      <c r="L38" s="197"/>
      <c r="M38" s="95">
        <f t="shared" si="1"/>
        <v>0</v>
      </c>
      <c r="N38" s="196"/>
      <c r="O38" s="95">
        <f ca="1">IF(OR(G38=0,G38="Férias",G38="Falta Justificada",G38="Feriado",G38="Folga (DSR)"),0,IF(G38="Falta Injustificada",HLOOKUP($F38,Jornada!$X$7:$AD$37,VLOOKUP(INDIRECT($C$5),Jornada!$C$8:$W$37,21,0),0),IF(HLOOKUP($F38,Jornada!$X$7:$AD$37,VLOOKUP(INDIRECT($C$5),Jornada!$C$8:$W$37,21,0),0)-M38&gt;0,HLOOKUP($F38,Jornada!$X$7:$AD$37,VLOOKUP(INDIRECT($C$5),Jornada!$C$8:$W$37,21,0),0)-M38,0)))</f>
        <v>0</v>
      </c>
      <c r="P38" s="201">
        <f ca="1">IF(HLOOKUP($F38,Jornada!$X$7:$AD$37,VLOOKUP(INDIRECT($C$5),Jornada!$C$8:$W$37,21,0),0)-M38&lt;0,ABS(HLOOKUP($F38,Jornada!$X$7:$AD$37,VLOOKUP(INDIRECT($C$5),Jornada!$C$8:$W$37,21,0),0)-M38),0)</f>
        <v>0</v>
      </c>
      <c r="Q38" s="95">
        <f t="shared" si="0"/>
        <v>0</v>
      </c>
      <c r="R38" s="2">
        <f t="shared" si="2"/>
        <v>0</v>
      </c>
      <c r="X38" s="177"/>
      <c r="AB38" s="177">
        <f>IF(AB37="","",IF(MONTH(AB37+1)&lt;&gt;MONTH(AB37),"",AB37+1))</f>
        <v>31</v>
      </c>
      <c r="AC38" s="2">
        <f>IF(ISERROR(WEEKDAY(AB38)),"",WEEKDAY(AB38))</f>
        <v>3</v>
      </c>
      <c r="AG38" s="220">
        <f t="shared" si="4"/>
        <v>0</v>
      </c>
      <c r="AH38" s="220">
        <f ca="1">IF(HLOOKUP($F38,Jornada!$X$7:$AD$37,VLOOKUP(INDIRECT($C$5),Jornada!$C$8:$W$37,21,0),0)=0,0,VLOOKUP(INDIRECT($C$5),Jornada!$C$8:$H$37,4,0))</f>
        <v>0</v>
      </c>
      <c r="AI38" s="155">
        <f ca="1">IF(AND(I38=0,J38=0,OR(H38&lt;&gt;0,K38&lt;&gt;0),HLOOKUP($F38,Jornada!$X$7:$AD$37,VLOOKUP(INDIRECT($C$5),Jornada!$C$8:$W$37,21,0),0)&gt;$AK$5,M38&gt;$AK$5),VLOOKUP(INDIRECT($C$5),Jornada!$C$8:$H$37,6,0),IF(AG38&gt;VLOOKUP(INDIRECT($C$5),Jornada!$C$8:$H$37,6,0),IF(VLOOKUP(INDIRECT($C$5),Jornada!$C$8:$H$37,6,0)&lt;AG38,0,ABS(VLOOKUP(INDIRECT($C$5),Jornada!$C$8:$H$37,6,0))-AG38),0))</f>
        <v>0</v>
      </c>
      <c r="AJ38" s="155">
        <f t="shared" si="5"/>
        <v>1</v>
      </c>
      <c r="AK38" s="155">
        <f t="shared" si="6"/>
        <v>0</v>
      </c>
      <c r="AL38" s="155">
        <f ca="1">HLOOKUP($F38,Jornada!$I$5:$V$37,VLOOKUP(INDIRECT($C$5),Jornada!$C$8:$W$37,21,0)+2,0)</f>
        <v>0</v>
      </c>
      <c r="AM38" s="155">
        <f ca="1">HLOOKUP($F38,Jornada!$I$4:$V$37,VLOOKUP(INDIRECT($C$5),Jornada!$C$8:$W$37,21,0)+3,0)</f>
        <v>0</v>
      </c>
      <c r="AN38" s="155">
        <f t="shared" ca="1" si="7"/>
        <v>0</v>
      </c>
      <c r="AO38" s="155">
        <f t="shared" si="8"/>
        <v>0</v>
      </c>
      <c r="AP38" s="155">
        <f t="shared" si="9"/>
        <v>0</v>
      </c>
    </row>
    <row r="39" spans="1:42" s="2" customFormat="1" ht="30" customHeight="1" thickTop="1" x14ac:dyDescent="0.2">
      <c r="A39" s="9"/>
      <c r="B39" s="234"/>
      <c r="C39" s="234"/>
      <c r="D39" s="234"/>
      <c r="E39" s="236">
        <f>EOMONTH(AB8,0)</f>
        <v>31</v>
      </c>
      <c r="F39" s="234">
        <f>DAY(E39)</f>
        <v>31</v>
      </c>
      <c r="G39" s="237">
        <f>COUNTIF(F8:F38,"Dom")+COUNTIF(G8:G38,"Feriado")</f>
        <v>5</v>
      </c>
      <c r="H39" s="238">
        <f>(SUM(Q8:Q38)/(F39-G39))*G39</f>
        <v>0</v>
      </c>
      <c r="I39" s="234"/>
      <c r="J39" s="234"/>
      <c r="K39" s="234"/>
      <c r="L39" s="234"/>
      <c r="M39" s="234"/>
      <c r="Z39" s="219"/>
    </row>
    <row r="40" spans="1:42" s="2" customFormat="1" ht="30" customHeight="1" x14ac:dyDescent="0.2">
      <c r="A40" s="9"/>
      <c r="B40" s="234"/>
      <c r="C40" s="239"/>
      <c r="D40" s="239"/>
      <c r="E40" s="239"/>
      <c r="F40" s="240"/>
      <c r="G40" s="241"/>
      <c r="H40" s="234">
        <f ca="1">IF(INDIRECT($C$5)="",0,VLOOKUP(INDIRECT($C$5),Funcionários!$C$7:$E$36,3,0)+IF(VLOOKUP(INDIRECT($C$5),Jornada!$C$8:$E$37,2,0)="Sim",IF('P Gerais'!$I$8&lt;&gt;0,VLOOKUP(INDIRECT($C$5),Funcionários!$C$7:$E$36,3,0)*'P Gerais'!$L$14,'P Gerais'!$I$8*'P Gerais'!$L$14),0)+IF(VLOOKUP(INDIRECT($C$5),Jornada!$C$8:$E$37,3,0)="Sim",VLOOKUP(INDIRECT($C$5),Funcionários!$C$7:$E$36,3,0)*'P Gerais'!$K$14,0))</f>
        <v>0</v>
      </c>
      <c r="I40" s="234">
        <f ca="1">VLOOKUP(INDIRECT($C$5),Jornada!$C$8:$AF$37,30,0)</f>
        <v>0</v>
      </c>
      <c r="J40" s="234" t="s">
        <v>298</v>
      </c>
      <c r="K40" s="242">
        <f ca="1">IF(I40=0,0,H40/I40)</f>
        <v>0</v>
      </c>
      <c r="L40" s="234"/>
      <c r="M40" s="234"/>
      <c r="Z40" s="219"/>
    </row>
    <row r="41" spans="1:42" s="2" customFormat="1" ht="30" customHeight="1" x14ac:dyDescent="0.2">
      <c r="A41" s="9"/>
      <c r="B41" s="234" t="s">
        <v>52</v>
      </c>
      <c r="C41" s="292" t="s">
        <v>75</v>
      </c>
      <c r="D41" s="292"/>
      <c r="E41" s="292"/>
      <c r="F41" s="243">
        <f t="shared" ref="F41:F47" si="12">SUMIFS($Q$8:$Q$38,$F$8:$F$38,$B41,$G$8:$G$38,"Normal")</f>
        <v>0</v>
      </c>
      <c r="G41" s="244">
        <f>IF($M$41="Sistema de banco de horas",0,'P Gerais'!$C$14)</f>
        <v>0.5</v>
      </c>
      <c r="H41" s="245">
        <f t="shared" ref="H41:H48" ca="1" si="13">IF($M$41="Sistema de banco de horas",0,$K$40*(1+G41)*(F41*24))</f>
        <v>0</v>
      </c>
      <c r="I41" s="243">
        <f t="shared" ref="I41:I47" ca="1" si="14">IF(SUMIF($F$8:$F$38,$B41,$Q$8:$Q$38)-SUMIFS($M$8:$M$38,$F$8:$F$38,$B41,$G$8:$G$38,"Feriado")-SUMIFS($M$8:$M$38,$F$8:$F$38,$B41,$G$8:$G$38,"Folga (DSR)")-SUMIFS($M$8:$M$38,$F$8:$F$38,$B41,$G$8:$G$38,"Férias")-SUMIF($F$8:$F$38,$B41,$AN$8:$AN$38)-SUMIF($F$8:$F$38,$B41,$AO$8:$AO$38)&lt;0,0,SUMIF($F$8:$F$38,$B41,$Q$8:$Q$38)-SUMIFS($M$8:$M$38,$F$8:$F$38,$B41,$G$8:$G$38,"Feriado")-SUMIFS($M$8:$M$38,$F$8:$F$38,$B41,$G$8:$G$38,"Folga (DSR)")-SUMIFS($M$8:$M$38,$F$8:$F$38,$B41,$G$8:$G$38,"Férias")-SUMIF($F$8:$F$38,$B41,$AN$8:$AN$38)-SUMIF($F$8:$F$38,$B41,$AO$8:$AO$38))</f>
        <v>0</v>
      </c>
      <c r="J41" s="245">
        <f ca="1">H41</f>
        <v>0</v>
      </c>
      <c r="K41" s="234"/>
      <c r="L41" s="234"/>
      <c r="M41" s="234">
        <f>'P Gerais'!I10</f>
        <v>0</v>
      </c>
      <c r="Z41" s="219"/>
    </row>
    <row r="42" spans="1:42" s="2" customFormat="1" ht="30" customHeight="1" x14ac:dyDescent="0.2">
      <c r="A42" s="9"/>
      <c r="B42" s="234" t="s">
        <v>53</v>
      </c>
      <c r="C42" s="292" t="s">
        <v>76</v>
      </c>
      <c r="D42" s="292"/>
      <c r="E42" s="292"/>
      <c r="F42" s="243">
        <f t="shared" si="12"/>
        <v>0</v>
      </c>
      <c r="G42" s="244">
        <f>IF($M$41="Sistema de banco de horas",0,'P Gerais'!$C$14)</f>
        <v>0.5</v>
      </c>
      <c r="H42" s="245">
        <f t="shared" ca="1" si="13"/>
        <v>0</v>
      </c>
      <c r="I42" s="243">
        <f t="shared" ca="1" si="14"/>
        <v>0</v>
      </c>
      <c r="J42" s="245">
        <f t="shared" ref="J42:J51" ca="1" si="15">H42</f>
        <v>0</v>
      </c>
      <c r="K42" s="234"/>
      <c r="L42" s="234"/>
      <c r="M42" s="234"/>
      <c r="Z42" s="219"/>
    </row>
    <row r="43" spans="1:42" s="2" customFormat="1" ht="30" customHeight="1" x14ac:dyDescent="0.2">
      <c r="A43" s="9"/>
      <c r="B43" s="234" t="s">
        <v>54</v>
      </c>
      <c r="C43" s="292" t="s">
        <v>77</v>
      </c>
      <c r="D43" s="292"/>
      <c r="E43" s="292"/>
      <c r="F43" s="243">
        <f t="shared" si="12"/>
        <v>0</v>
      </c>
      <c r="G43" s="244">
        <f>IF($M$41="Sistema de banco de horas",0,'P Gerais'!$C$14)</f>
        <v>0.5</v>
      </c>
      <c r="H43" s="245">
        <f t="shared" ca="1" si="13"/>
        <v>0</v>
      </c>
      <c r="I43" s="243">
        <f t="shared" ca="1" si="14"/>
        <v>0</v>
      </c>
      <c r="J43" s="245">
        <f t="shared" ca="1" si="15"/>
        <v>0</v>
      </c>
      <c r="K43" s="234"/>
      <c r="L43" s="234"/>
      <c r="M43" s="234"/>
      <c r="Z43" s="219"/>
    </row>
    <row r="44" spans="1:42" s="2" customFormat="1" ht="30" customHeight="1" x14ac:dyDescent="0.2">
      <c r="A44" s="9"/>
      <c r="B44" s="234" t="s">
        <v>55</v>
      </c>
      <c r="C44" s="292" t="s">
        <v>78</v>
      </c>
      <c r="D44" s="292"/>
      <c r="E44" s="292"/>
      <c r="F44" s="243">
        <f t="shared" si="12"/>
        <v>0</v>
      </c>
      <c r="G44" s="244">
        <f>IF($M$41="Sistema de banco de horas",0,'P Gerais'!$C$14)</f>
        <v>0.5</v>
      </c>
      <c r="H44" s="245">
        <f t="shared" ca="1" si="13"/>
        <v>0</v>
      </c>
      <c r="I44" s="243">
        <f t="shared" ca="1" si="14"/>
        <v>0</v>
      </c>
      <c r="J44" s="245">
        <f t="shared" ca="1" si="15"/>
        <v>0</v>
      </c>
      <c r="K44" s="234"/>
      <c r="L44" s="234"/>
      <c r="M44" s="234"/>
      <c r="Z44" s="219"/>
    </row>
    <row r="45" spans="1:42" s="2" customFormat="1" ht="30" customHeight="1" x14ac:dyDescent="0.2">
      <c r="A45" s="9"/>
      <c r="B45" s="234" t="s">
        <v>56</v>
      </c>
      <c r="C45" s="292" t="s">
        <v>79</v>
      </c>
      <c r="D45" s="292"/>
      <c r="E45" s="292"/>
      <c r="F45" s="243">
        <f t="shared" si="12"/>
        <v>0</v>
      </c>
      <c r="G45" s="244">
        <f>IF($M$41="Sistema de banco de horas",0,'P Gerais'!$C$14)</f>
        <v>0.5</v>
      </c>
      <c r="H45" s="245">
        <f t="shared" ca="1" si="13"/>
        <v>0</v>
      </c>
      <c r="I45" s="243">
        <f t="shared" ca="1" si="14"/>
        <v>0</v>
      </c>
      <c r="J45" s="245">
        <f t="shared" ca="1" si="15"/>
        <v>0</v>
      </c>
      <c r="K45" s="234"/>
      <c r="L45" s="234"/>
      <c r="M45" s="234"/>
      <c r="Z45" s="219"/>
    </row>
    <row r="46" spans="1:42" s="2" customFormat="1" ht="30" customHeight="1" x14ac:dyDescent="0.2">
      <c r="A46" s="9"/>
      <c r="B46" s="234" t="s">
        <v>57</v>
      </c>
      <c r="C46" s="292" t="s">
        <v>82</v>
      </c>
      <c r="D46" s="292"/>
      <c r="E46" s="292"/>
      <c r="F46" s="243">
        <f t="shared" si="12"/>
        <v>0</v>
      </c>
      <c r="G46" s="244">
        <f>IF($M$41="Sistema de banco de horas",0,'P Gerais'!$E$14)</f>
        <v>0.5</v>
      </c>
      <c r="H46" s="245">
        <f t="shared" ca="1" si="13"/>
        <v>0</v>
      </c>
      <c r="I46" s="243">
        <f t="shared" ca="1" si="14"/>
        <v>0</v>
      </c>
      <c r="J46" s="245">
        <f t="shared" ca="1" si="15"/>
        <v>0</v>
      </c>
      <c r="K46" s="234"/>
      <c r="L46" s="234"/>
      <c r="M46" s="234"/>
      <c r="Z46" s="219"/>
    </row>
    <row r="47" spans="1:42" s="2" customFormat="1" ht="30" customHeight="1" x14ac:dyDescent="0.2">
      <c r="A47" s="9"/>
      <c r="B47" s="234" t="s">
        <v>51</v>
      </c>
      <c r="C47" s="292" t="s">
        <v>81</v>
      </c>
      <c r="D47" s="292"/>
      <c r="E47" s="292"/>
      <c r="F47" s="243">
        <f t="shared" si="12"/>
        <v>0</v>
      </c>
      <c r="G47" s="244">
        <f>IF($M$41="Sistema de banco de horas",0,'P Gerais'!$F$14)</f>
        <v>1</v>
      </c>
      <c r="H47" s="245">
        <f t="shared" ca="1" si="13"/>
        <v>0</v>
      </c>
      <c r="I47" s="243">
        <f t="shared" ca="1" si="14"/>
        <v>0</v>
      </c>
      <c r="J47" s="245">
        <f t="shared" ca="1" si="15"/>
        <v>0</v>
      </c>
      <c r="K47" s="234"/>
      <c r="L47" s="234"/>
      <c r="M47" s="234"/>
      <c r="Z47" s="219"/>
    </row>
    <row r="48" spans="1:42" s="2" customFormat="1" ht="30" customHeight="1" x14ac:dyDescent="0.2">
      <c r="A48" s="9"/>
      <c r="B48" s="234"/>
      <c r="C48" s="292" t="s">
        <v>80</v>
      </c>
      <c r="D48" s="292"/>
      <c r="E48" s="292"/>
      <c r="F48" s="243">
        <f>SUMIFS($Q$8:$Q$38,$G$8:$G$38,"Feriado")</f>
        <v>0</v>
      </c>
      <c r="G48" s="244">
        <f>IF($M$41="Sistema de banco de horas",0,'P Gerais'!$I$14)</f>
        <v>1</v>
      </c>
      <c r="H48" s="245">
        <f t="shared" ca="1" si="13"/>
        <v>0</v>
      </c>
      <c r="I48" s="243"/>
      <c r="J48" s="245">
        <f t="shared" ca="1" si="15"/>
        <v>0</v>
      </c>
      <c r="K48" s="234"/>
      <c r="L48" s="234"/>
      <c r="M48" s="234"/>
      <c r="Z48" s="219"/>
    </row>
    <row r="49" spans="1:26" s="2" customFormat="1" ht="15" x14ac:dyDescent="0.2">
      <c r="A49" s="9"/>
      <c r="B49" s="234"/>
      <c r="C49" s="292" t="s">
        <v>146</v>
      </c>
      <c r="D49" s="292"/>
      <c r="E49" s="292"/>
      <c r="F49" s="243">
        <f>SUMIFS($Q$8:$Q$38,$G$8:$G$38,"Folga (DSR)")</f>
        <v>0</v>
      </c>
      <c r="G49" s="244">
        <f>IF($M$41="Sistema de banco de horas",0,'P Gerais'!H14)</f>
        <v>1</v>
      </c>
      <c r="H49" s="245">
        <f ca="1">((F53/(F39-G39))*G39)</f>
        <v>0</v>
      </c>
      <c r="I49" s="243"/>
      <c r="J49" s="245">
        <f t="shared" ca="1" si="15"/>
        <v>0</v>
      </c>
      <c r="K49" s="234"/>
      <c r="L49" s="234"/>
      <c r="M49" s="234"/>
      <c r="Z49" s="219"/>
    </row>
    <row r="50" spans="1:26" s="2" customFormat="1" ht="15" x14ac:dyDescent="0.2">
      <c r="A50" s="9"/>
      <c r="B50" s="234"/>
      <c r="C50" s="292" t="s">
        <v>84</v>
      </c>
      <c r="D50" s="292"/>
      <c r="E50" s="292"/>
      <c r="F50" s="243">
        <f ca="1">IF($M$41="Sistema de banco de horas",(SUM(AI$8:AI$38)*(1+G50)),SUM(AI$8:AI$38))</f>
        <v>0</v>
      </c>
      <c r="G50" s="244">
        <f>IF($M$41="Sistema de banco de horas",0,'P Gerais'!$I$17)</f>
        <v>0.5</v>
      </c>
      <c r="H50" s="245">
        <f ca="1">IF($M$41="Sistema de banco de horas",0,$K$40*(1+G50)*(F50*24))</f>
        <v>0</v>
      </c>
      <c r="I50" s="243">
        <f ca="1">IF(SUM($AN$8:$AO$38)&gt;SUM(AI$8:AI$38),0,SUM(AI$8:AI$38)-SUM($AN$8:$AO$38))</f>
        <v>0</v>
      </c>
      <c r="J50" s="245">
        <f t="shared" ca="1" si="15"/>
        <v>0</v>
      </c>
      <c r="K50" s="234"/>
      <c r="L50" s="234"/>
      <c r="M50" s="234"/>
      <c r="Z50" s="219"/>
    </row>
    <row r="51" spans="1:26" s="2" customFormat="1" ht="15" x14ac:dyDescent="0.2">
      <c r="A51" s="9"/>
      <c r="B51" s="234"/>
      <c r="C51" s="292" t="s">
        <v>85</v>
      </c>
      <c r="D51" s="292"/>
      <c r="E51" s="292"/>
      <c r="F51" s="243">
        <f>IF($M$41="Sistema de banco de horas",(SUM(AK$8:AK$38)*(1+G51)),SUM(AK$8:AK$38))</f>
        <v>0</v>
      </c>
      <c r="G51" s="244">
        <f>IF($M$41="Sistema de banco de horas",0,'P Gerais'!$C$17)</f>
        <v>1</v>
      </c>
      <c r="H51" s="245">
        <f ca="1">IF($M$41="Sistema de banco de horas",0,$K$40*(1+G51)*(F51*24))</f>
        <v>0</v>
      </c>
      <c r="I51" s="243"/>
      <c r="J51" s="245">
        <f t="shared" ca="1" si="15"/>
        <v>0</v>
      </c>
      <c r="K51" s="234"/>
      <c r="L51" s="234"/>
      <c r="M51" s="234"/>
      <c r="Z51" s="219"/>
    </row>
    <row r="52" spans="1:26" s="2" customFormat="1" ht="15" customHeight="1" x14ac:dyDescent="0.2">
      <c r="A52" s="9"/>
      <c r="B52" s="234"/>
      <c r="C52" s="292" t="s">
        <v>87</v>
      </c>
      <c r="D52" s="292"/>
      <c r="E52" s="292"/>
      <c r="F52" s="243">
        <f ca="1">U12</f>
        <v>0</v>
      </c>
      <c r="G52" s="246"/>
      <c r="H52" s="234"/>
      <c r="I52" s="234"/>
      <c r="J52" s="234"/>
      <c r="K52" s="234"/>
      <c r="L52" s="234"/>
      <c r="M52" s="234"/>
      <c r="Z52" s="219"/>
    </row>
    <row r="53" spans="1:26" s="2" customFormat="1" ht="15" x14ac:dyDescent="0.2">
      <c r="A53" s="9"/>
      <c r="B53" s="234"/>
      <c r="C53" s="292" t="s">
        <v>299</v>
      </c>
      <c r="D53" s="292"/>
      <c r="E53" s="292"/>
      <c r="F53" s="247">
        <f ca="1">SUM(H48)+J50+H51+SUM(J41:J47)</f>
        <v>0</v>
      </c>
      <c r="G53" s="248"/>
      <c r="H53" s="234"/>
      <c r="I53" s="234"/>
      <c r="J53" s="234"/>
      <c r="K53" s="234"/>
      <c r="L53" s="234"/>
      <c r="M53" s="234"/>
      <c r="Z53" s="219"/>
    </row>
    <row r="54" spans="1:26" s="2" customFormat="1" ht="15" x14ac:dyDescent="0.2">
      <c r="A54" s="9"/>
      <c r="B54" s="234"/>
      <c r="C54" s="292" t="s">
        <v>88</v>
      </c>
      <c r="D54" s="292"/>
      <c r="E54" s="292"/>
      <c r="F54" s="247">
        <f ca="1">F53+(H49*(1+G49))</f>
        <v>0</v>
      </c>
      <c r="G54" s="248"/>
      <c r="H54" s="249"/>
      <c r="I54" s="234"/>
      <c r="J54" s="234"/>
      <c r="K54" s="234"/>
      <c r="L54" s="234"/>
      <c r="M54" s="234"/>
      <c r="Z54" s="219"/>
    </row>
    <row r="55" spans="1:26" s="2" customFormat="1" ht="15" x14ac:dyDescent="0.2">
      <c r="A55" s="9"/>
      <c r="B55" s="234"/>
      <c r="C55" s="292" t="s">
        <v>89</v>
      </c>
      <c r="D55" s="292"/>
      <c r="E55" s="292"/>
      <c r="F55" s="247">
        <f ca="1">H40+F54</f>
        <v>0</v>
      </c>
      <c r="G55" s="246"/>
      <c r="H55" s="234"/>
      <c r="I55" s="234"/>
      <c r="J55" s="234"/>
      <c r="K55" s="234"/>
      <c r="L55" s="234"/>
      <c r="M55" s="234"/>
      <c r="Z55" s="219"/>
    </row>
    <row r="56" spans="1:26" s="2" customFormat="1" ht="15" x14ac:dyDescent="0.2">
      <c r="A56" s="9"/>
      <c r="B56" s="234"/>
      <c r="C56" s="292" t="s">
        <v>178</v>
      </c>
      <c r="D56" s="292"/>
      <c r="E56" s="292"/>
      <c r="F56" s="243">
        <f>IF($M$41="Sistema de banco de horas",(SUMIF($G$8:$G$38,"Férias",Q8:Q38))*(1+G48),SUMIF($G$8:$G$38,"Férias",Q8:Q38))</f>
        <v>0</v>
      </c>
      <c r="G56" s="246"/>
      <c r="H56" s="234"/>
      <c r="I56" s="234"/>
      <c r="J56" s="234"/>
      <c r="K56" s="234"/>
      <c r="L56" s="234"/>
      <c r="M56" s="234"/>
      <c r="Z56" s="219"/>
    </row>
    <row r="57" spans="1:26" s="2" customFormat="1" ht="15" x14ac:dyDescent="0.2">
      <c r="A57" s="9"/>
      <c r="B57" s="234"/>
      <c r="C57" s="239"/>
      <c r="D57" s="239"/>
      <c r="E57" s="239"/>
      <c r="F57" s="250">
        <f ca="1">U14</f>
        <v>0</v>
      </c>
      <c r="G57" s="246"/>
      <c r="H57" s="234"/>
      <c r="I57" s="234"/>
      <c r="J57" s="234"/>
      <c r="K57" s="234"/>
      <c r="L57" s="234"/>
      <c r="M57" s="234"/>
      <c r="Z57" s="219"/>
    </row>
    <row r="58" spans="1:26" s="2" customFormat="1" ht="15" x14ac:dyDescent="0.2">
      <c r="A58" s="9"/>
      <c r="B58" s="234"/>
      <c r="C58" s="239"/>
      <c r="D58" s="239"/>
      <c r="E58" s="239"/>
      <c r="F58" s="243">
        <f ca="1">SUM(F41:F51)</f>
        <v>0</v>
      </c>
      <c r="G58" s="246"/>
      <c r="H58" s="234"/>
      <c r="I58" s="234"/>
      <c r="J58" s="234"/>
      <c r="K58" s="234"/>
      <c r="L58" s="234"/>
      <c r="M58" s="234"/>
      <c r="Z58" s="219"/>
    </row>
    <row r="59" spans="1:26" s="2" customFormat="1" ht="15" x14ac:dyDescent="0.2">
      <c r="A59" s="9"/>
      <c r="Z59" s="219"/>
    </row>
    <row r="60" spans="1:26" s="2" customFormat="1" ht="15" x14ac:dyDescent="0.2">
      <c r="A60" s="9"/>
      <c r="G60" s="178"/>
      <c r="Z60" s="219"/>
    </row>
    <row r="61" spans="1:26" ht="15" x14ac:dyDescent="0.2"/>
    <row r="62" spans="1:26" ht="15" x14ac:dyDescent="0.2"/>
    <row r="63" spans="1:26" ht="15" x14ac:dyDescent="0.2"/>
    <row r="64" spans="1:26" ht="15" x14ac:dyDescent="0.2"/>
    <row r="65" ht="15" x14ac:dyDescent="0.2"/>
    <row r="66" ht="15" x14ac:dyDescent="0.2"/>
    <row r="67" ht="15" x14ac:dyDescent="0.2"/>
    <row r="68" ht="15" x14ac:dyDescent="0.2"/>
    <row r="69" ht="15" x14ac:dyDescent="0.2"/>
    <row r="70" ht="15" x14ac:dyDescent="0.2"/>
    <row r="71" ht="15" x14ac:dyDescent="0.2"/>
    <row r="72" ht="15" x14ac:dyDescent="0.2"/>
    <row r="73" ht="15" x14ac:dyDescent="0.2"/>
    <row r="74" ht="15" x14ac:dyDescent="0.2"/>
    <row r="75" ht="15" x14ac:dyDescent="0.2"/>
    <row r="76" ht="15" x14ac:dyDescent="0.2"/>
    <row r="77" ht="15" x14ac:dyDescent="0.2"/>
    <row r="78" ht="15" x14ac:dyDescent="0.2"/>
    <row r="79" ht="15" x14ac:dyDescent="0.2"/>
    <row r="80" ht="15" x14ac:dyDescent="0.2"/>
    <row r="81" ht="15" x14ac:dyDescent="0.2"/>
    <row r="82" ht="15" x14ac:dyDescent="0.2"/>
    <row r="83" ht="15" x14ac:dyDescent="0.2"/>
    <row r="84" ht="15" x14ac:dyDescent="0.2"/>
    <row r="85" ht="15" x14ac:dyDescent="0.2"/>
    <row r="86" ht="15" x14ac:dyDescent="0.2"/>
    <row r="87" ht="15" x14ac:dyDescent="0.2"/>
    <row r="88" ht="15" x14ac:dyDescent="0.2"/>
    <row r="89" ht="15" x14ac:dyDescent="0.2"/>
    <row r="90" ht="15" x14ac:dyDescent="0.2"/>
    <row r="91" ht="15" x14ac:dyDescent="0.2"/>
    <row r="92" ht="15" x14ac:dyDescent="0.2"/>
    <row r="93" ht="15" x14ac:dyDescent="0.2"/>
    <row r="94" ht="15" x14ac:dyDescent="0.2"/>
    <row r="95" ht="15" x14ac:dyDescent="0.2"/>
    <row r="96" ht="15" x14ac:dyDescent="0.2"/>
    <row r="97" ht="15" x14ac:dyDescent="0.2"/>
    <row r="98" ht="15" x14ac:dyDescent="0.2"/>
    <row r="99" ht="15" x14ac:dyDescent="0.2"/>
    <row r="100" ht="15" x14ac:dyDescent="0.2"/>
    <row r="101" ht="15" x14ac:dyDescent="0.2"/>
    <row r="102" ht="15" x14ac:dyDescent="0.2"/>
    <row r="103" ht="15" x14ac:dyDescent="0.2"/>
  </sheetData>
  <sheetProtection sheet="1" objects="1" scenarios="1" selectLockedCells="1"/>
  <mergeCells count="34">
    <mergeCell ref="C56:E56"/>
    <mergeCell ref="C48:E48"/>
    <mergeCell ref="C49:E49"/>
    <mergeCell ref="C50:E50"/>
    <mergeCell ref="C52:E52"/>
    <mergeCell ref="C53:E53"/>
    <mergeCell ref="C54:E54"/>
    <mergeCell ref="C51:E51"/>
    <mergeCell ref="C44:E44"/>
    <mergeCell ref="C55:E55"/>
    <mergeCell ref="C45:E45"/>
    <mergeCell ref="C46:E46"/>
    <mergeCell ref="C47:E47"/>
    <mergeCell ref="S22:U22"/>
    <mergeCell ref="C41:E41"/>
    <mergeCell ref="C42:E42"/>
    <mergeCell ref="C43:E43"/>
    <mergeCell ref="S26:U28"/>
    <mergeCell ref="S23:U25"/>
    <mergeCell ref="E7:F7"/>
    <mergeCell ref="I7:J7"/>
    <mergeCell ref="S7:U7"/>
    <mergeCell ref="S8:T9"/>
    <mergeCell ref="U8:U9"/>
    <mergeCell ref="S16:T17"/>
    <mergeCell ref="U16:U17"/>
    <mergeCell ref="S18:T19"/>
    <mergeCell ref="S10:T11"/>
    <mergeCell ref="U10:U11"/>
    <mergeCell ref="S12:T13"/>
    <mergeCell ref="U12:U13"/>
    <mergeCell ref="S14:T15"/>
    <mergeCell ref="U14:U15"/>
    <mergeCell ref="U18:U19"/>
  </mergeCells>
  <conditionalFormatting sqref="M8:M37">
    <cfRule type="cellIs" dxfId="640" priority="122" operator="greaterThan">
      <formula>0</formula>
    </cfRule>
  </conditionalFormatting>
  <conditionalFormatting sqref="L36:L37 N36:N37">
    <cfRule type="expression" dxfId="639" priority="89">
      <formula>AND($E36&lt;$E$35,$E$8=1)</formula>
    </cfRule>
    <cfRule type="expression" dxfId="638" priority="90">
      <formula>AND($E36&gt;=$E$8,$E$8&lt;&gt;1)</formula>
    </cfRule>
  </conditionalFormatting>
  <conditionalFormatting sqref="E36:E38">
    <cfRule type="expression" dxfId="637" priority="87">
      <formula>AND($E36&lt;$E$35,$E$8=1)</formula>
    </cfRule>
    <cfRule type="expression" dxfId="636" priority="88">
      <formula>AND($E36&gt;=$E$8,$E$8&lt;&gt;1)</formula>
    </cfRule>
  </conditionalFormatting>
  <conditionalFormatting sqref="O8:O37">
    <cfRule type="cellIs" dxfId="635" priority="82" operator="greaterThan">
      <formula>0.000001</formula>
    </cfRule>
  </conditionalFormatting>
  <conditionalFormatting sqref="O36:O37">
    <cfRule type="expression" dxfId="634" priority="80">
      <formula>AND($E36&lt;$E$35,$E$8=1)</formula>
    </cfRule>
    <cfRule type="expression" dxfId="633" priority="81">
      <formula>AND($E36&gt;=$E$8,$E$8&lt;&gt;1)</formula>
    </cfRule>
  </conditionalFormatting>
  <conditionalFormatting sqref="F8:F38">
    <cfRule type="containsText" dxfId="632" priority="78" operator="containsText" text="Dom">
      <formula>NOT(ISERROR(SEARCH("Dom",F8)))</formula>
    </cfRule>
    <cfRule type="containsText" dxfId="631" priority="79" operator="containsText" text="Sáb">
      <formula>NOT(ISERROR(SEARCH("Sáb",F8)))</formula>
    </cfRule>
  </conditionalFormatting>
  <conditionalFormatting sqref="Q8:Q37">
    <cfRule type="cellIs" dxfId="630" priority="76" operator="greaterThan">
      <formula>0.000001</formula>
    </cfRule>
  </conditionalFormatting>
  <conditionalFormatting sqref="G8:K35">
    <cfRule type="expression" dxfId="629" priority="48">
      <formula>OR($G8="Férias",$G8="Falta Injustificada")</formula>
    </cfRule>
    <cfRule type="expression" dxfId="628" priority="49">
      <formula>$G8="Folga (DSR)"</formula>
    </cfRule>
    <cfRule type="expression" dxfId="627" priority="50">
      <formula>$G8="Feriado"</formula>
    </cfRule>
    <cfRule type="expression" dxfId="626" priority="51">
      <formula>$F8="Dom"</formula>
    </cfRule>
  </conditionalFormatting>
  <conditionalFormatting sqref="H8:K35">
    <cfRule type="expression" dxfId="625" priority="47">
      <formula>OR($G8="Falta Justificada",$G8="Falta Injustificada")</formula>
    </cfRule>
  </conditionalFormatting>
  <conditionalFormatting sqref="G36:K37">
    <cfRule type="expression" dxfId="624" priority="43">
      <formula>OR($G36="Férias",$G36="Falta Injustificada")</formula>
    </cfRule>
    <cfRule type="expression" dxfId="623" priority="44">
      <formula>$G36="Folga (DSR)"</formula>
    </cfRule>
    <cfRule type="expression" dxfId="622" priority="45">
      <formula>$G36="Feriado"</formula>
    </cfRule>
    <cfRule type="expression" dxfId="621" priority="46">
      <formula>$F36="Dom"</formula>
    </cfRule>
  </conditionalFormatting>
  <conditionalFormatting sqref="G36:K37">
    <cfRule type="expression" dxfId="620" priority="40">
      <formula>AND($E36&lt;$E$35,$E$8=1)</formula>
    </cfRule>
    <cfRule type="expression" dxfId="619" priority="41">
      <formula>AND($E36&gt;=$E$8,$E$8&lt;&gt;1)</formula>
    </cfRule>
  </conditionalFormatting>
  <conditionalFormatting sqref="H36:K37">
    <cfRule type="expression" dxfId="618" priority="42">
      <formula>OR($G36="Falta Justificada",$G36="Falta Injustificada")</formula>
    </cfRule>
  </conditionalFormatting>
  <conditionalFormatting sqref="O38">
    <cfRule type="cellIs" dxfId="617" priority="38" operator="greaterThan">
      <formula>0.000001</formula>
    </cfRule>
  </conditionalFormatting>
  <conditionalFormatting sqref="M38">
    <cfRule type="cellIs" dxfId="616" priority="39" operator="greaterThan">
      <formula>0</formula>
    </cfRule>
  </conditionalFormatting>
  <conditionalFormatting sqref="L38:O38">
    <cfRule type="expression" dxfId="615" priority="37">
      <formula>AND($E38&gt;=$E$8,$E$8&lt;&gt;1)</formula>
    </cfRule>
  </conditionalFormatting>
  <conditionalFormatting sqref="G38:K38">
    <cfRule type="expression" dxfId="614" priority="24">
      <formula>OR($G38="Férias",$G38="Falta Injustificada")</formula>
    </cfRule>
    <cfRule type="expression" dxfId="613" priority="25">
      <formula>$G38="Folga (DSR)"</formula>
    </cfRule>
    <cfRule type="expression" dxfId="612" priority="26">
      <formula>$G38="Feriado"</formula>
    </cfRule>
    <cfRule type="expression" dxfId="611" priority="27">
      <formula>$F38="Dom"</formula>
    </cfRule>
  </conditionalFormatting>
  <conditionalFormatting sqref="H38:K38">
    <cfRule type="expression" dxfId="610" priority="23">
      <formula>OR($G38="Falta Justificada",$G38="Falta Injustificada")</formula>
    </cfRule>
  </conditionalFormatting>
  <conditionalFormatting sqref="Q38">
    <cfRule type="cellIs" dxfId="609" priority="20" operator="greaterThan">
      <formula>0.000001</formula>
    </cfRule>
  </conditionalFormatting>
  <conditionalFormatting sqref="L38:Q38">
    <cfRule type="expression" dxfId="608" priority="36">
      <formula>AND($E38&lt;$E$35,$E$8=1)</formula>
    </cfRule>
  </conditionalFormatting>
  <conditionalFormatting sqref="G38:Q38">
    <cfRule type="expression" dxfId="607" priority="21">
      <formula>AND($E38&lt;$E$35,$E$8=1)</formula>
    </cfRule>
    <cfRule type="expression" dxfId="606" priority="22">
      <formula>AND($E38&gt;=$E$8,$E$8&lt;&gt;1)</formula>
    </cfRule>
  </conditionalFormatting>
  <conditionalFormatting sqref="U10:U11">
    <cfRule type="expression" dxfId="605" priority="8">
      <formula>$V$11="Negativo"</formula>
    </cfRule>
  </conditionalFormatting>
  <conditionalFormatting sqref="U12:U13">
    <cfRule type="expression" dxfId="604" priority="536">
      <formula>$U$14&gt;$F$58</formula>
    </cfRule>
  </conditionalFormatting>
  <conditionalFormatting sqref="F40">
    <cfRule type="expression" dxfId="603" priority="537">
      <formula>$E40="Folga(DSR)"</formula>
    </cfRule>
    <cfRule type="expression" dxfId="602" priority="538">
      <formula>$E40="Feriado"</formula>
    </cfRule>
    <cfRule type="expression" dxfId="601" priority="539">
      <formula>$D40="Dom"</formula>
    </cfRule>
  </conditionalFormatting>
  <dataValidations count="3">
    <dataValidation type="list" allowBlank="1" showInputMessage="1" showErrorMessage="1" sqref="G8:G38">
      <formula1>"Normal,Feriado,Folga (DSR),Falta Justificada,Férias,Falta Injustificada"</formula1>
    </dataValidation>
    <dataValidation type="time" allowBlank="1" showInputMessage="1" showErrorMessage="1" sqref="H8:K38">
      <formula1>0</formula1>
      <formula2>0.999988425925926</formula2>
    </dataValidation>
    <dataValidation type="list" allowBlank="1" showInputMessage="1" showErrorMessage="1" sqref="E9:E35">
      <formula1>"1,5,10,16"</formula1>
    </dataValidation>
  </dataValidations>
  <hyperlinks>
    <hyperlink ref="C8" location="Lanç!A1" display="Lanç!A1"/>
    <hyperlink ref="C9" location="'Lanç (2)'!A1" display="'Lanç (2)'!A1"/>
    <hyperlink ref="C10" location="'Lanç (3)'!A1" display="'Lanç (3)'!A1"/>
    <hyperlink ref="C11" location="'Lanç (4)'!A1" display="'Lanç (4)'!A1"/>
    <hyperlink ref="C12" location="'Lanç (5)'!A1" display="'Lanç (5)'!A1"/>
    <hyperlink ref="C13" location="'Lanç (6)'!A1" display="'Lanç (6)'!A1"/>
    <hyperlink ref="C14" location="'Lanç (7)'!A1" display="'Lanç (7)'!A1"/>
    <hyperlink ref="C15" location="'Lanç (8)'!A1" display="'Lanç (8)'!A1"/>
    <hyperlink ref="C16" location="'Lanç (9)'!A1" display="'Lanç (9)'!A1"/>
    <hyperlink ref="C17" location="'Lanç (10)'!A1" display="'Lanç (10)'!A1"/>
    <hyperlink ref="C18" location="'Lanç (11)'!A1" display="'Lanç (11)'!A1"/>
    <hyperlink ref="C19" location="'Lanç (12)'!A1" display="'Lanç (12)'!A1"/>
    <hyperlink ref="C20" location="'Lanç (13)'!A1" display="'Lanç (13)'!A1"/>
    <hyperlink ref="C21" location="'Lanç (14)'!A1" display="'Lanç (14)'!A1"/>
    <hyperlink ref="C22" location="'Lanç (15)'!A1" display="'Lanç (15)'!A1"/>
    <hyperlink ref="C23" location="'Lanç (16)'!A1" display="'Lanç (16)'!A1"/>
    <hyperlink ref="C24" location="'Lanç (17)'!A1" display="'Lanç (17)'!A1"/>
    <hyperlink ref="C25" location="'Lanç (18)'!A1" display="'Lanç (18)'!A1"/>
    <hyperlink ref="C26" location="'Lanç (19)'!A1" display="'Lanç (19)'!A1"/>
    <hyperlink ref="C27" location="'Lanç (20)'!A1" display="'Lanç (20)'!A1"/>
    <hyperlink ref="C28" location="'Lanç (21)'!A1" display="'Lanç (21)'!A1"/>
    <hyperlink ref="C29" location="'Lanç (22)'!A1" display="'Lanç (22)'!A1"/>
    <hyperlink ref="C30" location="'Lanç (23)'!A1" display="'Lanç (23)'!A1"/>
    <hyperlink ref="C31" location="'Lanç (24)'!A1" display="'Lanç (24)'!A1"/>
    <hyperlink ref="C32" location="'Lanç (25)'!A1" display="'Lanç (25)'!A1"/>
    <hyperlink ref="C33" location="'Lanç (26)'!A1" display="'Lanç (26)'!A1"/>
    <hyperlink ref="C34" location="'Lanç (27)'!A1" display="'Lanç (27)'!A1"/>
    <hyperlink ref="C35" location="'Lanç (28)'!A1" display="'Lanç (28)'!A1"/>
    <hyperlink ref="C36" location="'Lanç (29)'!A1" display="'Lanç (29)'!A1"/>
    <hyperlink ref="C37" location="'Lanç (30)'!A1" display="'Lanç (30)'!A1"/>
  </hyperlinks>
  <printOptions horizontalCentered="1"/>
  <pageMargins left="0.23622047244094502" right="0.23622047244094502" top="0.74803149606299202" bottom="0.74803149606299202" header="0.31496062992126" footer="0.31496062992126"/>
  <pageSetup paperSize="9" scale="53" orientation="portrait" cellComments="atEnd"/>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69" id="{DBC54D13-5585-1945-A063-530A09F441A9}">
            <xm:f>'P Gerais'!$I$10:$M$10="Pagas em Dinheiro"</xm:f>
            <x14:dxf>
              <font>
                <color theme="0"/>
              </font>
              <fill>
                <patternFill>
                  <bgColor theme="0"/>
                </patternFill>
              </fill>
              <border>
                <left/>
                <right/>
                <top/>
                <bottom/>
              </border>
            </x14:dxf>
          </x14:cfRule>
          <xm:sqref>S10:T13</xm:sqref>
        </x14:conditionalFormatting>
        <x14:conditionalFormatting xmlns:xm="http://schemas.microsoft.com/office/excel/2006/main">
          <x14:cfRule type="expression" priority="68" id="{9EDD88A3-3EB3-1944-B95F-3B0B2A7D6F02}">
            <xm:f>'P Gerais'!$I$10:$M$10="Sistema de banco de horas"</xm:f>
            <x14:dxf>
              <font>
                <color theme="0"/>
              </font>
              <fill>
                <patternFill>
                  <bgColor theme="0"/>
                </patternFill>
              </fill>
              <border>
                <left/>
                <right/>
                <top/>
                <bottom/>
              </border>
            </x14:dxf>
          </x14:cfRule>
          <xm:sqref>S18:T19</xm:sqref>
        </x14:conditionalFormatting>
        <x14:conditionalFormatting xmlns:xm="http://schemas.microsoft.com/office/excel/2006/main">
          <x14:cfRule type="expression" priority="10" id="{AA473349-ED5F-8E4C-A70C-F88429A20663}">
            <xm:f>'P Gerais'!$I$10:$M$10="Sistema de banco de horas"</xm:f>
            <x14:dxf>
              <font>
                <color theme="0"/>
              </font>
              <fill>
                <patternFill>
                  <bgColor theme="0"/>
                </patternFill>
              </fill>
              <border>
                <left/>
                <right/>
                <top/>
                <bottom/>
              </border>
            </x14:dxf>
          </x14:cfRule>
          <xm:sqref>U18:U19</xm:sqref>
        </x14:conditionalFormatting>
        <x14:conditionalFormatting xmlns:xm="http://schemas.microsoft.com/office/excel/2006/main">
          <x14:cfRule type="expression" priority="7" id="{FC380AEA-190E-B140-BA6A-552C3EB54E3D}">
            <xm:f>'P Gerais'!$I$10:$M$10="Pagas em Dinheiro"</xm:f>
            <x14:dxf>
              <font>
                <color theme="0"/>
              </font>
              <fill>
                <patternFill>
                  <bgColor theme="0"/>
                </patternFill>
              </fill>
              <border>
                <left/>
                <right/>
                <top/>
                <bottom/>
              </border>
            </x14:dxf>
          </x14:cfRule>
          <xm:sqref>U10:U13</xm:sqref>
        </x14:conditionalFormatting>
      </x14:conditionalFormattings>
    </ext>
  </extLs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20" enableFormatConditionsCalculation="0"/>
  <dimension ref="A1:BG103"/>
  <sheetViews>
    <sheetView showGridLines="0" zoomScale="90" zoomScaleNormal="90" zoomScalePageLayoutView="90" workbookViewId="0">
      <selection activeCell="I12" sqref="I12"/>
    </sheetView>
  </sheetViews>
  <sheetFormatPr baseColWidth="10" defaultColWidth="0" defaultRowHeight="0" customHeight="1" zeroHeight="1" x14ac:dyDescent="0.2"/>
  <cols>
    <col min="1" max="1" width="27.83203125" style="194" customWidth="1"/>
    <col min="2" max="2" width="3.83203125" style="14" customWidth="1"/>
    <col min="3" max="3" width="33.33203125" style="14" customWidth="1"/>
    <col min="4" max="4" width="2.83203125" style="14" customWidth="1"/>
    <col min="5" max="5" width="5.83203125" style="14" customWidth="1"/>
    <col min="6" max="6" width="11.83203125" style="14" customWidth="1"/>
    <col min="7" max="7" width="14.33203125" style="195" customWidth="1"/>
    <col min="8" max="11" width="9.83203125" style="14" customWidth="1"/>
    <col min="12" max="12" width="1.83203125" style="14" customWidth="1"/>
    <col min="13" max="13" width="13.33203125" style="14" customWidth="1"/>
    <col min="14" max="14" width="1.83203125" style="14" customWidth="1"/>
    <col min="15" max="15" width="13.33203125" style="14" customWidth="1"/>
    <col min="16" max="16" width="1.83203125" style="14" customWidth="1"/>
    <col min="17" max="17" width="13.33203125" style="14" customWidth="1"/>
    <col min="18" max="18" width="4.83203125" style="2" bestFit="1" customWidth="1"/>
    <col min="19" max="21" width="11.83203125" style="14" customWidth="1"/>
    <col min="22" max="23" width="8.83203125" style="2" customWidth="1"/>
    <col min="24" max="24" width="11.33203125" style="2" bestFit="1" customWidth="1"/>
    <col min="25" max="25" width="8.83203125" style="2" customWidth="1"/>
    <col min="26" max="26" width="8.1640625" style="219" bestFit="1" customWidth="1"/>
    <col min="27" max="27" width="8.83203125" style="2" customWidth="1"/>
    <col min="28" max="28" width="11.33203125" style="2" bestFit="1" customWidth="1"/>
    <col min="29" max="43" width="8.83203125" style="2" customWidth="1"/>
    <col min="44" max="50" width="11.33203125" style="2" customWidth="1"/>
    <col min="51" max="57" width="11.33203125" style="14" customWidth="1"/>
    <col min="58" max="16384" width="8.83203125" style="14" hidden="1"/>
  </cols>
  <sheetData>
    <row r="1" spans="1:59" s="15" customFormat="1" ht="33.75" customHeight="1" x14ac:dyDescent="0.3">
      <c r="A1" s="56"/>
      <c r="B1" s="3"/>
      <c r="C1" s="4" t="s">
        <v>30</v>
      </c>
      <c r="D1" s="3"/>
      <c r="E1" s="3"/>
      <c r="F1" s="3"/>
      <c r="G1" s="77"/>
      <c r="H1" s="3"/>
      <c r="I1" s="3"/>
      <c r="J1" s="3"/>
      <c r="K1" s="3"/>
      <c r="L1" s="3"/>
      <c r="M1" s="3"/>
      <c r="N1" s="3"/>
      <c r="O1" s="3"/>
      <c r="Q1" s="3"/>
      <c r="S1" s="3"/>
      <c r="T1" s="3"/>
      <c r="U1" s="3"/>
      <c r="Z1" s="174"/>
    </row>
    <row r="2" spans="1:59" s="15" customFormat="1" ht="21.5" customHeight="1" x14ac:dyDescent="0.2">
      <c r="A2" s="1"/>
      <c r="B2" s="3"/>
      <c r="C2" s="3"/>
      <c r="D2" s="3"/>
      <c r="E2" s="3"/>
      <c r="F2" s="3"/>
      <c r="G2" s="77"/>
      <c r="H2" s="3"/>
      <c r="I2" s="3"/>
      <c r="J2" s="3"/>
      <c r="K2" s="3"/>
      <c r="L2" s="3"/>
      <c r="M2" s="3"/>
      <c r="N2" s="3"/>
      <c r="O2" s="3"/>
      <c r="Q2" s="3"/>
      <c r="S2" s="3"/>
      <c r="T2" s="3"/>
      <c r="U2" s="3"/>
      <c r="Z2" s="174"/>
    </row>
    <row r="3" spans="1:59" s="15" customFormat="1" ht="21.5" customHeight="1" x14ac:dyDescent="0.2">
      <c r="A3" s="1"/>
      <c r="B3" s="3"/>
      <c r="C3" s="3"/>
      <c r="D3" s="3"/>
      <c r="E3" s="3"/>
      <c r="F3" s="3"/>
      <c r="G3" s="77"/>
      <c r="H3" s="3"/>
      <c r="I3" s="3"/>
      <c r="J3" s="3"/>
      <c r="K3" s="3"/>
      <c r="L3" s="3"/>
      <c r="M3" s="3"/>
      <c r="N3" s="3"/>
      <c r="O3" s="3"/>
      <c r="Q3" s="3"/>
      <c r="S3" s="3"/>
      <c r="T3" s="3"/>
      <c r="U3" s="3"/>
      <c r="Z3" s="174"/>
    </row>
    <row r="4" spans="1:59" s="2" customFormat="1" ht="30" customHeight="1" x14ac:dyDescent="0.2">
      <c r="A4" s="1"/>
      <c r="B4"/>
      <c r="C4"/>
      <c r="D4"/>
      <c r="E4"/>
      <c r="F4"/>
      <c r="G4" s="78"/>
      <c r="H4"/>
      <c r="I4"/>
      <c r="J4"/>
      <c r="K4"/>
      <c r="L4"/>
      <c r="M4"/>
      <c r="N4"/>
      <c r="O4" s="13"/>
      <c r="Q4"/>
      <c r="S4"/>
      <c r="T4"/>
      <c r="U4"/>
      <c r="Z4" s="219"/>
      <c r="AN4" s="175"/>
    </row>
    <row r="5" spans="1:59" s="2" customFormat="1" ht="30" customHeight="1" x14ac:dyDescent="0.2">
      <c r="A5" s="1"/>
      <c r="B5"/>
      <c r="C5" s="160" t="s">
        <v>201</v>
      </c>
      <c r="D5"/>
      <c r="E5"/>
      <c r="F5"/>
      <c r="G5"/>
      <c r="H5"/>
      <c r="I5"/>
      <c r="J5"/>
      <c r="K5" s="157">
        <f ca="1">IF(ISERROR(VLOOKUP(INDIRECT($C$5),Jornada!$C$8:$F$37,4,0)),0,VLOOKUP(INDIRECT($C$5),Jornada!$C$8:$F$37,4,0))</f>
        <v>0</v>
      </c>
      <c r="L5" s="158"/>
      <c r="M5" s="157">
        <f ca="1">IF(ISERROR(VLOOKUP(INDIRECT($C$5),Jornada!$C$8:$G$37,5,0)),0,VLOOKUP(INDIRECT($C$5),Jornada!$C$8:$G$37,5,0))</f>
        <v>0</v>
      </c>
      <c r="N5"/>
      <c r="O5" s="69"/>
      <c r="Q5"/>
      <c r="S5"/>
      <c r="T5"/>
      <c r="U5" s="12"/>
      <c r="Z5" s="219"/>
      <c r="AC5" s="12"/>
      <c r="AK5" s="179">
        <v>0.25</v>
      </c>
      <c r="AL5" s="155">
        <v>0.91666666666666663</v>
      </c>
      <c r="AM5" s="155">
        <v>0.20833333333333334</v>
      </c>
      <c r="AN5" s="155">
        <v>1</v>
      </c>
      <c r="AO5" s="155">
        <v>0.70833333333333337</v>
      </c>
    </row>
    <row r="6" spans="1:59" s="2" customFormat="1" ht="8" customHeight="1" thickBot="1" x14ac:dyDescent="0.25">
      <c r="A6" s="1"/>
      <c r="B6"/>
      <c r="C6" s="75"/>
      <c r="D6"/>
      <c r="E6"/>
      <c r="F6"/>
      <c r="G6" s="78"/>
      <c r="H6"/>
      <c r="I6"/>
      <c r="J6"/>
      <c r="M6" s="220">
        <v>1</v>
      </c>
      <c r="N6"/>
      <c r="O6" s="11"/>
      <c r="Q6" s="11"/>
      <c r="S6"/>
      <c r="T6"/>
      <c r="Z6" s="176"/>
    </row>
    <row r="7" spans="1:59" s="2" customFormat="1" ht="30" customHeight="1" thickTop="1" thickBot="1" x14ac:dyDescent="0.25">
      <c r="A7" s="1"/>
      <c r="B7"/>
      <c r="C7" s="76" t="s">
        <v>176</v>
      </c>
      <c r="D7"/>
      <c r="E7" s="281" t="str">
        <f>Lanç!E7</f>
        <v>Janeiro</v>
      </c>
      <c r="F7" s="283"/>
      <c r="G7" s="79" t="s">
        <v>58</v>
      </c>
      <c r="H7" s="82" t="s">
        <v>0</v>
      </c>
      <c r="I7" s="293" t="s">
        <v>59</v>
      </c>
      <c r="J7" s="293"/>
      <c r="K7" s="82" t="s">
        <v>60</v>
      </c>
      <c r="L7"/>
      <c r="M7" s="73" t="s">
        <v>61</v>
      </c>
      <c r="N7"/>
      <c r="O7" s="73" t="s">
        <v>62</v>
      </c>
      <c r="Q7" s="73" t="s">
        <v>63</v>
      </c>
      <c r="R7" s="155">
        <v>8.3333333333333329E-2</v>
      </c>
      <c r="S7" s="293" t="s">
        <v>64</v>
      </c>
      <c r="T7" s="293"/>
      <c r="U7" s="293"/>
      <c r="W7" s="2" t="s">
        <v>90</v>
      </c>
      <c r="X7" s="156">
        <v>1</v>
      </c>
      <c r="AB7" s="2">
        <f>VLOOKUP($E$7,$W$7:$X$18,2,0)</f>
        <v>1</v>
      </c>
      <c r="AG7" s="176" t="s">
        <v>167</v>
      </c>
      <c r="AH7" s="176" t="s">
        <v>168</v>
      </c>
      <c r="AI7" s="155">
        <v>0</v>
      </c>
      <c r="AJ7" s="155">
        <v>1</v>
      </c>
      <c r="AK7" s="155">
        <v>0.45833333333333331</v>
      </c>
      <c r="AL7" s="2" t="s">
        <v>0</v>
      </c>
      <c r="AM7" s="2" t="s">
        <v>162</v>
      </c>
      <c r="AN7" s="2" t="s">
        <v>184</v>
      </c>
      <c r="BE7" s="14"/>
      <c r="BF7" s="14"/>
      <c r="BG7" s="14"/>
    </row>
    <row r="8" spans="1:59" s="2" customFormat="1" ht="30" customHeight="1" thickTop="1" thickBot="1" x14ac:dyDescent="0.25">
      <c r="A8" s="1"/>
      <c r="B8"/>
      <c r="C8" s="172" t="str">
        <f>IF(Funcionários!C7=0,"",Funcionários!C7)</f>
        <v/>
      </c>
      <c r="D8"/>
      <c r="E8" s="115">
        <f>Lanç!E8</f>
        <v>1</v>
      </c>
      <c r="F8" s="189" t="str">
        <f>Lanç!F8</f>
        <v>Dom</v>
      </c>
      <c r="G8" s="80"/>
      <c r="H8" s="93"/>
      <c r="I8" s="93"/>
      <c r="J8" s="93"/>
      <c r="K8" s="93"/>
      <c r="L8" s="10"/>
      <c r="M8" s="95">
        <f>IF(AND(H8=K8,H8&lt;&gt;0),$M$6-IF(J8&lt;I8,$AJ$7+J8-I8,J8-I8),IF(H8&gt;K8,(K8+1-H8)-IF(J8&lt;I8,$AJ$7+J8-I8,J8-I8),(K8-H8)-IF(J8&lt;I8,$AJ$7+J8-I8,J8-I8)))</f>
        <v>0</v>
      </c>
      <c r="N8" s="96"/>
      <c r="O8" s="95">
        <f ca="1">IF(OR(G8=0,G8="Férias",G8="Falta Justificada",G8="Feriado",G8="Folga (DSR)"),0,IF(G8="Falta Injustificada",HLOOKUP($F8,Jornada!$X$7:$AD$37,VLOOKUP(INDIRECT($C$5),Jornada!$C$8:$W$37,21,0),0),IF(HLOOKUP($F8,Jornada!$X$7:$AD$37,VLOOKUP(INDIRECT($C$5),Jornada!$C$8:$W$37,21,0),0)-M8&gt;0,HLOOKUP($F8,Jornada!$X$7:$AD$37,VLOOKUP(INDIRECT($C$5),Jornada!$C$8:$W$37,21,0),0)-M8,0)))</f>
        <v>0</v>
      </c>
      <c r="P8" s="190">
        <f ca="1">IF(HLOOKUP($F8,Jornada!$X$7:$AD$37,VLOOKUP(INDIRECT($C$5),Jornada!$C$8:$W$37,21,0),0)-M8&lt;0,ABS(HLOOKUP($F8,Jornada!$X$7:$AD$37,VLOOKUP(INDIRECT($C$5),Jornada!$C$8:$W$37,21,0),0)-M8),0)</f>
        <v>0</v>
      </c>
      <c r="Q8" s="95">
        <f t="shared" ref="Q8:Q38" si="0">IF(G8="Normal",P8,IF(G8=0,0,IF(OR(G8="Feriado",G8="Férias"),IF(H8&gt;K8,(K8+1-H8)-IF(J8&lt;I8,$AJ$7+J8-I8,J8-I8),(K8-H8)-IF(J8&lt;I8,$AJ$7+J8-I8,J8-I8)),IF(G8="Folga (DSR)",IF(H8&gt;K8,(K8+1-H8)-IF(J8&lt;I8,$AJ$7+J8-I8,J8-I8),(K8-H8)-IF(J8&lt;I8,$AJ$7+J8-I8,J8-I8)),IF(G8="Falta Justificada",IF(H8&gt;K8,(K8+1-H8)-IF(J8&lt;I8,$AJ$7+J8-I8,J8-I8),(K8-H8)-IF(J8&lt;I8,$AJ$7+J8-I8,J8-I8)),0)))))</f>
        <v>0</v>
      </c>
      <c r="R8" s="2">
        <f>IF(Q8&gt;$R$7,1,0)</f>
        <v>0</v>
      </c>
      <c r="S8" s="294" t="s">
        <v>65</v>
      </c>
      <c r="T8" s="294"/>
      <c r="U8" s="295">
        <f>SUM(M8:M38)</f>
        <v>0</v>
      </c>
      <c r="W8" s="2" t="s">
        <v>91</v>
      </c>
      <c r="X8" s="156">
        <v>2</v>
      </c>
      <c r="AB8" s="177">
        <f>DATE('P Gerais'!$D$6,AB7,1)</f>
        <v>1</v>
      </c>
      <c r="AC8" s="2">
        <f>WEEKDAY(AB8)</f>
        <v>1</v>
      </c>
      <c r="AE8" s="2">
        <v>1</v>
      </c>
      <c r="AF8" s="2" t="s">
        <v>51</v>
      </c>
      <c r="AG8" s="220">
        <f>IF(J8&lt;I8,$AJ$7+J8-I8,J8-I8)</f>
        <v>0</v>
      </c>
      <c r="AH8" s="220">
        <f ca="1">IF(HLOOKUP($F8,Jornada!$X$7:$AD$37,VLOOKUP(INDIRECT($C$5),Jornada!$C$8:$W$37,21,0),0)=0,0,VLOOKUP(INDIRECT($C$5),Jornada!$C$8:$H$37,4,0))</f>
        <v>0</v>
      </c>
      <c r="AI8" s="155">
        <f ca="1">IF(AND(I8=0,J8=0,OR(H8&lt;&gt;0,K8&lt;&gt;0),HLOOKUP($F8,Jornada!$X$7:$AD$37,VLOOKUP(INDIRECT($C$5),Jornada!$C$8:$W$37,21,0),0)&gt;$AK$5,M8&gt;$AK$5),VLOOKUP(INDIRECT($C$5),Jornada!$C$8:$H$37,6,0),IF(AG8&gt;VLOOKUP(INDIRECT($C$5),Jornada!$C$8:$H$37,6,0),IF(VLOOKUP(INDIRECT($C$5),Jornada!$C$8:$H$37,6,0)&lt;AG8,0,ABS(VLOOKUP(INDIRECT($C$5),Jornada!$C$8:$H$37,6,0))-AG8),0))</f>
        <v>0</v>
      </c>
      <c r="AJ8" s="155">
        <f>($AJ$7-K8)+H8</f>
        <v>1</v>
      </c>
      <c r="AK8" s="155">
        <f>IF(AJ8&lt;$AK$7,$AK$7-AJ8,$AI$7)</f>
        <v>0</v>
      </c>
      <c r="AL8" s="155">
        <f ca="1">HLOOKUP($F8,Jornada!$I$5:$V$37,VLOOKUP(INDIRECT($C$5),Jornada!$C$8:$W$37,21,0)+2,0)</f>
        <v>0</v>
      </c>
      <c r="AM8" s="155">
        <f ca="1">HLOOKUP($F8,Jornada!$I$4:$V$37,VLOOKUP(INDIRECT($C$5),Jornada!$C$8:$W$37,21,0)+3,0)</f>
        <v>0</v>
      </c>
      <c r="AN8" s="155">
        <f ca="1">IF(AND(AL8&gt;=$AL$5,AL8&lt;$AN$5,H8&gt;=$AL$5,H8&lt;AL8),AL8-H8,IF(AND(AL8&gt;$AI$7,AL8&lt;=$AM$5,H8&gt;=$AL$5,H8&lt;=$AN$5),$AN$5-H8+AL8,IF(AND(AL8&gt;=$AI$7,AL8&lt;=$AM$5,H8&gt;=$AI$7,H8&lt;=$AM$5,H8&lt;AL8),H8-AL8,0)))</f>
        <v>0</v>
      </c>
      <c r="AO8" s="155">
        <f>IF(AP8&gt;Q8,0,AP8)</f>
        <v>0</v>
      </c>
      <c r="AP8" s="155">
        <f>IF(Q8=0,0,IF(AND(AM8&gt;=$AL$5,AM8&lt;$AN$5,K8&gt;=$AL$5,K8&lt;$AM$5,K8&gt;AM8),K8-AM8,IF(AND(AM8&gt;=$AL$5,AM8&lt;$AN$5,K8&lt;$AN$5,K8&gt;AM8),K8-$AL$5,IF(AND(AM8&gt;=$AI$7,AM8&lt;$AM$5,K8&lt;$AM$5),K8-AM8,IF(AND(AM8&lt;&gt;AI7,AM8&gt;=$AI$7,AM8&lt;=$AM$5,K8&gt;$AM$5,K8&gt;AM8),$AM$5-AM8,IF(AND(K8&gt;$AL$5,K8&lt;$AN$5),K8-$AL$5,IF(AND(K8&gt;$AI$7,K8&lt;$AM$5),$AN$5-$AL$5+K8,IF(AND(OR(K8&gt;$AL$5,H8&gt;$AO$5),AM8&gt;=$AI$7,AM8&lt;$AM$5,K8&gt;$AM$5),(1+$AM$5-$AL$5)-AG8,0))))))))</f>
        <v>0</v>
      </c>
      <c r="BE8" s="14"/>
      <c r="BF8" s="14"/>
      <c r="BG8" s="14"/>
    </row>
    <row r="9" spans="1:59" s="2" customFormat="1" ht="30" customHeight="1" thickTop="1" thickBot="1" x14ac:dyDescent="0.25">
      <c r="A9" s="1"/>
      <c r="B9"/>
      <c r="C9" s="172" t="str">
        <f>IF(Funcionários!C8=0,"",Funcionários!C8)</f>
        <v/>
      </c>
      <c r="D9"/>
      <c r="E9" s="115">
        <f>Lanç!E9</f>
        <v>2</v>
      </c>
      <c r="F9" s="189" t="str">
        <f>Lanç!F9</f>
        <v>Seg</v>
      </c>
      <c r="G9" s="81"/>
      <c r="H9" s="94"/>
      <c r="I9" s="94"/>
      <c r="J9" s="94"/>
      <c r="K9" s="94"/>
      <c r="L9" s="10"/>
      <c r="M9" s="95">
        <f t="shared" ref="M9:M38" si="1">IF(AND(H9=K9,H9&lt;&gt;0),$M$6-IF(J9&lt;I9,$AJ$7+J9-I9,J9-I9),IF(H9&gt;K9,(K9+1-H9)-IF(J9&lt;I9,$AJ$7+J9-I9,J9-I9),(K9-H9)-IF(J9&lt;I9,$AJ$7+J9-I9,J9-I9)))</f>
        <v>0</v>
      </c>
      <c r="N9" s="96"/>
      <c r="O9" s="95">
        <f ca="1">IF(OR(G9=0,G9="Férias",G9="Falta Justificada",G9="Feriado",G9="Folga (DSR)"),0,IF(G9="Falta Injustificada",HLOOKUP($F9,Jornada!$X$7:$AD$37,VLOOKUP(INDIRECT($C$5),Jornada!$C$8:$W$37,21,0),0),IF(HLOOKUP($F9,Jornada!$X$7:$AD$37,VLOOKUP(INDIRECT($C$5),Jornada!$C$8:$W$37,21,0),0)-M9&gt;0,HLOOKUP($F9,Jornada!$X$7:$AD$37,VLOOKUP(INDIRECT($C$5),Jornada!$C$8:$W$37,21,0),0)-M9,0)))</f>
        <v>0</v>
      </c>
      <c r="P9" s="190">
        <f ca="1">IF(HLOOKUP($F9,Jornada!$X$7:$AD$37,VLOOKUP(INDIRECT($C$5),Jornada!$C$8:$W$37,21,0),0)-M9&lt;0,ABS(HLOOKUP($F9,Jornada!$X$7:$AD$37,VLOOKUP(INDIRECT($C$5),Jornada!$C$8:$W$37,21,0),0)-M9),0)</f>
        <v>0</v>
      </c>
      <c r="Q9" s="95">
        <f t="shared" si="0"/>
        <v>0</v>
      </c>
      <c r="R9" s="2">
        <f t="shared" ref="R9:R38" si="2">IF(Q9&gt;$R$7,1,0)</f>
        <v>0</v>
      </c>
      <c r="S9" s="294"/>
      <c r="T9" s="294"/>
      <c r="U9" s="295"/>
      <c r="W9" s="2" t="s">
        <v>92</v>
      </c>
      <c r="X9" s="156">
        <v>3</v>
      </c>
      <c r="AB9" s="177">
        <f>AB8+1</f>
        <v>2</v>
      </c>
      <c r="AC9" s="2">
        <f t="shared" ref="AC9:AC35" si="3">WEEKDAY(AB9)</f>
        <v>2</v>
      </c>
      <c r="AE9" s="2">
        <v>2</v>
      </c>
      <c r="AF9" s="2" t="s">
        <v>52</v>
      </c>
      <c r="AG9" s="220">
        <f t="shared" ref="AG9:AG38" si="4">IF(J9&lt;I9,$AJ$7+J9-I9,J9-I9)</f>
        <v>0</v>
      </c>
      <c r="AH9" s="220">
        <f ca="1">IF(HLOOKUP($F9,Jornada!$X$7:$AD$37,VLOOKUP(INDIRECT($C$5),Jornada!$C$8:$W$37,21,0),0)=0,0,VLOOKUP(INDIRECT($C$5),Jornada!$C$8:$H$37,4,0))</f>
        <v>0</v>
      </c>
      <c r="AI9" s="155">
        <f ca="1">IF(AND(I9=0,J9=0,OR(H9&lt;&gt;0,K9&lt;&gt;0),HLOOKUP($F9,Jornada!$X$7:$AD$37,VLOOKUP(INDIRECT($C$5),Jornada!$C$8:$W$37,21,0),0)&gt;$AK$5,M9&gt;$AK$5),VLOOKUP(INDIRECT($C$5),Jornada!$C$8:$H$37,6,0),IF(AG9&gt;VLOOKUP(INDIRECT($C$5),Jornada!$C$8:$H$37,6,0),IF(VLOOKUP(INDIRECT($C$5),Jornada!$C$8:$H$37,6,0)&lt;AG9,0,ABS(VLOOKUP(INDIRECT($C$5),Jornada!$C$8:$H$37,6,0))-AG9),0))</f>
        <v>0</v>
      </c>
      <c r="AJ9" s="155">
        <f t="shared" ref="AJ9:AJ38" si="5">($AJ$7-K9)+H9</f>
        <v>1</v>
      </c>
      <c r="AK9" s="155">
        <f t="shared" ref="AK9:AK38" si="6">IF(AJ9&lt;$AK$7,$AK$7-AJ9,$AI$7)</f>
        <v>0</v>
      </c>
      <c r="AL9" s="155">
        <f ca="1">HLOOKUP($F9,Jornada!$I$5:$V$37,VLOOKUP(INDIRECT($C$5),Jornada!$C$8:$W$37,21,0)+2,0)</f>
        <v>0</v>
      </c>
      <c r="AM9" s="155">
        <f ca="1">HLOOKUP($F9,Jornada!$I$4:$V$37,VLOOKUP(INDIRECT($C$5),Jornada!$C$8:$W$37,21,0)+3,0)</f>
        <v>0</v>
      </c>
      <c r="AN9" s="155">
        <f t="shared" ref="AN9:AN38" ca="1" si="7">IF(AND(AL9&gt;=$AL$5,AL9&lt;$AN$5,H9&gt;=$AL$5,H9&lt;AL9),AL9-H9,IF(AND(AL9&gt;$AI$7,AL9&lt;=$AM$5,H9&gt;=$AL$5,H9&lt;=$AN$5),$AN$5-H9+AL9,IF(AND(AL9&gt;=$AI$7,AL9&lt;=$AM$5,H9&gt;=$AI$7,H9&lt;=$AM$5,H9&lt;AL9),H9-AL9,0)))</f>
        <v>0</v>
      </c>
      <c r="AO9" s="155">
        <f t="shared" ref="AO9:AO38" si="8">IF(AP9&gt;Q9,0,AP9)</f>
        <v>0</v>
      </c>
      <c r="AP9" s="155">
        <f t="shared" ref="AP9:AP38" si="9">IF(Q9=0,0,IF(AND(AM9&gt;=$AL$5,AM9&lt;$AN$5,K9&gt;=$AL$5,K9&lt;$AM$5,K9&gt;AM9),K9-AM9,IF(AND(AM9&gt;=$AL$5,AM9&lt;$AN$5,K9&lt;$AN$5,K9&gt;AM9),K9-$AL$5,IF(AND(AM9&gt;=$AI$7,AM9&lt;$AM$5,K9&lt;$AM$5),K9-AM9,IF(AND(AM9&lt;&gt;AI8,AM9&gt;=$AI$7,AM9&lt;=$AM$5,K9&gt;$AM$5,K9&gt;AM9),$AM$5-AM9,IF(AND(K9&gt;$AL$5,K9&lt;$AN$5),K9-$AL$5,IF(AND(K9&gt;$AI$7,K9&lt;$AM$5),$AN$5-$AL$5+K9,IF(AND(OR(K9&gt;$AL$5,H9&gt;$AO$5),AM9&gt;=$AI$7,AM9&lt;$AM$5,K9&gt;$AM$5),(1+$AM$5-$AL$5)-AG9,0))))))))</f>
        <v>0</v>
      </c>
      <c r="BE9" s="14"/>
      <c r="BF9" s="14"/>
      <c r="BG9" s="14"/>
    </row>
    <row r="10" spans="1:59" s="2" customFormat="1" ht="30" customHeight="1" thickTop="1" thickBot="1" x14ac:dyDescent="0.25">
      <c r="A10" s="1"/>
      <c r="B10"/>
      <c r="C10" s="172" t="str">
        <f>IF(Funcionários!C9=0,"",Funcionários!C9)</f>
        <v/>
      </c>
      <c r="D10"/>
      <c r="E10" s="115">
        <f>Lanç!E10</f>
        <v>3</v>
      </c>
      <c r="F10" s="189" t="str">
        <f>Lanç!F10</f>
        <v>Ter</v>
      </c>
      <c r="G10" s="81"/>
      <c r="H10" s="94"/>
      <c r="I10" s="94"/>
      <c r="J10" s="94"/>
      <c r="K10" s="94"/>
      <c r="L10" s="10"/>
      <c r="M10" s="95">
        <f t="shared" si="1"/>
        <v>0</v>
      </c>
      <c r="N10" s="96"/>
      <c r="O10" s="95">
        <f ca="1">IF(OR(G10=0,G10="Férias",G10="Falta Justificada",G10="Feriado",G10="Folga (DSR)"),0,IF(G10="Falta Injustificada",HLOOKUP($F10,Jornada!$X$7:$AD$37,VLOOKUP(INDIRECT($C$5),Jornada!$C$8:$W$37,21,0),0),IF(HLOOKUP($F10,Jornada!$X$7:$AD$37,VLOOKUP(INDIRECT($C$5),Jornada!$C$8:$W$37,21,0),0)-M10&gt;0,HLOOKUP($F10,Jornada!$X$7:$AD$37,VLOOKUP(INDIRECT($C$5),Jornada!$C$8:$W$37,21,0),0)-M10,0)))</f>
        <v>0</v>
      </c>
      <c r="P10" s="190">
        <f ca="1">IF(HLOOKUP($F10,Jornada!$X$7:$AD$37,VLOOKUP(INDIRECT($C$5),Jornada!$C$8:$W$37,21,0),0)-M10&lt;0,ABS(HLOOKUP($F10,Jornada!$X$7:$AD$37,VLOOKUP(INDIRECT($C$5),Jornada!$C$8:$W$37,21,0),0)-M10),0)</f>
        <v>0</v>
      </c>
      <c r="Q10" s="95">
        <f t="shared" si="0"/>
        <v>0</v>
      </c>
      <c r="R10" s="2">
        <f t="shared" si="2"/>
        <v>0</v>
      </c>
      <c r="S10" s="294" t="s">
        <v>66</v>
      </c>
      <c r="T10" s="294"/>
      <c r="U10" s="295">
        <f ca="1">IF(M5="Horas devidas",ABS(-K5+F58-U14),ABS(K5+F58-U14))</f>
        <v>0</v>
      </c>
      <c r="W10" s="2" t="s">
        <v>93</v>
      </c>
      <c r="X10" s="156">
        <v>4</v>
      </c>
      <c r="AB10" s="177">
        <f t="shared" ref="AB10:AB34" si="10">AB9+1</f>
        <v>3</v>
      </c>
      <c r="AC10" s="2">
        <f t="shared" si="3"/>
        <v>3</v>
      </c>
      <c r="AE10" s="2">
        <v>3</v>
      </c>
      <c r="AF10" s="2" t="s">
        <v>53</v>
      </c>
      <c r="AG10" s="220">
        <f t="shared" si="4"/>
        <v>0</v>
      </c>
      <c r="AH10" s="220">
        <f ca="1">IF(HLOOKUP($F10,Jornada!$X$7:$AD$37,VLOOKUP(INDIRECT($C$5),Jornada!$C$8:$W$37,21,0),0)=0,0,VLOOKUP(INDIRECT($C$5),Jornada!$C$8:$H$37,4,0))</f>
        <v>0</v>
      </c>
      <c r="AI10" s="155">
        <f ca="1">IF(AND(I10=0,J10=0,OR(H10&lt;&gt;0,K10&lt;&gt;0),HLOOKUP($F10,Jornada!$X$7:$AD$37,VLOOKUP(INDIRECT($C$5),Jornada!$C$8:$W$37,21,0),0)&gt;$AK$5,M10&gt;$AK$5),VLOOKUP(INDIRECT($C$5),Jornada!$C$8:$H$37,6,0),IF(AG10&gt;VLOOKUP(INDIRECT($C$5),Jornada!$C$8:$H$37,6,0),IF(VLOOKUP(INDIRECT($C$5),Jornada!$C$8:$H$37,6,0)&lt;AG10,0,ABS(VLOOKUP(INDIRECT($C$5),Jornada!$C$8:$H$37,6,0))-AG10),0))</f>
        <v>0</v>
      </c>
      <c r="AJ10" s="155">
        <f t="shared" si="5"/>
        <v>1</v>
      </c>
      <c r="AK10" s="155">
        <f t="shared" si="6"/>
        <v>0</v>
      </c>
      <c r="AL10" s="155">
        <f ca="1">HLOOKUP($F10,Jornada!$I$5:$V$37,VLOOKUP(INDIRECT($C$5),Jornada!$C$8:$W$37,21,0)+2,0)</f>
        <v>0</v>
      </c>
      <c r="AM10" s="155">
        <f ca="1">HLOOKUP($F10,Jornada!$I$4:$V$37,VLOOKUP(INDIRECT($C$5),Jornada!$C$8:$W$37,21,0)+3,0)</f>
        <v>0</v>
      </c>
      <c r="AN10" s="155">
        <f t="shared" ca="1" si="7"/>
        <v>0</v>
      </c>
      <c r="AO10" s="155">
        <f t="shared" si="8"/>
        <v>0</v>
      </c>
      <c r="AP10" s="155">
        <f t="shared" si="9"/>
        <v>0</v>
      </c>
      <c r="BE10" s="14"/>
      <c r="BF10" s="14"/>
      <c r="BG10" s="14"/>
    </row>
    <row r="11" spans="1:59" s="2" customFormat="1" ht="30" customHeight="1" thickTop="1" thickBot="1" x14ac:dyDescent="0.25">
      <c r="A11" s="1"/>
      <c r="B11"/>
      <c r="C11" s="172" t="str">
        <f>IF(Funcionários!C10=0,"",Funcionários!C10)</f>
        <v/>
      </c>
      <c r="D11"/>
      <c r="E11" s="115">
        <f>Lanç!E11</f>
        <v>4</v>
      </c>
      <c r="F11" s="189" t="str">
        <f>Lanç!F11</f>
        <v>Qua</v>
      </c>
      <c r="G11" s="81"/>
      <c r="H11" s="94"/>
      <c r="I11" s="94"/>
      <c r="J11" s="94"/>
      <c r="K11" s="94"/>
      <c r="L11" s="10"/>
      <c r="M11" s="95">
        <f t="shared" si="1"/>
        <v>0</v>
      </c>
      <c r="N11" s="96"/>
      <c r="O11" s="95">
        <f ca="1">IF(OR(G11=0,G11="Férias",G11="Falta Justificada",G11="Feriado",G11="Folga (DSR)"),0,IF(G11="Falta Injustificada",HLOOKUP($F11,Jornada!$X$7:$AD$37,VLOOKUP(INDIRECT($C$5),Jornada!$C$8:$W$37,21,0),0),IF(HLOOKUP($F11,Jornada!$X$7:$AD$37,VLOOKUP(INDIRECT($C$5),Jornada!$C$8:$W$37,21,0),0)-M11&gt;0,HLOOKUP($F11,Jornada!$X$7:$AD$37,VLOOKUP(INDIRECT($C$5),Jornada!$C$8:$W$37,21,0),0)-M11,0)))</f>
        <v>0</v>
      </c>
      <c r="P11" s="190">
        <f ca="1">IF(HLOOKUP($F11,Jornada!$X$7:$AD$37,VLOOKUP(INDIRECT($C$5),Jornada!$C$8:$W$37,21,0),0)-M11&lt;0,ABS(HLOOKUP($F11,Jornada!$X$7:$AD$37,VLOOKUP(INDIRECT($C$5),Jornada!$C$8:$W$37,21,0),0)-M11),0)</f>
        <v>0</v>
      </c>
      <c r="Q11" s="95">
        <f t="shared" si="0"/>
        <v>0</v>
      </c>
      <c r="R11" s="2">
        <f t="shared" si="2"/>
        <v>0</v>
      </c>
      <c r="S11" s="294"/>
      <c r="T11" s="294"/>
      <c r="U11" s="295"/>
      <c r="V11" s="2">
        <f ca="1">IF(AND(K5&gt;U12,M5="Horas devidas"),"Negativo",IF(AND(U12&gt;K5,U14&gt;F58),"Negativo",0))</f>
        <v>0</v>
      </c>
      <c r="W11" s="2" t="s">
        <v>94</v>
      </c>
      <c r="X11" s="156">
        <v>5</v>
      </c>
      <c r="Z11" s="2" t="str">
        <f ca="1">IF(AND(M5="horas extras",Z13="positivo"),"positivo",IF(AND(M5="horas devidas",Z13="Negativo"),"Negativo",IF(AND(Z13="positivo",M5="horas devidas",U12&gt;K5),"Positivo","Negativo")))</f>
        <v>Negativo</v>
      </c>
      <c r="AB11" s="177">
        <f t="shared" si="10"/>
        <v>4</v>
      </c>
      <c r="AC11" s="2">
        <f t="shared" si="3"/>
        <v>4</v>
      </c>
      <c r="AE11" s="2">
        <v>4</v>
      </c>
      <c r="AF11" s="2" t="s">
        <v>54</v>
      </c>
      <c r="AG11" s="220">
        <f t="shared" si="4"/>
        <v>0</v>
      </c>
      <c r="AH11" s="220">
        <f ca="1">IF(HLOOKUP($F11,Jornada!$X$7:$AD$37,VLOOKUP(INDIRECT($C$5),Jornada!$C$8:$W$37,21,0),0)=0,0,VLOOKUP(INDIRECT($C$5),Jornada!$C$8:$H$37,4,0))</f>
        <v>0</v>
      </c>
      <c r="AI11" s="155">
        <f ca="1">IF(AND(I11=0,J11=0,OR(H11&lt;&gt;0,K11&lt;&gt;0),HLOOKUP($F11,Jornada!$X$7:$AD$37,VLOOKUP(INDIRECT($C$5),Jornada!$C$8:$W$37,21,0),0)&gt;$AK$5,M11&gt;$AK$5),VLOOKUP(INDIRECT($C$5),Jornada!$C$8:$H$37,6,0),IF(AG11&gt;VLOOKUP(INDIRECT($C$5),Jornada!$C$8:$H$37,6,0),IF(VLOOKUP(INDIRECT($C$5),Jornada!$C$8:$H$37,6,0)&lt;AG11,0,ABS(VLOOKUP(INDIRECT($C$5),Jornada!$C$8:$H$37,6,0))-AG11),0))</f>
        <v>0</v>
      </c>
      <c r="AJ11" s="155">
        <f t="shared" si="5"/>
        <v>1</v>
      </c>
      <c r="AK11" s="155">
        <f t="shared" si="6"/>
        <v>0</v>
      </c>
      <c r="AL11" s="155">
        <f ca="1">HLOOKUP($F11,Jornada!$I$5:$V$37,VLOOKUP(INDIRECT($C$5),Jornada!$C$8:$W$37,21,0)+2,0)</f>
        <v>0</v>
      </c>
      <c r="AM11" s="155">
        <f ca="1">HLOOKUP($F11,Jornada!$I$4:$V$37,VLOOKUP(INDIRECT($C$5),Jornada!$C$8:$W$37,21,0)+3,0)</f>
        <v>0</v>
      </c>
      <c r="AN11" s="155">
        <f t="shared" ca="1" si="7"/>
        <v>0</v>
      </c>
      <c r="AO11" s="155">
        <f t="shared" si="8"/>
        <v>0</v>
      </c>
      <c r="AP11" s="155">
        <f t="shared" si="9"/>
        <v>0</v>
      </c>
      <c r="BE11" s="14"/>
      <c r="BF11" s="14"/>
      <c r="BG11" s="14"/>
    </row>
    <row r="12" spans="1:59" s="2" customFormat="1" ht="30" customHeight="1" thickTop="1" thickBot="1" x14ac:dyDescent="0.25">
      <c r="A12" s="1"/>
      <c r="B12"/>
      <c r="C12" s="172" t="str">
        <f>IF(Funcionários!C11=0,"",Funcionários!C11)</f>
        <v/>
      </c>
      <c r="D12"/>
      <c r="E12" s="115">
        <f>Lanç!E12</f>
        <v>5</v>
      </c>
      <c r="F12" s="189" t="str">
        <f>Lanç!F12</f>
        <v>Qui</v>
      </c>
      <c r="G12" s="81"/>
      <c r="H12" s="94"/>
      <c r="I12" s="94"/>
      <c r="J12" s="94"/>
      <c r="K12" s="94"/>
      <c r="L12" s="10"/>
      <c r="M12" s="95">
        <f t="shared" si="1"/>
        <v>0</v>
      </c>
      <c r="N12" s="96"/>
      <c r="O12" s="95">
        <f ca="1">IF(OR(G12=0,G12="Férias",G12="Falta Justificada",G12="Feriado",G12="Folga (DSR)"),0,IF(G12="Falta Injustificada",HLOOKUP($F12,Jornada!$X$7:$AD$37,VLOOKUP(INDIRECT($C$5),Jornada!$C$8:$W$37,21,0),0),IF(HLOOKUP($F12,Jornada!$X$7:$AD$37,VLOOKUP(INDIRECT($C$5),Jornada!$C$8:$W$37,21,0),0)-M12&gt;0,HLOOKUP($F12,Jornada!$X$7:$AD$37,VLOOKUP(INDIRECT($C$5),Jornada!$C$8:$W$37,21,0),0)-M12,0)))</f>
        <v>0</v>
      </c>
      <c r="P12" s="190">
        <f ca="1">IF(HLOOKUP($F12,Jornada!$X$7:$AD$37,VLOOKUP(INDIRECT($C$5),Jornada!$C$8:$W$37,21,0),0)-M12&lt;0,ABS(HLOOKUP($F12,Jornada!$X$7:$AD$37,VLOOKUP(INDIRECT($C$5),Jornada!$C$8:$W$37,21,0),0)-M12),0)</f>
        <v>0</v>
      </c>
      <c r="Q12" s="95">
        <f t="shared" si="0"/>
        <v>0</v>
      </c>
      <c r="R12" s="2">
        <f t="shared" si="2"/>
        <v>0</v>
      </c>
      <c r="S12" s="294" t="s">
        <v>175</v>
      </c>
      <c r="T12" s="294"/>
      <c r="U12" s="295">
        <f ca="1">IF(U14&gt;=F58,(U14)-F58,(F58-U14))</f>
        <v>0</v>
      </c>
      <c r="W12" s="2" t="s">
        <v>95</v>
      </c>
      <c r="X12" s="156">
        <v>6</v>
      </c>
      <c r="AB12" s="177">
        <f t="shared" si="10"/>
        <v>5</v>
      </c>
      <c r="AC12" s="2">
        <f t="shared" si="3"/>
        <v>5</v>
      </c>
      <c r="AE12" s="2">
        <v>5</v>
      </c>
      <c r="AF12" s="2" t="s">
        <v>55</v>
      </c>
      <c r="AG12" s="220">
        <f t="shared" si="4"/>
        <v>0</v>
      </c>
      <c r="AH12" s="220">
        <f ca="1">IF(HLOOKUP($F12,Jornada!$X$7:$AD$37,VLOOKUP(INDIRECT($C$5),Jornada!$C$8:$W$37,21,0),0)=0,0,VLOOKUP(INDIRECT($C$5),Jornada!$C$8:$H$37,4,0))</f>
        <v>0</v>
      </c>
      <c r="AI12" s="155">
        <f ca="1">IF(AND(I12=0,J12=0,OR(H12&lt;&gt;0,K12&lt;&gt;0),HLOOKUP($F12,Jornada!$X$7:$AD$37,VLOOKUP(INDIRECT($C$5),Jornada!$C$8:$W$37,21,0),0)&gt;$AK$5,M12&gt;$AK$5),VLOOKUP(INDIRECT($C$5),Jornada!$C$8:$H$37,6,0),IF(AG12&gt;VLOOKUP(INDIRECT($C$5),Jornada!$C$8:$H$37,6,0),IF(VLOOKUP(INDIRECT($C$5),Jornada!$C$8:$H$37,6,0)&lt;AG12,0,ABS(VLOOKUP(INDIRECT($C$5),Jornada!$C$8:$H$37,6,0))-AG12),0))</f>
        <v>0</v>
      </c>
      <c r="AJ12" s="155">
        <f t="shared" si="5"/>
        <v>1</v>
      </c>
      <c r="AK12" s="155">
        <f t="shared" si="6"/>
        <v>0</v>
      </c>
      <c r="AL12" s="155">
        <f ca="1">HLOOKUP($F12,Jornada!$I$5:$V$37,VLOOKUP(INDIRECT($C$5),Jornada!$C$8:$W$37,21,0)+2,0)</f>
        <v>0</v>
      </c>
      <c r="AM12" s="155">
        <f ca="1">HLOOKUP($F12,Jornada!$I$4:$V$37,VLOOKUP(INDIRECT($C$5),Jornada!$C$8:$W$37,21,0)+3,0)</f>
        <v>0</v>
      </c>
      <c r="AN12" s="155">
        <f t="shared" ca="1" si="7"/>
        <v>0</v>
      </c>
      <c r="AO12" s="155">
        <f t="shared" si="8"/>
        <v>0</v>
      </c>
      <c r="AP12" s="155">
        <f t="shared" si="9"/>
        <v>0</v>
      </c>
      <c r="BE12" s="14"/>
      <c r="BF12" s="14"/>
      <c r="BG12" s="14"/>
    </row>
    <row r="13" spans="1:59" s="2" customFormat="1" ht="30" customHeight="1" thickTop="1" thickBot="1" x14ac:dyDescent="0.25">
      <c r="A13" s="1"/>
      <c r="B13"/>
      <c r="C13" s="172" t="str">
        <f>IF(Funcionários!C12=0,"",Funcionários!C12)</f>
        <v/>
      </c>
      <c r="D13"/>
      <c r="E13" s="115">
        <f>Lanç!E13</f>
        <v>6</v>
      </c>
      <c r="F13" s="189" t="str">
        <f>Lanç!F13</f>
        <v>Sex</v>
      </c>
      <c r="G13" s="81"/>
      <c r="H13" s="94"/>
      <c r="I13" s="94"/>
      <c r="J13" s="94"/>
      <c r="K13" s="94"/>
      <c r="L13" s="10"/>
      <c r="M13" s="95">
        <f t="shared" si="1"/>
        <v>0</v>
      </c>
      <c r="N13" s="96"/>
      <c r="O13" s="95">
        <f ca="1">IF(OR(G13=0,G13="Férias",G13="Falta Justificada",G13="Feriado",G13="Folga (DSR)"),0,IF(G13="Falta Injustificada",HLOOKUP($F13,Jornada!$X$7:$AD$37,VLOOKUP(INDIRECT($C$5),Jornada!$C$8:$W$37,21,0),0),IF(HLOOKUP($F13,Jornada!$X$7:$AD$37,VLOOKUP(INDIRECT($C$5),Jornada!$C$8:$W$37,21,0),0)-M13&gt;0,HLOOKUP($F13,Jornada!$X$7:$AD$37,VLOOKUP(INDIRECT($C$5),Jornada!$C$8:$W$37,21,0),0)-M13,0)))</f>
        <v>0</v>
      </c>
      <c r="P13" s="190">
        <f ca="1">IF(HLOOKUP($F13,Jornada!$X$7:$AD$37,VLOOKUP(INDIRECT($C$5),Jornada!$C$8:$W$37,21,0),0)-M13&lt;0,ABS(HLOOKUP($F13,Jornada!$X$7:$AD$37,VLOOKUP(INDIRECT($C$5),Jornada!$C$8:$W$37,21,0),0)-M13),0)</f>
        <v>0</v>
      </c>
      <c r="Q13" s="95">
        <f t="shared" si="0"/>
        <v>0</v>
      </c>
      <c r="R13" s="2">
        <f t="shared" si="2"/>
        <v>0</v>
      </c>
      <c r="S13" s="294"/>
      <c r="T13" s="294"/>
      <c r="U13" s="295"/>
      <c r="W13" s="2" t="s">
        <v>96</v>
      </c>
      <c r="X13" s="156">
        <v>7</v>
      </c>
      <c r="Z13" s="2" t="str">
        <f ca="1">IF(U14&gt;F58,"Negativo","Positivo")</f>
        <v>Positivo</v>
      </c>
      <c r="AB13" s="177">
        <f t="shared" si="10"/>
        <v>6</v>
      </c>
      <c r="AC13" s="2">
        <f t="shared" si="3"/>
        <v>6</v>
      </c>
      <c r="AE13" s="2">
        <v>6</v>
      </c>
      <c r="AF13" s="2" t="s">
        <v>56</v>
      </c>
      <c r="AG13" s="220">
        <f t="shared" si="4"/>
        <v>0</v>
      </c>
      <c r="AH13" s="220">
        <f ca="1">IF(HLOOKUP($F13,Jornada!$X$7:$AD$37,VLOOKUP(INDIRECT($C$5),Jornada!$C$8:$W$37,21,0),0)=0,0,VLOOKUP(INDIRECT($C$5),Jornada!$C$8:$H$37,4,0))</f>
        <v>0</v>
      </c>
      <c r="AI13" s="155">
        <f ca="1">IF(AND(I13=0,J13=0,OR(H13&lt;&gt;0,K13&lt;&gt;0),HLOOKUP($F13,Jornada!$X$7:$AD$37,VLOOKUP(INDIRECT($C$5),Jornada!$C$8:$W$37,21,0),0)&gt;$AK$5,M13&gt;$AK$5),VLOOKUP(INDIRECT($C$5),Jornada!$C$8:$H$37,6,0),IF(AG13&gt;VLOOKUP(INDIRECT($C$5),Jornada!$C$8:$H$37,6,0),IF(VLOOKUP(INDIRECT($C$5),Jornada!$C$8:$H$37,6,0)&lt;AG13,0,ABS(VLOOKUP(INDIRECT($C$5),Jornada!$C$8:$H$37,6,0))-AG13),0))</f>
        <v>0</v>
      </c>
      <c r="AJ13" s="155">
        <f t="shared" si="5"/>
        <v>1</v>
      </c>
      <c r="AK13" s="155">
        <f t="shared" si="6"/>
        <v>0</v>
      </c>
      <c r="AL13" s="155">
        <f ca="1">HLOOKUP($F13,Jornada!$I$5:$V$37,VLOOKUP(INDIRECT($C$5),Jornada!$C$8:$W$37,21,0)+2,0)</f>
        <v>0</v>
      </c>
      <c r="AM13" s="155">
        <f ca="1">HLOOKUP($F13,Jornada!$I$4:$V$37,VLOOKUP(INDIRECT($C$5),Jornada!$C$8:$W$37,21,0)+3,0)</f>
        <v>0</v>
      </c>
      <c r="AN13" s="155">
        <f t="shared" ca="1" si="7"/>
        <v>0</v>
      </c>
      <c r="AO13" s="155">
        <f t="shared" si="8"/>
        <v>0</v>
      </c>
      <c r="AP13" s="155">
        <f t="shared" si="9"/>
        <v>0</v>
      </c>
      <c r="BE13" s="14"/>
      <c r="BF13" s="14"/>
      <c r="BG13" s="14"/>
    </row>
    <row r="14" spans="1:59" s="2" customFormat="1" ht="30" customHeight="1" thickTop="1" thickBot="1" x14ac:dyDescent="0.25">
      <c r="A14" s="1"/>
      <c r="B14"/>
      <c r="C14" s="172" t="str">
        <f>IF(Funcionários!C13=0,"",Funcionários!C13)</f>
        <v/>
      </c>
      <c r="D14"/>
      <c r="E14" s="115">
        <f>Lanç!E14</f>
        <v>7</v>
      </c>
      <c r="F14" s="189" t="str">
        <f>Lanç!F14</f>
        <v>Sáb</v>
      </c>
      <c r="G14" s="81"/>
      <c r="H14" s="94"/>
      <c r="I14" s="94"/>
      <c r="J14" s="94"/>
      <c r="K14" s="94"/>
      <c r="L14" s="10"/>
      <c r="M14" s="95">
        <f t="shared" si="1"/>
        <v>0</v>
      </c>
      <c r="N14" s="96"/>
      <c r="O14" s="95">
        <f ca="1">IF(OR(G14=0,G14="Férias",G14="Falta Justificada",G14="Feriado",G14="Folga (DSR)"),0,IF(G14="Falta Injustificada",HLOOKUP($F14,Jornada!$X$7:$AD$37,VLOOKUP(INDIRECT($C$5),Jornada!$C$8:$W$37,21,0),0),IF(HLOOKUP($F14,Jornada!$X$7:$AD$37,VLOOKUP(INDIRECT($C$5),Jornada!$C$8:$W$37,21,0),0)-M14&gt;0,HLOOKUP($F14,Jornada!$X$7:$AD$37,VLOOKUP(INDIRECT($C$5),Jornada!$C$8:$W$37,21,0),0)-M14,0)))</f>
        <v>0</v>
      </c>
      <c r="P14" s="190">
        <f ca="1">IF(HLOOKUP($F14,Jornada!$X$7:$AD$37,VLOOKUP(INDIRECT($C$5),Jornada!$C$8:$W$37,21,0),0)-M14&lt;0,ABS(HLOOKUP($F14,Jornada!$X$7:$AD$37,VLOOKUP(INDIRECT($C$5),Jornada!$C$8:$W$37,21,0),0)-M14),0)</f>
        <v>0</v>
      </c>
      <c r="Q14" s="95">
        <f t="shared" si="0"/>
        <v>0</v>
      </c>
      <c r="R14" s="2">
        <f t="shared" si="2"/>
        <v>0</v>
      </c>
      <c r="S14" s="294" t="s">
        <v>68</v>
      </c>
      <c r="T14" s="294"/>
      <c r="U14" s="295">
        <f ca="1">SUM(O8:O38)</f>
        <v>0</v>
      </c>
      <c r="W14" s="2" t="s">
        <v>97</v>
      </c>
      <c r="X14" s="156">
        <v>8</v>
      </c>
      <c r="AB14" s="177">
        <f t="shared" si="10"/>
        <v>7</v>
      </c>
      <c r="AC14" s="2">
        <f t="shared" si="3"/>
        <v>7</v>
      </c>
      <c r="AE14" s="2">
        <v>7</v>
      </c>
      <c r="AF14" s="2" t="s">
        <v>57</v>
      </c>
      <c r="AG14" s="220">
        <f t="shared" si="4"/>
        <v>0</v>
      </c>
      <c r="AH14" s="220">
        <f ca="1">IF(HLOOKUP($F14,Jornada!$X$7:$AD$37,VLOOKUP(INDIRECT($C$5),Jornada!$C$8:$W$37,21,0),0)=0,0,VLOOKUP(INDIRECT($C$5),Jornada!$C$8:$H$37,4,0))</f>
        <v>0</v>
      </c>
      <c r="AI14" s="155">
        <f ca="1">IF(AND(I14=0,J14=0,OR(H14&lt;&gt;0,K14&lt;&gt;0),HLOOKUP($F14,Jornada!$X$7:$AD$37,VLOOKUP(INDIRECT($C$5),Jornada!$C$8:$W$37,21,0),0)&gt;$AK$5,M14&gt;$AK$5),VLOOKUP(INDIRECT($C$5),Jornada!$C$8:$H$37,6,0),IF(AG14&gt;VLOOKUP(INDIRECT($C$5),Jornada!$C$8:$H$37,6,0),IF(VLOOKUP(INDIRECT($C$5),Jornada!$C$8:$H$37,6,0)&lt;AG14,0,ABS(VLOOKUP(INDIRECT($C$5),Jornada!$C$8:$H$37,6,0))-AG14),0))</f>
        <v>0</v>
      </c>
      <c r="AJ14" s="155">
        <f t="shared" si="5"/>
        <v>1</v>
      </c>
      <c r="AK14" s="155">
        <f t="shared" si="6"/>
        <v>0</v>
      </c>
      <c r="AL14" s="155">
        <f ca="1">HLOOKUP($F14,Jornada!$I$5:$V$37,VLOOKUP(INDIRECT($C$5),Jornada!$C$8:$W$37,21,0)+2,0)</f>
        <v>0</v>
      </c>
      <c r="AM14" s="155">
        <f ca="1">HLOOKUP($F14,Jornada!$I$4:$V$37,VLOOKUP(INDIRECT($C$5),Jornada!$C$8:$W$37,21,0)+3,0)</f>
        <v>0</v>
      </c>
      <c r="AN14" s="155">
        <f t="shared" ca="1" si="7"/>
        <v>0</v>
      </c>
      <c r="AO14" s="155">
        <f t="shared" si="8"/>
        <v>0</v>
      </c>
      <c r="AP14" s="155">
        <f t="shared" si="9"/>
        <v>0</v>
      </c>
      <c r="BE14" s="14"/>
      <c r="BF14" s="14"/>
      <c r="BG14" s="14"/>
    </row>
    <row r="15" spans="1:59" s="2" customFormat="1" ht="30" customHeight="1" thickTop="1" thickBot="1" x14ac:dyDescent="0.25">
      <c r="A15" s="1"/>
      <c r="B15"/>
      <c r="C15" s="172" t="str">
        <f>IF(Funcionários!C14=0,"",Funcionários!C14)</f>
        <v/>
      </c>
      <c r="D15"/>
      <c r="E15" s="115">
        <f>Lanç!E15</f>
        <v>8</v>
      </c>
      <c r="F15" s="189" t="str">
        <f>Lanç!F15</f>
        <v>Dom</v>
      </c>
      <c r="G15" s="81"/>
      <c r="H15" s="94"/>
      <c r="I15" s="94"/>
      <c r="J15" s="94"/>
      <c r="K15" s="94"/>
      <c r="L15" s="10"/>
      <c r="M15" s="95">
        <f t="shared" si="1"/>
        <v>0</v>
      </c>
      <c r="N15" s="96"/>
      <c r="O15" s="95">
        <f ca="1">IF(OR(G15=0,G15="Férias",G15="Falta Justificada",G15="Feriado",G15="Folga (DSR)"),0,IF(G15="Falta Injustificada",HLOOKUP($F15,Jornada!$X$7:$AD$37,VLOOKUP(INDIRECT($C$5),Jornada!$C$8:$W$37,21,0),0),IF(HLOOKUP($F15,Jornada!$X$7:$AD$37,VLOOKUP(INDIRECT($C$5),Jornada!$C$8:$W$37,21,0),0)-M15&gt;0,HLOOKUP($F15,Jornada!$X$7:$AD$37,VLOOKUP(INDIRECT($C$5),Jornada!$C$8:$W$37,21,0),0)-M15,0)))</f>
        <v>0</v>
      </c>
      <c r="P15" s="190">
        <f ca="1">IF(HLOOKUP($F15,Jornada!$X$7:$AD$37,VLOOKUP(INDIRECT($C$5),Jornada!$C$8:$W$37,21,0),0)-M15&lt;0,ABS(HLOOKUP($F15,Jornada!$X$7:$AD$37,VLOOKUP(INDIRECT($C$5),Jornada!$C$8:$W$37,21,0),0)-M15),0)</f>
        <v>0</v>
      </c>
      <c r="Q15" s="95">
        <f t="shared" si="0"/>
        <v>0</v>
      </c>
      <c r="R15" s="2">
        <f t="shared" si="2"/>
        <v>0</v>
      </c>
      <c r="S15" s="294"/>
      <c r="T15" s="294"/>
      <c r="U15" s="295"/>
      <c r="W15" s="2" t="s">
        <v>98</v>
      </c>
      <c r="X15" s="156">
        <v>9</v>
      </c>
      <c r="AB15" s="177">
        <f t="shared" si="10"/>
        <v>8</v>
      </c>
      <c r="AC15" s="2">
        <f t="shared" si="3"/>
        <v>1</v>
      </c>
      <c r="AG15" s="220">
        <f t="shared" si="4"/>
        <v>0</v>
      </c>
      <c r="AH15" s="220">
        <f ca="1">IF(HLOOKUP($F15,Jornada!$X$7:$AD$37,VLOOKUP(INDIRECT($C$5),Jornada!$C$8:$W$37,21,0),0)=0,0,VLOOKUP(INDIRECT($C$5),Jornada!$C$8:$H$37,4,0))</f>
        <v>0</v>
      </c>
      <c r="AI15" s="155">
        <f ca="1">IF(AND(I15=0,J15=0,OR(H15&lt;&gt;0,K15&lt;&gt;0),HLOOKUP($F15,Jornada!$X$7:$AD$37,VLOOKUP(INDIRECT($C$5),Jornada!$C$8:$W$37,21,0),0)&gt;$AK$5,M15&gt;$AK$5),VLOOKUP(INDIRECT($C$5),Jornada!$C$8:$H$37,6,0),IF(AG15&gt;VLOOKUP(INDIRECT($C$5),Jornada!$C$8:$H$37,6,0),IF(VLOOKUP(INDIRECT($C$5),Jornada!$C$8:$H$37,6,0)&lt;AG15,0,ABS(VLOOKUP(INDIRECT($C$5),Jornada!$C$8:$H$37,6,0))-AG15),0))</f>
        <v>0</v>
      </c>
      <c r="AJ15" s="155">
        <f t="shared" si="5"/>
        <v>1</v>
      </c>
      <c r="AK15" s="155">
        <f t="shared" si="6"/>
        <v>0</v>
      </c>
      <c r="AL15" s="155">
        <f ca="1">HLOOKUP($F15,Jornada!$I$5:$V$37,VLOOKUP(INDIRECT($C$5),Jornada!$C$8:$W$37,21,0)+2,0)</f>
        <v>0</v>
      </c>
      <c r="AM15" s="155">
        <f ca="1">HLOOKUP($F15,Jornada!$I$4:$V$37,VLOOKUP(INDIRECT($C$5),Jornada!$C$8:$W$37,21,0)+3,0)</f>
        <v>0</v>
      </c>
      <c r="AN15" s="155">
        <f t="shared" ca="1" si="7"/>
        <v>0</v>
      </c>
      <c r="AO15" s="155">
        <f t="shared" si="8"/>
        <v>0</v>
      </c>
      <c r="AP15" s="155">
        <f t="shared" si="9"/>
        <v>0</v>
      </c>
      <c r="BE15" s="14"/>
      <c r="BF15" s="14"/>
      <c r="BG15" s="14"/>
    </row>
    <row r="16" spans="1:59" s="2" customFormat="1" ht="30" customHeight="1" thickTop="1" thickBot="1" x14ac:dyDescent="0.25">
      <c r="A16" s="1"/>
      <c r="B16"/>
      <c r="C16" s="172" t="str">
        <f>IF(Funcionários!C15=0,"",Funcionários!C15)</f>
        <v/>
      </c>
      <c r="D16"/>
      <c r="E16" s="115">
        <f>Lanç!E16</f>
        <v>9</v>
      </c>
      <c r="F16" s="189" t="str">
        <f>Lanç!F16</f>
        <v>Seg</v>
      </c>
      <c r="G16" s="81"/>
      <c r="H16" s="94"/>
      <c r="I16" s="94"/>
      <c r="J16" s="94"/>
      <c r="K16" s="94"/>
      <c r="L16" s="10"/>
      <c r="M16" s="95">
        <f t="shared" si="1"/>
        <v>0</v>
      </c>
      <c r="N16" s="96"/>
      <c r="O16" s="95">
        <f ca="1">IF(OR(G16=0,G16="Férias",G16="Falta Justificada",G16="Feriado",G16="Folga (DSR)"),0,IF(G16="Falta Injustificada",HLOOKUP($F16,Jornada!$X$7:$AD$37,VLOOKUP(INDIRECT($C$5),Jornada!$C$8:$W$37,21,0),0),IF(HLOOKUP($F16,Jornada!$X$7:$AD$37,VLOOKUP(INDIRECT($C$5),Jornada!$C$8:$W$37,21,0),0)-M16&gt;0,HLOOKUP($F16,Jornada!$X$7:$AD$37,VLOOKUP(INDIRECT($C$5),Jornada!$C$8:$W$37,21,0),0)-M16,0)))</f>
        <v>0</v>
      </c>
      <c r="P16" s="190">
        <f ca="1">IF(HLOOKUP($F16,Jornada!$X$7:$AD$37,VLOOKUP(INDIRECT($C$5),Jornada!$C$8:$W$37,21,0),0)-M16&lt;0,ABS(HLOOKUP($F16,Jornada!$X$7:$AD$37,VLOOKUP(INDIRECT($C$5),Jornada!$C$8:$W$37,21,0),0)-M16),0)</f>
        <v>0</v>
      </c>
      <c r="Q16" s="95">
        <f t="shared" si="0"/>
        <v>0</v>
      </c>
      <c r="R16" s="2">
        <f t="shared" si="2"/>
        <v>0</v>
      </c>
      <c r="S16" s="294" t="s">
        <v>67</v>
      </c>
      <c r="T16" s="294"/>
      <c r="U16" s="295">
        <f>SUM(Q8:Q38)</f>
        <v>0</v>
      </c>
      <c r="W16" s="2" t="s">
        <v>99</v>
      </c>
      <c r="X16" s="156">
        <v>10</v>
      </c>
      <c r="AB16" s="177">
        <f t="shared" si="10"/>
        <v>9</v>
      </c>
      <c r="AC16" s="2">
        <f t="shared" si="3"/>
        <v>2</v>
      </c>
      <c r="AG16" s="220">
        <f t="shared" si="4"/>
        <v>0</v>
      </c>
      <c r="AH16" s="220">
        <f ca="1">IF(HLOOKUP($F16,Jornada!$X$7:$AD$37,VLOOKUP(INDIRECT($C$5),Jornada!$C$8:$W$37,21,0),0)=0,0,VLOOKUP(INDIRECT($C$5),Jornada!$C$8:$H$37,4,0))</f>
        <v>0</v>
      </c>
      <c r="AI16" s="155">
        <f ca="1">IF(AND(I16=0,J16=0,OR(H16&lt;&gt;0,K16&lt;&gt;0),HLOOKUP($F16,Jornada!$X$7:$AD$37,VLOOKUP(INDIRECT($C$5),Jornada!$C$8:$W$37,21,0),0)&gt;$AK$5,M16&gt;$AK$5),VLOOKUP(INDIRECT($C$5),Jornada!$C$8:$H$37,6,0),IF(AG16&gt;VLOOKUP(INDIRECT($C$5),Jornada!$C$8:$H$37,6,0),IF(VLOOKUP(INDIRECT($C$5),Jornada!$C$8:$H$37,6,0)&lt;AG16,0,ABS(VLOOKUP(INDIRECT($C$5),Jornada!$C$8:$H$37,6,0))-AG16),0))</f>
        <v>0</v>
      </c>
      <c r="AJ16" s="155">
        <f t="shared" si="5"/>
        <v>1</v>
      </c>
      <c r="AK16" s="155">
        <f t="shared" si="6"/>
        <v>0</v>
      </c>
      <c r="AL16" s="155">
        <f ca="1">HLOOKUP($F16,Jornada!$I$5:$V$37,VLOOKUP(INDIRECT($C$5),Jornada!$C$8:$W$37,21,0)+2,0)</f>
        <v>0</v>
      </c>
      <c r="AM16" s="155">
        <f ca="1">HLOOKUP($F16,Jornada!$I$4:$V$37,VLOOKUP(INDIRECT($C$5),Jornada!$C$8:$W$37,21,0)+3,0)</f>
        <v>0</v>
      </c>
      <c r="AN16" s="155">
        <f t="shared" ca="1" si="7"/>
        <v>0</v>
      </c>
      <c r="AO16" s="155">
        <f t="shared" si="8"/>
        <v>0</v>
      </c>
      <c r="AP16" s="155">
        <f t="shared" si="9"/>
        <v>0</v>
      </c>
      <c r="BE16" s="14"/>
      <c r="BF16" s="14"/>
      <c r="BG16" s="14"/>
    </row>
    <row r="17" spans="1:59" s="2" customFormat="1" ht="30" customHeight="1" thickTop="1" thickBot="1" x14ac:dyDescent="0.25">
      <c r="A17" s="1"/>
      <c r="B17"/>
      <c r="C17" s="172" t="str">
        <f>IF(Funcionários!C16=0,"",Funcionários!C16)</f>
        <v/>
      </c>
      <c r="D17"/>
      <c r="E17" s="115">
        <f>Lanç!E17</f>
        <v>10</v>
      </c>
      <c r="F17" s="189" t="str">
        <f>Lanç!F17</f>
        <v>Ter</v>
      </c>
      <c r="G17" s="81"/>
      <c r="H17" s="94"/>
      <c r="I17" s="94"/>
      <c r="J17" s="94"/>
      <c r="K17" s="94"/>
      <c r="L17" s="10"/>
      <c r="M17" s="95">
        <f t="shared" si="1"/>
        <v>0</v>
      </c>
      <c r="N17" s="96"/>
      <c r="O17" s="95">
        <f ca="1">IF(OR(G17=0,G17="Férias",G17="Falta Justificada",G17="Feriado",G17="Folga (DSR)"),0,IF(G17="Falta Injustificada",HLOOKUP($F17,Jornada!$X$7:$AD$37,VLOOKUP(INDIRECT($C$5),Jornada!$C$8:$W$37,21,0),0),IF(HLOOKUP($F17,Jornada!$X$7:$AD$37,VLOOKUP(INDIRECT($C$5),Jornada!$C$8:$W$37,21,0),0)-M17&gt;0,HLOOKUP($F17,Jornada!$X$7:$AD$37,VLOOKUP(INDIRECT($C$5),Jornada!$C$8:$W$37,21,0),0)-M17,0)))</f>
        <v>0</v>
      </c>
      <c r="P17" s="190">
        <f ca="1">IF(HLOOKUP($F17,Jornada!$X$7:$AD$37,VLOOKUP(INDIRECT($C$5),Jornada!$C$8:$W$37,21,0),0)-M17&lt;0,ABS(HLOOKUP($F17,Jornada!$X$7:$AD$37,VLOOKUP(INDIRECT($C$5),Jornada!$C$8:$W$37,21,0),0)-M17),0)</f>
        <v>0</v>
      </c>
      <c r="Q17" s="95">
        <f t="shared" si="0"/>
        <v>0</v>
      </c>
      <c r="R17" s="2">
        <f t="shared" si="2"/>
        <v>0</v>
      </c>
      <c r="S17" s="294"/>
      <c r="T17" s="294"/>
      <c r="U17" s="295"/>
      <c r="W17" s="2" t="s">
        <v>100</v>
      </c>
      <c r="X17" s="156">
        <v>11</v>
      </c>
      <c r="AB17" s="177">
        <f t="shared" si="10"/>
        <v>10</v>
      </c>
      <c r="AC17" s="2">
        <f t="shared" si="3"/>
        <v>3</v>
      </c>
      <c r="AG17" s="220">
        <f t="shared" si="4"/>
        <v>0</v>
      </c>
      <c r="AH17" s="220">
        <f ca="1">IF(HLOOKUP($F17,Jornada!$X$7:$AD$37,VLOOKUP(INDIRECT($C$5),Jornada!$C$8:$W$37,21,0),0)=0,0,VLOOKUP(INDIRECT($C$5),Jornada!$C$8:$H$37,4,0))</f>
        <v>0</v>
      </c>
      <c r="AI17" s="155">
        <f ca="1">IF(AND(I17=0,J17=0,OR(H17&lt;&gt;0,K17&lt;&gt;0),HLOOKUP($F17,Jornada!$X$7:$AD$37,VLOOKUP(INDIRECT($C$5),Jornada!$C$8:$W$37,21,0),0)&gt;$AK$5,M17&gt;$AK$5),VLOOKUP(INDIRECT($C$5),Jornada!$C$8:$H$37,6,0),IF(AG17&gt;VLOOKUP(INDIRECT($C$5),Jornada!$C$8:$H$37,6,0),IF(VLOOKUP(INDIRECT($C$5),Jornada!$C$8:$H$37,6,0)&lt;AG17,0,ABS(VLOOKUP(INDIRECT($C$5),Jornada!$C$8:$H$37,6,0))-AG17),0))</f>
        <v>0</v>
      </c>
      <c r="AJ17" s="155">
        <f t="shared" si="5"/>
        <v>1</v>
      </c>
      <c r="AK17" s="155">
        <f t="shared" si="6"/>
        <v>0</v>
      </c>
      <c r="AL17" s="155">
        <f ca="1">HLOOKUP($F17,Jornada!$I$5:$V$37,VLOOKUP(INDIRECT($C$5),Jornada!$C$8:$W$37,21,0)+2,0)</f>
        <v>0</v>
      </c>
      <c r="AM17" s="155">
        <f ca="1">HLOOKUP($F17,Jornada!$I$4:$V$37,VLOOKUP(INDIRECT($C$5),Jornada!$C$8:$W$37,21,0)+3,0)</f>
        <v>0</v>
      </c>
      <c r="AN17" s="155">
        <f t="shared" ca="1" si="7"/>
        <v>0</v>
      </c>
      <c r="AO17" s="155">
        <f t="shared" si="8"/>
        <v>0</v>
      </c>
      <c r="AP17" s="155">
        <f t="shared" si="9"/>
        <v>0</v>
      </c>
      <c r="BE17" s="14"/>
      <c r="BF17" s="14"/>
      <c r="BG17" s="14"/>
    </row>
    <row r="18" spans="1:59" s="2" customFormat="1" ht="30" customHeight="1" thickTop="1" thickBot="1" x14ac:dyDescent="0.25">
      <c r="A18" s="1"/>
      <c r="B18"/>
      <c r="C18" s="172" t="str">
        <f>IF(Funcionários!C17=0,"",Funcionários!C17)</f>
        <v/>
      </c>
      <c r="D18"/>
      <c r="E18" s="115">
        <f>Lanç!E18</f>
        <v>11</v>
      </c>
      <c r="F18" s="189" t="str">
        <f>Lanç!F18</f>
        <v>Qua</v>
      </c>
      <c r="G18" s="81"/>
      <c r="H18" s="94"/>
      <c r="I18" s="94"/>
      <c r="J18" s="94"/>
      <c r="K18" s="94"/>
      <c r="L18" s="10"/>
      <c r="M18" s="95">
        <f t="shared" si="1"/>
        <v>0</v>
      </c>
      <c r="N18" s="96"/>
      <c r="O18" s="95">
        <f ca="1">IF(OR(G18=0,G18="Férias",G18="Falta Justificada",G18="Feriado",G18="Folga (DSR)"),0,IF(G18="Falta Injustificada",HLOOKUP($F18,Jornada!$X$7:$AD$37,VLOOKUP(INDIRECT($C$5),Jornada!$C$8:$W$37,21,0),0),IF(HLOOKUP($F18,Jornada!$X$7:$AD$37,VLOOKUP(INDIRECT($C$5),Jornada!$C$8:$W$37,21,0),0)-M18&gt;0,HLOOKUP($F18,Jornada!$X$7:$AD$37,VLOOKUP(INDIRECT($C$5),Jornada!$C$8:$W$37,21,0),0)-M18,0)))</f>
        <v>0</v>
      </c>
      <c r="P18" s="190">
        <f ca="1">IF(HLOOKUP($F18,Jornada!$X$7:$AD$37,VLOOKUP(INDIRECT($C$5),Jornada!$C$8:$W$37,21,0),0)-M18&lt;0,ABS(HLOOKUP($F18,Jornada!$X$7:$AD$37,VLOOKUP(INDIRECT($C$5),Jornada!$C$8:$W$37,21,0),0)-M18),0)</f>
        <v>0</v>
      </c>
      <c r="Q18" s="95">
        <f t="shared" si="0"/>
        <v>0</v>
      </c>
      <c r="R18" s="2">
        <f t="shared" si="2"/>
        <v>0</v>
      </c>
      <c r="S18" s="294" t="s">
        <v>69</v>
      </c>
      <c r="T18" s="294"/>
      <c r="U18" s="299">
        <f ca="1">F54</f>
        <v>0</v>
      </c>
      <c r="W18" s="2" t="s">
        <v>101</v>
      </c>
      <c r="X18" s="156">
        <v>12</v>
      </c>
      <c r="AB18" s="177">
        <f t="shared" si="10"/>
        <v>11</v>
      </c>
      <c r="AC18" s="2">
        <f t="shared" si="3"/>
        <v>4</v>
      </c>
      <c r="AG18" s="220">
        <f t="shared" si="4"/>
        <v>0</v>
      </c>
      <c r="AH18" s="220">
        <f ca="1">IF(HLOOKUP($F18,Jornada!$X$7:$AD$37,VLOOKUP(INDIRECT($C$5),Jornada!$C$8:$W$37,21,0),0)=0,0,VLOOKUP(INDIRECT($C$5),Jornada!$C$8:$H$37,4,0))</f>
        <v>0</v>
      </c>
      <c r="AI18" s="155">
        <f ca="1">IF(AND(I18=0,J18=0,OR(H18&lt;&gt;0,K18&lt;&gt;0),HLOOKUP($F18,Jornada!$X$7:$AD$37,VLOOKUP(INDIRECT($C$5),Jornada!$C$8:$W$37,21,0),0)&gt;$AK$5,M18&gt;$AK$5),VLOOKUP(INDIRECT($C$5),Jornada!$C$8:$H$37,6,0),IF(AG18&gt;VLOOKUP(INDIRECT($C$5),Jornada!$C$8:$H$37,6,0),IF(VLOOKUP(INDIRECT($C$5),Jornada!$C$8:$H$37,6,0)&lt;AG18,0,ABS(VLOOKUP(INDIRECT($C$5),Jornada!$C$8:$H$37,6,0))-AG18),0))</f>
        <v>0</v>
      </c>
      <c r="AJ18" s="155">
        <f t="shared" si="5"/>
        <v>1</v>
      </c>
      <c r="AK18" s="155">
        <f t="shared" si="6"/>
        <v>0</v>
      </c>
      <c r="AL18" s="155">
        <f ca="1">HLOOKUP($F18,Jornada!$I$5:$V$37,VLOOKUP(INDIRECT($C$5),Jornada!$C$8:$W$37,21,0)+2,0)</f>
        <v>0</v>
      </c>
      <c r="AM18" s="155">
        <f ca="1">HLOOKUP($F18,Jornada!$I$4:$V$37,VLOOKUP(INDIRECT($C$5),Jornada!$C$8:$W$37,21,0)+3,0)</f>
        <v>0</v>
      </c>
      <c r="AN18" s="155">
        <f t="shared" ca="1" si="7"/>
        <v>0</v>
      </c>
      <c r="AO18" s="155">
        <f t="shared" si="8"/>
        <v>0</v>
      </c>
      <c r="AP18" s="155">
        <f t="shared" si="9"/>
        <v>0</v>
      </c>
      <c r="BE18" s="14"/>
      <c r="BF18" s="14"/>
      <c r="BG18" s="14"/>
    </row>
    <row r="19" spans="1:59" s="2" customFormat="1" ht="30" customHeight="1" thickTop="1" thickBot="1" x14ac:dyDescent="0.25">
      <c r="A19" s="1"/>
      <c r="B19"/>
      <c r="C19" s="172" t="str">
        <f>IF(Funcionários!C18=0,"",Funcionários!C18)</f>
        <v/>
      </c>
      <c r="D19"/>
      <c r="E19" s="115">
        <f>Lanç!E19</f>
        <v>12</v>
      </c>
      <c r="F19" s="189" t="str">
        <f>Lanç!F19</f>
        <v>Qui</v>
      </c>
      <c r="G19" s="81"/>
      <c r="H19" s="94"/>
      <c r="I19" s="94"/>
      <c r="J19" s="94"/>
      <c r="K19" s="94"/>
      <c r="L19" s="10"/>
      <c r="M19" s="95">
        <f t="shared" si="1"/>
        <v>0</v>
      </c>
      <c r="N19" s="96"/>
      <c r="O19" s="95">
        <f ca="1">IF(OR(G19=0,G19="Férias",G19="Falta Justificada",G19="Feriado",G19="Folga (DSR)"),0,IF(G19="Falta Injustificada",HLOOKUP($F19,Jornada!$X$7:$AD$37,VLOOKUP(INDIRECT($C$5),Jornada!$C$8:$W$37,21,0),0),IF(HLOOKUP($F19,Jornada!$X$7:$AD$37,VLOOKUP(INDIRECT($C$5),Jornada!$C$8:$W$37,21,0),0)-M19&gt;0,HLOOKUP($F19,Jornada!$X$7:$AD$37,VLOOKUP(INDIRECT($C$5),Jornada!$C$8:$W$37,21,0),0)-M19,0)))</f>
        <v>0</v>
      </c>
      <c r="P19" s="190">
        <f ca="1">IF(HLOOKUP($F19,Jornada!$X$7:$AD$37,VLOOKUP(INDIRECT($C$5),Jornada!$C$8:$W$37,21,0),0)-M19&lt;0,ABS(HLOOKUP($F19,Jornada!$X$7:$AD$37,VLOOKUP(INDIRECT($C$5),Jornada!$C$8:$W$37,21,0),0)-M19),0)</f>
        <v>0</v>
      </c>
      <c r="Q19" s="95">
        <f t="shared" si="0"/>
        <v>0</v>
      </c>
      <c r="R19" s="2">
        <f t="shared" si="2"/>
        <v>0</v>
      </c>
      <c r="S19" s="294"/>
      <c r="T19" s="294"/>
      <c r="U19" s="299"/>
      <c r="X19" s="177"/>
      <c r="AB19" s="177">
        <f t="shared" si="10"/>
        <v>12</v>
      </c>
      <c r="AC19" s="2">
        <f t="shared" si="3"/>
        <v>5</v>
      </c>
      <c r="AG19" s="220">
        <f t="shared" si="4"/>
        <v>0</v>
      </c>
      <c r="AH19" s="220">
        <f ca="1">IF(HLOOKUP($F19,Jornada!$X$7:$AD$37,VLOOKUP(INDIRECT($C$5),Jornada!$C$8:$W$37,21,0),0)=0,0,VLOOKUP(INDIRECT($C$5),Jornada!$C$8:$H$37,4,0))</f>
        <v>0</v>
      </c>
      <c r="AI19" s="155">
        <f ca="1">IF(AND(I19=0,J19=0,OR(H19&lt;&gt;0,K19&lt;&gt;0),HLOOKUP($F19,Jornada!$X$7:$AD$37,VLOOKUP(INDIRECT($C$5),Jornada!$C$8:$W$37,21,0),0)&gt;$AK$5,M19&gt;$AK$5),VLOOKUP(INDIRECT($C$5),Jornada!$C$8:$H$37,6,0),IF(AG19&gt;VLOOKUP(INDIRECT($C$5),Jornada!$C$8:$H$37,6,0),IF(VLOOKUP(INDIRECT($C$5),Jornada!$C$8:$H$37,6,0)&lt;AG19,0,ABS(VLOOKUP(INDIRECT($C$5),Jornada!$C$8:$H$37,6,0))-AG19),0))</f>
        <v>0</v>
      </c>
      <c r="AJ19" s="155">
        <f t="shared" si="5"/>
        <v>1</v>
      </c>
      <c r="AK19" s="155">
        <f t="shared" si="6"/>
        <v>0</v>
      </c>
      <c r="AL19" s="155">
        <f ca="1">HLOOKUP($F19,Jornada!$I$5:$V$37,VLOOKUP(INDIRECT($C$5),Jornada!$C$8:$W$37,21,0)+2,0)</f>
        <v>0</v>
      </c>
      <c r="AM19" s="155">
        <f ca="1">HLOOKUP($F19,Jornada!$I$4:$V$37,VLOOKUP(INDIRECT($C$5),Jornada!$C$8:$W$37,21,0)+3,0)</f>
        <v>0</v>
      </c>
      <c r="AN19" s="155">
        <f t="shared" ca="1" si="7"/>
        <v>0</v>
      </c>
      <c r="AO19" s="155">
        <f t="shared" si="8"/>
        <v>0</v>
      </c>
      <c r="AP19" s="155">
        <f t="shared" si="9"/>
        <v>0</v>
      </c>
      <c r="BE19" s="14"/>
      <c r="BF19" s="14"/>
      <c r="BG19" s="14"/>
    </row>
    <row r="20" spans="1:59" s="2" customFormat="1" ht="30" customHeight="1" thickTop="1" thickBot="1" x14ac:dyDescent="0.25">
      <c r="A20" s="1"/>
      <c r="B20"/>
      <c r="C20" s="172" t="str">
        <f>IF(Funcionários!C19=0,"",Funcionários!C19)</f>
        <v/>
      </c>
      <c r="D20"/>
      <c r="E20" s="115">
        <f>Lanç!E20</f>
        <v>13</v>
      </c>
      <c r="F20" s="189" t="str">
        <f>Lanç!F20</f>
        <v>Sex</v>
      </c>
      <c r="G20" s="81"/>
      <c r="H20" s="94"/>
      <c r="I20" s="94"/>
      <c r="J20" s="94"/>
      <c r="K20" s="94"/>
      <c r="L20" s="10"/>
      <c r="M20" s="95">
        <f t="shared" si="1"/>
        <v>0</v>
      </c>
      <c r="N20" s="96"/>
      <c r="O20" s="95">
        <f ca="1">IF(OR(G20=0,G20="Férias",G20="Falta Justificada",G20="Feriado",G20="Folga (DSR)"),0,IF(G20="Falta Injustificada",HLOOKUP($F20,Jornada!$X$7:$AD$37,VLOOKUP(INDIRECT($C$5),Jornada!$C$8:$W$37,21,0),0),IF(HLOOKUP($F20,Jornada!$X$7:$AD$37,VLOOKUP(INDIRECT($C$5),Jornada!$C$8:$W$37,21,0),0)-M20&gt;0,HLOOKUP($F20,Jornada!$X$7:$AD$37,VLOOKUP(INDIRECT($C$5),Jornada!$C$8:$W$37,21,0),0)-M20,0)))</f>
        <v>0</v>
      </c>
      <c r="P20" s="190">
        <f ca="1">IF(HLOOKUP($F20,Jornada!$X$7:$AD$37,VLOOKUP(INDIRECT($C$5),Jornada!$C$8:$W$37,21,0),0)-M20&lt;0,ABS(HLOOKUP($F20,Jornada!$X$7:$AD$37,VLOOKUP(INDIRECT($C$5),Jornada!$C$8:$W$37,21,0),0)-M20),0)</f>
        <v>0</v>
      </c>
      <c r="Q20" s="95">
        <f t="shared" si="0"/>
        <v>0</v>
      </c>
      <c r="R20" s="2">
        <f t="shared" si="2"/>
        <v>0</v>
      </c>
      <c r="S20"/>
      <c r="T20"/>
      <c r="U20"/>
      <c r="X20" s="177"/>
      <c r="AB20" s="177">
        <f t="shared" si="10"/>
        <v>13</v>
      </c>
      <c r="AC20" s="2">
        <f t="shared" si="3"/>
        <v>6</v>
      </c>
      <c r="AG20" s="220">
        <f t="shared" si="4"/>
        <v>0</v>
      </c>
      <c r="AH20" s="220">
        <f ca="1">IF(HLOOKUP($F20,Jornada!$X$7:$AD$37,VLOOKUP(INDIRECT($C$5),Jornada!$C$8:$W$37,21,0),0)=0,0,VLOOKUP(INDIRECT($C$5),Jornada!$C$8:$H$37,4,0))</f>
        <v>0</v>
      </c>
      <c r="AI20" s="155">
        <f ca="1">IF(AND(I20=0,J20=0,OR(H20&lt;&gt;0,K20&lt;&gt;0),HLOOKUP($F20,Jornada!$X$7:$AD$37,VLOOKUP(INDIRECT($C$5),Jornada!$C$8:$W$37,21,0),0)&gt;$AK$5,M20&gt;$AK$5),VLOOKUP(INDIRECT($C$5),Jornada!$C$8:$H$37,6,0),IF(AG20&gt;VLOOKUP(INDIRECT($C$5),Jornada!$C$8:$H$37,6,0),IF(VLOOKUP(INDIRECT($C$5),Jornada!$C$8:$H$37,6,0)&lt;AG20,0,ABS(VLOOKUP(INDIRECT($C$5),Jornada!$C$8:$H$37,6,0))-AG20),0))</f>
        <v>0</v>
      </c>
      <c r="AJ20" s="155">
        <f t="shared" si="5"/>
        <v>1</v>
      </c>
      <c r="AK20" s="155">
        <f t="shared" si="6"/>
        <v>0</v>
      </c>
      <c r="AL20" s="155">
        <f ca="1">HLOOKUP($F20,Jornada!$I$5:$V$37,VLOOKUP(INDIRECT($C$5),Jornada!$C$8:$W$37,21,0)+2,0)</f>
        <v>0</v>
      </c>
      <c r="AM20" s="155">
        <f ca="1">HLOOKUP($F20,Jornada!$I$4:$V$37,VLOOKUP(INDIRECT($C$5),Jornada!$C$8:$W$37,21,0)+3,0)</f>
        <v>0</v>
      </c>
      <c r="AN20" s="155">
        <f t="shared" ca="1" si="7"/>
        <v>0</v>
      </c>
      <c r="AO20" s="155">
        <f t="shared" si="8"/>
        <v>0</v>
      </c>
      <c r="AP20" s="155">
        <f t="shared" si="9"/>
        <v>0</v>
      </c>
      <c r="BE20" s="14"/>
      <c r="BF20" s="14"/>
      <c r="BG20" s="14"/>
    </row>
    <row r="21" spans="1:59" s="2" customFormat="1" ht="30" customHeight="1" thickTop="1" thickBot="1" x14ac:dyDescent="0.25">
      <c r="A21" s="1"/>
      <c r="B21"/>
      <c r="C21" s="172" t="str">
        <f>IF(Funcionários!C20=0,"",Funcionários!C20)</f>
        <v/>
      </c>
      <c r="D21"/>
      <c r="E21" s="115">
        <f>Lanç!E21</f>
        <v>14</v>
      </c>
      <c r="F21" s="189" t="str">
        <f>Lanç!F21</f>
        <v>Sáb</v>
      </c>
      <c r="G21" s="81"/>
      <c r="H21" s="94"/>
      <c r="I21" s="94"/>
      <c r="J21" s="94"/>
      <c r="K21" s="94"/>
      <c r="L21" s="10"/>
      <c r="M21" s="95">
        <f t="shared" si="1"/>
        <v>0</v>
      </c>
      <c r="N21" s="96"/>
      <c r="O21" s="95">
        <f ca="1">IF(OR(G21=0,G21="Férias",G21="Falta Justificada",G21="Feriado",G21="Folga (DSR)"),0,IF(G21="Falta Injustificada",HLOOKUP($F21,Jornada!$X$7:$AD$37,VLOOKUP(INDIRECT($C$5),Jornada!$C$8:$W$37,21,0),0),IF(HLOOKUP($F21,Jornada!$X$7:$AD$37,VLOOKUP(INDIRECT($C$5),Jornada!$C$8:$W$37,21,0),0)-M21&gt;0,HLOOKUP($F21,Jornada!$X$7:$AD$37,VLOOKUP(INDIRECT($C$5),Jornada!$C$8:$W$37,21,0),0)-M21,0)))</f>
        <v>0</v>
      </c>
      <c r="P21" s="190">
        <f ca="1">IF(HLOOKUP($F21,Jornada!$X$7:$AD$37,VLOOKUP(INDIRECT($C$5),Jornada!$C$8:$W$37,21,0),0)-M21&lt;0,ABS(HLOOKUP($F21,Jornada!$X$7:$AD$37,VLOOKUP(INDIRECT($C$5),Jornada!$C$8:$W$37,21,0),0)-M21),0)</f>
        <v>0</v>
      </c>
      <c r="Q21" s="95">
        <f t="shared" si="0"/>
        <v>0</v>
      </c>
      <c r="R21" s="2">
        <f t="shared" si="2"/>
        <v>0</v>
      </c>
      <c r="S21"/>
      <c r="T21"/>
      <c r="U21"/>
      <c r="X21" s="177"/>
      <c r="AB21" s="177">
        <f t="shared" si="10"/>
        <v>14</v>
      </c>
      <c r="AC21" s="2">
        <f t="shared" si="3"/>
        <v>7</v>
      </c>
      <c r="AG21" s="220">
        <f t="shared" si="4"/>
        <v>0</v>
      </c>
      <c r="AH21" s="220">
        <f ca="1">IF(HLOOKUP($F21,Jornada!$X$7:$AD$37,VLOOKUP(INDIRECT($C$5),Jornada!$C$8:$W$37,21,0),0)=0,0,VLOOKUP(INDIRECT($C$5),Jornada!$C$8:$H$37,4,0))</f>
        <v>0</v>
      </c>
      <c r="AI21" s="155">
        <f ca="1">IF(AND(I21=0,J21=0,OR(H21&lt;&gt;0,K21&lt;&gt;0),HLOOKUP($F21,Jornada!$X$7:$AD$37,VLOOKUP(INDIRECT($C$5),Jornada!$C$8:$W$37,21,0),0)&gt;$AK$5,M21&gt;$AK$5),VLOOKUP(INDIRECT($C$5),Jornada!$C$8:$H$37,6,0),IF(AG21&gt;VLOOKUP(INDIRECT($C$5),Jornada!$C$8:$H$37,6,0),IF(VLOOKUP(INDIRECT($C$5),Jornada!$C$8:$H$37,6,0)&lt;AG21,0,ABS(VLOOKUP(INDIRECT($C$5),Jornada!$C$8:$H$37,6,0))-AG21),0))</f>
        <v>0</v>
      </c>
      <c r="AJ21" s="155">
        <f t="shared" si="5"/>
        <v>1</v>
      </c>
      <c r="AK21" s="155">
        <f t="shared" si="6"/>
        <v>0</v>
      </c>
      <c r="AL21" s="155">
        <f ca="1">HLOOKUP($F21,Jornada!$I$5:$V$37,VLOOKUP(INDIRECT($C$5),Jornada!$C$8:$W$37,21,0)+2,0)</f>
        <v>0</v>
      </c>
      <c r="AM21" s="155">
        <f ca="1">HLOOKUP($F21,Jornada!$I$4:$V$37,VLOOKUP(INDIRECT($C$5),Jornada!$C$8:$W$37,21,0)+3,0)</f>
        <v>0</v>
      </c>
      <c r="AN21" s="155">
        <f t="shared" ca="1" si="7"/>
        <v>0</v>
      </c>
      <c r="AO21" s="155">
        <f t="shared" si="8"/>
        <v>0</v>
      </c>
      <c r="AP21" s="155">
        <f t="shared" si="9"/>
        <v>0</v>
      </c>
      <c r="BE21" s="14"/>
      <c r="BF21" s="14"/>
      <c r="BG21" s="14"/>
    </row>
    <row r="22" spans="1:59" s="2" customFormat="1" ht="30" customHeight="1" thickTop="1" thickBot="1" x14ac:dyDescent="0.25">
      <c r="A22" s="1"/>
      <c r="B22"/>
      <c r="C22" s="172" t="str">
        <f>IF(Funcionários!C21=0,"",Funcionários!C21)</f>
        <v/>
      </c>
      <c r="D22"/>
      <c r="E22" s="115">
        <f>Lanç!E22</f>
        <v>15</v>
      </c>
      <c r="F22" s="189" t="str">
        <f>Lanç!F22</f>
        <v>Dom</v>
      </c>
      <c r="G22" s="81"/>
      <c r="H22" s="94"/>
      <c r="I22" s="94"/>
      <c r="J22" s="94"/>
      <c r="K22" s="94"/>
      <c r="L22" s="10"/>
      <c r="M22" s="95">
        <f t="shared" si="1"/>
        <v>0</v>
      </c>
      <c r="N22" s="96"/>
      <c r="O22" s="95">
        <f ca="1">IF(OR(G22=0,G22="Férias",G22="Falta Justificada",G22="Feriado",G22="Folga (DSR)"),0,IF(G22="Falta Injustificada",HLOOKUP($F22,Jornada!$X$7:$AD$37,VLOOKUP(INDIRECT($C$5),Jornada!$C$8:$W$37,21,0),0),IF(HLOOKUP($F22,Jornada!$X$7:$AD$37,VLOOKUP(INDIRECT($C$5),Jornada!$C$8:$W$37,21,0),0)-M22&gt;0,HLOOKUP($F22,Jornada!$X$7:$AD$37,VLOOKUP(INDIRECT($C$5),Jornada!$C$8:$W$37,21,0),0)-M22,0)))</f>
        <v>0</v>
      </c>
      <c r="P22" s="190">
        <f ca="1">IF(HLOOKUP($F22,Jornada!$X$7:$AD$37,VLOOKUP(INDIRECT($C$5),Jornada!$C$8:$W$37,21,0),0)-M22&lt;0,ABS(HLOOKUP($F22,Jornada!$X$7:$AD$37,VLOOKUP(INDIRECT($C$5),Jornada!$C$8:$W$37,21,0),0)-M22),0)</f>
        <v>0</v>
      </c>
      <c r="Q22" s="95">
        <f t="shared" si="0"/>
        <v>0</v>
      </c>
      <c r="R22" s="2">
        <f t="shared" si="2"/>
        <v>0</v>
      </c>
      <c r="S22" s="300" t="s">
        <v>63</v>
      </c>
      <c r="T22" s="301"/>
      <c r="U22" s="302"/>
      <c r="X22" s="177"/>
      <c r="AB22" s="177">
        <f t="shared" si="10"/>
        <v>15</v>
      </c>
      <c r="AC22" s="2">
        <f t="shared" si="3"/>
        <v>1</v>
      </c>
      <c r="AG22" s="220">
        <f t="shared" si="4"/>
        <v>0</v>
      </c>
      <c r="AH22" s="220">
        <f ca="1">IF(HLOOKUP($F22,Jornada!$X$7:$AD$37,VLOOKUP(INDIRECT($C$5),Jornada!$C$8:$W$37,21,0),0)=0,0,VLOOKUP(INDIRECT($C$5),Jornada!$C$8:$H$37,4,0))</f>
        <v>0</v>
      </c>
      <c r="AI22" s="155">
        <f ca="1">IF(AND(I22=0,J22=0,OR(H22&lt;&gt;0,K22&lt;&gt;0),HLOOKUP($F22,Jornada!$X$7:$AD$37,VLOOKUP(INDIRECT($C$5),Jornada!$C$8:$W$37,21,0),0)&gt;$AK$5,M22&gt;$AK$5),VLOOKUP(INDIRECT($C$5),Jornada!$C$8:$H$37,6,0),IF(AG22&gt;VLOOKUP(INDIRECT($C$5),Jornada!$C$8:$H$37,6,0),IF(VLOOKUP(INDIRECT($C$5),Jornada!$C$8:$H$37,6,0)&lt;AG22,0,ABS(VLOOKUP(INDIRECT($C$5),Jornada!$C$8:$H$37,6,0))-AG22),0))</f>
        <v>0</v>
      </c>
      <c r="AJ22" s="155">
        <f t="shared" si="5"/>
        <v>1</v>
      </c>
      <c r="AK22" s="155">
        <f t="shared" si="6"/>
        <v>0</v>
      </c>
      <c r="AL22" s="155">
        <f ca="1">HLOOKUP($F22,Jornada!$I$5:$V$37,VLOOKUP(INDIRECT($C$5),Jornada!$C$8:$W$37,21,0)+2,0)</f>
        <v>0</v>
      </c>
      <c r="AM22" s="155">
        <f ca="1">HLOOKUP($F22,Jornada!$I$4:$V$37,VLOOKUP(INDIRECT($C$5),Jornada!$C$8:$W$37,21,0)+3,0)</f>
        <v>0</v>
      </c>
      <c r="AN22" s="155">
        <f t="shared" ca="1" si="7"/>
        <v>0</v>
      </c>
      <c r="AO22" s="155">
        <f t="shared" si="8"/>
        <v>0</v>
      </c>
      <c r="AP22" s="155">
        <f t="shared" si="9"/>
        <v>0</v>
      </c>
      <c r="BE22" s="14"/>
      <c r="BF22" s="14"/>
      <c r="BG22" s="14"/>
    </row>
    <row r="23" spans="1:59" s="2" customFormat="1" ht="30" customHeight="1" thickTop="1" thickBot="1" x14ac:dyDescent="0.25">
      <c r="A23" s="1"/>
      <c r="B23"/>
      <c r="C23" s="172" t="str">
        <f>IF(Funcionários!C22=0,"",Funcionários!C22)</f>
        <v/>
      </c>
      <c r="D23"/>
      <c r="E23" s="115">
        <f>Lanç!E23</f>
        <v>16</v>
      </c>
      <c r="F23" s="189" t="str">
        <f>Lanç!F23</f>
        <v>Seg</v>
      </c>
      <c r="G23" s="81"/>
      <c r="H23" s="94"/>
      <c r="I23" s="94"/>
      <c r="J23" s="94"/>
      <c r="K23" s="94"/>
      <c r="L23" s="10"/>
      <c r="M23" s="95">
        <f t="shared" si="1"/>
        <v>0</v>
      </c>
      <c r="N23" s="96"/>
      <c r="O23" s="95">
        <f ca="1">IF(OR(G23=0,G23="Férias",G23="Falta Justificada",G23="Feriado",G23="Folga (DSR)"),0,IF(G23="Falta Injustificada",HLOOKUP($F23,Jornada!$X$7:$AD$37,VLOOKUP(INDIRECT($C$5),Jornada!$C$8:$W$37,21,0),0),IF(HLOOKUP($F23,Jornada!$X$7:$AD$37,VLOOKUP(INDIRECT($C$5),Jornada!$C$8:$W$37,21,0),0)-M23&gt;0,HLOOKUP($F23,Jornada!$X$7:$AD$37,VLOOKUP(INDIRECT($C$5),Jornada!$C$8:$W$37,21,0),0)-M23,0)))</f>
        <v>0</v>
      </c>
      <c r="P23" s="190">
        <f ca="1">IF(HLOOKUP($F23,Jornada!$X$7:$AD$37,VLOOKUP(INDIRECT($C$5),Jornada!$C$8:$W$37,21,0),0)-M23&lt;0,ABS(HLOOKUP($F23,Jornada!$X$7:$AD$37,VLOOKUP(INDIRECT($C$5),Jornada!$C$8:$W$37,21,0),0)-M23),0)</f>
        <v>0</v>
      </c>
      <c r="Q23" s="95">
        <f t="shared" si="0"/>
        <v>0</v>
      </c>
      <c r="R23" s="2">
        <f t="shared" si="2"/>
        <v>0</v>
      </c>
      <c r="S23" s="296" t="str">
        <f>IF(SUM(R8:R38)&gt;0,"Segundo o art 59 da CLT, o máximo de horas extras permitidas por dia são 2 horas.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T23" s="297"/>
      <c r="U23" s="298"/>
      <c r="X23" s="177"/>
      <c r="AB23" s="177">
        <f t="shared" si="10"/>
        <v>16</v>
      </c>
      <c r="AC23" s="2">
        <f t="shared" si="3"/>
        <v>2</v>
      </c>
      <c r="AG23" s="220">
        <f t="shared" si="4"/>
        <v>0</v>
      </c>
      <c r="AH23" s="220">
        <f ca="1">IF(HLOOKUP($F23,Jornada!$X$7:$AD$37,VLOOKUP(INDIRECT($C$5),Jornada!$C$8:$W$37,21,0),0)=0,0,VLOOKUP(INDIRECT($C$5),Jornada!$C$8:$H$37,4,0))</f>
        <v>0</v>
      </c>
      <c r="AI23" s="155">
        <f ca="1">IF(AND(I23=0,J23=0,OR(H23&lt;&gt;0,K23&lt;&gt;0),HLOOKUP($F23,Jornada!$X$7:$AD$37,VLOOKUP(INDIRECT($C$5),Jornada!$C$8:$W$37,21,0),0)&gt;$AK$5,M23&gt;$AK$5),VLOOKUP(INDIRECT($C$5),Jornada!$C$8:$H$37,6,0),IF(AG23&gt;VLOOKUP(INDIRECT($C$5),Jornada!$C$8:$H$37,6,0),IF(VLOOKUP(INDIRECT($C$5),Jornada!$C$8:$H$37,6,0)&lt;AG23,0,ABS(VLOOKUP(INDIRECT($C$5),Jornada!$C$8:$H$37,6,0))-AG23),0))</f>
        <v>0</v>
      </c>
      <c r="AJ23" s="155">
        <f t="shared" si="5"/>
        <v>1</v>
      </c>
      <c r="AK23" s="155">
        <f t="shared" si="6"/>
        <v>0</v>
      </c>
      <c r="AL23" s="155">
        <f ca="1">HLOOKUP($F23,Jornada!$I$5:$V$37,VLOOKUP(INDIRECT($C$5),Jornada!$C$8:$W$37,21,0)+2,0)</f>
        <v>0</v>
      </c>
      <c r="AM23" s="155">
        <f ca="1">HLOOKUP($F23,Jornada!$I$4:$V$37,VLOOKUP(INDIRECT($C$5),Jornada!$C$8:$W$37,21,0)+3,0)</f>
        <v>0</v>
      </c>
      <c r="AN23" s="155">
        <f t="shared" ca="1" si="7"/>
        <v>0</v>
      </c>
      <c r="AO23" s="155">
        <f t="shared" si="8"/>
        <v>0</v>
      </c>
      <c r="AP23" s="155">
        <f t="shared" si="9"/>
        <v>0</v>
      </c>
      <c r="BE23" s="14"/>
      <c r="BF23" s="14"/>
      <c r="BG23" s="14"/>
    </row>
    <row r="24" spans="1:59" s="2" customFormat="1" ht="30" customHeight="1" thickTop="1" thickBot="1" x14ac:dyDescent="0.25">
      <c r="A24" s="1"/>
      <c r="B24"/>
      <c r="C24" s="172" t="str">
        <f>IF(Funcionários!C23=0,"",Funcionários!C23)</f>
        <v/>
      </c>
      <c r="D24"/>
      <c r="E24" s="115">
        <f>Lanç!E24</f>
        <v>17</v>
      </c>
      <c r="F24" s="189" t="str">
        <f>Lanç!F24</f>
        <v>Ter</v>
      </c>
      <c r="G24" s="81"/>
      <c r="H24" s="94"/>
      <c r="I24" s="94"/>
      <c r="J24" s="94"/>
      <c r="K24" s="94"/>
      <c r="L24" s="10"/>
      <c r="M24" s="95">
        <f t="shared" si="1"/>
        <v>0</v>
      </c>
      <c r="N24" s="96"/>
      <c r="O24" s="95">
        <f ca="1">IF(OR(G24=0,G24="Férias",G24="Falta Justificada",G24="Feriado",G24="Folga (DSR)"),0,IF(G24="Falta Injustificada",HLOOKUP($F24,Jornada!$X$7:$AD$37,VLOOKUP(INDIRECT($C$5),Jornada!$C$8:$W$37,21,0),0),IF(HLOOKUP($F24,Jornada!$X$7:$AD$37,VLOOKUP(INDIRECT($C$5),Jornada!$C$8:$W$37,21,0),0)-M24&gt;0,HLOOKUP($F24,Jornada!$X$7:$AD$37,VLOOKUP(INDIRECT($C$5),Jornada!$C$8:$W$37,21,0),0)-M24,0)))</f>
        <v>0</v>
      </c>
      <c r="P24" s="190">
        <f ca="1">IF(HLOOKUP($F24,Jornada!$X$7:$AD$37,VLOOKUP(INDIRECT($C$5),Jornada!$C$8:$W$37,21,0),0)-M24&lt;0,ABS(HLOOKUP($F24,Jornada!$X$7:$AD$37,VLOOKUP(INDIRECT($C$5),Jornada!$C$8:$W$37,21,0),0)-M24),0)</f>
        <v>0</v>
      </c>
      <c r="Q24" s="95">
        <f t="shared" si="0"/>
        <v>0</v>
      </c>
      <c r="R24" s="2">
        <f t="shared" si="2"/>
        <v>0</v>
      </c>
      <c r="S24" s="296"/>
      <c r="T24" s="297"/>
      <c r="U24" s="298"/>
      <c r="X24" s="177"/>
      <c r="AB24" s="177">
        <f t="shared" si="10"/>
        <v>17</v>
      </c>
      <c r="AC24" s="2">
        <f t="shared" si="3"/>
        <v>3</v>
      </c>
      <c r="AG24" s="220">
        <f t="shared" si="4"/>
        <v>0</v>
      </c>
      <c r="AH24" s="220">
        <f ca="1">IF(HLOOKUP($F24,Jornada!$X$7:$AD$37,VLOOKUP(INDIRECT($C$5),Jornada!$C$8:$W$37,21,0),0)=0,0,VLOOKUP(INDIRECT($C$5),Jornada!$C$8:$H$37,4,0))</f>
        <v>0</v>
      </c>
      <c r="AI24" s="155">
        <f ca="1">IF(AND(I24=0,J24=0,OR(H24&lt;&gt;0,K24&lt;&gt;0),HLOOKUP($F24,Jornada!$X$7:$AD$37,VLOOKUP(INDIRECT($C$5),Jornada!$C$8:$W$37,21,0),0)&gt;$AK$5,M24&gt;$AK$5),VLOOKUP(INDIRECT($C$5),Jornada!$C$8:$H$37,6,0),IF(AG24&gt;VLOOKUP(INDIRECT($C$5),Jornada!$C$8:$H$37,6,0),IF(VLOOKUP(INDIRECT($C$5),Jornada!$C$8:$H$37,6,0)&lt;AG24,0,ABS(VLOOKUP(INDIRECT($C$5),Jornada!$C$8:$H$37,6,0))-AG24),0))</f>
        <v>0</v>
      </c>
      <c r="AJ24" s="155">
        <f t="shared" si="5"/>
        <v>1</v>
      </c>
      <c r="AK24" s="155">
        <f t="shared" si="6"/>
        <v>0</v>
      </c>
      <c r="AL24" s="155">
        <f ca="1">HLOOKUP($F24,Jornada!$I$5:$V$37,VLOOKUP(INDIRECT($C$5),Jornada!$C$8:$W$37,21,0)+2,0)</f>
        <v>0</v>
      </c>
      <c r="AM24" s="155">
        <f ca="1">HLOOKUP($F24,Jornada!$I$4:$V$37,VLOOKUP(INDIRECT($C$5),Jornada!$C$8:$W$37,21,0)+3,0)</f>
        <v>0</v>
      </c>
      <c r="AN24" s="155">
        <f t="shared" ca="1" si="7"/>
        <v>0</v>
      </c>
      <c r="AO24" s="155">
        <f t="shared" si="8"/>
        <v>0</v>
      </c>
      <c r="AP24" s="155">
        <f t="shared" si="9"/>
        <v>0</v>
      </c>
      <c r="BE24" s="14"/>
      <c r="BF24" s="14"/>
      <c r="BG24" s="14"/>
    </row>
    <row r="25" spans="1:59" s="2" customFormat="1" ht="30" customHeight="1" thickTop="1" thickBot="1" x14ac:dyDescent="0.25">
      <c r="A25" s="1"/>
      <c r="B25"/>
      <c r="C25" s="171" t="str">
        <f>IF(Funcionários!C24=0,"",Funcionários!C24)</f>
        <v/>
      </c>
      <c r="D25"/>
      <c r="E25" s="115">
        <f>Lanç!E25</f>
        <v>18</v>
      </c>
      <c r="F25" s="189" t="str">
        <f>Lanç!F25</f>
        <v>Qua</v>
      </c>
      <c r="G25" s="81"/>
      <c r="H25" s="94"/>
      <c r="I25" s="94"/>
      <c r="J25" s="94"/>
      <c r="K25" s="94"/>
      <c r="L25" s="10"/>
      <c r="M25" s="95">
        <f t="shared" si="1"/>
        <v>0</v>
      </c>
      <c r="N25" s="96"/>
      <c r="O25" s="95">
        <f ca="1">IF(OR(G25=0,G25="Férias",G25="Falta Justificada",G25="Feriado",G25="Folga (DSR)"),0,IF(G25="Falta Injustificada",HLOOKUP($F25,Jornada!$X$7:$AD$37,VLOOKUP(INDIRECT($C$5),Jornada!$C$8:$W$37,21,0),0),IF(HLOOKUP($F25,Jornada!$X$7:$AD$37,VLOOKUP(INDIRECT($C$5),Jornada!$C$8:$W$37,21,0),0)-M25&gt;0,HLOOKUP($F25,Jornada!$X$7:$AD$37,VLOOKUP(INDIRECT($C$5),Jornada!$C$8:$W$37,21,0),0)-M25,0)))</f>
        <v>0</v>
      </c>
      <c r="P25" s="190">
        <f ca="1">IF(HLOOKUP($F25,Jornada!$X$7:$AD$37,VLOOKUP(INDIRECT($C$5),Jornada!$C$8:$W$37,21,0),0)-M25&lt;0,ABS(HLOOKUP($F25,Jornada!$X$7:$AD$37,VLOOKUP(INDIRECT($C$5),Jornada!$C$8:$W$37,21,0),0)-M25),0)</f>
        <v>0</v>
      </c>
      <c r="Q25" s="95">
        <f t="shared" si="0"/>
        <v>0</v>
      </c>
      <c r="R25" s="2">
        <f t="shared" si="2"/>
        <v>0</v>
      </c>
      <c r="S25" s="296"/>
      <c r="T25" s="297"/>
      <c r="U25" s="298"/>
      <c r="X25" s="177"/>
      <c r="Z25" s="2">
        <f>IF(SUM(R8:R38)&gt;0,1,0)</f>
        <v>0</v>
      </c>
      <c r="AB25" s="177">
        <f t="shared" si="10"/>
        <v>18</v>
      </c>
      <c r="AC25" s="2">
        <f t="shared" si="3"/>
        <v>4</v>
      </c>
      <c r="AG25" s="220">
        <f t="shared" si="4"/>
        <v>0</v>
      </c>
      <c r="AH25" s="220">
        <f ca="1">IF(HLOOKUP($F25,Jornada!$X$7:$AD$37,VLOOKUP(INDIRECT($C$5),Jornada!$C$8:$W$37,21,0),0)=0,0,VLOOKUP(INDIRECT($C$5),Jornada!$C$8:$H$37,4,0))</f>
        <v>0</v>
      </c>
      <c r="AI25" s="155">
        <f ca="1">IF(AND(I25=0,J25=0,OR(H25&lt;&gt;0,K25&lt;&gt;0),HLOOKUP($F25,Jornada!$X$7:$AD$37,VLOOKUP(INDIRECT($C$5),Jornada!$C$8:$W$37,21,0),0)&gt;$AK$5,M25&gt;$AK$5),VLOOKUP(INDIRECT($C$5),Jornada!$C$8:$H$37,6,0),IF(AG25&gt;VLOOKUP(INDIRECT($C$5),Jornada!$C$8:$H$37,6,0),IF(VLOOKUP(INDIRECT($C$5),Jornada!$C$8:$H$37,6,0)&lt;AG25,0,ABS(VLOOKUP(INDIRECT($C$5),Jornada!$C$8:$H$37,6,0))-AG25),0))</f>
        <v>0</v>
      </c>
      <c r="AJ25" s="155">
        <f t="shared" si="5"/>
        <v>1</v>
      </c>
      <c r="AK25" s="155">
        <f t="shared" si="6"/>
        <v>0</v>
      </c>
      <c r="AL25" s="155">
        <f ca="1">HLOOKUP($F25,Jornada!$I$5:$V$37,VLOOKUP(INDIRECT($C$5),Jornada!$C$8:$W$37,21,0)+2,0)</f>
        <v>0</v>
      </c>
      <c r="AM25" s="155">
        <f ca="1">HLOOKUP($F25,Jornada!$I$4:$V$37,VLOOKUP(INDIRECT($C$5),Jornada!$C$8:$W$37,21,0)+3,0)</f>
        <v>0</v>
      </c>
      <c r="AN25" s="155">
        <f t="shared" ca="1" si="7"/>
        <v>0</v>
      </c>
      <c r="AO25" s="155">
        <f t="shared" si="8"/>
        <v>0</v>
      </c>
      <c r="AP25" s="155">
        <f t="shared" si="9"/>
        <v>0</v>
      </c>
      <c r="BE25" s="14"/>
      <c r="BF25" s="14"/>
      <c r="BG25" s="14"/>
    </row>
    <row r="26" spans="1:59" s="2" customFormat="1" ht="30" customHeight="1" thickTop="1" thickBot="1" x14ac:dyDescent="0.25">
      <c r="A26" s="1"/>
      <c r="B26"/>
      <c r="C26" s="172" t="str">
        <f>IF(Funcionários!C25=0,"",Funcionários!C25)</f>
        <v/>
      </c>
      <c r="D26"/>
      <c r="E26" s="115">
        <f>Lanç!E26</f>
        <v>19</v>
      </c>
      <c r="F26" s="189" t="str">
        <f>Lanç!F26</f>
        <v>Qui</v>
      </c>
      <c r="G26" s="81"/>
      <c r="H26" s="94"/>
      <c r="I26" s="94"/>
      <c r="J26" s="94"/>
      <c r="K26" s="94"/>
      <c r="L26" s="10"/>
      <c r="M26" s="95">
        <f t="shared" si="1"/>
        <v>0</v>
      </c>
      <c r="N26" s="96"/>
      <c r="O26" s="95">
        <f ca="1">IF(OR(G26=0,G26="Férias",G26="Falta Justificada",G26="Feriado",G26="Folga (DSR)"),0,IF(G26="Falta Injustificada",HLOOKUP($F26,Jornada!$X$7:$AD$37,VLOOKUP(INDIRECT($C$5),Jornada!$C$8:$W$37,21,0),0),IF(HLOOKUP($F26,Jornada!$X$7:$AD$37,VLOOKUP(INDIRECT($C$5),Jornada!$C$8:$W$37,21,0),0)-M26&gt;0,HLOOKUP($F26,Jornada!$X$7:$AD$37,VLOOKUP(INDIRECT($C$5),Jornada!$C$8:$W$37,21,0),0)-M26,0)))</f>
        <v>0</v>
      </c>
      <c r="P26" s="190">
        <f ca="1">IF(HLOOKUP($F26,Jornada!$X$7:$AD$37,VLOOKUP(INDIRECT($C$5),Jornada!$C$8:$W$37,21,0),0)-M26&lt;0,ABS(HLOOKUP($F26,Jornada!$X$7:$AD$37,VLOOKUP(INDIRECT($C$5),Jornada!$C$8:$W$37,21,0),0)-M26),0)</f>
        <v>0</v>
      </c>
      <c r="Q26" s="95">
        <f t="shared" si="0"/>
        <v>0</v>
      </c>
      <c r="R26" s="2">
        <f t="shared" si="2"/>
        <v>0</v>
      </c>
      <c r="S26" s="296" t="str">
        <f>IF(COUNTIF(G8:G38,"Folga (DSR)")&lt;DAY(E39)/8,"O mês não está contemplando um DSR (Descanso Semanal Remunerado) por semana. Isso pode configurar uma irregularidade segundo as leis trabalhistas.","Parabéns!! Sua folha de pagamento contempla uma DSR por semana conforme a lei trabalhista.")</f>
        <v>O mês não está contemplando um DSR (Descanso Semanal Remunerado) por semana. Isso pode configurar uma irregularidade segundo as leis trabalhistas.</v>
      </c>
      <c r="T26" s="297"/>
      <c r="U26" s="298"/>
      <c r="X26" s="177"/>
      <c r="AB26" s="177">
        <f t="shared" si="10"/>
        <v>19</v>
      </c>
      <c r="AC26" s="2">
        <f t="shared" si="3"/>
        <v>5</v>
      </c>
      <c r="AG26" s="220">
        <f t="shared" si="4"/>
        <v>0</v>
      </c>
      <c r="AH26" s="220">
        <f ca="1">IF(HLOOKUP($F26,Jornada!$X$7:$AD$37,VLOOKUP(INDIRECT($C$5),Jornada!$C$8:$W$37,21,0),0)=0,0,VLOOKUP(INDIRECT($C$5),Jornada!$C$8:$H$37,4,0))</f>
        <v>0</v>
      </c>
      <c r="AI26" s="155">
        <f ca="1">IF(AND(I26=0,J26=0,OR(H26&lt;&gt;0,K26&lt;&gt;0),HLOOKUP($F26,Jornada!$X$7:$AD$37,VLOOKUP(INDIRECT($C$5),Jornada!$C$8:$W$37,21,0),0)&gt;$AK$5,M26&gt;$AK$5),VLOOKUP(INDIRECT($C$5),Jornada!$C$8:$H$37,6,0),IF(AG26&gt;VLOOKUP(INDIRECT($C$5),Jornada!$C$8:$H$37,6,0),IF(VLOOKUP(INDIRECT($C$5),Jornada!$C$8:$H$37,6,0)&lt;AG26,0,ABS(VLOOKUP(INDIRECT($C$5),Jornada!$C$8:$H$37,6,0))-AG26),0))</f>
        <v>0</v>
      </c>
      <c r="AJ26" s="155">
        <f t="shared" si="5"/>
        <v>1</v>
      </c>
      <c r="AK26" s="155">
        <f t="shared" si="6"/>
        <v>0</v>
      </c>
      <c r="AL26" s="155">
        <f ca="1">HLOOKUP($F26,Jornada!$I$5:$V$37,VLOOKUP(INDIRECT($C$5),Jornada!$C$8:$W$37,21,0)+2,0)</f>
        <v>0</v>
      </c>
      <c r="AM26" s="155">
        <f ca="1">HLOOKUP($F26,Jornada!$I$4:$V$37,VLOOKUP(INDIRECT($C$5),Jornada!$C$8:$W$37,21,0)+3,0)</f>
        <v>0</v>
      </c>
      <c r="AN26" s="155">
        <f t="shared" ca="1" si="7"/>
        <v>0</v>
      </c>
      <c r="AO26" s="155">
        <f t="shared" si="8"/>
        <v>0</v>
      </c>
      <c r="AP26" s="155">
        <f t="shared" si="9"/>
        <v>0</v>
      </c>
      <c r="BE26" s="14"/>
      <c r="BF26" s="14"/>
      <c r="BG26" s="14"/>
    </row>
    <row r="27" spans="1:59" s="2" customFormat="1" ht="30" customHeight="1" thickTop="1" thickBot="1" x14ac:dyDescent="0.25">
      <c r="A27" s="1"/>
      <c r="B27"/>
      <c r="C27" s="172" t="str">
        <f>IF(Funcionários!C26=0,"",Funcionários!C26)</f>
        <v/>
      </c>
      <c r="D27"/>
      <c r="E27" s="115">
        <f>Lanç!E27</f>
        <v>20</v>
      </c>
      <c r="F27" s="189" t="str">
        <f>Lanç!F27</f>
        <v>Sex</v>
      </c>
      <c r="G27" s="81"/>
      <c r="H27" s="94"/>
      <c r="I27" s="94"/>
      <c r="J27" s="94"/>
      <c r="K27" s="94"/>
      <c r="L27" s="10"/>
      <c r="M27" s="95">
        <f t="shared" si="1"/>
        <v>0</v>
      </c>
      <c r="N27" s="96"/>
      <c r="O27" s="95">
        <f ca="1">IF(OR(G27=0,G27="Férias",G27="Falta Justificada",G27="Feriado",G27="Folga (DSR)"),0,IF(G27="Falta Injustificada",HLOOKUP($F27,Jornada!$X$7:$AD$37,VLOOKUP(INDIRECT($C$5),Jornada!$C$8:$W$37,21,0),0),IF(HLOOKUP($F27,Jornada!$X$7:$AD$37,VLOOKUP(INDIRECT($C$5),Jornada!$C$8:$W$37,21,0),0)-M27&gt;0,HLOOKUP($F27,Jornada!$X$7:$AD$37,VLOOKUP(INDIRECT($C$5),Jornada!$C$8:$W$37,21,0),0)-M27,0)))</f>
        <v>0</v>
      </c>
      <c r="P27" s="190">
        <f ca="1">IF(HLOOKUP($F27,Jornada!$X$7:$AD$37,VLOOKUP(INDIRECT($C$5),Jornada!$C$8:$W$37,21,0),0)-M27&lt;0,ABS(HLOOKUP($F27,Jornada!$X$7:$AD$37,VLOOKUP(INDIRECT($C$5),Jornada!$C$8:$W$37,21,0),0)-M27),0)</f>
        <v>0</v>
      </c>
      <c r="Q27" s="95">
        <f t="shared" si="0"/>
        <v>0</v>
      </c>
      <c r="R27" s="2">
        <f t="shared" si="2"/>
        <v>0</v>
      </c>
      <c r="S27" s="296"/>
      <c r="T27" s="297"/>
      <c r="U27" s="298"/>
      <c r="X27" s="177"/>
      <c r="AB27" s="177">
        <f t="shared" si="10"/>
        <v>20</v>
      </c>
      <c r="AC27" s="2">
        <f t="shared" si="3"/>
        <v>6</v>
      </c>
      <c r="AG27" s="220">
        <f t="shared" si="4"/>
        <v>0</v>
      </c>
      <c r="AH27" s="220">
        <f ca="1">IF(HLOOKUP($F27,Jornada!$X$7:$AD$37,VLOOKUP(INDIRECT($C$5),Jornada!$C$8:$W$37,21,0),0)=0,0,VLOOKUP(INDIRECT($C$5),Jornada!$C$8:$H$37,4,0))</f>
        <v>0</v>
      </c>
      <c r="AI27" s="155">
        <f ca="1">IF(AND(I27=0,J27=0,OR(H27&lt;&gt;0,K27&lt;&gt;0),HLOOKUP($F27,Jornada!$X$7:$AD$37,VLOOKUP(INDIRECT($C$5),Jornada!$C$8:$W$37,21,0),0)&gt;$AK$5,M27&gt;$AK$5),VLOOKUP(INDIRECT($C$5),Jornada!$C$8:$H$37,6,0),IF(AG27&gt;VLOOKUP(INDIRECT($C$5),Jornada!$C$8:$H$37,6,0),IF(VLOOKUP(INDIRECT($C$5),Jornada!$C$8:$H$37,6,0)&lt;AG27,0,ABS(VLOOKUP(INDIRECT($C$5),Jornada!$C$8:$H$37,6,0))-AG27),0))</f>
        <v>0</v>
      </c>
      <c r="AJ27" s="155">
        <f t="shared" si="5"/>
        <v>1</v>
      </c>
      <c r="AK27" s="155">
        <f t="shared" si="6"/>
        <v>0</v>
      </c>
      <c r="AL27" s="155">
        <f ca="1">HLOOKUP($F27,Jornada!$I$5:$V$37,VLOOKUP(INDIRECT($C$5),Jornada!$C$8:$W$37,21,0)+2,0)</f>
        <v>0</v>
      </c>
      <c r="AM27" s="155">
        <f ca="1">HLOOKUP($F27,Jornada!$I$4:$V$37,VLOOKUP(INDIRECT($C$5),Jornada!$C$8:$W$37,21,0)+3,0)</f>
        <v>0</v>
      </c>
      <c r="AN27" s="155">
        <f t="shared" ca="1" si="7"/>
        <v>0</v>
      </c>
      <c r="AO27" s="155">
        <f t="shared" si="8"/>
        <v>0</v>
      </c>
      <c r="AP27" s="155">
        <f t="shared" si="9"/>
        <v>0</v>
      </c>
    </row>
    <row r="28" spans="1:59" s="2" customFormat="1" ht="30" customHeight="1" thickTop="1" thickBot="1" x14ac:dyDescent="0.25">
      <c r="A28" s="1"/>
      <c r="B28"/>
      <c r="C28" s="172" t="str">
        <f>IF(Funcionários!C27=0,"",Funcionários!C27)</f>
        <v/>
      </c>
      <c r="D28"/>
      <c r="E28" s="115">
        <f>Lanç!E28</f>
        <v>21</v>
      </c>
      <c r="F28" s="189" t="str">
        <f>Lanç!F28</f>
        <v>Sáb</v>
      </c>
      <c r="G28" s="81"/>
      <c r="H28" s="94"/>
      <c r="I28" s="94"/>
      <c r="J28" s="94"/>
      <c r="K28" s="94"/>
      <c r="L28" s="10"/>
      <c r="M28" s="95">
        <f t="shared" si="1"/>
        <v>0</v>
      </c>
      <c r="N28" s="96"/>
      <c r="O28" s="95">
        <f ca="1">IF(OR(G28=0,G28="Férias",G28="Falta Justificada",G28="Feriado",G28="Folga (DSR)"),0,IF(G28="Falta Injustificada",HLOOKUP($F28,Jornada!$X$7:$AD$37,VLOOKUP(INDIRECT($C$5),Jornada!$C$8:$W$37,21,0),0),IF(HLOOKUP($F28,Jornada!$X$7:$AD$37,VLOOKUP(INDIRECT($C$5),Jornada!$C$8:$W$37,21,0),0)-M28&gt;0,HLOOKUP($F28,Jornada!$X$7:$AD$37,VLOOKUP(INDIRECT($C$5),Jornada!$C$8:$W$37,21,0),0)-M28,0)))</f>
        <v>0</v>
      </c>
      <c r="P28" s="190">
        <f ca="1">IF(HLOOKUP($F28,Jornada!$X$7:$AD$37,VLOOKUP(INDIRECT($C$5),Jornada!$C$8:$W$37,21,0),0)-M28&lt;0,ABS(HLOOKUP($F28,Jornada!$X$7:$AD$37,VLOOKUP(INDIRECT($C$5),Jornada!$C$8:$W$37,21,0),0)-M28),0)</f>
        <v>0</v>
      </c>
      <c r="Q28" s="95">
        <f t="shared" si="0"/>
        <v>0</v>
      </c>
      <c r="R28" s="2">
        <f t="shared" si="2"/>
        <v>0</v>
      </c>
      <c r="S28" s="296"/>
      <c r="T28" s="297"/>
      <c r="U28" s="298"/>
      <c r="X28" s="177"/>
      <c r="AB28" s="177">
        <f t="shared" si="10"/>
        <v>21</v>
      </c>
      <c r="AC28" s="2">
        <f t="shared" si="3"/>
        <v>7</v>
      </c>
      <c r="AG28" s="220">
        <f t="shared" si="4"/>
        <v>0</v>
      </c>
      <c r="AH28" s="220">
        <f ca="1">IF(HLOOKUP($F28,Jornada!$X$7:$AD$37,VLOOKUP(INDIRECT($C$5),Jornada!$C$8:$W$37,21,0),0)=0,0,VLOOKUP(INDIRECT($C$5),Jornada!$C$8:$H$37,4,0))</f>
        <v>0</v>
      </c>
      <c r="AI28" s="155">
        <f ca="1">IF(AND(I28=0,J28=0,OR(H28&lt;&gt;0,K28&lt;&gt;0),HLOOKUP($F28,Jornada!$X$7:$AD$37,VLOOKUP(INDIRECT($C$5),Jornada!$C$8:$W$37,21,0),0)&gt;$AK$5,M28&gt;$AK$5),VLOOKUP(INDIRECT($C$5),Jornada!$C$8:$H$37,6,0),IF(AG28&gt;VLOOKUP(INDIRECT($C$5),Jornada!$C$8:$H$37,6,0),IF(VLOOKUP(INDIRECT($C$5),Jornada!$C$8:$H$37,6,0)&lt;AG28,0,ABS(VLOOKUP(INDIRECT($C$5),Jornada!$C$8:$H$37,6,0))-AG28),0))</f>
        <v>0</v>
      </c>
      <c r="AJ28" s="155">
        <f t="shared" si="5"/>
        <v>1</v>
      </c>
      <c r="AK28" s="155">
        <f t="shared" si="6"/>
        <v>0</v>
      </c>
      <c r="AL28" s="155">
        <f ca="1">HLOOKUP($F28,Jornada!$I$5:$V$37,VLOOKUP(INDIRECT($C$5),Jornada!$C$8:$W$37,21,0)+2,0)</f>
        <v>0</v>
      </c>
      <c r="AM28" s="155">
        <f ca="1">HLOOKUP($F28,Jornada!$I$4:$V$37,VLOOKUP(INDIRECT($C$5),Jornada!$C$8:$W$37,21,0)+3,0)</f>
        <v>0</v>
      </c>
      <c r="AN28" s="155">
        <f t="shared" ca="1" si="7"/>
        <v>0</v>
      </c>
      <c r="AO28" s="155">
        <f t="shared" si="8"/>
        <v>0</v>
      </c>
      <c r="AP28" s="155">
        <f t="shared" si="9"/>
        <v>0</v>
      </c>
    </row>
    <row r="29" spans="1:59" s="2" customFormat="1" ht="30" customHeight="1" thickTop="1" thickBot="1" x14ac:dyDescent="0.25">
      <c r="A29" s="1"/>
      <c r="B29"/>
      <c r="C29" s="172" t="str">
        <f>IF(Funcionários!C28=0,"",Funcionários!C28)</f>
        <v/>
      </c>
      <c r="D29"/>
      <c r="E29" s="115">
        <f>Lanç!E29</f>
        <v>22</v>
      </c>
      <c r="F29" s="189" t="str">
        <f>Lanç!F29</f>
        <v>Dom</v>
      </c>
      <c r="G29" s="81"/>
      <c r="H29" s="94"/>
      <c r="I29" s="94"/>
      <c r="J29" s="94"/>
      <c r="K29" s="94"/>
      <c r="L29" s="10"/>
      <c r="M29" s="95">
        <f t="shared" si="1"/>
        <v>0</v>
      </c>
      <c r="N29" s="96"/>
      <c r="O29" s="95">
        <f ca="1">IF(OR(G29=0,G29="Férias",G29="Falta Justificada",G29="Feriado",G29="Folga (DSR)"),0,IF(G29="Falta Injustificada",HLOOKUP($F29,Jornada!$X$7:$AD$37,VLOOKUP(INDIRECT($C$5),Jornada!$C$8:$W$37,21,0),0),IF(HLOOKUP($F29,Jornada!$X$7:$AD$37,VLOOKUP(INDIRECT($C$5),Jornada!$C$8:$W$37,21,0),0)-M29&gt;0,HLOOKUP($F29,Jornada!$X$7:$AD$37,VLOOKUP(INDIRECT($C$5),Jornada!$C$8:$W$37,21,0),0)-M29,0)))</f>
        <v>0</v>
      </c>
      <c r="P29" s="190">
        <f ca="1">IF(HLOOKUP($F29,Jornada!$X$7:$AD$37,VLOOKUP(INDIRECT($C$5),Jornada!$C$8:$W$37,21,0),0)-M29&lt;0,ABS(HLOOKUP($F29,Jornada!$X$7:$AD$37,VLOOKUP(INDIRECT($C$5),Jornada!$C$8:$W$37,21,0),0)-M29),0)</f>
        <v>0</v>
      </c>
      <c r="Q29" s="95">
        <f t="shared" si="0"/>
        <v>0</v>
      </c>
      <c r="R29" s="2">
        <f t="shared" si="2"/>
        <v>0</v>
      </c>
      <c r="S29" s="13"/>
      <c r="T29" s="74"/>
      <c r="U29" s="74"/>
      <c r="X29" s="177"/>
      <c r="AB29" s="177">
        <f t="shared" si="10"/>
        <v>22</v>
      </c>
      <c r="AC29" s="2">
        <f t="shared" si="3"/>
        <v>1</v>
      </c>
      <c r="AG29" s="220">
        <f t="shared" si="4"/>
        <v>0</v>
      </c>
      <c r="AH29" s="220">
        <f ca="1">IF(HLOOKUP($F29,Jornada!$X$7:$AD$37,VLOOKUP(INDIRECT($C$5),Jornada!$C$8:$W$37,21,0),0)=0,0,VLOOKUP(INDIRECT($C$5),Jornada!$C$8:$H$37,4,0))</f>
        <v>0</v>
      </c>
      <c r="AI29" s="155">
        <f ca="1">IF(AND(I29=0,J29=0,OR(H29&lt;&gt;0,K29&lt;&gt;0),HLOOKUP($F29,Jornada!$X$7:$AD$37,VLOOKUP(INDIRECT($C$5),Jornada!$C$8:$W$37,21,0),0)&gt;$AK$5,M29&gt;$AK$5),VLOOKUP(INDIRECT($C$5),Jornada!$C$8:$H$37,6,0),IF(AG29&gt;VLOOKUP(INDIRECT($C$5),Jornada!$C$8:$H$37,6,0),IF(VLOOKUP(INDIRECT($C$5),Jornada!$C$8:$H$37,6,0)&lt;AG29,0,ABS(VLOOKUP(INDIRECT($C$5),Jornada!$C$8:$H$37,6,0))-AG29),0))</f>
        <v>0</v>
      </c>
      <c r="AJ29" s="155">
        <f t="shared" si="5"/>
        <v>1</v>
      </c>
      <c r="AK29" s="155">
        <f t="shared" si="6"/>
        <v>0</v>
      </c>
      <c r="AL29" s="155">
        <f ca="1">HLOOKUP($F29,Jornada!$I$5:$V$37,VLOOKUP(INDIRECT($C$5),Jornada!$C$8:$W$37,21,0)+2,0)</f>
        <v>0</v>
      </c>
      <c r="AM29" s="155">
        <f ca="1">HLOOKUP($F29,Jornada!$I$4:$V$37,VLOOKUP(INDIRECT($C$5),Jornada!$C$8:$W$37,21,0)+3,0)</f>
        <v>0</v>
      </c>
      <c r="AN29" s="155">
        <f t="shared" ca="1" si="7"/>
        <v>0</v>
      </c>
      <c r="AO29" s="155">
        <f t="shared" si="8"/>
        <v>0</v>
      </c>
      <c r="AP29" s="155">
        <f t="shared" si="9"/>
        <v>0</v>
      </c>
    </row>
    <row r="30" spans="1:59" s="2" customFormat="1" ht="30" customHeight="1" thickTop="1" thickBot="1" x14ac:dyDescent="0.25">
      <c r="A30" s="1"/>
      <c r="B30"/>
      <c r="C30" s="172" t="str">
        <f>IF(Funcionários!C29=0,"",Funcionários!C29)</f>
        <v/>
      </c>
      <c r="D30"/>
      <c r="E30" s="173">
        <f>Lanç!E30</f>
        <v>23</v>
      </c>
      <c r="F30" s="189" t="str">
        <f>Lanç!F30</f>
        <v>Seg</v>
      </c>
      <c r="G30" s="81"/>
      <c r="H30" s="94"/>
      <c r="I30" s="94"/>
      <c r="J30" s="94"/>
      <c r="K30" s="94"/>
      <c r="L30" s="10"/>
      <c r="M30" s="95">
        <f t="shared" si="1"/>
        <v>0</v>
      </c>
      <c r="N30" s="96"/>
      <c r="O30" s="95">
        <f ca="1">IF(OR(G30=0,G30="Férias",G30="Falta Justificada",G30="Feriado",G30="Folga (DSR)"),0,IF(G30="Falta Injustificada",HLOOKUP($F30,Jornada!$X$7:$AD$37,VLOOKUP(INDIRECT($C$5),Jornada!$C$8:$W$37,21,0),0),IF(HLOOKUP($F30,Jornada!$X$7:$AD$37,VLOOKUP(INDIRECT($C$5),Jornada!$C$8:$W$37,21,0),0)-M30&gt;0,HLOOKUP($F30,Jornada!$X$7:$AD$37,VLOOKUP(INDIRECT($C$5),Jornada!$C$8:$W$37,21,0),0)-M30,0)))</f>
        <v>0</v>
      </c>
      <c r="P30" s="190">
        <f ca="1">IF(HLOOKUP($F30,Jornada!$X$7:$AD$37,VLOOKUP(INDIRECT($C$5),Jornada!$C$8:$W$37,21,0),0)-M30&lt;0,ABS(HLOOKUP($F30,Jornada!$X$7:$AD$37,VLOOKUP(INDIRECT($C$5),Jornada!$C$8:$W$37,21,0),0)-M30),0)</f>
        <v>0</v>
      </c>
      <c r="Q30" s="95">
        <f t="shared" si="0"/>
        <v>0</v>
      </c>
      <c r="R30" s="2">
        <f>IF(Q30&gt;$R$7,1,0)</f>
        <v>0</v>
      </c>
      <c r="S30" s="13"/>
      <c r="T30" s="74"/>
      <c r="U30" s="74"/>
      <c r="X30" s="177"/>
      <c r="AB30" s="177">
        <f t="shared" si="10"/>
        <v>23</v>
      </c>
      <c r="AC30" s="2">
        <f>WEEKDAY(AB30)</f>
        <v>2</v>
      </c>
      <c r="AG30" s="220">
        <f t="shared" si="4"/>
        <v>0</v>
      </c>
      <c r="AH30" s="220">
        <f ca="1">IF(HLOOKUP($F30,Jornada!$X$7:$AD$37,VLOOKUP(INDIRECT($C$5),Jornada!$C$8:$W$37,21,0),0)=0,0,VLOOKUP(INDIRECT($C$5),Jornada!$C$8:$H$37,4,0))</f>
        <v>0</v>
      </c>
      <c r="AI30" s="155">
        <f ca="1">IF(AND(I30=0,J30=0,OR(H30&lt;&gt;0,K30&lt;&gt;0),HLOOKUP($F30,Jornada!$X$7:$AD$37,VLOOKUP(INDIRECT($C$5),Jornada!$C$8:$W$37,21,0),0)&gt;$AK$5,M30&gt;$AK$5),VLOOKUP(INDIRECT($C$5),Jornada!$C$8:$H$37,6,0),IF(AG30&gt;VLOOKUP(INDIRECT($C$5),Jornada!$C$8:$H$37,6,0),IF(VLOOKUP(INDIRECT($C$5),Jornada!$C$8:$H$37,6,0)&lt;AG30,0,ABS(VLOOKUP(INDIRECT($C$5),Jornada!$C$8:$H$37,6,0))-AG30),0))</f>
        <v>0</v>
      </c>
      <c r="AJ30" s="155">
        <f>($AJ$7-K30)+H30</f>
        <v>1</v>
      </c>
      <c r="AK30" s="155">
        <f>IF(AJ30&lt;$AK$7,$AK$7-AJ30,$AI$7)</f>
        <v>0</v>
      </c>
      <c r="AL30" s="155">
        <f ca="1">HLOOKUP($F30,Jornada!$I$5:$V$37,VLOOKUP(INDIRECT($C$5),Jornada!$C$8:$W$37,21,0)+2,0)</f>
        <v>0</v>
      </c>
      <c r="AM30" s="155">
        <f ca="1">HLOOKUP($F30,Jornada!$I$4:$V$37,VLOOKUP(INDIRECT($C$5),Jornada!$C$8:$W$37,21,0)+3,0)</f>
        <v>0</v>
      </c>
      <c r="AN30" s="155">
        <f t="shared" ca="1" si="7"/>
        <v>0</v>
      </c>
      <c r="AO30" s="155">
        <f t="shared" si="8"/>
        <v>0</v>
      </c>
      <c r="AP30" s="155">
        <f t="shared" si="9"/>
        <v>0</v>
      </c>
    </row>
    <row r="31" spans="1:59" s="2" customFormat="1" ht="30" customHeight="1" thickTop="1" thickBot="1" x14ac:dyDescent="0.25">
      <c r="A31" s="1"/>
      <c r="B31"/>
      <c r="C31" s="172" t="str">
        <f>IF(Funcionários!C30=0,"",Funcionários!C30)</f>
        <v/>
      </c>
      <c r="D31"/>
      <c r="E31" s="173">
        <f>Lanç!E31</f>
        <v>24</v>
      </c>
      <c r="F31" s="189" t="str">
        <f>Lanç!F31</f>
        <v>Ter</v>
      </c>
      <c r="G31" s="81"/>
      <c r="H31" s="94"/>
      <c r="I31" s="94"/>
      <c r="J31" s="94"/>
      <c r="K31" s="94"/>
      <c r="L31" s="10"/>
      <c r="M31" s="95">
        <f t="shared" si="1"/>
        <v>0</v>
      </c>
      <c r="N31" s="96"/>
      <c r="O31" s="95">
        <f ca="1">IF(OR(G31=0,G31="Férias",G31="Falta Justificada",G31="Feriado",G31="Folga (DSR)"),0,IF(G31="Falta Injustificada",HLOOKUP($F31,Jornada!$X$7:$AD$37,VLOOKUP(INDIRECT($C$5),Jornada!$C$8:$W$37,21,0),0),IF(HLOOKUP($F31,Jornada!$X$7:$AD$37,VLOOKUP(INDIRECT($C$5),Jornada!$C$8:$W$37,21,0),0)-M31&gt;0,HLOOKUP($F31,Jornada!$X$7:$AD$37,VLOOKUP(INDIRECT($C$5),Jornada!$C$8:$W$37,21,0),0)-M31,0)))</f>
        <v>0</v>
      </c>
      <c r="P31" s="190">
        <f ca="1">IF(HLOOKUP($F31,Jornada!$X$7:$AD$37,VLOOKUP(INDIRECT($C$5),Jornada!$C$8:$W$37,21,0),0)-M31&lt;0,ABS(HLOOKUP($F31,Jornada!$X$7:$AD$37,VLOOKUP(INDIRECT($C$5),Jornada!$C$8:$W$37,21,0),0)-M31),0)</f>
        <v>0</v>
      </c>
      <c r="Q31" s="95">
        <f t="shared" si="0"/>
        <v>0</v>
      </c>
      <c r="R31" s="2">
        <f>IF(Q31&gt;$R$7,1,0)</f>
        <v>0</v>
      </c>
      <c r="S31" s="13"/>
      <c r="T31" s="74"/>
      <c r="U31" s="74"/>
      <c r="X31" s="177"/>
      <c r="AB31" s="177">
        <f t="shared" si="10"/>
        <v>24</v>
      </c>
      <c r="AC31" s="2">
        <f>WEEKDAY(AB31)</f>
        <v>3</v>
      </c>
      <c r="AG31" s="220">
        <f t="shared" si="4"/>
        <v>0</v>
      </c>
      <c r="AH31" s="220">
        <f ca="1">IF(HLOOKUP($F31,Jornada!$X$7:$AD$37,VLOOKUP(INDIRECT($C$5),Jornada!$C$8:$W$37,21,0),0)=0,0,VLOOKUP(INDIRECT($C$5),Jornada!$C$8:$H$37,4,0))</f>
        <v>0</v>
      </c>
      <c r="AI31" s="155">
        <f ca="1">IF(AND(I31=0,J31=0,OR(H31&lt;&gt;0,K31&lt;&gt;0),HLOOKUP($F31,Jornada!$X$7:$AD$37,VLOOKUP(INDIRECT($C$5),Jornada!$C$8:$W$37,21,0),0)&gt;$AK$5,M31&gt;$AK$5),VLOOKUP(INDIRECT($C$5),Jornada!$C$8:$H$37,6,0),IF(AG31&gt;VLOOKUP(INDIRECT($C$5),Jornada!$C$8:$H$37,6,0),IF(VLOOKUP(INDIRECT($C$5),Jornada!$C$8:$H$37,6,0)&lt;AG31,0,ABS(VLOOKUP(INDIRECT($C$5),Jornada!$C$8:$H$37,6,0))-AG31),0))</f>
        <v>0</v>
      </c>
      <c r="AJ31" s="155">
        <f>($AJ$7-K31)+H31</f>
        <v>1</v>
      </c>
      <c r="AK31" s="155">
        <f>IF(AJ31&lt;$AK$7,$AK$7-AJ31,$AI$7)</f>
        <v>0</v>
      </c>
      <c r="AL31" s="155">
        <f ca="1">HLOOKUP($F31,Jornada!$I$5:$V$37,VLOOKUP(INDIRECT($C$5),Jornada!$C$8:$W$37,21,0)+2,0)</f>
        <v>0</v>
      </c>
      <c r="AM31" s="155">
        <f ca="1">HLOOKUP($F31,Jornada!$I$4:$V$37,VLOOKUP(INDIRECT($C$5),Jornada!$C$8:$W$37,21,0)+3,0)</f>
        <v>0</v>
      </c>
      <c r="AN31" s="155">
        <f t="shared" ca="1" si="7"/>
        <v>0</v>
      </c>
      <c r="AO31" s="155">
        <f t="shared" si="8"/>
        <v>0</v>
      </c>
      <c r="AP31" s="155">
        <f t="shared" si="9"/>
        <v>0</v>
      </c>
    </row>
    <row r="32" spans="1:59" s="2" customFormat="1" ht="30" customHeight="1" thickTop="1" thickBot="1" x14ac:dyDescent="0.25">
      <c r="A32" s="1"/>
      <c r="B32"/>
      <c r="C32" s="172" t="str">
        <f>IF(Funcionários!C31=0,"",Funcionários!C31)</f>
        <v/>
      </c>
      <c r="D32"/>
      <c r="E32" s="115">
        <f>Lanç!E32</f>
        <v>25</v>
      </c>
      <c r="F32" s="189" t="str">
        <f>Lanç!F32</f>
        <v>Qua</v>
      </c>
      <c r="G32" s="81"/>
      <c r="H32" s="94"/>
      <c r="I32" s="94"/>
      <c r="J32" s="94"/>
      <c r="K32" s="94"/>
      <c r="L32" s="10"/>
      <c r="M32" s="95">
        <f t="shared" si="1"/>
        <v>0</v>
      </c>
      <c r="N32" s="96"/>
      <c r="O32" s="95">
        <f ca="1">IF(OR(G32=0,G32="Férias",G32="Falta Justificada",G32="Feriado",G32="Folga (DSR)"),0,IF(G32="Falta Injustificada",HLOOKUP($F32,Jornada!$X$7:$AD$37,VLOOKUP(INDIRECT($C$5),Jornada!$C$8:$W$37,21,0),0),IF(HLOOKUP($F32,Jornada!$X$7:$AD$37,VLOOKUP(INDIRECT($C$5),Jornada!$C$8:$W$37,21,0),0)-M32&gt;0,HLOOKUP($F32,Jornada!$X$7:$AD$37,VLOOKUP(INDIRECT($C$5),Jornada!$C$8:$W$37,21,0),0)-M32,0)))</f>
        <v>0</v>
      </c>
      <c r="P32" s="190">
        <f ca="1">IF(HLOOKUP($F32,Jornada!$X$7:$AD$37,VLOOKUP(INDIRECT($C$5),Jornada!$C$8:$W$37,21,0),0)-M32&lt;0,ABS(HLOOKUP($F32,Jornada!$X$7:$AD$37,VLOOKUP(INDIRECT($C$5),Jornada!$C$8:$W$37,21,0),0)-M32),0)</f>
        <v>0</v>
      </c>
      <c r="Q32" s="95">
        <f t="shared" si="0"/>
        <v>0</v>
      </c>
      <c r="R32" s="2">
        <f t="shared" si="2"/>
        <v>0</v>
      </c>
      <c r="S32" s="74"/>
      <c r="T32" s="74"/>
      <c r="U32" s="74"/>
      <c r="X32" s="177"/>
      <c r="AB32" s="177">
        <f t="shared" si="10"/>
        <v>25</v>
      </c>
      <c r="AC32" s="2">
        <f t="shared" si="3"/>
        <v>4</v>
      </c>
      <c r="AG32" s="220">
        <f t="shared" si="4"/>
        <v>0</v>
      </c>
      <c r="AH32" s="220">
        <f ca="1">IF(HLOOKUP($F32,Jornada!$X$7:$AD$37,VLOOKUP(INDIRECT($C$5),Jornada!$C$8:$W$37,21,0),0)=0,0,VLOOKUP(INDIRECT($C$5),Jornada!$C$8:$H$37,4,0))</f>
        <v>0</v>
      </c>
      <c r="AI32" s="155">
        <f ca="1">IF(AND(I32=0,J32=0,OR(H32&lt;&gt;0,K32&lt;&gt;0),HLOOKUP($F32,Jornada!$X$7:$AD$37,VLOOKUP(INDIRECT($C$5),Jornada!$C$8:$W$37,21,0),0)&gt;$AK$5,M32&gt;$AK$5),VLOOKUP(INDIRECT($C$5),Jornada!$C$8:$H$37,6,0),IF(AG32&gt;VLOOKUP(INDIRECT($C$5),Jornada!$C$8:$H$37,6,0),IF(VLOOKUP(INDIRECT($C$5),Jornada!$C$8:$H$37,6,0)&lt;AG32,0,ABS(VLOOKUP(INDIRECT($C$5),Jornada!$C$8:$H$37,6,0))-AG32),0))</f>
        <v>0</v>
      </c>
      <c r="AJ32" s="155">
        <f t="shared" si="5"/>
        <v>1</v>
      </c>
      <c r="AK32" s="155">
        <f t="shared" si="6"/>
        <v>0</v>
      </c>
      <c r="AL32" s="155">
        <f ca="1">HLOOKUP($F32,Jornada!$I$5:$V$37,VLOOKUP(INDIRECT($C$5),Jornada!$C$8:$W$37,21,0)+2,0)</f>
        <v>0</v>
      </c>
      <c r="AM32" s="155">
        <f ca="1">HLOOKUP($F32,Jornada!$I$4:$V$37,VLOOKUP(INDIRECT($C$5),Jornada!$C$8:$W$37,21,0)+3,0)</f>
        <v>0</v>
      </c>
      <c r="AN32" s="155">
        <f t="shared" ca="1" si="7"/>
        <v>0</v>
      </c>
      <c r="AO32" s="155">
        <f t="shared" si="8"/>
        <v>0</v>
      </c>
      <c r="AP32" s="155">
        <f t="shared" si="9"/>
        <v>0</v>
      </c>
    </row>
    <row r="33" spans="1:42" s="2" customFormat="1" ht="30" customHeight="1" thickTop="1" thickBot="1" x14ac:dyDescent="0.25">
      <c r="A33" s="1"/>
      <c r="B33"/>
      <c r="C33" s="172" t="str">
        <f>IF(Funcionários!C32=0,"",Funcionários!C32)</f>
        <v/>
      </c>
      <c r="D33"/>
      <c r="E33" s="115">
        <f>Lanç!E33</f>
        <v>26</v>
      </c>
      <c r="F33" s="189" t="str">
        <f>Lanç!F33</f>
        <v>Qui</v>
      </c>
      <c r="G33" s="81"/>
      <c r="H33" s="94"/>
      <c r="I33" s="94"/>
      <c r="J33" s="94"/>
      <c r="K33" s="94"/>
      <c r="L33" s="10"/>
      <c r="M33" s="95">
        <f t="shared" si="1"/>
        <v>0</v>
      </c>
      <c r="N33" s="96"/>
      <c r="O33" s="95">
        <f ca="1">IF(OR(G33=0,G33="Férias",G33="Falta Justificada",G33="Feriado",G33="Folga (DSR)"),0,IF(G33="Falta Injustificada",HLOOKUP($F33,Jornada!$X$7:$AD$37,VLOOKUP(INDIRECT($C$5),Jornada!$C$8:$W$37,21,0),0),IF(HLOOKUP($F33,Jornada!$X$7:$AD$37,VLOOKUP(INDIRECT($C$5),Jornada!$C$8:$W$37,21,0),0)-M33&gt;0,HLOOKUP($F33,Jornada!$X$7:$AD$37,VLOOKUP(INDIRECT($C$5),Jornada!$C$8:$W$37,21,0),0)-M33,0)))</f>
        <v>0</v>
      </c>
      <c r="P33" s="190">
        <f ca="1">IF(HLOOKUP($F33,Jornada!$X$7:$AD$37,VLOOKUP(INDIRECT($C$5),Jornada!$C$8:$W$37,21,0),0)-M33&lt;0,ABS(HLOOKUP($F33,Jornada!$X$7:$AD$37,VLOOKUP(INDIRECT($C$5),Jornada!$C$8:$W$37,21,0),0)-M33),0)</f>
        <v>0</v>
      </c>
      <c r="Q33" s="95">
        <f t="shared" si="0"/>
        <v>0</v>
      </c>
      <c r="R33" s="2">
        <f t="shared" si="2"/>
        <v>0</v>
      </c>
      <c r="S33" s="74"/>
      <c r="T33" s="74"/>
      <c r="U33" s="74"/>
      <c r="X33" s="177"/>
      <c r="AB33" s="177">
        <f t="shared" si="10"/>
        <v>26</v>
      </c>
      <c r="AC33" s="2">
        <f t="shared" si="3"/>
        <v>5</v>
      </c>
      <c r="AG33" s="220">
        <f t="shared" si="4"/>
        <v>0</v>
      </c>
      <c r="AH33" s="220">
        <f ca="1">IF(HLOOKUP($F33,Jornada!$X$7:$AD$37,VLOOKUP(INDIRECT($C$5),Jornada!$C$8:$W$37,21,0),0)=0,0,VLOOKUP(INDIRECT($C$5),Jornada!$C$8:$H$37,4,0))</f>
        <v>0</v>
      </c>
      <c r="AI33" s="155">
        <f ca="1">IF(AND(I33=0,J33=0,OR(H33&lt;&gt;0,K33&lt;&gt;0),HLOOKUP($F33,Jornada!$X$7:$AD$37,VLOOKUP(INDIRECT($C$5),Jornada!$C$8:$W$37,21,0),0)&gt;$AK$5,M33&gt;$AK$5),VLOOKUP(INDIRECT($C$5),Jornada!$C$8:$H$37,6,0),IF(AG33&gt;VLOOKUP(INDIRECT($C$5),Jornada!$C$8:$H$37,6,0),IF(VLOOKUP(INDIRECT($C$5),Jornada!$C$8:$H$37,6,0)&lt;AG33,0,ABS(VLOOKUP(INDIRECT($C$5),Jornada!$C$8:$H$37,6,0))-AG33),0))</f>
        <v>0</v>
      </c>
      <c r="AJ33" s="155">
        <f t="shared" si="5"/>
        <v>1</v>
      </c>
      <c r="AK33" s="155">
        <f t="shared" si="6"/>
        <v>0</v>
      </c>
      <c r="AL33" s="155">
        <f ca="1">HLOOKUP($F33,Jornada!$I$5:$V$37,VLOOKUP(INDIRECT($C$5),Jornada!$C$8:$W$37,21,0)+2,0)</f>
        <v>0</v>
      </c>
      <c r="AM33" s="155">
        <f ca="1">HLOOKUP($F33,Jornada!$I$4:$V$37,VLOOKUP(INDIRECT($C$5),Jornada!$C$8:$W$37,21,0)+3,0)</f>
        <v>0</v>
      </c>
      <c r="AN33" s="155">
        <f t="shared" ca="1" si="7"/>
        <v>0</v>
      </c>
      <c r="AO33" s="155">
        <f t="shared" si="8"/>
        <v>0</v>
      </c>
      <c r="AP33" s="155">
        <f t="shared" si="9"/>
        <v>0</v>
      </c>
    </row>
    <row r="34" spans="1:42" s="2" customFormat="1" ht="30" customHeight="1" thickTop="1" thickBot="1" x14ac:dyDescent="0.25">
      <c r="A34" s="1"/>
      <c r="B34"/>
      <c r="C34" s="172" t="str">
        <f>IF(Funcionários!C33=0,"",Funcionários!C33)</f>
        <v/>
      </c>
      <c r="D34"/>
      <c r="E34" s="115">
        <f>Lanç!E34</f>
        <v>27</v>
      </c>
      <c r="F34" s="189" t="str">
        <f>Lanç!F34</f>
        <v>Sex</v>
      </c>
      <c r="G34" s="81"/>
      <c r="H34" s="94"/>
      <c r="I34" s="94"/>
      <c r="J34" s="94"/>
      <c r="K34" s="94"/>
      <c r="L34" s="10"/>
      <c r="M34" s="95">
        <f t="shared" si="1"/>
        <v>0</v>
      </c>
      <c r="N34" s="96"/>
      <c r="O34" s="95">
        <f ca="1">IF(OR(G34=0,G34="Férias",G34="Falta Justificada",G34="Feriado",G34="Folga (DSR)"),0,IF(G34="Falta Injustificada",HLOOKUP($F34,Jornada!$X$7:$AD$37,VLOOKUP(INDIRECT($C$5),Jornada!$C$8:$W$37,21,0),0),IF(HLOOKUP($F34,Jornada!$X$7:$AD$37,VLOOKUP(INDIRECT($C$5),Jornada!$C$8:$W$37,21,0),0)-M34&gt;0,HLOOKUP($F34,Jornada!$X$7:$AD$37,VLOOKUP(INDIRECT($C$5),Jornada!$C$8:$W$37,21,0),0)-M34,0)))</f>
        <v>0</v>
      </c>
      <c r="P34" s="190">
        <f ca="1">IF(HLOOKUP($F34,Jornada!$X$7:$AD$37,VLOOKUP(INDIRECT($C$5),Jornada!$C$8:$W$37,21,0),0)-M34&lt;0,ABS(HLOOKUP($F34,Jornada!$X$7:$AD$37,VLOOKUP(INDIRECT($C$5),Jornada!$C$8:$W$37,21,0),0)-M34),0)</f>
        <v>0</v>
      </c>
      <c r="Q34" s="95">
        <f t="shared" si="0"/>
        <v>0</v>
      </c>
      <c r="R34" s="2">
        <f t="shared" si="2"/>
        <v>0</v>
      </c>
      <c r="S34" s="74"/>
      <c r="T34" s="74"/>
      <c r="U34" s="74"/>
      <c r="X34" s="177"/>
      <c r="AB34" s="177">
        <f t="shared" si="10"/>
        <v>27</v>
      </c>
      <c r="AC34" s="2">
        <f t="shared" si="3"/>
        <v>6</v>
      </c>
      <c r="AG34" s="220">
        <f t="shared" si="4"/>
        <v>0</v>
      </c>
      <c r="AH34" s="220">
        <f ca="1">IF(HLOOKUP($F34,Jornada!$X$7:$AD$37,VLOOKUP(INDIRECT($C$5),Jornada!$C$8:$W$37,21,0),0)=0,0,VLOOKUP(INDIRECT($C$5),Jornada!$C$8:$H$37,4,0))</f>
        <v>0</v>
      </c>
      <c r="AI34" s="155">
        <f ca="1">IF(AND(I34=0,J34=0,OR(H34&lt;&gt;0,K34&lt;&gt;0),HLOOKUP($F34,Jornada!$X$7:$AD$37,VLOOKUP(INDIRECT($C$5),Jornada!$C$8:$W$37,21,0),0)&gt;$AK$5,M34&gt;$AK$5),VLOOKUP(INDIRECT($C$5),Jornada!$C$8:$H$37,6,0),IF(AG34&gt;VLOOKUP(INDIRECT($C$5),Jornada!$C$8:$H$37,6,0),IF(VLOOKUP(INDIRECT($C$5),Jornada!$C$8:$H$37,6,0)&lt;AG34,0,ABS(VLOOKUP(INDIRECT($C$5),Jornada!$C$8:$H$37,6,0))-AG34),0))</f>
        <v>0</v>
      </c>
      <c r="AJ34" s="155">
        <f t="shared" si="5"/>
        <v>1</v>
      </c>
      <c r="AK34" s="155">
        <f t="shared" si="6"/>
        <v>0</v>
      </c>
      <c r="AL34" s="155">
        <f ca="1">HLOOKUP($F34,Jornada!$I$5:$V$37,VLOOKUP(INDIRECT($C$5),Jornada!$C$8:$W$37,21,0)+2,0)</f>
        <v>0</v>
      </c>
      <c r="AM34" s="155">
        <f ca="1">HLOOKUP($F34,Jornada!$I$4:$V$37,VLOOKUP(INDIRECT($C$5),Jornada!$C$8:$W$37,21,0)+3,0)</f>
        <v>0</v>
      </c>
      <c r="AN34" s="155">
        <f t="shared" ca="1" si="7"/>
        <v>0</v>
      </c>
      <c r="AO34" s="155">
        <f t="shared" si="8"/>
        <v>0</v>
      </c>
      <c r="AP34" s="155">
        <f t="shared" si="9"/>
        <v>0</v>
      </c>
    </row>
    <row r="35" spans="1:42" s="2" customFormat="1" ht="30" customHeight="1" thickTop="1" thickBot="1" x14ac:dyDescent="0.25">
      <c r="A35" s="1"/>
      <c r="B35"/>
      <c r="C35" s="172" t="str">
        <f>IF(Funcionários!C34=0,"",Funcionários!C34)</f>
        <v/>
      </c>
      <c r="D35"/>
      <c r="E35" s="115">
        <f>Lanç!E35</f>
        <v>28</v>
      </c>
      <c r="F35" s="189" t="str">
        <f>Lanç!F35</f>
        <v>Sáb</v>
      </c>
      <c r="G35" s="81"/>
      <c r="H35" s="94"/>
      <c r="I35" s="94"/>
      <c r="J35" s="94"/>
      <c r="K35" s="94"/>
      <c r="L35" s="10"/>
      <c r="M35" s="95">
        <f t="shared" si="1"/>
        <v>0</v>
      </c>
      <c r="N35" s="96"/>
      <c r="O35" s="95">
        <f ca="1">IF(OR(G35=0,G35="Férias",G35="Falta Justificada",G35="Feriado",G35="Folga (DSR)"),0,IF(G35="Falta Injustificada",HLOOKUP($F35,Jornada!$X$7:$AD$37,VLOOKUP(INDIRECT($C$5),Jornada!$C$8:$W$37,21,0),0),IF(HLOOKUP($F35,Jornada!$X$7:$AD$37,VLOOKUP(INDIRECT($C$5),Jornada!$C$8:$W$37,21,0),0)-M35&gt;0,HLOOKUP($F35,Jornada!$X$7:$AD$37,VLOOKUP(INDIRECT($C$5),Jornada!$C$8:$W$37,21,0),0)-M35,0)))</f>
        <v>0</v>
      </c>
      <c r="P35" s="190">
        <f ca="1">IF(HLOOKUP($F35,Jornada!$X$7:$AD$37,VLOOKUP(INDIRECT($C$5),Jornada!$C$8:$W$37,21,0),0)-M35&lt;0,ABS(HLOOKUP($F35,Jornada!$X$7:$AD$37,VLOOKUP(INDIRECT($C$5),Jornada!$C$8:$W$37,21,0),0)-M35),0)</f>
        <v>0</v>
      </c>
      <c r="Q35" s="95">
        <f t="shared" si="0"/>
        <v>0</v>
      </c>
      <c r="R35" s="2">
        <f t="shared" si="2"/>
        <v>0</v>
      </c>
      <c r="S35"/>
      <c r="T35"/>
      <c r="U35"/>
      <c r="X35" s="177"/>
      <c r="AB35" s="177">
        <f>IF(MONTH(AB34+1)&lt;&gt;MONTH(AB34),"",AB34+1)</f>
        <v>28</v>
      </c>
      <c r="AC35" s="2">
        <f t="shared" si="3"/>
        <v>7</v>
      </c>
      <c r="AG35" s="220">
        <f t="shared" si="4"/>
        <v>0</v>
      </c>
      <c r="AH35" s="220">
        <f ca="1">IF(HLOOKUP($F35,Jornada!$X$7:$AD$37,VLOOKUP(INDIRECT($C$5),Jornada!$C$8:$W$37,21,0),0)=0,0,VLOOKUP(INDIRECT($C$5),Jornada!$C$8:$H$37,4,0))</f>
        <v>0</v>
      </c>
      <c r="AI35" s="155">
        <f ca="1">IF(AND(I35=0,J35=0,OR(H35&lt;&gt;0,K35&lt;&gt;0),HLOOKUP($F35,Jornada!$X$7:$AD$37,VLOOKUP(INDIRECT($C$5),Jornada!$C$8:$W$37,21,0),0)&gt;$AK$5,M35&gt;$AK$5),VLOOKUP(INDIRECT($C$5),Jornada!$C$8:$H$37,6,0),IF(AG35&gt;VLOOKUP(INDIRECT($C$5),Jornada!$C$8:$H$37,6,0),IF(VLOOKUP(INDIRECT($C$5),Jornada!$C$8:$H$37,6,0)&lt;AG35,0,ABS(VLOOKUP(INDIRECT($C$5),Jornada!$C$8:$H$37,6,0))-AG35),0))</f>
        <v>0</v>
      </c>
      <c r="AJ35" s="155">
        <f t="shared" si="5"/>
        <v>1</v>
      </c>
      <c r="AK35" s="155">
        <f t="shared" si="6"/>
        <v>0</v>
      </c>
      <c r="AL35" s="155">
        <f ca="1">HLOOKUP($F35,Jornada!$I$5:$V$37,VLOOKUP(INDIRECT($C$5),Jornada!$C$8:$W$37,21,0)+2,0)</f>
        <v>0</v>
      </c>
      <c r="AM35" s="155">
        <f ca="1">HLOOKUP($F35,Jornada!$I$4:$V$37,VLOOKUP(INDIRECT($C$5),Jornada!$C$8:$W$37,21,0)+3,0)</f>
        <v>0</v>
      </c>
      <c r="AN35" s="155">
        <f t="shared" ca="1" si="7"/>
        <v>0</v>
      </c>
      <c r="AO35" s="155">
        <f t="shared" si="8"/>
        <v>0</v>
      </c>
      <c r="AP35" s="155">
        <f t="shared" si="9"/>
        <v>0</v>
      </c>
    </row>
    <row r="36" spans="1:42" s="2" customFormat="1" ht="30" customHeight="1" thickTop="1" thickBot="1" x14ac:dyDescent="0.25">
      <c r="A36" s="1"/>
      <c r="B36"/>
      <c r="C36" s="172" t="str">
        <f>IF(Funcionários!C35=0,"",Funcionários!C35)</f>
        <v/>
      </c>
      <c r="D36"/>
      <c r="E36" s="115">
        <f>Lanç!E36</f>
        <v>29</v>
      </c>
      <c r="F36" s="189" t="str">
        <f>Lanç!F36</f>
        <v>Dom</v>
      </c>
      <c r="G36" s="81"/>
      <c r="H36" s="94"/>
      <c r="I36" s="94"/>
      <c r="J36" s="94"/>
      <c r="K36" s="94"/>
      <c r="L36" s="10"/>
      <c r="M36" s="95">
        <f t="shared" si="1"/>
        <v>0</v>
      </c>
      <c r="N36" s="96"/>
      <c r="O36" s="95">
        <f ca="1">IF(OR(G36=0,G36="Férias",G36="Falta Justificada",G36="Feriado",G36="Folga (DSR)"),0,IF(G36="Falta Injustificada",HLOOKUP($F36,Jornada!$X$7:$AD$37,VLOOKUP(INDIRECT($C$5),Jornada!$C$8:$W$37,21,0),0),IF(HLOOKUP($F36,Jornada!$X$7:$AD$37,VLOOKUP(INDIRECT($C$5),Jornada!$C$8:$W$37,21,0),0)-M36&gt;0,HLOOKUP($F36,Jornada!$X$7:$AD$37,VLOOKUP(INDIRECT($C$5),Jornada!$C$8:$W$37,21,0),0)-M36,0)))</f>
        <v>0</v>
      </c>
      <c r="P36" s="190">
        <f ca="1">IF(HLOOKUP($F36,Jornada!$X$7:$AD$37,VLOOKUP(INDIRECT($C$5),Jornada!$C$8:$W$37,21,0),0)-M36&lt;0,ABS(HLOOKUP($F36,Jornada!$X$7:$AD$37,VLOOKUP(INDIRECT($C$5),Jornada!$C$8:$W$37,21,0),0)-M36),0)</f>
        <v>0</v>
      </c>
      <c r="Q36" s="95">
        <f t="shared" si="0"/>
        <v>0</v>
      </c>
      <c r="R36" s="2">
        <f t="shared" si="2"/>
        <v>0</v>
      </c>
      <c r="S36"/>
      <c r="T36"/>
      <c r="U36"/>
      <c r="X36" s="177"/>
      <c r="AB36" s="177">
        <f>IF(MONTH(AB35+1)&lt;&gt;MONTH(AB35),"",IF(AB35="","",AB35+1))</f>
        <v>29</v>
      </c>
      <c r="AC36" s="2">
        <f>IF(ISERROR(WEEKDAY(AB36)),"",WEEKDAY(AB36))</f>
        <v>1</v>
      </c>
      <c r="AG36" s="220">
        <f t="shared" si="4"/>
        <v>0</v>
      </c>
      <c r="AH36" s="220">
        <f ca="1">IF(HLOOKUP($F36,Jornada!$X$7:$AD$37,VLOOKUP(INDIRECT($C$5),Jornada!$C$8:$W$37,21,0),0)=0,0,VLOOKUP(INDIRECT($C$5),Jornada!$C$8:$H$37,4,0))</f>
        <v>0</v>
      </c>
      <c r="AI36" s="155">
        <f ca="1">IF(AND(I36=0,J36=0,OR(H36&lt;&gt;0,K36&lt;&gt;0),HLOOKUP($F36,Jornada!$X$7:$AD$37,VLOOKUP(INDIRECT($C$5),Jornada!$C$8:$W$37,21,0),0)&gt;$AK$5,M36&gt;$AK$5),VLOOKUP(INDIRECT($C$5),Jornada!$C$8:$H$37,6,0),IF(AG36&gt;VLOOKUP(INDIRECT($C$5),Jornada!$C$8:$H$37,6,0),IF(VLOOKUP(INDIRECT($C$5),Jornada!$C$8:$H$37,6,0)&lt;AG36,0,ABS(VLOOKUP(INDIRECT($C$5),Jornada!$C$8:$H$37,6,0))-AG36),0))</f>
        <v>0</v>
      </c>
      <c r="AJ36" s="155">
        <f t="shared" si="5"/>
        <v>1</v>
      </c>
      <c r="AK36" s="155">
        <f t="shared" si="6"/>
        <v>0</v>
      </c>
      <c r="AL36" s="155">
        <f ca="1">HLOOKUP($F36,Jornada!$I$5:$V$37,VLOOKUP(INDIRECT($C$5),Jornada!$C$8:$W$37,21,0)+2,0)</f>
        <v>0</v>
      </c>
      <c r="AM36" s="155">
        <f ca="1">HLOOKUP($F36,Jornada!$I$4:$V$37,VLOOKUP(INDIRECT($C$5),Jornada!$C$8:$W$37,21,0)+3,0)</f>
        <v>0</v>
      </c>
      <c r="AN36" s="155">
        <f t="shared" ca="1" si="7"/>
        <v>0</v>
      </c>
      <c r="AO36" s="155">
        <f t="shared" si="8"/>
        <v>0</v>
      </c>
      <c r="AP36" s="155">
        <f t="shared" si="9"/>
        <v>0</v>
      </c>
    </row>
    <row r="37" spans="1:42" s="2" customFormat="1" ht="30" customHeight="1" thickTop="1" thickBot="1" x14ac:dyDescent="0.25">
      <c r="A37" s="1"/>
      <c r="B37"/>
      <c r="C37" s="172" t="str">
        <f>IF(Funcionários!C36=0,"",Funcionários!C36)</f>
        <v/>
      </c>
      <c r="D37"/>
      <c r="E37" s="115">
        <f>Lanç!E37</f>
        <v>30</v>
      </c>
      <c r="F37" s="189" t="str">
        <f>Lanç!F37</f>
        <v>Seg</v>
      </c>
      <c r="G37" s="81"/>
      <c r="H37" s="94"/>
      <c r="I37" s="94"/>
      <c r="J37" s="94"/>
      <c r="K37" s="94"/>
      <c r="L37" s="10"/>
      <c r="M37" s="95">
        <f t="shared" si="1"/>
        <v>0</v>
      </c>
      <c r="N37" s="96"/>
      <c r="O37" s="95">
        <f ca="1">IF(OR(G37=0,G37="Férias",G37="Falta Justificada",G37="Feriado",G37="Folga (DSR)"),0,IF(G37="Falta Injustificada",HLOOKUP($F37,Jornada!$X$7:$AD$37,VLOOKUP(INDIRECT($C$5),Jornada!$C$8:$W$37,21,0),0),IF(HLOOKUP($F37,Jornada!$X$7:$AD$37,VLOOKUP(INDIRECT($C$5),Jornada!$C$8:$W$37,21,0),0)-M37&gt;0,HLOOKUP($F37,Jornada!$X$7:$AD$37,VLOOKUP(INDIRECT($C$5),Jornada!$C$8:$W$37,21,0),0)-M37,0)))</f>
        <v>0</v>
      </c>
      <c r="P37" s="190">
        <f ca="1">IF(HLOOKUP($F37,Jornada!$X$7:$AD$37,VLOOKUP(INDIRECT($C$5),Jornada!$C$8:$W$37,21,0),0)-M37&lt;0,ABS(HLOOKUP($F37,Jornada!$X$7:$AD$37,VLOOKUP(INDIRECT($C$5),Jornada!$C$8:$W$37,21,0),0)-M37),0)</f>
        <v>0</v>
      </c>
      <c r="Q37" s="95">
        <f t="shared" si="0"/>
        <v>0</v>
      </c>
      <c r="R37" s="2">
        <f t="shared" si="2"/>
        <v>0</v>
      </c>
      <c r="S37"/>
      <c r="T37"/>
      <c r="U37"/>
      <c r="X37" s="177"/>
      <c r="AB37" s="177">
        <f>IF(AB36="","",IF(MONTH(AB36+1)&lt;&gt;MONTH(AB36),"",AB36+1))</f>
        <v>30</v>
      </c>
      <c r="AC37" s="2">
        <f>IF(ISERROR(WEEKDAY(AB37)),"",WEEKDAY(AB37))</f>
        <v>2</v>
      </c>
      <c r="AG37" s="220">
        <f t="shared" si="4"/>
        <v>0</v>
      </c>
      <c r="AH37" s="220">
        <f ca="1">IF(HLOOKUP($F37,Jornada!$X$7:$AD$37,VLOOKUP(INDIRECT($C$5),Jornada!$C$8:$W$37,21,0),0)=0,0,VLOOKUP(INDIRECT($C$5),Jornada!$C$8:$H$37,4,0))</f>
        <v>0</v>
      </c>
      <c r="AI37" s="155">
        <f ca="1">IF(AND(I37=0,J37=0,OR(H37&lt;&gt;0,K37&lt;&gt;0),HLOOKUP($F37,Jornada!$X$7:$AD$37,VLOOKUP(INDIRECT($C$5),Jornada!$C$8:$W$37,21,0),0)&gt;$AK$5,M37&gt;$AK$5),VLOOKUP(INDIRECT($C$5),Jornada!$C$8:$H$37,6,0),IF(AG37&gt;VLOOKUP(INDIRECT($C$5),Jornada!$C$8:$H$37,6,0),IF(VLOOKUP(INDIRECT($C$5),Jornada!$C$8:$H$37,6,0)&lt;AG37,0,ABS(VLOOKUP(INDIRECT($C$5),Jornada!$C$8:$H$37,6,0))-AG37),0))</f>
        <v>0</v>
      </c>
      <c r="AJ37" s="155">
        <f t="shared" si="5"/>
        <v>1</v>
      </c>
      <c r="AK37" s="155">
        <f t="shared" si="6"/>
        <v>0</v>
      </c>
      <c r="AL37" s="155">
        <f ca="1">HLOOKUP($F37,Jornada!$I$5:$V$37,VLOOKUP(INDIRECT($C$5),Jornada!$C$8:$W$37,21,0)+2,0)</f>
        <v>0</v>
      </c>
      <c r="AM37" s="155">
        <f ca="1">HLOOKUP($F37,Jornada!$I$4:$V$37,VLOOKUP(INDIRECT($C$5),Jornada!$C$8:$W$37,21,0)+3,0)</f>
        <v>0</v>
      </c>
      <c r="AN37" s="155">
        <f t="shared" ca="1" si="7"/>
        <v>0</v>
      </c>
      <c r="AO37" s="155">
        <f t="shared" si="8"/>
        <v>0</v>
      </c>
      <c r="AP37" s="155">
        <f t="shared" si="9"/>
        <v>0</v>
      </c>
    </row>
    <row r="38" spans="1:42" s="2" customFormat="1" ht="30" customHeight="1" thickTop="1" thickBot="1" x14ac:dyDescent="0.25">
      <c r="A38" s="1"/>
      <c r="B38"/>
      <c r="C38"/>
      <c r="D38" s="2">
        <f t="shared" ref="D38" si="11">IF(D37=7,1,D37+1)</f>
        <v>1</v>
      </c>
      <c r="E38" s="210">
        <f>Lanç!E38</f>
        <v>31</v>
      </c>
      <c r="F38" s="210" t="str">
        <f>Lanç!F38</f>
        <v>Ter</v>
      </c>
      <c r="G38" s="81"/>
      <c r="H38" s="94"/>
      <c r="I38" s="94"/>
      <c r="J38" s="94"/>
      <c r="K38" s="94"/>
      <c r="L38" s="197"/>
      <c r="M38" s="95">
        <f t="shared" si="1"/>
        <v>0</v>
      </c>
      <c r="N38" s="196"/>
      <c r="O38" s="95">
        <f ca="1">IF(OR(G38=0,G38="Férias",G38="Falta Justificada",G38="Feriado",G38="Folga (DSR)"),0,IF(G38="Falta Injustificada",HLOOKUP($F38,Jornada!$X$7:$AD$37,VLOOKUP(INDIRECT($C$5),Jornada!$C$8:$W$37,21,0),0),IF(HLOOKUP($F38,Jornada!$X$7:$AD$37,VLOOKUP(INDIRECT($C$5),Jornada!$C$8:$W$37,21,0),0)-M38&gt;0,HLOOKUP($F38,Jornada!$X$7:$AD$37,VLOOKUP(INDIRECT($C$5),Jornada!$C$8:$W$37,21,0),0)-M38,0)))</f>
        <v>0</v>
      </c>
      <c r="P38" s="201">
        <f ca="1">IF(HLOOKUP($F38,Jornada!$X$7:$AD$37,VLOOKUP(INDIRECT($C$5),Jornada!$C$8:$W$37,21,0),0)-M38&lt;0,ABS(HLOOKUP($F38,Jornada!$X$7:$AD$37,VLOOKUP(INDIRECT($C$5),Jornada!$C$8:$W$37,21,0),0)-M38),0)</f>
        <v>0</v>
      </c>
      <c r="Q38" s="95">
        <f t="shared" si="0"/>
        <v>0</v>
      </c>
      <c r="R38" s="2">
        <f t="shared" si="2"/>
        <v>0</v>
      </c>
      <c r="X38" s="177"/>
      <c r="AB38" s="177">
        <f>IF(AB37="","",IF(MONTH(AB37+1)&lt;&gt;MONTH(AB37),"",AB37+1))</f>
        <v>31</v>
      </c>
      <c r="AC38" s="2">
        <f>IF(ISERROR(WEEKDAY(AB38)),"",WEEKDAY(AB38))</f>
        <v>3</v>
      </c>
      <c r="AG38" s="220">
        <f t="shared" si="4"/>
        <v>0</v>
      </c>
      <c r="AH38" s="220">
        <f ca="1">IF(HLOOKUP($F38,Jornada!$X$7:$AD$37,VLOOKUP(INDIRECT($C$5),Jornada!$C$8:$W$37,21,0),0)=0,0,VLOOKUP(INDIRECT($C$5),Jornada!$C$8:$H$37,4,0))</f>
        <v>0</v>
      </c>
      <c r="AI38" s="155">
        <f ca="1">IF(AND(I38=0,J38=0,OR(H38&lt;&gt;0,K38&lt;&gt;0),HLOOKUP($F38,Jornada!$X$7:$AD$37,VLOOKUP(INDIRECT($C$5),Jornada!$C$8:$W$37,21,0),0)&gt;$AK$5,M38&gt;$AK$5),VLOOKUP(INDIRECT($C$5),Jornada!$C$8:$H$37,6,0),IF(AG38&gt;VLOOKUP(INDIRECT($C$5),Jornada!$C$8:$H$37,6,0),IF(VLOOKUP(INDIRECT($C$5),Jornada!$C$8:$H$37,6,0)&lt;AG38,0,ABS(VLOOKUP(INDIRECT($C$5),Jornada!$C$8:$H$37,6,0))-AG38),0))</f>
        <v>0</v>
      </c>
      <c r="AJ38" s="155">
        <f t="shared" si="5"/>
        <v>1</v>
      </c>
      <c r="AK38" s="155">
        <f t="shared" si="6"/>
        <v>0</v>
      </c>
      <c r="AL38" s="155">
        <f ca="1">HLOOKUP($F38,Jornada!$I$5:$V$37,VLOOKUP(INDIRECT($C$5),Jornada!$C$8:$W$37,21,0)+2,0)</f>
        <v>0</v>
      </c>
      <c r="AM38" s="155">
        <f ca="1">HLOOKUP($F38,Jornada!$I$4:$V$37,VLOOKUP(INDIRECT($C$5),Jornada!$C$8:$W$37,21,0)+3,0)</f>
        <v>0</v>
      </c>
      <c r="AN38" s="155">
        <f t="shared" ca="1" si="7"/>
        <v>0</v>
      </c>
      <c r="AO38" s="155">
        <f t="shared" si="8"/>
        <v>0</v>
      </c>
      <c r="AP38" s="155">
        <f t="shared" si="9"/>
        <v>0</v>
      </c>
    </row>
    <row r="39" spans="1:42" s="2" customFormat="1" ht="30" customHeight="1" thickTop="1" x14ac:dyDescent="0.2">
      <c r="A39" s="9"/>
      <c r="B39" s="234"/>
      <c r="C39" s="234"/>
      <c r="D39" s="234"/>
      <c r="E39" s="236">
        <f>EOMONTH(AB8,0)</f>
        <v>31</v>
      </c>
      <c r="F39" s="234">
        <f>DAY(E39)</f>
        <v>31</v>
      </c>
      <c r="G39" s="237">
        <f>COUNTIF(F8:F38,"Dom")+COUNTIF(G8:G38,"Feriado")</f>
        <v>5</v>
      </c>
      <c r="H39" s="238">
        <f>(SUM(Q8:Q38)/(F39-G39))*G39</f>
        <v>0</v>
      </c>
      <c r="I39" s="234"/>
      <c r="J39" s="234"/>
      <c r="K39" s="234"/>
      <c r="L39" s="234"/>
      <c r="M39" s="234"/>
      <c r="Z39" s="219"/>
    </row>
    <row r="40" spans="1:42" s="2" customFormat="1" ht="30" customHeight="1" x14ac:dyDescent="0.2">
      <c r="A40" s="9"/>
      <c r="B40" s="234"/>
      <c r="C40" s="239"/>
      <c r="D40" s="239"/>
      <c r="E40" s="239"/>
      <c r="F40" s="240"/>
      <c r="G40" s="241"/>
      <c r="H40" s="234">
        <f ca="1">IF(INDIRECT($C$5)="",0,VLOOKUP(INDIRECT($C$5),Funcionários!$C$7:$E$36,3,0)+IF(VLOOKUP(INDIRECT($C$5),Jornada!$C$8:$E$37,2,0)="Sim",IF('P Gerais'!$I$8&lt;&gt;0,VLOOKUP(INDIRECT($C$5),Funcionários!$C$7:$E$36,3,0)*'P Gerais'!$L$14,'P Gerais'!$I$8*'P Gerais'!$L$14),0)+IF(VLOOKUP(INDIRECT($C$5),Jornada!$C$8:$E$37,3,0)="Sim",VLOOKUP(INDIRECT($C$5),Funcionários!$C$7:$E$36,3,0)*'P Gerais'!$K$14,0))</f>
        <v>0</v>
      </c>
      <c r="I40" s="234">
        <f ca="1">VLOOKUP(INDIRECT($C$5),Jornada!$C$8:$AF$37,30,0)</f>
        <v>0</v>
      </c>
      <c r="J40" s="234" t="s">
        <v>298</v>
      </c>
      <c r="K40" s="242">
        <f ca="1">IF(I40=0,0,H40/I40)</f>
        <v>0</v>
      </c>
      <c r="L40" s="234"/>
      <c r="M40" s="234"/>
      <c r="Z40" s="219"/>
    </row>
    <row r="41" spans="1:42" s="2" customFormat="1" ht="30" customHeight="1" x14ac:dyDescent="0.2">
      <c r="A41" s="9"/>
      <c r="B41" s="234" t="s">
        <v>52</v>
      </c>
      <c r="C41" s="292" t="s">
        <v>75</v>
      </c>
      <c r="D41" s="292"/>
      <c r="E41" s="292"/>
      <c r="F41" s="243">
        <f t="shared" ref="F41:F47" si="12">SUMIFS($Q$8:$Q$38,$F$8:$F$38,$B41,$G$8:$G$38,"Normal")</f>
        <v>0</v>
      </c>
      <c r="G41" s="244">
        <f>IF($M$41="Sistema de banco de horas",0,'P Gerais'!$C$14)</f>
        <v>0.5</v>
      </c>
      <c r="H41" s="245">
        <f t="shared" ref="H41:H48" ca="1" si="13">IF($M$41="Sistema de banco de horas",0,$K$40*(1+G41)*(F41*24))</f>
        <v>0</v>
      </c>
      <c r="I41" s="243">
        <f t="shared" ref="I41:I47" ca="1" si="14">IF(SUMIF($F$8:$F$38,$B41,$Q$8:$Q$38)-SUMIFS($M$8:$M$38,$F$8:$F$38,$B41,$G$8:$G$38,"Feriado")-SUMIFS($M$8:$M$38,$F$8:$F$38,$B41,$G$8:$G$38,"Folga (DSR)")-SUMIFS($M$8:$M$38,$F$8:$F$38,$B41,$G$8:$G$38,"Férias")-SUMIF($F$8:$F$38,$B41,$AN$8:$AN$38)-SUMIF($F$8:$F$38,$B41,$AO$8:$AO$38)&lt;0,0,SUMIF($F$8:$F$38,$B41,$Q$8:$Q$38)-SUMIFS($M$8:$M$38,$F$8:$F$38,$B41,$G$8:$G$38,"Feriado")-SUMIFS($M$8:$M$38,$F$8:$F$38,$B41,$G$8:$G$38,"Folga (DSR)")-SUMIFS($M$8:$M$38,$F$8:$F$38,$B41,$G$8:$G$38,"Férias")-SUMIF($F$8:$F$38,$B41,$AN$8:$AN$38)-SUMIF($F$8:$F$38,$B41,$AO$8:$AO$38))</f>
        <v>0</v>
      </c>
      <c r="J41" s="245">
        <f ca="1">H41</f>
        <v>0</v>
      </c>
      <c r="K41" s="234"/>
      <c r="L41" s="234"/>
      <c r="M41" s="234">
        <f>'P Gerais'!I10</f>
        <v>0</v>
      </c>
      <c r="Z41" s="219"/>
    </row>
    <row r="42" spans="1:42" s="2" customFormat="1" ht="30" customHeight="1" x14ac:dyDescent="0.2">
      <c r="A42" s="9"/>
      <c r="B42" s="234" t="s">
        <v>53</v>
      </c>
      <c r="C42" s="292" t="s">
        <v>76</v>
      </c>
      <c r="D42" s="292"/>
      <c r="E42" s="292"/>
      <c r="F42" s="243">
        <f t="shared" si="12"/>
        <v>0</v>
      </c>
      <c r="G42" s="244">
        <f>IF($M$41="Sistema de banco de horas",0,'P Gerais'!$C$14)</f>
        <v>0.5</v>
      </c>
      <c r="H42" s="245">
        <f t="shared" ca="1" si="13"/>
        <v>0</v>
      </c>
      <c r="I42" s="243">
        <f t="shared" ca="1" si="14"/>
        <v>0</v>
      </c>
      <c r="J42" s="245">
        <f t="shared" ref="J42:J51" ca="1" si="15">H42</f>
        <v>0</v>
      </c>
      <c r="K42" s="234"/>
      <c r="L42" s="234"/>
      <c r="M42" s="234"/>
      <c r="Z42" s="219"/>
    </row>
    <row r="43" spans="1:42" s="2" customFormat="1" ht="30" customHeight="1" x14ac:dyDescent="0.2">
      <c r="A43" s="9"/>
      <c r="B43" s="234" t="s">
        <v>54</v>
      </c>
      <c r="C43" s="292" t="s">
        <v>77</v>
      </c>
      <c r="D43" s="292"/>
      <c r="E43" s="292"/>
      <c r="F43" s="243">
        <f t="shared" si="12"/>
        <v>0</v>
      </c>
      <c r="G43" s="244">
        <f>IF($M$41="Sistema de banco de horas",0,'P Gerais'!$C$14)</f>
        <v>0.5</v>
      </c>
      <c r="H43" s="245">
        <f t="shared" ca="1" si="13"/>
        <v>0</v>
      </c>
      <c r="I43" s="243">
        <f t="shared" ca="1" si="14"/>
        <v>0</v>
      </c>
      <c r="J43" s="245">
        <f t="shared" ca="1" si="15"/>
        <v>0</v>
      </c>
      <c r="K43" s="234"/>
      <c r="L43" s="234"/>
      <c r="M43" s="234"/>
      <c r="Z43" s="219"/>
    </row>
    <row r="44" spans="1:42" s="2" customFormat="1" ht="30" customHeight="1" x14ac:dyDescent="0.2">
      <c r="A44" s="9"/>
      <c r="B44" s="234" t="s">
        <v>55</v>
      </c>
      <c r="C44" s="292" t="s">
        <v>78</v>
      </c>
      <c r="D44" s="292"/>
      <c r="E44" s="292"/>
      <c r="F44" s="243">
        <f t="shared" si="12"/>
        <v>0</v>
      </c>
      <c r="G44" s="244">
        <f>IF($M$41="Sistema de banco de horas",0,'P Gerais'!$C$14)</f>
        <v>0.5</v>
      </c>
      <c r="H44" s="245">
        <f t="shared" ca="1" si="13"/>
        <v>0</v>
      </c>
      <c r="I44" s="243">
        <f t="shared" ca="1" si="14"/>
        <v>0</v>
      </c>
      <c r="J44" s="245">
        <f t="shared" ca="1" si="15"/>
        <v>0</v>
      </c>
      <c r="K44" s="234"/>
      <c r="L44" s="234"/>
      <c r="M44" s="234"/>
      <c r="Z44" s="219"/>
    </row>
    <row r="45" spans="1:42" s="2" customFormat="1" ht="30" customHeight="1" x14ac:dyDescent="0.2">
      <c r="A45" s="9"/>
      <c r="B45" s="234" t="s">
        <v>56</v>
      </c>
      <c r="C45" s="292" t="s">
        <v>79</v>
      </c>
      <c r="D45" s="292"/>
      <c r="E45" s="292"/>
      <c r="F45" s="243">
        <f t="shared" si="12"/>
        <v>0</v>
      </c>
      <c r="G45" s="244">
        <f>IF($M$41="Sistema de banco de horas",0,'P Gerais'!$C$14)</f>
        <v>0.5</v>
      </c>
      <c r="H45" s="245">
        <f t="shared" ca="1" si="13"/>
        <v>0</v>
      </c>
      <c r="I45" s="243">
        <f t="shared" ca="1" si="14"/>
        <v>0</v>
      </c>
      <c r="J45" s="245">
        <f t="shared" ca="1" si="15"/>
        <v>0</v>
      </c>
      <c r="K45" s="234"/>
      <c r="L45" s="234"/>
      <c r="M45" s="234"/>
      <c r="Z45" s="219"/>
    </row>
    <row r="46" spans="1:42" s="2" customFormat="1" ht="30" customHeight="1" x14ac:dyDescent="0.2">
      <c r="A46" s="9"/>
      <c r="B46" s="234" t="s">
        <v>57</v>
      </c>
      <c r="C46" s="292" t="s">
        <v>82</v>
      </c>
      <c r="D46" s="292"/>
      <c r="E46" s="292"/>
      <c r="F46" s="243">
        <f t="shared" si="12"/>
        <v>0</v>
      </c>
      <c r="G46" s="244">
        <f>IF($M$41="Sistema de banco de horas",0,'P Gerais'!$E$14)</f>
        <v>0.5</v>
      </c>
      <c r="H46" s="245">
        <f t="shared" ca="1" si="13"/>
        <v>0</v>
      </c>
      <c r="I46" s="243">
        <f t="shared" ca="1" si="14"/>
        <v>0</v>
      </c>
      <c r="J46" s="245">
        <f t="shared" ca="1" si="15"/>
        <v>0</v>
      </c>
      <c r="K46" s="234"/>
      <c r="L46" s="234"/>
      <c r="M46" s="234"/>
      <c r="Z46" s="219"/>
    </row>
    <row r="47" spans="1:42" s="2" customFormat="1" ht="30" customHeight="1" x14ac:dyDescent="0.2">
      <c r="A47" s="9"/>
      <c r="B47" s="234" t="s">
        <v>51</v>
      </c>
      <c r="C47" s="292" t="s">
        <v>81</v>
      </c>
      <c r="D47" s="292"/>
      <c r="E47" s="292"/>
      <c r="F47" s="243">
        <f t="shared" si="12"/>
        <v>0</v>
      </c>
      <c r="G47" s="244">
        <f>IF($M$41="Sistema de banco de horas",0,'P Gerais'!$F$14)</f>
        <v>1</v>
      </c>
      <c r="H47" s="245">
        <f t="shared" ca="1" si="13"/>
        <v>0</v>
      </c>
      <c r="I47" s="243">
        <f t="shared" ca="1" si="14"/>
        <v>0</v>
      </c>
      <c r="J47" s="245">
        <f t="shared" ca="1" si="15"/>
        <v>0</v>
      </c>
      <c r="K47" s="234"/>
      <c r="L47" s="234"/>
      <c r="M47" s="234"/>
      <c r="Z47" s="219"/>
    </row>
    <row r="48" spans="1:42" s="2" customFormat="1" ht="30" customHeight="1" x14ac:dyDescent="0.2">
      <c r="A48" s="9"/>
      <c r="B48" s="234"/>
      <c r="C48" s="292" t="s">
        <v>80</v>
      </c>
      <c r="D48" s="292"/>
      <c r="E48" s="292"/>
      <c r="F48" s="243">
        <f>SUMIFS($Q$8:$Q$38,$G$8:$G$38,"Feriado")</f>
        <v>0</v>
      </c>
      <c r="G48" s="244">
        <f>IF($M$41="Sistema de banco de horas",0,'P Gerais'!$I$14)</f>
        <v>1</v>
      </c>
      <c r="H48" s="245">
        <f t="shared" ca="1" si="13"/>
        <v>0</v>
      </c>
      <c r="I48" s="243"/>
      <c r="J48" s="245">
        <f t="shared" ca="1" si="15"/>
        <v>0</v>
      </c>
      <c r="K48" s="234"/>
      <c r="L48" s="234"/>
      <c r="M48" s="234"/>
      <c r="Z48" s="219"/>
    </row>
    <row r="49" spans="1:26" s="2" customFormat="1" ht="15" x14ac:dyDescent="0.2">
      <c r="A49" s="9"/>
      <c r="B49" s="234"/>
      <c r="C49" s="292" t="s">
        <v>146</v>
      </c>
      <c r="D49" s="292"/>
      <c r="E49" s="292"/>
      <c r="F49" s="243">
        <f>SUMIFS($Q$8:$Q$38,$G$8:$G$38,"Folga (DSR)")</f>
        <v>0</v>
      </c>
      <c r="G49" s="244">
        <f>IF($M$41="Sistema de banco de horas",0,'P Gerais'!H14)</f>
        <v>1</v>
      </c>
      <c r="H49" s="245">
        <f ca="1">((F53/(F39-G39))*G39)</f>
        <v>0</v>
      </c>
      <c r="I49" s="243"/>
      <c r="J49" s="245">
        <f t="shared" ca="1" si="15"/>
        <v>0</v>
      </c>
      <c r="K49" s="234"/>
      <c r="L49" s="234"/>
      <c r="M49" s="234"/>
      <c r="Z49" s="219"/>
    </row>
    <row r="50" spans="1:26" s="2" customFormat="1" ht="15" x14ac:dyDescent="0.2">
      <c r="A50" s="9"/>
      <c r="B50" s="234"/>
      <c r="C50" s="292" t="s">
        <v>84</v>
      </c>
      <c r="D50" s="292"/>
      <c r="E50" s="292"/>
      <c r="F50" s="243">
        <f ca="1">IF($M$41="Sistema de banco de horas",(SUM(AI$8:AI$38)*(1+G50)),SUM(AI$8:AI$38))</f>
        <v>0</v>
      </c>
      <c r="G50" s="244">
        <f>IF($M$41="Sistema de banco de horas",0,'P Gerais'!$I$17)</f>
        <v>0.5</v>
      </c>
      <c r="H50" s="245">
        <f ca="1">IF($M$41="Sistema de banco de horas",0,$K$40*(1+G50)*(F50*24))</f>
        <v>0</v>
      </c>
      <c r="I50" s="243">
        <f ca="1">IF(SUM($AN$8:$AO$38)&gt;SUM(AI$8:AI$38),0,SUM(AI$8:AI$38)-SUM($AN$8:$AO$38))</f>
        <v>0</v>
      </c>
      <c r="J50" s="245">
        <f t="shared" ca="1" si="15"/>
        <v>0</v>
      </c>
      <c r="K50" s="234"/>
      <c r="L50" s="234"/>
      <c r="M50" s="234"/>
      <c r="Z50" s="219"/>
    </row>
    <row r="51" spans="1:26" s="2" customFormat="1" ht="15" x14ac:dyDescent="0.2">
      <c r="A51" s="9"/>
      <c r="B51" s="234"/>
      <c r="C51" s="292" t="s">
        <v>85</v>
      </c>
      <c r="D51" s="292"/>
      <c r="E51" s="292"/>
      <c r="F51" s="243">
        <f>IF($M$41="Sistema de banco de horas",(SUM(AK$8:AK$38)*(1+G51)),SUM(AK$8:AK$38))</f>
        <v>0</v>
      </c>
      <c r="G51" s="244">
        <f>IF($M$41="Sistema de banco de horas",0,'P Gerais'!$C$17)</f>
        <v>1</v>
      </c>
      <c r="H51" s="245">
        <f ca="1">IF($M$41="Sistema de banco de horas",0,$K$40*(1+G51)*(F51*24))</f>
        <v>0</v>
      </c>
      <c r="I51" s="243"/>
      <c r="J51" s="245">
        <f t="shared" ca="1" si="15"/>
        <v>0</v>
      </c>
      <c r="K51" s="234"/>
      <c r="L51" s="234"/>
      <c r="M51" s="234"/>
      <c r="Z51" s="219"/>
    </row>
    <row r="52" spans="1:26" s="2" customFormat="1" ht="15" customHeight="1" x14ac:dyDescent="0.2">
      <c r="A52" s="9"/>
      <c r="B52" s="234"/>
      <c r="C52" s="292" t="s">
        <v>87</v>
      </c>
      <c r="D52" s="292"/>
      <c r="E52" s="292"/>
      <c r="F52" s="243">
        <f ca="1">U12</f>
        <v>0</v>
      </c>
      <c r="G52" s="246"/>
      <c r="H52" s="234"/>
      <c r="I52" s="234"/>
      <c r="J52" s="234"/>
      <c r="K52" s="234"/>
      <c r="L52" s="234"/>
      <c r="M52" s="234"/>
      <c r="Z52" s="219"/>
    </row>
    <row r="53" spans="1:26" s="2" customFormat="1" ht="15" x14ac:dyDescent="0.2">
      <c r="A53" s="9"/>
      <c r="B53" s="234"/>
      <c r="C53" s="292" t="s">
        <v>299</v>
      </c>
      <c r="D53" s="292"/>
      <c r="E53" s="292"/>
      <c r="F53" s="247">
        <f ca="1">SUM(H48)+J50+H51+SUM(J41:J47)</f>
        <v>0</v>
      </c>
      <c r="G53" s="248"/>
      <c r="H53" s="234"/>
      <c r="I53" s="234"/>
      <c r="J53" s="234"/>
      <c r="K53" s="234"/>
      <c r="L53" s="234"/>
      <c r="M53" s="234"/>
      <c r="Z53" s="219"/>
    </row>
    <row r="54" spans="1:26" s="2" customFormat="1" ht="15" x14ac:dyDescent="0.2">
      <c r="A54" s="9"/>
      <c r="B54" s="234"/>
      <c r="C54" s="292" t="s">
        <v>88</v>
      </c>
      <c r="D54" s="292"/>
      <c r="E54" s="292"/>
      <c r="F54" s="247">
        <f ca="1">F53+(H49*(1+G49))</f>
        <v>0</v>
      </c>
      <c r="G54" s="248"/>
      <c r="H54" s="249"/>
      <c r="I54" s="234"/>
      <c r="J54" s="234"/>
      <c r="K54" s="234"/>
      <c r="L54" s="234"/>
      <c r="M54" s="234"/>
      <c r="Z54" s="219"/>
    </row>
    <row r="55" spans="1:26" s="2" customFormat="1" ht="15" x14ac:dyDescent="0.2">
      <c r="A55" s="9"/>
      <c r="B55" s="234"/>
      <c r="C55" s="292" t="s">
        <v>89</v>
      </c>
      <c r="D55" s="292"/>
      <c r="E55" s="292"/>
      <c r="F55" s="247">
        <f ca="1">H40+F54</f>
        <v>0</v>
      </c>
      <c r="G55" s="246"/>
      <c r="H55" s="234"/>
      <c r="I55" s="234"/>
      <c r="J55" s="234"/>
      <c r="K55" s="234"/>
      <c r="L55" s="234"/>
      <c r="M55" s="234"/>
      <c r="Z55" s="219"/>
    </row>
    <row r="56" spans="1:26" s="2" customFormat="1" ht="15" x14ac:dyDescent="0.2">
      <c r="A56" s="9"/>
      <c r="B56" s="234"/>
      <c r="C56" s="292" t="s">
        <v>178</v>
      </c>
      <c r="D56" s="292"/>
      <c r="E56" s="292"/>
      <c r="F56" s="243">
        <f>IF($M$41="Sistema de banco de horas",(SUMIF($G$8:$G$38,"Férias",Q8:Q38))*(1+G48),SUMIF($G$8:$G$38,"Férias",Q8:Q38))</f>
        <v>0</v>
      </c>
      <c r="G56" s="246"/>
      <c r="H56" s="234"/>
      <c r="I56" s="234"/>
      <c r="J56" s="234"/>
      <c r="K56" s="234"/>
      <c r="L56" s="234"/>
      <c r="M56" s="234"/>
      <c r="Z56" s="219"/>
    </row>
    <row r="57" spans="1:26" s="2" customFormat="1" ht="15" x14ac:dyDescent="0.2">
      <c r="A57" s="9"/>
      <c r="B57" s="234"/>
      <c r="C57" s="239"/>
      <c r="D57" s="239"/>
      <c r="E57" s="239"/>
      <c r="F57" s="250">
        <f ca="1">U14</f>
        <v>0</v>
      </c>
      <c r="G57" s="246"/>
      <c r="H57" s="234"/>
      <c r="I57" s="234"/>
      <c r="J57" s="234"/>
      <c r="K57" s="234"/>
      <c r="L57" s="234"/>
      <c r="M57" s="234"/>
      <c r="Z57" s="219"/>
    </row>
    <row r="58" spans="1:26" s="2" customFormat="1" ht="15" x14ac:dyDescent="0.2">
      <c r="A58" s="9"/>
      <c r="B58" s="234"/>
      <c r="C58" s="239"/>
      <c r="D58" s="239"/>
      <c r="E58" s="239"/>
      <c r="F58" s="243">
        <f ca="1">SUM(F41:F51)</f>
        <v>0</v>
      </c>
      <c r="G58" s="246"/>
      <c r="H58" s="234"/>
      <c r="I58" s="234"/>
      <c r="J58" s="234"/>
      <c r="K58" s="234"/>
      <c r="L58" s="234"/>
      <c r="M58" s="234"/>
      <c r="Z58" s="219"/>
    </row>
    <row r="59" spans="1:26" s="2" customFormat="1" ht="15" x14ac:dyDescent="0.2">
      <c r="A59" s="9"/>
      <c r="Z59" s="219"/>
    </row>
    <row r="60" spans="1:26" s="2" customFormat="1" ht="15" x14ac:dyDescent="0.2">
      <c r="A60" s="9"/>
      <c r="G60" s="178"/>
      <c r="Z60" s="219"/>
    </row>
    <row r="61" spans="1:26" ht="15" x14ac:dyDescent="0.2"/>
    <row r="62" spans="1:26" ht="15" x14ac:dyDescent="0.2"/>
    <row r="63" spans="1:26" ht="15" x14ac:dyDescent="0.2"/>
    <row r="64" spans="1:26" ht="15" x14ac:dyDescent="0.2"/>
    <row r="65" ht="15" x14ac:dyDescent="0.2"/>
    <row r="66" ht="15" x14ac:dyDescent="0.2"/>
    <row r="67" ht="15" x14ac:dyDescent="0.2"/>
    <row r="68" ht="15" x14ac:dyDescent="0.2"/>
    <row r="69" ht="15" x14ac:dyDescent="0.2"/>
    <row r="70" ht="15" x14ac:dyDescent="0.2"/>
    <row r="71" ht="15" x14ac:dyDescent="0.2"/>
    <row r="72" ht="15" x14ac:dyDescent="0.2"/>
    <row r="73" ht="15" x14ac:dyDescent="0.2"/>
    <row r="74" ht="15" x14ac:dyDescent="0.2"/>
    <row r="75" ht="15" x14ac:dyDescent="0.2"/>
    <row r="76" ht="15" x14ac:dyDescent="0.2"/>
    <row r="77" ht="15" x14ac:dyDescent="0.2"/>
    <row r="78" ht="15" x14ac:dyDescent="0.2"/>
    <row r="79" ht="15" x14ac:dyDescent="0.2"/>
    <row r="80" ht="15" x14ac:dyDescent="0.2"/>
    <row r="81" ht="15" x14ac:dyDescent="0.2"/>
    <row r="82" ht="15" x14ac:dyDescent="0.2"/>
    <row r="83" ht="15" x14ac:dyDescent="0.2"/>
    <row r="84" ht="15" x14ac:dyDescent="0.2"/>
    <row r="85" ht="15" x14ac:dyDescent="0.2"/>
    <row r="86" ht="15" x14ac:dyDescent="0.2"/>
    <row r="87" ht="15" x14ac:dyDescent="0.2"/>
    <row r="88" ht="15" x14ac:dyDescent="0.2"/>
    <row r="89" ht="15" x14ac:dyDescent="0.2"/>
    <row r="90" ht="15" x14ac:dyDescent="0.2"/>
    <row r="91" ht="15" x14ac:dyDescent="0.2"/>
    <row r="92" ht="15" x14ac:dyDescent="0.2"/>
    <row r="93" ht="15" x14ac:dyDescent="0.2"/>
    <row r="94" ht="15" x14ac:dyDescent="0.2"/>
    <row r="95" ht="15" x14ac:dyDescent="0.2"/>
    <row r="96" ht="15" x14ac:dyDescent="0.2"/>
    <row r="97" ht="15" x14ac:dyDescent="0.2"/>
    <row r="98" ht="15" x14ac:dyDescent="0.2"/>
    <row r="99" ht="15" x14ac:dyDescent="0.2"/>
    <row r="100" ht="15" x14ac:dyDescent="0.2"/>
    <row r="101" ht="15" x14ac:dyDescent="0.2"/>
    <row r="102" ht="15" x14ac:dyDescent="0.2"/>
    <row r="103" ht="15" x14ac:dyDescent="0.2"/>
  </sheetData>
  <sheetProtection sheet="1" objects="1" scenarios="1" selectLockedCells="1"/>
  <mergeCells count="34">
    <mergeCell ref="C56:E56"/>
    <mergeCell ref="C48:E48"/>
    <mergeCell ref="C49:E49"/>
    <mergeCell ref="C50:E50"/>
    <mergeCell ref="C52:E52"/>
    <mergeCell ref="C53:E53"/>
    <mergeCell ref="C54:E54"/>
    <mergeCell ref="C51:E51"/>
    <mergeCell ref="C44:E44"/>
    <mergeCell ref="C55:E55"/>
    <mergeCell ref="C45:E45"/>
    <mergeCell ref="C46:E46"/>
    <mergeCell ref="C47:E47"/>
    <mergeCell ref="S22:U22"/>
    <mergeCell ref="C41:E41"/>
    <mergeCell ref="C42:E42"/>
    <mergeCell ref="C43:E43"/>
    <mergeCell ref="S26:U28"/>
    <mergeCell ref="S23:U25"/>
    <mergeCell ref="E7:F7"/>
    <mergeCell ref="I7:J7"/>
    <mergeCell ref="S7:U7"/>
    <mergeCell ref="S8:T9"/>
    <mergeCell ref="U8:U9"/>
    <mergeCell ref="S16:T17"/>
    <mergeCell ref="U16:U17"/>
    <mergeCell ref="S18:T19"/>
    <mergeCell ref="S10:T11"/>
    <mergeCell ref="U10:U11"/>
    <mergeCell ref="S12:T13"/>
    <mergeCell ref="U12:U13"/>
    <mergeCell ref="S14:T15"/>
    <mergeCell ref="U14:U15"/>
    <mergeCell ref="U18:U19"/>
  </mergeCells>
  <conditionalFormatting sqref="M8:M37">
    <cfRule type="cellIs" dxfId="596" priority="122" operator="greaterThan">
      <formula>0</formula>
    </cfRule>
  </conditionalFormatting>
  <conditionalFormatting sqref="L36:L37 N36:N37">
    <cfRule type="expression" dxfId="595" priority="89">
      <formula>AND($E36&lt;$E$35,$E$8=1)</formula>
    </cfRule>
    <cfRule type="expression" dxfId="594" priority="90">
      <formula>AND($E36&gt;=$E$8,$E$8&lt;&gt;1)</formula>
    </cfRule>
  </conditionalFormatting>
  <conditionalFormatting sqref="E36:E38">
    <cfRule type="expression" dxfId="593" priority="87">
      <formula>AND($E36&lt;$E$35,$E$8=1)</formula>
    </cfRule>
    <cfRule type="expression" dxfId="592" priority="88">
      <formula>AND($E36&gt;=$E$8,$E$8&lt;&gt;1)</formula>
    </cfRule>
  </conditionalFormatting>
  <conditionalFormatting sqref="O8:O37">
    <cfRule type="cellIs" dxfId="591" priority="82" operator="greaterThan">
      <formula>0.000001</formula>
    </cfRule>
  </conditionalFormatting>
  <conditionalFormatting sqref="O36:O37">
    <cfRule type="expression" dxfId="590" priority="80">
      <formula>AND($E36&lt;$E$35,$E$8=1)</formula>
    </cfRule>
    <cfRule type="expression" dxfId="589" priority="81">
      <formula>AND($E36&gt;=$E$8,$E$8&lt;&gt;1)</formula>
    </cfRule>
  </conditionalFormatting>
  <conditionalFormatting sqref="F8:F38">
    <cfRule type="containsText" dxfId="588" priority="78" operator="containsText" text="Dom">
      <formula>NOT(ISERROR(SEARCH("Dom",F8)))</formula>
    </cfRule>
    <cfRule type="containsText" dxfId="587" priority="79" operator="containsText" text="Sáb">
      <formula>NOT(ISERROR(SEARCH("Sáb",F8)))</formula>
    </cfRule>
  </conditionalFormatting>
  <conditionalFormatting sqref="Q8:Q37">
    <cfRule type="cellIs" dxfId="586" priority="76" operator="greaterThan">
      <formula>0.000001</formula>
    </cfRule>
  </conditionalFormatting>
  <conditionalFormatting sqref="G8:K35">
    <cfRule type="expression" dxfId="585" priority="48">
      <formula>OR($G8="Férias",$G8="Falta Injustificada")</formula>
    </cfRule>
    <cfRule type="expression" dxfId="584" priority="49">
      <formula>$G8="Folga (DSR)"</formula>
    </cfRule>
    <cfRule type="expression" dxfId="583" priority="50">
      <formula>$G8="Feriado"</formula>
    </cfRule>
    <cfRule type="expression" dxfId="582" priority="51">
      <formula>$F8="Dom"</formula>
    </cfRule>
  </conditionalFormatting>
  <conditionalFormatting sqref="H8:K35">
    <cfRule type="expression" dxfId="581" priority="47">
      <formula>OR($G8="Falta Justificada",$G8="Falta Injustificada")</formula>
    </cfRule>
  </conditionalFormatting>
  <conditionalFormatting sqref="G36:K37">
    <cfRule type="expression" dxfId="580" priority="43">
      <formula>OR($G36="Férias",$G36="Falta Injustificada")</formula>
    </cfRule>
    <cfRule type="expression" dxfId="579" priority="44">
      <formula>$G36="Folga (DSR)"</formula>
    </cfRule>
    <cfRule type="expression" dxfId="578" priority="45">
      <formula>$G36="Feriado"</formula>
    </cfRule>
    <cfRule type="expression" dxfId="577" priority="46">
      <formula>$F36="Dom"</formula>
    </cfRule>
  </conditionalFormatting>
  <conditionalFormatting sqref="G36:K37">
    <cfRule type="expression" dxfId="576" priority="40">
      <formula>AND($E36&lt;$E$35,$E$8=1)</formula>
    </cfRule>
    <cfRule type="expression" dxfId="575" priority="41">
      <formula>AND($E36&gt;=$E$8,$E$8&lt;&gt;1)</formula>
    </cfRule>
  </conditionalFormatting>
  <conditionalFormatting sqref="H36:K37">
    <cfRule type="expression" dxfId="574" priority="42">
      <formula>OR($G36="Falta Justificada",$G36="Falta Injustificada")</formula>
    </cfRule>
  </conditionalFormatting>
  <conditionalFormatting sqref="O38">
    <cfRule type="cellIs" dxfId="573" priority="38" operator="greaterThan">
      <formula>0.000001</formula>
    </cfRule>
  </conditionalFormatting>
  <conditionalFormatting sqref="M38">
    <cfRule type="cellIs" dxfId="572" priority="39" operator="greaterThan">
      <formula>0</formula>
    </cfRule>
  </conditionalFormatting>
  <conditionalFormatting sqref="L38:O38">
    <cfRule type="expression" dxfId="571" priority="37">
      <formula>AND($E38&gt;=$E$8,$E$8&lt;&gt;1)</formula>
    </cfRule>
  </conditionalFormatting>
  <conditionalFormatting sqref="G38:K38">
    <cfRule type="expression" dxfId="570" priority="24">
      <formula>OR($G38="Férias",$G38="Falta Injustificada")</formula>
    </cfRule>
    <cfRule type="expression" dxfId="569" priority="25">
      <formula>$G38="Folga (DSR)"</formula>
    </cfRule>
    <cfRule type="expression" dxfId="568" priority="26">
      <formula>$G38="Feriado"</formula>
    </cfRule>
    <cfRule type="expression" dxfId="567" priority="27">
      <formula>$F38="Dom"</formula>
    </cfRule>
  </conditionalFormatting>
  <conditionalFormatting sqref="H38:K38">
    <cfRule type="expression" dxfId="566" priority="23">
      <formula>OR($G38="Falta Justificada",$G38="Falta Injustificada")</formula>
    </cfRule>
  </conditionalFormatting>
  <conditionalFormatting sqref="Q38">
    <cfRule type="cellIs" dxfId="565" priority="20" operator="greaterThan">
      <formula>0.000001</formula>
    </cfRule>
  </conditionalFormatting>
  <conditionalFormatting sqref="L38:Q38">
    <cfRule type="expression" dxfId="564" priority="36">
      <formula>AND($E38&lt;$E$35,$E$8=1)</formula>
    </cfRule>
  </conditionalFormatting>
  <conditionalFormatting sqref="G38:Q38">
    <cfRule type="expression" dxfId="563" priority="21">
      <formula>AND($E38&lt;$E$35,$E$8=1)</formula>
    </cfRule>
    <cfRule type="expression" dxfId="562" priority="22">
      <formula>AND($E38&gt;=$E$8,$E$8&lt;&gt;1)</formula>
    </cfRule>
  </conditionalFormatting>
  <conditionalFormatting sqref="U10:U11">
    <cfRule type="expression" dxfId="561" priority="8">
      <formula>$V$11="Negativo"</formula>
    </cfRule>
  </conditionalFormatting>
  <conditionalFormatting sqref="U12:U13">
    <cfRule type="expression" dxfId="560" priority="532">
      <formula>$U$14&gt;$F$58</formula>
    </cfRule>
  </conditionalFormatting>
  <conditionalFormatting sqref="F40">
    <cfRule type="expression" dxfId="559" priority="533">
      <formula>$E40="Folga(DSR)"</formula>
    </cfRule>
    <cfRule type="expression" dxfId="558" priority="534">
      <formula>$E40="Feriado"</formula>
    </cfRule>
    <cfRule type="expression" dxfId="557" priority="535">
      <formula>$D40="Dom"</formula>
    </cfRule>
  </conditionalFormatting>
  <dataValidations count="3">
    <dataValidation type="time" allowBlank="1" showInputMessage="1" showErrorMessage="1" sqref="H8:K38">
      <formula1>0</formula1>
      <formula2>0.999988425925926</formula2>
    </dataValidation>
    <dataValidation type="list" allowBlank="1" showInputMessage="1" showErrorMessage="1" sqref="G8:G38">
      <formula1>"Normal,Feriado,Folga (DSR),Falta Justificada,Férias,Falta Injustificada"</formula1>
    </dataValidation>
    <dataValidation type="list" allowBlank="1" showInputMessage="1" showErrorMessage="1" sqref="E9:E35">
      <formula1>"1,5,10,16"</formula1>
    </dataValidation>
  </dataValidations>
  <hyperlinks>
    <hyperlink ref="C8" location="Lanç!A1" display="Lanç!A1"/>
    <hyperlink ref="C9" location="'Lanç (2)'!A1" display="'Lanç (2)'!A1"/>
    <hyperlink ref="C10" location="'Lanç (3)'!A1" display="'Lanç (3)'!A1"/>
    <hyperlink ref="C11" location="'Lanç (4)'!A1" display="'Lanç (4)'!A1"/>
    <hyperlink ref="C12" location="'Lanç (5)'!A1" display="'Lanç (5)'!A1"/>
    <hyperlink ref="C13" location="'Lanç (6)'!A1" display="'Lanç (6)'!A1"/>
    <hyperlink ref="C14" location="'Lanç (7)'!A1" display="'Lanç (7)'!A1"/>
    <hyperlink ref="C15" location="'Lanç (8)'!A1" display="'Lanç (8)'!A1"/>
    <hyperlink ref="C16" location="'Lanç (9)'!A1" display="'Lanç (9)'!A1"/>
    <hyperlink ref="C17" location="'Lanç (10)'!A1" display="'Lanç (10)'!A1"/>
    <hyperlink ref="C18" location="'Lanç (11)'!A1" display="'Lanç (11)'!A1"/>
    <hyperlink ref="C19" location="'Lanç (12)'!A1" display="'Lanç (12)'!A1"/>
    <hyperlink ref="C20" location="'Lanç (13)'!A1" display="'Lanç (13)'!A1"/>
    <hyperlink ref="C21" location="'Lanç (14)'!A1" display="'Lanç (14)'!A1"/>
    <hyperlink ref="C22" location="'Lanç (15)'!A1" display="'Lanç (15)'!A1"/>
    <hyperlink ref="C23" location="'Lanç (16)'!A1" display="'Lanç (16)'!A1"/>
    <hyperlink ref="C24" location="'Lanç (17)'!A1" display="'Lanç (17)'!A1"/>
    <hyperlink ref="C25" location="'Lanç (18)'!A1" display="'Lanç (18)'!A1"/>
    <hyperlink ref="C26" location="'Lanç (19)'!A1" display="'Lanç (19)'!A1"/>
    <hyperlink ref="C27" location="'Lanç (20)'!A1" display="'Lanç (20)'!A1"/>
    <hyperlink ref="C28" location="'Lanç (21)'!A1" display="'Lanç (21)'!A1"/>
    <hyperlink ref="C29" location="'Lanç (22)'!A1" display="'Lanç (22)'!A1"/>
    <hyperlink ref="C30" location="'Lanç (23)'!A1" display="'Lanç (23)'!A1"/>
    <hyperlink ref="C31" location="'Lanç (24)'!A1" display="'Lanç (24)'!A1"/>
    <hyperlink ref="C32" location="'Lanç (25)'!A1" display="'Lanç (25)'!A1"/>
    <hyperlink ref="C33" location="'Lanç (26)'!A1" display="'Lanç (26)'!A1"/>
    <hyperlink ref="C34" location="'Lanç (27)'!A1" display="'Lanç (27)'!A1"/>
    <hyperlink ref="C35" location="'Lanç (28)'!A1" display="'Lanç (28)'!A1"/>
    <hyperlink ref="C36" location="'Lanç (29)'!A1" display="'Lanç (29)'!A1"/>
    <hyperlink ref="C37" location="'Lanç (30)'!A1" display="'Lanç (30)'!A1"/>
  </hyperlinks>
  <printOptions horizontalCentered="1"/>
  <pageMargins left="0.23622047244094502" right="0.23622047244094502" top="0.74803149606299202" bottom="0.74803149606299202" header="0.31496062992126" footer="0.31496062992126"/>
  <pageSetup paperSize="9" scale="53" orientation="portrait" cellComments="atEnd"/>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69" id="{9C654C4B-2316-8F46-A4D0-5912D9A18EBB}">
            <xm:f>'P Gerais'!$I$10:$M$10="Pagas em Dinheiro"</xm:f>
            <x14:dxf>
              <font>
                <color theme="0"/>
              </font>
              <fill>
                <patternFill>
                  <bgColor theme="0"/>
                </patternFill>
              </fill>
              <border>
                <left/>
                <right/>
                <top/>
                <bottom/>
              </border>
            </x14:dxf>
          </x14:cfRule>
          <xm:sqref>S10:T13</xm:sqref>
        </x14:conditionalFormatting>
        <x14:conditionalFormatting xmlns:xm="http://schemas.microsoft.com/office/excel/2006/main">
          <x14:cfRule type="expression" priority="68" id="{55DEAEF2-5F4A-6A41-87C5-BC0E49D1D334}">
            <xm:f>'P Gerais'!$I$10:$M$10="Sistema de banco de horas"</xm:f>
            <x14:dxf>
              <font>
                <color theme="0"/>
              </font>
              <fill>
                <patternFill>
                  <bgColor theme="0"/>
                </patternFill>
              </fill>
              <border>
                <left/>
                <right/>
                <top/>
                <bottom/>
              </border>
            </x14:dxf>
          </x14:cfRule>
          <xm:sqref>S18:T19</xm:sqref>
        </x14:conditionalFormatting>
        <x14:conditionalFormatting xmlns:xm="http://schemas.microsoft.com/office/excel/2006/main">
          <x14:cfRule type="expression" priority="10" id="{B0983FDA-BA5D-B24F-9803-01D77E6735E9}">
            <xm:f>'P Gerais'!$I$10:$M$10="Sistema de banco de horas"</xm:f>
            <x14:dxf>
              <font>
                <color theme="0"/>
              </font>
              <fill>
                <patternFill>
                  <bgColor theme="0"/>
                </patternFill>
              </fill>
              <border>
                <left/>
                <right/>
                <top/>
                <bottom/>
              </border>
            </x14:dxf>
          </x14:cfRule>
          <xm:sqref>U18:U19</xm:sqref>
        </x14:conditionalFormatting>
        <x14:conditionalFormatting xmlns:xm="http://schemas.microsoft.com/office/excel/2006/main">
          <x14:cfRule type="expression" priority="7" id="{452C5252-B632-424B-8CE8-3498965C80D5}">
            <xm:f>'P Gerais'!$I$10:$M$10="Pagas em Dinheiro"</xm:f>
            <x14:dxf>
              <font>
                <color theme="0"/>
              </font>
              <fill>
                <patternFill>
                  <bgColor theme="0"/>
                </patternFill>
              </fill>
              <border>
                <left/>
                <right/>
                <top/>
                <bottom/>
              </border>
            </x14:dxf>
          </x14:cfRule>
          <xm:sqref>U10:U13</xm:sqref>
        </x14:conditionalFormatting>
      </x14:conditionalFormattings>
    </ext>
  </extLs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21" enableFormatConditionsCalculation="0"/>
  <dimension ref="A1:BG103"/>
  <sheetViews>
    <sheetView showGridLines="0" zoomScale="90" zoomScaleNormal="90" zoomScalePageLayoutView="90" workbookViewId="0">
      <selection activeCell="I12" sqref="I12"/>
    </sheetView>
  </sheetViews>
  <sheetFormatPr baseColWidth="10" defaultColWidth="0" defaultRowHeight="0" customHeight="1" zeroHeight="1" x14ac:dyDescent="0.2"/>
  <cols>
    <col min="1" max="1" width="27.83203125" style="194" customWidth="1"/>
    <col min="2" max="2" width="3.83203125" style="14" customWidth="1"/>
    <col min="3" max="3" width="33.33203125" style="14" customWidth="1"/>
    <col min="4" max="4" width="2.83203125" style="14" customWidth="1"/>
    <col min="5" max="5" width="5.83203125" style="14" customWidth="1"/>
    <col min="6" max="6" width="11.83203125" style="14" customWidth="1"/>
    <col min="7" max="7" width="14.33203125" style="195" customWidth="1"/>
    <col min="8" max="11" width="9.83203125" style="14" customWidth="1"/>
    <col min="12" max="12" width="1.83203125" style="14" customWidth="1"/>
    <col min="13" max="13" width="13.33203125" style="14" customWidth="1"/>
    <col min="14" max="14" width="1.83203125" style="14" customWidth="1"/>
    <col min="15" max="15" width="13.33203125" style="14" customWidth="1"/>
    <col min="16" max="16" width="1.83203125" style="14" customWidth="1"/>
    <col min="17" max="17" width="13.33203125" style="14" customWidth="1"/>
    <col min="18" max="18" width="4.83203125" style="2" bestFit="1" customWidth="1"/>
    <col min="19" max="21" width="11.83203125" style="14" customWidth="1"/>
    <col min="22" max="23" width="8.83203125" style="2" customWidth="1"/>
    <col min="24" max="24" width="11.33203125" style="2" bestFit="1" customWidth="1"/>
    <col min="25" max="25" width="8.83203125" style="2" customWidth="1"/>
    <col min="26" max="26" width="8.1640625" style="219" bestFit="1" customWidth="1"/>
    <col min="27" max="27" width="8.83203125" style="2" customWidth="1"/>
    <col min="28" max="28" width="11.33203125" style="2" bestFit="1" customWidth="1"/>
    <col min="29" max="43" width="8.83203125" style="2" customWidth="1"/>
    <col min="44" max="50" width="11.33203125" style="2" customWidth="1"/>
    <col min="51" max="57" width="11.33203125" style="14" customWidth="1"/>
    <col min="58" max="16384" width="8.83203125" style="14" hidden="1"/>
  </cols>
  <sheetData>
    <row r="1" spans="1:59" s="15" customFormat="1" ht="33.75" customHeight="1" x14ac:dyDescent="0.3">
      <c r="A1" s="56"/>
      <c r="B1" s="3"/>
      <c r="C1" s="4" t="s">
        <v>30</v>
      </c>
      <c r="D1" s="3"/>
      <c r="E1" s="3"/>
      <c r="F1" s="3"/>
      <c r="G1" s="77"/>
      <c r="H1" s="3"/>
      <c r="I1" s="3"/>
      <c r="J1" s="3"/>
      <c r="K1" s="3"/>
      <c r="L1" s="3"/>
      <c r="M1" s="3"/>
      <c r="N1" s="3"/>
      <c r="O1" s="3"/>
      <c r="Q1" s="3"/>
      <c r="S1" s="3"/>
      <c r="T1" s="3"/>
      <c r="U1" s="3"/>
      <c r="Z1" s="174"/>
    </row>
    <row r="2" spans="1:59" s="15" customFormat="1" ht="21.5" customHeight="1" x14ac:dyDescent="0.2">
      <c r="A2" s="1"/>
      <c r="B2" s="3"/>
      <c r="C2" s="3"/>
      <c r="D2" s="3"/>
      <c r="E2" s="3"/>
      <c r="F2" s="3"/>
      <c r="G2" s="77"/>
      <c r="H2" s="3"/>
      <c r="I2" s="3"/>
      <c r="J2" s="3"/>
      <c r="K2" s="3"/>
      <c r="L2" s="3"/>
      <c r="M2" s="3"/>
      <c r="N2" s="3"/>
      <c r="O2" s="3"/>
      <c r="Q2" s="3"/>
      <c r="S2" s="3"/>
      <c r="T2" s="3"/>
      <c r="U2" s="3"/>
      <c r="Z2" s="174"/>
    </row>
    <row r="3" spans="1:59" s="15" customFormat="1" ht="21.5" customHeight="1" x14ac:dyDescent="0.2">
      <c r="A3" s="1"/>
      <c r="B3" s="3"/>
      <c r="C3" s="3"/>
      <c r="D3" s="3"/>
      <c r="E3" s="3"/>
      <c r="F3" s="3"/>
      <c r="G3" s="77"/>
      <c r="H3" s="3"/>
      <c r="I3" s="3"/>
      <c r="J3" s="3"/>
      <c r="K3" s="3"/>
      <c r="L3" s="3"/>
      <c r="M3" s="3"/>
      <c r="N3" s="3"/>
      <c r="O3" s="3"/>
      <c r="Q3" s="3"/>
      <c r="S3" s="3"/>
      <c r="T3" s="3"/>
      <c r="U3" s="3"/>
      <c r="Z3" s="174"/>
    </row>
    <row r="4" spans="1:59" s="2" customFormat="1" ht="30" customHeight="1" x14ac:dyDescent="0.2">
      <c r="A4" s="1"/>
      <c r="B4"/>
      <c r="C4"/>
      <c r="D4"/>
      <c r="E4"/>
      <c r="F4"/>
      <c r="G4" s="78"/>
      <c r="H4"/>
      <c r="I4"/>
      <c r="J4"/>
      <c r="K4"/>
      <c r="L4"/>
      <c r="M4"/>
      <c r="N4"/>
      <c r="O4" s="13"/>
      <c r="Q4"/>
      <c r="S4"/>
      <c r="T4"/>
      <c r="U4"/>
      <c r="Z4" s="219"/>
      <c r="AN4" s="175"/>
    </row>
    <row r="5" spans="1:59" s="2" customFormat="1" ht="30" customHeight="1" x14ac:dyDescent="0.2">
      <c r="A5" s="1"/>
      <c r="B5"/>
      <c r="C5" s="160" t="s">
        <v>202</v>
      </c>
      <c r="D5"/>
      <c r="E5"/>
      <c r="F5"/>
      <c r="G5"/>
      <c r="H5"/>
      <c r="I5"/>
      <c r="J5"/>
      <c r="K5" s="157">
        <f ca="1">IF(ISERROR(VLOOKUP(INDIRECT($C$5),Jornada!$C$8:$F$37,4,0)),0,VLOOKUP(INDIRECT($C$5),Jornada!$C$8:$F$37,4,0))</f>
        <v>0</v>
      </c>
      <c r="L5" s="158"/>
      <c r="M5" s="157">
        <f ca="1">IF(ISERROR(VLOOKUP(INDIRECT($C$5),Jornada!$C$8:$G$37,5,0)),0,VLOOKUP(INDIRECT($C$5),Jornada!$C$8:$G$37,5,0))</f>
        <v>0</v>
      </c>
      <c r="N5"/>
      <c r="O5" s="69"/>
      <c r="Q5"/>
      <c r="S5"/>
      <c r="T5"/>
      <c r="U5" s="12"/>
      <c r="Z5" s="219"/>
      <c r="AC5" s="12"/>
      <c r="AK5" s="179">
        <v>0.25</v>
      </c>
      <c r="AL5" s="155">
        <v>0.91666666666666663</v>
      </c>
      <c r="AM5" s="155">
        <v>0.20833333333333334</v>
      </c>
      <c r="AN5" s="155">
        <v>1</v>
      </c>
      <c r="AO5" s="155">
        <v>0.70833333333333337</v>
      </c>
    </row>
    <row r="6" spans="1:59" s="2" customFormat="1" ht="8" customHeight="1" thickBot="1" x14ac:dyDescent="0.25">
      <c r="A6" s="1"/>
      <c r="B6"/>
      <c r="C6" s="75"/>
      <c r="D6"/>
      <c r="E6"/>
      <c r="F6"/>
      <c r="G6" s="78"/>
      <c r="H6"/>
      <c r="I6"/>
      <c r="J6"/>
      <c r="M6" s="220">
        <v>1</v>
      </c>
      <c r="N6"/>
      <c r="O6" s="11"/>
      <c r="Q6" s="11"/>
      <c r="S6"/>
      <c r="T6"/>
      <c r="Z6" s="176"/>
    </row>
    <row r="7" spans="1:59" s="2" customFormat="1" ht="30" customHeight="1" thickTop="1" thickBot="1" x14ac:dyDescent="0.25">
      <c r="A7" s="1"/>
      <c r="B7"/>
      <c r="C7" s="76" t="s">
        <v>176</v>
      </c>
      <c r="D7"/>
      <c r="E7" s="281" t="str">
        <f>Lanç!E7</f>
        <v>Janeiro</v>
      </c>
      <c r="F7" s="283"/>
      <c r="G7" s="79" t="s">
        <v>58</v>
      </c>
      <c r="H7" s="82" t="s">
        <v>0</v>
      </c>
      <c r="I7" s="293" t="s">
        <v>59</v>
      </c>
      <c r="J7" s="293"/>
      <c r="K7" s="82" t="s">
        <v>60</v>
      </c>
      <c r="L7"/>
      <c r="M7" s="73" t="s">
        <v>61</v>
      </c>
      <c r="N7"/>
      <c r="O7" s="73" t="s">
        <v>62</v>
      </c>
      <c r="Q7" s="73" t="s">
        <v>63</v>
      </c>
      <c r="R7" s="155">
        <v>8.3333333333333329E-2</v>
      </c>
      <c r="S7" s="293" t="s">
        <v>64</v>
      </c>
      <c r="T7" s="293"/>
      <c r="U7" s="293"/>
      <c r="W7" s="2" t="s">
        <v>90</v>
      </c>
      <c r="X7" s="156">
        <v>1</v>
      </c>
      <c r="AB7" s="2">
        <f>VLOOKUP($E$7,$W$7:$X$18,2,0)</f>
        <v>1</v>
      </c>
      <c r="AG7" s="176" t="s">
        <v>167</v>
      </c>
      <c r="AH7" s="176" t="s">
        <v>168</v>
      </c>
      <c r="AI7" s="155">
        <v>0</v>
      </c>
      <c r="AJ7" s="155">
        <v>1</v>
      </c>
      <c r="AK7" s="155">
        <v>0.45833333333333331</v>
      </c>
      <c r="AL7" s="2" t="s">
        <v>0</v>
      </c>
      <c r="AM7" s="2" t="s">
        <v>162</v>
      </c>
      <c r="AN7" s="2" t="s">
        <v>184</v>
      </c>
      <c r="BE7" s="14"/>
      <c r="BF7" s="14"/>
      <c r="BG7" s="14"/>
    </row>
    <row r="8" spans="1:59" s="2" customFormat="1" ht="30" customHeight="1" thickTop="1" thickBot="1" x14ac:dyDescent="0.25">
      <c r="A8" s="1"/>
      <c r="B8"/>
      <c r="C8" s="172" t="str">
        <f>IF(Funcionários!C7=0,"",Funcionários!C7)</f>
        <v/>
      </c>
      <c r="D8"/>
      <c r="E8" s="115">
        <f>Lanç!E8</f>
        <v>1</v>
      </c>
      <c r="F8" s="189" t="str">
        <f>Lanç!F8</f>
        <v>Dom</v>
      </c>
      <c r="G8" s="80"/>
      <c r="H8" s="93"/>
      <c r="I8" s="93"/>
      <c r="J8" s="93"/>
      <c r="K8" s="93"/>
      <c r="L8" s="10"/>
      <c r="M8" s="95">
        <f>IF(AND(H8=K8,H8&lt;&gt;0),$M$6-IF(J8&lt;I8,$AJ$7+J8-I8,J8-I8),IF(H8&gt;K8,(K8+1-H8)-IF(J8&lt;I8,$AJ$7+J8-I8,J8-I8),(K8-H8)-IF(J8&lt;I8,$AJ$7+J8-I8,J8-I8)))</f>
        <v>0</v>
      </c>
      <c r="N8" s="96"/>
      <c r="O8" s="95">
        <f ca="1">IF(OR(G8=0,G8="Férias",G8="Falta Justificada",G8="Feriado",G8="Folga (DSR)"),0,IF(G8="Falta Injustificada",HLOOKUP($F8,Jornada!$X$7:$AD$37,VLOOKUP(INDIRECT($C$5),Jornada!$C$8:$W$37,21,0),0),IF(HLOOKUP($F8,Jornada!$X$7:$AD$37,VLOOKUP(INDIRECT($C$5),Jornada!$C$8:$W$37,21,0),0)-M8&gt;0,HLOOKUP($F8,Jornada!$X$7:$AD$37,VLOOKUP(INDIRECT($C$5),Jornada!$C$8:$W$37,21,0),0)-M8,0)))</f>
        <v>0</v>
      </c>
      <c r="P8" s="190">
        <f ca="1">IF(HLOOKUP($F8,Jornada!$X$7:$AD$37,VLOOKUP(INDIRECT($C$5),Jornada!$C$8:$W$37,21,0),0)-M8&lt;0,ABS(HLOOKUP($F8,Jornada!$X$7:$AD$37,VLOOKUP(INDIRECT($C$5),Jornada!$C$8:$W$37,21,0),0)-M8),0)</f>
        <v>0</v>
      </c>
      <c r="Q8" s="95">
        <f t="shared" ref="Q8:Q38" si="0">IF(G8="Normal",P8,IF(G8=0,0,IF(OR(G8="Feriado",G8="Férias"),IF(H8&gt;K8,(K8+1-H8)-IF(J8&lt;I8,$AJ$7+J8-I8,J8-I8),(K8-H8)-IF(J8&lt;I8,$AJ$7+J8-I8,J8-I8)),IF(G8="Folga (DSR)",IF(H8&gt;K8,(K8+1-H8)-IF(J8&lt;I8,$AJ$7+J8-I8,J8-I8),(K8-H8)-IF(J8&lt;I8,$AJ$7+J8-I8,J8-I8)),IF(G8="Falta Justificada",IF(H8&gt;K8,(K8+1-H8)-IF(J8&lt;I8,$AJ$7+J8-I8,J8-I8),(K8-H8)-IF(J8&lt;I8,$AJ$7+J8-I8,J8-I8)),0)))))</f>
        <v>0</v>
      </c>
      <c r="R8" s="2">
        <f>IF(Q8&gt;$R$7,1,0)</f>
        <v>0</v>
      </c>
      <c r="S8" s="294" t="s">
        <v>65</v>
      </c>
      <c r="T8" s="294"/>
      <c r="U8" s="295">
        <f>SUM(M8:M38)</f>
        <v>0</v>
      </c>
      <c r="W8" s="2" t="s">
        <v>91</v>
      </c>
      <c r="X8" s="156">
        <v>2</v>
      </c>
      <c r="AB8" s="177">
        <f>DATE('P Gerais'!$D$6,AB7,1)</f>
        <v>1</v>
      </c>
      <c r="AC8" s="2">
        <f>WEEKDAY(AB8)</f>
        <v>1</v>
      </c>
      <c r="AE8" s="2">
        <v>1</v>
      </c>
      <c r="AF8" s="2" t="s">
        <v>51</v>
      </c>
      <c r="AG8" s="220">
        <f>IF(J8&lt;I8,$AJ$7+J8-I8,J8-I8)</f>
        <v>0</v>
      </c>
      <c r="AH8" s="220">
        <f ca="1">IF(HLOOKUP($F8,Jornada!$X$7:$AD$37,VLOOKUP(INDIRECT($C$5),Jornada!$C$8:$W$37,21,0),0)=0,0,VLOOKUP(INDIRECT($C$5),Jornada!$C$8:$H$37,4,0))</f>
        <v>0</v>
      </c>
      <c r="AI8" s="155">
        <f ca="1">IF(AND(I8=0,J8=0,OR(H8&lt;&gt;0,K8&lt;&gt;0),HLOOKUP($F8,Jornada!$X$7:$AD$37,VLOOKUP(INDIRECT($C$5),Jornada!$C$8:$W$37,21,0),0)&gt;$AK$5,M8&gt;$AK$5),VLOOKUP(INDIRECT($C$5),Jornada!$C$8:$H$37,6,0),IF(AG8&gt;VLOOKUP(INDIRECT($C$5),Jornada!$C$8:$H$37,6,0),IF(VLOOKUP(INDIRECT($C$5),Jornada!$C$8:$H$37,6,0)&lt;AG8,0,ABS(VLOOKUP(INDIRECT($C$5),Jornada!$C$8:$H$37,6,0))-AG8),0))</f>
        <v>0</v>
      </c>
      <c r="AJ8" s="155">
        <f>($AJ$7-K8)+H8</f>
        <v>1</v>
      </c>
      <c r="AK8" s="155">
        <f>IF(AJ8&lt;$AK$7,$AK$7-AJ8,$AI$7)</f>
        <v>0</v>
      </c>
      <c r="AL8" s="155">
        <f ca="1">HLOOKUP($F8,Jornada!$I$5:$V$37,VLOOKUP(INDIRECT($C$5),Jornada!$C$8:$W$37,21,0)+2,0)</f>
        <v>0</v>
      </c>
      <c r="AM8" s="155">
        <f ca="1">HLOOKUP($F8,Jornada!$I$4:$V$37,VLOOKUP(INDIRECT($C$5),Jornada!$C$8:$W$37,21,0)+3,0)</f>
        <v>0</v>
      </c>
      <c r="AN8" s="155">
        <f ca="1">IF(AND(AL8&gt;=$AL$5,AL8&lt;$AN$5,H8&gt;=$AL$5,H8&lt;AL8),AL8-H8,IF(AND(AL8&gt;$AI$7,AL8&lt;=$AM$5,H8&gt;=$AL$5,H8&lt;=$AN$5),$AN$5-H8+AL8,IF(AND(AL8&gt;=$AI$7,AL8&lt;=$AM$5,H8&gt;=$AI$7,H8&lt;=$AM$5,H8&lt;AL8),H8-AL8,0)))</f>
        <v>0</v>
      </c>
      <c r="AO8" s="155">
        <f>IF(AP8&gt;Q8,0,AP8)</f>
        <v>0</v>
      </c>
      <c r="AP8" s="155">
        <f>IF(Q8=0,0,IF(AND(AM8&gt;=$AL$5,AM8&lt;$AN$5,K8&gt;=$AL$5,K8&lt;$AM$5,K8&gt;AM8),K8-AM8,IF(AND(AM8&gt;=$AL$5,AM8&lt;$AN$5,K8&lt;$AN$5,K8&gt;AM8),K8-$AL$5,IF(AND(AM8&gt;=$AI$7,AM8&lt;$AM$5,K8&lt;$AM$5),K8-AM8,IF(AND(AM8&lt;&gt;AI7,AM8&gt;=$AI$7,AM8&lt;=$AM$5,K8&gt;$AM$5,K8&gt;AM8),$AM$5-AM8,IF(AND(K8&gt;$AL$5,K8&lt;$AN$5),K8-$AL$5,IF(AND(K8&gt;$AI$7,K8&lt;$AM$5),$AN$5-$AL$5+K8,IF(AND(OR(K8&gt;$AL$5,H8&gt;$AO$5),AM8&gt;=$AI$7,AM8&lt;$AM$5,K8&gt;$AM$5),(1+$AM$5-$AL$5)-AG8,0))))))))</f>
        <v>0</v>
      </c>
      <c r="BE8" s="14"/>
      <c r="BF8" s="14"/>
      <c r="BG8" s="14"/>
    </row>
    <row r="9" spans="1:59" s="2" customFormat="1" ht="30" customHeight="1" thickTop="1" thickBot="1" x14ac:dyDescent="0.25">
      <c r="A9" s="1"/>
      <c r="B9"/>
      <c r="C9" s="172" t="str">
        <f>IF(Funcionários!C8=0,"",Funcionários!C8)</f>
        <v/>
      </c>
      <c r="D9"/>
      <c r="E9" s="115">
        <f>Lanç!E9</f>
        <v>2</v>
      </c>
      <c r="F9" s="189" t="str">
        <f>Lanç!F9</f>
        <v>Seg</v>
      </c>
      <c r="G9" s="81"/>
      <c r="H9" s="94"/>
      <c r="I9" s="94"/>
      <c r="J9" s="94"/>
      <c r="K9" s="94"/>
      <c r="L9" s="10"/>
      <c r="M9" s="95">
        <f t="shared" ref="M9:M38" si="1">IF(AND(H9=K9,H9&lt;&gt;0),$M$6-IF(J9&lt;I9,$AJ$7+J9-I9,J9-I9),IF(H9&gt;K9,(K9+1-H9)-IF(J9&lt;I9,$AJ$7+J9-I9,J9-I9),(K9-H9)-IF(J9&lt;I9,$AJ$7+J9-I9,J9-I9)))</f>
        <v>0</v>
      </c>
      <c r="N9" s="96"/>
      <c r="O9" s="95">
        <f ca="1">IF(OR(G9=0,G9="Férias",G9="Falta Justificada",G9="Feriado",G9="Folga (DSR)"),0,IF(G9="Falta Injustificada",HLOOKUP($F9,Jornada!$X$7:$AD$37,VLOOKUP(INDIRECT($C$5),Jornada!$C$8:$W$37,21,0),0),IF(HLOOKUP($F9,Jornada!$X$7:$AD$37,VLOOKUP(INDIRECT($C$5),Jornada!$C$8:$W$37,21,0),0)-M9&gt;0,HLOOKUP($F9,Jornada!$X$7:$AD$37,VLOOKUP(INDIRECT($C$5),Jornada!$C$8:$W$37,21,0),0)-M9,0)))</f>
        <v>0</v>
      </c>
      <c r="P9" s="190">
        <f ca="1">IF(HLOOKUP($F9,Jornada!$X$7:$AD$37,VLOOKUP(INDIRECT($C$5),Jornada!$C$8:$W$37,21,0),0)-M9&lt;0,ABS(HLOOKUP($F9,Jornada!$X$7:$AD$37,VLOOKUP(INDIRECT($C$5),Jornada!$C$8:$W$37,21,0),0)-M9),0)</f>
        <v>0</v>
      </c>
      <c r="Q9" s="95">
        <f t="shared" si="0"/>
        <v>0</v>
      </c>
      <c r="R9" s="2">
        <f t="shared" ref="R9:R38" si="2">IF(Q9&gt;$R$7,1,0)</f>
        <v>0</v>
      </c>
      <c r="S9" s="294"/>
      <c r="T9" s="294"/>
      <c r="U9" s="295"/>
      <c r="W9" s="2" t="s">
        <v>92</v>
      </c>
      <c r="X9" s="156">
        <v>3</v>
      </c>
      <c r="AB9" s="177">
        <f>AB8+1</f>
        <v>2</v>
      </c>
      <c r="AC9" s="2">
        <f t="shared" ref="AC9:AC35" si="3">WEEKDAY(AB9)</f>
        <v>2</v>
      </c>
      <c r="AE9" s="2">
        <v>2</v>
      </c>
      <c r="AF9" s="2" t="s">
        <v>52</v>
      </c>
      <c r="AG9" s="220">
        <f t="shared" ref="AG9:AG38" si="4">IF(J9&lt;I9,$AJ$7+J9-I9,J9-I9)</f>
        <v>0</v>
      </c>
      <c r="AH9" s="220">
        <f ca="1">IF(HLOOKUP($F9,Jornada!$X$7:$AD$37,VLOOKUP(INDIRECT($C$5),Jornada!$C$8:$W$37,21,0),0)=0,0,VLOOKUP(INDIRECT($C$5),Jornada!$C$8:$H$37,4,0))</f>
        <v>0</v>
      </c>
      <c r="AI9" s="155">
        <f ca="1">IF(AND(I9=0,J9=0,OR(H9&lt;&gt;0,K9&lt;&gt;0),HLOOKUP($F9,Jornada!$X$7:$AD$37,VLOOKUP(INDIRECT($C$5),Jornada!$C$8:$W$37,21,0),0)&gt;$AK$5,M9&gt;$AK$5),VLOOKUP(INDIRECT($C$5),Jornada!$C$8:$H$37,6,0),IF(AG9&gt;VLOOKUP(INDIRECT($C$5),Jornada!$C$8:$H$37,6,0),IF(VLOOKUP(INDIRECT($C$5),Jornada!$C$8:$H$37,6,0)&lt;AG9,0,ABS(VLOOKUP(INDIRECT($C$5),Jornada!$C$8:$H$37,6,0))-AG9),0))</f>
        <v>0</v>
      </c>
      <c r="AJ9" s="155">
        <f t="shared" ref="AJ9:AJ38" si="5">($AJ$7-K9)+H9</f>
        <v>1</v>
      </c>
      <c r="AK9" s="155">
        <f t="shared" ref="AK9:AK38" si="6">IF(AJ9&lt;$AK$7,$AK$7-AJ9,$AI$7)</f>
        <v>0</v>
      </c>
      <c r="AL9" s="155">
        <f ca="1">HLOOKUP($F9,Jornada!$I$5:$V$37,VLOOKUP(INDIRECT($C$5),Jornada!$C$8:$W$37,21,0)+2,0)</f>
        <v>0</v>
      </c>
      <c r="AM9" s="155">
        <f ca="1">HLOOKUP($F9,Jornada!$I$4:$V$37,VLOOKUP(INDIRECT($C$5),Jornada!$C$8:$W$37,21,0)+3,0)</f>
        <v>0</v>
      </c>
      <c r="AN9" s="155">
        <f t="shared" ref="AN9:AN38" ca="1" si="7">IF(AND(AL9&gt;=$AL$5,AL9&lt;$AN$5,H9&gt;=$AL$5,H9&lt;AL9),AL9-H9,IF(AND(AL9&gt;$AI$7,AL9&lt;=$AM$5,H9&gt;=$AL$5,H9&lt;=$AN$5),$AN$5-H9+AL9,IF(AND(AL9&gt;=$AI$7,AL9&lt;=$AM$5,H9&gt;=$AI$7,H9&lt;=$AM$5,H9&lt;AL9),H9-AL9,0)))</f>
        <v>0</v>
      </c>
      <c r="AO9" s="155">
        <f t="shared" ref="AO9:AO38" si="8">IF(AP9&gt;Q9,0,AP9)</f>
        <v>0</v>
      </c>
      <c r="AP9" s="155">
        <f t="shared" ref="AP9:AP38" si="9">IF(Q9=0,0,IF(AND(AM9&gt;=$AL$5,AM9&lt;$AN$5,K9&gt;=$AL$5,K9&lt;$AM$5,K9&gt;AM9),K9-AM9,IF(AND(AM9&gt;=$AL$5,AM9&lt;$AN$5,K9&lt;$AN$5,K9&gt;AM9),K9-$AL$5,IF(AND(AM9&gt;=$AI$7,AM9&lt;$AM$5,K9&lt;$AM$5),K9-AM9,IF(AND(AM9&lt;&gt;AI8,AM9&gt;=$AI$7,AM9&lt;=$AM$5,K9&gt;$AM$5,K9&gt;AM9),$AM$5-AM9,IF(AND(K9&gt;$AL$5,K9&lt;$AN$5),K9-$AL$5,IF(AND(K9&gt;$AI$7,K9&lt;$AM$5),$AN$5-$AL$5+K9,IF(AND(OR(K9&gt;$AL$5,H9&gt;$AO$5),AM9&gt;=$AI$7,AM9&lt;$AM$5,K9&gt;$AM$5),(1+$AM$5-$AL$5)-AG9,0))))))))</f>
        <v>0</v>
      </c>
      <c r="BE9" s="14"/>
      <c r="BF9" s="14"/>
      <c r="BG9" s="14"/>
    </row>
    <row r="10" spans="1:59" s="2" customFormat="1" ht="30" customHeight="1" thickTop="1" thickBot="1" x14ac:dyDescent="0.25">
      <c r="A10" s="1"/>
      <c r="B10"/>
      <c r="C10" s="172" t="str">
        <f>IF(Funcionários!C9=0,"",Funcionários!C9)</f>
        <v/>
      </c>
      <c r="D10"/>
      <c r="E10" s="115">
        <f>Lanç!E10</f>
        <v>3</v>
      </c>
      <c r="F10" s="189" t="str">
        <f>Lanç!F10</f>
        <v>Ter</v>
      </c>
      <c r="G10" s="81"/>
      <c r="H10" s="94"/>
      <c r="I10" s="94"/>
      <c r="J10" s="94"/>
      <c r="K10" s="94"/>
      <c r="L10" s="10"/>
      <c r="M10" s="95">
        <f t="shared" si="1"/>
        <v>0</v>
      </c>
      <c r="N10" s="96"/>
      <c r="O10" s="95">
        <f ca="1">IF(OR(G10=0,G10="Férias",G10="Falta Justificada",G10="Feriado",G10="Folga (DSR)"),0,IF(G10="Falta Injustificada",HLOOKUP($F10,Jornada!$X$7:$AD$37,VLOOKUP(INDIRECT($C$5),Jornada!$C$8:$W$37,21,0),0),IF(HLOOKUP($F10,Jornada!$X$7:$AD$37,VLOOKUP(INDIRECT($C$5),Jornada!$C$8:$W$37,21,0),0)-M10&gt;0,HLOOKUP($F10,Jornada!$X$7:$AD$37,VLOOKUP(INDIRECT($C$5),Jornada!$C$8:$W$37,21,0),0)-M10,0)))</f>
        <v>0</v>
      </c>
      <c r="P10" s="190">
        <f ca="1">IF(HLOOKUP($F10,Jornada!$X$7:$AD$37,VLOOKUP(INDIRECT($C$5),Jornada!$C$8:$W$37,21,0),0)-M10&lt;0,ABS(HLOOKUP($F10,Jornada!$X$7:$AD$37,VLOOKUP(INDIRECT($C$5),Jornada!$C$8:$W$37,21,0),0)-M10),0)</f>
        <v>0</v>
      </c>
      <c r="Q10" s="95">
        <f t="shared" si="0"/>
        <v>0</v>
      </c>
      <c r="R10" s="2">
        <f t="shared" si="2"/>
        <v>0</v>
      </c>
      <c r="S10" s="294" t="s">
        <v>66</v>
      </c>
      <c r="T10" s="294"/>
      <c r="U10" s="295">
        <f ca="1">IF(M5="Horas devidas",ABS(-K5+F58-U14),ABS(K5+F58-U14))</f>
        <v>0</v>
      </c>
      <c r="W10" s="2" t="s">
        <v>93</v>
      </c>
      <c r="X10" s="156">
        <v>4</v>
      </c>
      <c r="AB10" s="177">
        <f t="shared" ref="AB10:AB34" si="10">AB9+1</f>
        <v>3</v>
      </c>
      <c r="AC10" s="2">
        <f t="shared" si="3"/>
        <v>3</v>
      </c>
      <c r="AE10" s="2">
        <v>3</v>
      </c>
      <c r="AF10" s="2" t="s">
        <v>53</v>
      </c>
      <c r="AG10" s="220">
        <f t="shared" si="4"/>
        <v>0</v>
      </c>
      <c r="AH10" s="220">
        <f ca="1">IF(HLOOKUP($F10,Jornada!$X$7:$AD$37,VLOOKUP(INDIRECT($C$5),Jornada!$C$8:$W$37,21,0),0)=0,0,VLOOKUP(INDIRECT($C$5),Jornada!$C$8:$H$37,4,0))</f>
        <v>0</v>
      </c>
      <c r="AI10" s="155">
        <f ca="1">IF(AND(I10=0,J10=0,OR(H10&lt;&gt;0,K10&lt;&gt;0),HLOOKUP($F10,Jornada!$X$7:$AD$37,VLOOKUP(INDIRECT($C$5),Jornada!$C$8:$W$37,21,0),0)&gt;$AK$5,M10&gt;$AK$5),VLOOKUP(INDIRECT($C$5),Jornada!$C$8:$H$37,6,0),IF(AG10&gt;VLOOKUP(INDIRECT($C$5),Jornada!$C$8:$H$37,6,0),IF(VLOOKUP(INDIRECT($C$5),Jornada!$C$8:$H$37,6,0)&lt;AG10,0,ABS(VLOOKUP(INDIRECT($C$5),Jornada!$C$8:$H$37,6,0))-AG10),0))</f>
        <v>0</v>
      </c>
      <c r="AJ10" s="155">
        <f t="shared" si="5"/>
        <v>1</v>
      </c>
      <c r="AK10" s="155">
        <f t="shared" si="6"/>
        <v>0</v>
      </c>
      <c r="AL10" s="155">
        <f ca="1">HLOOKUP($F10,Jornada!$I$5:$V$37,VLOOKUP(INDIRECT($C$5),Jornada!$C$8:$W$37,21,0)+2,0)</f>
        <v>0</v>
      </c>
      <c r="AM10" s="155">
        <f ca="1">HLOOKUP($F10,Jornada!$I$4:$V$37,VLOOKUP(INDIRECT($C$5),Jornada!$C$8:$W$37,21,0)+3,0)</f>
        <v>0</v>
      </c>
      <c r="AN10" s="155">
        <f t="shared" ca="1" si="7"/>
        <v>0</v>
      </c>
      <c r="AO10" s="155">
        <f t="shared" si="8"/>
        <v>0</v>
      </c>
      <c r="AP10" s="155">
        <f t="shared" si="9"/>
        <v>0</v>
      </c>
      <c r="BE10" s="14"/>
      <c r="BF10" s="14"/>
      <c r="BG10" s="14"/>
    </row>
    <row r="11" spans="1:59" s="2" customFormat="1" ht="30" customHeight="1" thickTop="1" thickBot="1" x14ac:dyDescent="0.25">
      <c r="A11" s="1"/>
      <c r="B11"/>
      <c r="C11" s="172" t="str">
        <f>IF(Funcionários!C10=0,"",Funcionários!C10)</f>
        <v/>
      </c>
      <c r="D11"/>
      <c r="E11" s="115">
        <f>Lanç!E11</f>
        <v>4</v>
      </c>
      <c r="F11" s="189" t="str">
        <f>Lanç!F11</f>
        <v>Qua</v>
      </c>
      <c r="G11" s="81"/>
      <c r="H11" s="94"/>
      <c r="I11" s="94"/>
      <c r="J11" s="94"/>
      <c r="K11" s="94"/>
      <c r="L11" s="10"/>
      <c r="M11" s="95">
        <f t="shared" si="1"/>
        <v>0</v>
      </c>
      <c r="N11" s="96"/>
      <c r="O11" s="95">
        <f ca="1">IF(OR(G11=0,G11="Férias",G11="Falta Justificada",G11="Feriado",G11="Folga (DSR)"),0,IF(G11="Falta Injustificada",HLOOKUP($F11,Jornada!$X$7:$AD$37,VLOOKUP(INDIRECT($C$5),Jornada!$C$8:$W$37,21,0),0),IF(HLOOKUP($F11,Jornada!$X$7:$AD$37,VLOOKUP(INDIRECT($C$5),Jornada!$C$8:$W$37,21,0),0)-M11&gt;0,HLOOKUP($F11,Jornada!$X$7:$AD$37,VLOOKUP(INDIRECT($C$5),Jornada!$C$8:$W$37,21,0),0)-M11,0)))</f>
        <v>0</v>
      </c>
      <c r="P11" s="190">
        <f ca="1">IF(HLOOKUP($F11,Jornada!$X$7:$AD$37,VLOOKUP(INDIRECT($C$5),Jornada!$C$8:$W$37,21,0),0)-M11&lt;0,ABS(HLOOKUP($F11,Jornada!$X$7:$AD$37,VLOOKUP(INDIRECT($C$5),Jornada!$C$8:$W$37,21,0),0)-M11),0)</f>
        <v>0</v>
      </c>
      <c r="Q11" s="95">
        <f t="shared" si="0"/>
        <v>0</v>
      </c>
      <c r="R11" s="2">
        <f t="shared" si="2"/>
        <v>0</v>
      </c>
      <c r="S11" s="294"/>
      <c r="T11" s="294"/>
      <c r="U11" s="295"/>
      <c r="V11" s="2">
        <f ca="1">IF(AND(K5&gt;U12,M5="Horas devidas"),"Negativo",IF(AND(U12&gt;K5,U14&gt;F58),"Negativo",0))</f>
        <v>0</v>
      </c>
      <c r="W11" s="2" t="s">
        <v>94</v>
      </c>
      <c r="X11" s="156">
        <v>5</v>
      </c>
      <c r="Z11" s="2" t="str">
        <f ca="1">IF(AND(M5="horas extras",Z13="positivo"),"positivo",IF(AND(M5="horas devidas",Z13="Negativo"),"Negativo",IF(AND(Z13="positivo",M5="horas devidas",U12&gt;K5),"Positivo","Negativo")))</f>
        <v>Negativo</v>
      </c>
      <c r="AB11" s="177">
        <f t="shared" si="10"/>
        <v>4</v>
      </c>
      <c r="AC11" s="2">
        <f t="shared" si="3"/>
        <v>4</v>
      </c>
      <c r="AE11" s="2">
        <v>4</v>
      </c>
      <c r="AF11" s="2" t="s">
        <v>54</v>
      </c>
      <c r="AG11" s="220">
        <f t="shared" si="4"/>
        <v>0</v>
      </c>
      <c r="AH11" s="220">
        <f ca="1">IF(HLOOKUP($F11,Jornada!$X$7:$AD$37,VLOOKUP(INDIRECT($C$5),Jornada!$C$8:$W$37,21,0),0)=0,0,VLOOKUP(INDIRECT($C$5),Jornada!$C$8:$H$37,4,0))</f>
        <v>0</v>
      </c>
      <c r="AI11" s="155">
        <f ca="1">IF(AND(I11=0,J11=0,OR(H11&lt;&gt;0,K11&lt;&gt;0),HLOOKUP($F11,Jornada!$X$7:$AD$37,VLOOKUP(INDIRECT($C$5),Jornada!$C$8:$W$37,21,0),0)&gt;$AK$5,M11&gt;$AK$5),VLOOKUP(INDIRECT($C$5),Jornada!$C$8:$H$37,6,0),IF(AG11&gt;VLOOKUP(INDIRECT($C$5),Jornada!$C$8:$H$37,6,0),IF(VLOOKUP(INDIRECT($C$5),Jornada!$C$8:$H$37,6,0)&lt;AG11,0,ABS(VLOOKUP(INDIRECT($C$5),Jornada!$C$8:$H$37,6,0))-AG11),0))</f>
        <v>0</v>
      </c>
      <c r="AJ11" s="155">
        <f t="shared" si="5"/>
        <v>1</v>
      </c>
      <c r="AK11" s="155">
        <f t="shared" si="6"/>
        <v>0</v>
      </c>
      <c r="AL11" s="155">
        <f ca="1">HLOOKUP($F11,Jornada!$I$5:$V$37,VLOOKUP(INDIRECT($C$5),Jornada!$C$8:$W$37,21,0)+2,0)</f>
        <v>0</v>
      </c>
      <c r="AM11" s="155">
        <f ca="1">HLOOKUP($F11,Jornada!$I$4:$V$37,VLOOKUP(INDIRECT($C$5),Jornada!$C$8:$W$37,21,0)+3,0)</f>
        <v>0</v>
      </c>
      <c r="AN11" s="155">
        <f t="shared" ca="1" si="7"/>
        <v>0</v>
      </c>
      <c r="AO11" s="155">
        <f t="shared" si="8"/>
        <v>0</v>
      </c>
      <c r="AP11" s="155">
        <f t="shared" si="9"/>
        <v>0</v>
      </c>
      <c r="BE11" s="14"/>
      <c r="BF11" s="14"/>
      <c r="BG11" s="14"/>
    </row>
    <row r="12" spans="1:59" s="2" customFormat="1" ht="30" customHeight="1" thickTop="1" thickBot="1" x14ac:dyDescent="0.25">
      <c r="A12" s="1"/>
      <c r="B12"/>
      <c r="C12" s="172" t="str">
        <f>IF(Funcionários!C11=0,"",Funcionários!C11)</f>
        <v/>
      </c>
      <c r="D12"/>
      <c r="E12" s="115">
        <f>Lanç!E12</f>
        <v>5</v>
      </c>
      <c r="F12" s="189" t="str">
        <f>Lanç!F12</f>
        <v>Qui</v>
      </c>
      <c r="G12" s="81"/>
      <c r="H12" s="94"/>
      <c r="I12" s="94"/>
      <c r="J12" s="94"/>
      <c r="K12" s="94"/>
      <c r="L12" s="10"/>
      <c r="M12" s="95">
        <f t="shared" si="1"/>
        <v>0</v>
      </c>
      <c r="N12" s="96"/>
      <c r="O12" s="95">
        <f ca="1">IF(OR(G12=0,G12="Férias",G12="Falta Justificada",G12="Feriado",G12="Folga (DSR)"),0,IF(G12="Falta Injustificada",HLOOKUP($F12,Jornada!$X$7:$AD$37,VLOOKUP(INDIRECT($C$5),Jornada!$C$8:$W$37,21,0),0),IF(HLOOKUP($F12,Jornada!$X$7:$AD$37,VLOOKUP(INDIRECT($C$5),Jornada!$C$8:$W$37,21,0),0)-M12&gt;0,HLOOKUP($F12,Jornada!$X$7:$AD$37,VLOOKUP(INDIRECT($C$5),Jornada!$C$8:$W$37,21,0),0)-M12,0)))</f>
        <v>0</v>
      </c>
      <c r="P12" s="190">
        <f ca="1">IF(HLOOKUP($F12,Jornada!$X$7:$AD$37,VLOOKUP(INDIRECT($C$5),Jornada!$C$8:$W$37,21,0),0)-M12&lt;0,ABS(HLOOKUP($F12,Jornada!$X$7:$AD$37,VLOOKUP(INDIRECT($C$5),Jornada!$C$8:$W$37,21,0),0)-M12),0)</f>
        <v>0</v>
      </c>
      <c r="Q12" s="95">
        <f t="shared" si="0"/>
        <v>0</v>
      </c>
      <c r="R12" s="2">
        <f t="shared" si="2"/>
        <v>0</v>
      </c>
      <c r="S12" s="294" t="s">
        <v>175</v>
      </c>
      <c r="T12" s="294"/>
      <c r="U12" s="295">
        <f ca="1">IF(U14&gt;=F58,(U14)-F58,(F58-U14))</f>
        <v>0</v>
      </c>
      <c r="W12" s="2" t="s">
        <v>95</v>
      </c>
      <c r="X12" s="156">
        <v>6</v>
      </c>
      <c r="AB12" s="177">
        <f t="shared" si="10"/>
        <v>5</v>
      </c>
      <c r="AC12" s="2">
        <f t="shared" si="3"/>
        <v>5</v>
      </c>
      <c r="AE12" s="2">
        <v>5</v>
      </c>
      <c r="AF12" s="2" t="s">
        <v>55</v>
      </c>
      <c r="AG12" s="220">
        <f t="shared" si="4"/>
        <v>0</v>
      </c>
      <c r="AH12" s="220">
        <f ca="1">IF(HLOOKUP($F12,Jornada!$X$7:$AD$37,VLOOKUP(INDIRECT($C$5),Jornada!$C$8:$W$37,21,0),0)=0,0,VLOOKUP(INDIRECT($C$5),Jornada!$C$8:$H$37,4,0))</f>
        <v>0</v>
      </c>
      <c r="AI12" s="155">
        <f ca="1">IF(AND(I12=0,J12=0,OR(H12&lt;&gt;0,K12&lt;&gt;0),HLOOKUP($F12,Jornada!$X$7:$AD$37,VLOOKUP(INDIRECT($C$5),Jornada!$C$8:$W$37,21,0),0)&gt;$AK$5,M12&gt;$AK$5),VLOOKUP(INDIRECT($C$5),Jornada!$C$8:$H$37,6,0),IF(AG12&gt;VLOOKUP(INDIRECT($C$5),Jornada!$C$8:$H$37,6,0),IF(VLOOKUP(INDIRECT($C$5),Jornada!$C$8:$H$37,6,0)&lt;AG12,0,ABS(VLOOKUP(INDIRECT($C$5),Jornada!$C$8:$H$37,6,0))-AG12),0))</f>
        <v>0</v>
      </c>
      <c r="AJ12" s="155">
        <f t="shared" si="5"/>
        <v>1</v>
      </c>
      <c r="AK12" s="155">
        <f t="shared" si="6"/>
        <v>0</v>
      </c>
      <c r="AL12" s="155">
        <f ca="1">HLOOKUP($F12,Jornada!$I$5:$V$37,VLOOKUP(INDIRECT($C$5),Jornada!$C$8:$W$37,21,0)+2,0)</f>
        <v>0</v>
      </c>
      <c r="AM12" s="155">
        <f ca="1">HLOOKUP($F12,Jornada!$I$4:$V$37,VLOOKUP(INDIRECT($C$5),Jornada!$C$8:$W$37,21,0)+3,0)</f>
        <v>0</v>
      </c>
      <c r="AN12" s="155">
        <f t="shared" ca="1" si="7"/>
        <v>0</v>
      </c>
      <c r="AO12" s="155">
        <f t="shared" si="8"/>
        <v>0</v>
      </c>
      <c r="AP12" s="155">
        <f t="shared" si="9"/>
        <v>0</v>
      </c>
      <c r="BE12" s="14"/>
      <c r="BF12" s="14"/>
      <c r="BG12" s="14"/>
    </row>
    <row r="13" spans="1:59" s="2" customFormat="1" ht="30" customHeight="1" thickTop="1" thickBot="1" x14ac:dyDescent="0.25">
      <c r="A13" s="1"/>
      <c r="B13"/>
      <c r="C13" s="172" t="str">
        <f>IF(Funcionários!C12=0,"",Funcionários!C12)</f>
        <v/>
      </c>
      <c r="D13"/>
      <c r="E13" s="115">
        <f>Lanç!E13</f>
        <v>6</v>
      </c>
      <c r="F13" s="189" t="str">
        <f>Lanç!F13</f>
        <v>Sex</v>
      </c>
      <c r="G13" s="81"/>
      <c r="H13" s="94"/>
      <c r="I13" s="94"/>
      <c r="J13" s="94"/>
      <c r="K13" s="94"/>
      <c r="L13" s="10"/>
      <c r="M13" s="95">
        <f t="shared" si="1"/>
        <v>0</v>
      </c>
      <c r="N13" s="96"/>
      <c r="O13" s="95">
        <f ca="1">IF(OR(G13=0,G13="Férias",G13="Falta Justificada",G13="Feriado",G13="Folga (DSR)"),0,IF(G13="Falta Injustificada",HLOOKUP($F13,Jornada!$X$7:$AD$37,VLOOKUP(INDIRECT($C$5),Jornada!$C$8:$W$37,21,0),0),IF(HLOOKUP($F13,Jornada!$X$7:$AD$37,VLOOKUP(INDIRECT($C$5),Jornada!$C$8:$W$37,21,0),0)-M13&gt;0,HLOOKUP($F13,Jornada!$X$7:$AD$37,VLOOKUP(INDIRECT($C$5),Jornada!$C$8:$W$37,21,0),0)-M13,0)))</f>
        <v>0</v>
      </c>
      <c r="P13" s="190">
        <f ca="1">IF(HLOOKUP($F13,Jornada!$X$7:$AD$37,VLOOKUP(INDIRECT($C$5),Jornada!$C$8:$W$37,21,0),0)-M13&lt;0,ABS(HLOOKUP($F13,Jornada!$X$7:$AD$37,VLOOKUP(INDIRECT($C$5),Jornada!$C$8:$W$37,21,0),0)-M13),0)</f>
        <v>0</v>
      </c>
      <c r="Q13" s="95">
        <f t="shared" si="0"/>
        <v>0</v>
      </c>
      <c r="R13" s="2">
        <f t="shared" si="2"/>
        <v>0</v>
      </c>
      <c r="S13" s="294"/>
      <c r="T13" s="294"/>
      <c r="U13" s="295"/>
      <c r="W13" s="2" t="s">
        <v>96</v>
      </c>
      <c r="X13" s="156">
        <v>7</v>
      </c>
      <c r="Z13" s="2" t="str">
        <f ca="1">IF(U14&gt;F58,"Negativo","Positivo")</f>
        <v>Positivo</v>
      </c>
      <c r="AB13" s="177">
        <f t="shared" si="10"/>
        <v>6</v>
      </c>
      <c r="AC13" s="2">
        <f t="shared" si="3"/>
        <v>6</v>
      </c>
      <c r="AE13" s="2">
        <v>6</v>
      </c>
      <c r="AF13" s="2" t="s">
        <v>56</v>
      </c>
      <c r="AG13" s="220">
        <f t="shared" si="4"/>
        <v>0</v>
      </c>
      <c r="AH13" s="220">
        <f ca="1">IF(HLOOKUP($F13,Jornada!$X$7:$AD$37,VLOOKUP(INDIRECT($C$5),Jornada!$C$8:$W$37,21,0),0)=0,0,VLOOKUP(INDIRECT($C$5),Jornada!$C$8:$H$37,4,0))</f>
        <v>0</v>
      </c>
      <c r="AI13" s="155">
        <f ca="1">IF(AND(I13=0,J13=0,OR(H13&lt;&gt;0,K13&lt;&gt;0),HLOOKUP($F13,Jornada!$X$7:$AD$37,VLOOKUP(INDIRECT($C$5),Jornada!$C$8:$W$37,21,0),0)&gt;$AK$5,M13&gt;$AK$5),VLOOKUP(INDIRECT($C$5),Jornada!$C$8:$H$37,6,0),IF(AG13&gt;VLOOKUP(INDIRECT($C$5),Jornada!$C$8:$H$37,6,0),IF(VLOOKUP(INDIRECT($C$5),Jornada!$C$8:$H$37,6,0)&lt;AG13,0,ABS(VLOOKUP(INDIRECT($C$5),Jornada!$C$8:$H$37,6,0))-AG13),0))</f>
        <v>0</v>
      </c>
      <c r="AJ13" s="155">
        <f t="shared" si="5"/>
        <v>1</v>
      </c>
      <c r="AK13" s="155">
        <f t="shared" si="6"/>
        <v>0</v>
      </c>
      <c r="AL13" s="155">
        <f ca="1">HLOOKUP($F13,Jornada!$I$5:$V$37,VLOOKUP(INDIRECT($C$5),Jornada!$C$8:$W$37,21,0)+2,0)</f>
        <v>0</v>
      </c>
      <c r="AM13" s="155">
        <f ca="1">HLOOKUP($F13,Jornada!$I$4:$V$37,VLOOKUP(INDIRECT($C$5),Jornada!$C$8:$W$37,21,0)+3,0)</f>
        <v>0</v>
      </c>
      <c r="AN13" s="155">
        <f t="shared" ca="1" si="7"/>
        <v>0</v>
      </c>
      <c r="AO13" s="155">
        <f t="shared" si="8"/>
        <v>0</v>
      </c>
      <c r="AP13" s="155">
        <f t="shared" si="9"/>
        <v>0</v>
      </c>
      <c r="BE13" s="14"/>
      <c r="BF13" s="14"/>
      <c r="BG13" s="14"/>
    </row>
    <row r="14" spans="1:59" s="2" customFormat="1" ht="30" customHeight="1" thickTop="1" thickBot="1" x14ac:dyDescent="0.25">
      <c r="A14" s="1"/>
      <c r="B14"/>
      <c r="C14" s="172" t="str">
        <f>IF(Funcionários!C13=0,"",Funcionários!C13)</f>
        <v/>
      </c>
      <c r="D14"/>
      <c r="E14" s="115">
        <f>Lanç!E14</f>
        <v>7</v>
      </c>
      <c r="F14" s="189" t="str">
        <f>Lanç!F14</f>
        <v>Sáb</v>
      </c>
      <c r="G14" s="81"/>
      <c r="H14" s="94"/>
      <c r="I14" s="94"/>
      <c r="J14" s="94"/>
      <c r="K14" s="94"/>
      <c r="L14" s="10"/>
      <c r="M14" s="95">
        <f t="shared" si="1"/>
        <v>0</v>
      </c>
      <c r="N14" s="96"/>
      <c r="O14" s="95">
        <f ca="1">IF(OR(G14=0,G14="Férias",G14="Falta Justificada",G14="Feriado",G14="Folga (DSR)"),0,IF(G14="Falta Injustificada",HLOOKUP($F14,Jornada!$X$7:$AD$37,VLOOKUP(INDIRECT($C$5),Jornada!$C$8:$W$37,21,0),0),IF(HLOOKUP($F14,Jornada!$X$7:$AD$37,VLOOKUP(INDIRECT($C$5),Jornada!$C$8:$W$37,21,0),0)-M14&gt;0,HLOOKUP($F14,Jornada!$X$7:$AD$37,VLOOKUP(INDIRECT($C$5),Jornada!$C$8:$W$37,21,0),0)-M14,0)))</f>
        <v>0</v>
      </c>
      <c r="P14" s="190">
        <f ca="1">IF(HLOOKUP($F14,Jornada!$X$7:$AD$37,VLOOKUP(INDIRECT($C$5),Jornada!$C$8:$W$37,21,0),0)-M14&lt;0,ABS(HLOOKUP($F14,Jornada!$X$7:$AD$37,VLOOKUP(INDIRECT($C$5),Jornada!$C$8:$W$37,21,0),0)-M14),0)</f>
        <v>0</v>
      </c>
      <c r="Q14" s="95">
        <f t="shared" si="0"/>
        <v>0</v>
      </c>
      <c r="R14" s="2">
        <f t="shared" si="2"/>
        <v>0</v>
      </c>
      <c r="S14" s="294" t="s">
        <v>68</v>
      </c>
      <c r="T14" s="294"/>
      <c r="U14" s="295">
        <f ca="1">SUM(O8:O38)</f>
        <v>0</v>
      </c>
      <c r="W14" s="2" t="s">
        <v>97</v>
      </c>
      <c r="X14" s="156">
        <v>8</v>
      </c>
      <c r="AB14" s="177">
        <f t="shared" si="10"/>
        <v>7</v>
      </c>
      <c r="AC14" s="2">
        <f t="shared" si="3"/>
        <v>7</v>
      </c>
      <c r="AE14" s="2">
        <v>7</v>
      </c>
      <c r="AF14" s="2" t="s">
        <v>57</v>
      </c>
      <c r="AG14" s="220">
        <f t="shared" si="4"/>
        <v>0</v>
      </c>
      <c r="AH14" s="220">
        <f ca="1">IF(HLOOKUP($F14,Jornada!$X$7:$AD$37,VLOOKUP(INDIRECT($C$5),Jornada!$C$8:$W$37,21,0),0)=0,0,VLOOKUP(INDIRECT($C$5),Jornada!$C$8:$H$37,4,0))</f>
        <v>0</v>
      </c>
      <c r="AI14" s="155">
        <f ca="1">IF(AND(I14=0,J14=0,OR(H14&lt;&gt;0,K14&lt;&gt;0),HLOOKUP($F14,Jornada!$X$7:$AD$37,VLOOKUP(INDIRECT($C$5),Jornada!$C$8:$W$37,21,0),0)&gt;$AK$5,M14&gt;$AK$5),VLOOKUP(INDIRECT($C$5),Jornada!$C$8:$H$37,6,0),IF(AG14&gt;VLOOKUP(INDIRECT($C$5),Jornada!$C$8:$H$37,6,0),IF(VLOOKUP(INDIRECT($C$5),Jornada!$C$8:$H$37,6,0)&lt;AG14,0,ABS(VLOOKUP(INDIRECT($C$5),Jornada!$C$8:$H$37,6,0))-AG14),0))</f>
        <v>0</v>
      </c>
      <c r="AJ14" s="155">
        <f t="shared" si="5"/>
        <v>1</v>
      </c>
      <c r="AK14" s="155">
        <f t="shared" si="6"/>
        <v>0</v>
      </c>
      <c r="AL14" s="155">
        <f ca="1">HLOOKUP($F14,Jornada!$I$5:$V$37,VLOOKUP(INDIRECT($C$5),Jornada!$C$8:$W$37,21,0)+2,0)</f>
        <v>0</v>
      </c>
      <c r="AM14" s="155">
        <f ca="1">HLOOKUP($F14,Jornada!$I$4:$V$37,VLOOKUP(INDIRECT($C$5),Jornada!$C$8:$W$37,21,0)+3,0)</f>
        <v>0</v>
      </c>
      <c r="AN14" s="155">
        <f t="shared" ca="1" si="7"/>
        <v>0</v>
      </c>
      <c r="AO14" s="155">
        <f t="shared" si="8"/>
        <v>0</v>
      </c>
      <c r="AP14" s="155">
        <f t="shared" si="9"/>
        <v>0</v>
      </c>
      <c r="BE14" s="14"/>
      <c r="BF14" s="14"/>
      <c r="BG14" s="14"/>
    </row>
    <row r="15" spans="1:59" s="2" customFormat="1" ht="30" customHeight="1" thickTop="1" thickBot="1" x14ac:dyDescent="0.25">
      <c r="A15" s="1"/>
      <c r="B15"/>
      <c r="C15" s="172" t="str">
        <f>IF(Funcionários!C14=0,"",Funcionários!C14)</f>
        <v/>
      </c>
      <c r="D15"/>
      <c r="E15" s="115">
        <f>Lanç!E15</f>
        <v>8</v>
      </c>
      <c r="F15" s="189" t="str">
        <f>Lanç!F15</f>
        <v>Dom</v>
      </c>
      <c r="G15" s="81"/>
      <c r="H15" s="94"/>
      <c r="I15" s="94"/>
      <c r="J15" s="94"/>
      <c r="K15" s="94"/>
      <c r="L15" s="10"/>
      <c r="M15" s="95">
        <f t="shared" si="1"/>
        <v>0</v>
      </c>
      <c r="N15" s="96"/>
      <c r="O15" s="95">
        <f ca="1">IF(OR(G15=0,G15="Férias",G15="Falta Justificada",G15="Feriado",G15="Folga (DSR)"),0,IF(G15="Falta Injustificada",HLOOKUP($F15,Jornada!$X$7:$AD$37,VLOOKUP(INDIRECT($C$5),Jornada!$C$8:$W$37,21,0),0),IF(HLOOKUP($F15,Jornada!$X$7:$AD$37,VLOOKUP(INDIRECT($C$5),Jornada!$C$8:$W$37,21,0),0)-M15&gt;0,HLOOKUP($F15,Jornada!$X$7:$AD$37,VLOOKUP(INDIRECT($C$5),Jornada!$C$8:$W$37,21,0),0)-M15,0)))</f>
        <v>0</v>
      </c>
      <c r="P15" s="190">
        <f ca="1">IF(HLOOKUP($F15,Jornada!$X$7:$AD$37,VLOOKUP(INDIRECT($C$5),Jornada!$C$8:$W$37,21,0),0)-M15&lt;0,ABS(HLOOKUP($F15,Jornada!$X$7:$AD$37,VLOOKUP(INDIRECT($C$5),Jornada!$C$8:$W$37,21,0),0)-M15),0)</f>
        <v>0</v>
      </c>
      <c r="Q15" s="95">
        <f t="shared" si="0"/>
        <v>0</v>
      </c>
      <c r="R15" s="2">
        <f t="shared" si="2"/>
        <v>0</v>
      </c>
      <c r="S15" s="294"/>
      <c r="T15" s="294"/>
      <c r="U15" s="295"/>
      <c r="W15" s="2" t="s">
        <v>98</v>
      </c>
      <c r="X15" s="156">
        <v>9</v>
      </c>
      <c r="AB15" s="177">
        <f t="shared" si="10"/>
        <v>8</v>
      </c>
      <c r="AC15" s="2">
        <f t="shared" si="3"/>
        <v>1</v>
      </c>
      <c r="AG15" s="220">
        <f t="shared" si="4"/>
        <v>0</v>
      </c>
      <c r="AH15" s="220">
        <f ca="1">IF(HLOOKUP($F15,Jornada!$X$7:$AD$37,VLOOKUP(INDIRECT($C$5),Jornada!$C$8:$W$37,21,0),0)=0,0,VLOOKUP(INDIRECT($C$5),Jornada!$C$8:$H$37,4,0))</f>
        <v>0</v>
      </c>
      <c r="AI15" s="155">
        <f ca="1">IF(AND(I15=0,J15=0,OR(H15&lt;&gt;0,K15&lt;&gt;0),HLOOKUP($F15,Jornada!$X$7:$AD$37,VLOOKUP(INDIRECT($C$5),Jornada!$C$8:$W$37,21,0),0)&gt;$AK$5,M15&gt;$AK$5),VLOOKUP(INDIRECT($C$5),Jornada!$C$8:$H$37,6,0),IF(AG15&gt;VLOOKUP(INDIRECT($C$5),Jornada!$C$8:$H$37,6,0),IF(VLOOKUP(INDIRECT($C$5),Jornada!$C$8:$H$37,6,0)&lt;AG15,0,ABS(VLOOKUP(INDIRECT($C$5),Jornada!$C$8:$H$37,6,0))-AG15),0))</f>
        <v>0</v>
      </c>
      <c r="AJ15" s="155">
        <f t="shared" si="5"/>
        <v>1</v>
      </c>
      <c r="AK15" s="155">
        <f t="shared" si="6"/>
        <v>0</v>
      </c>
      <c r="AL15" s="155">
        <f ca="1">HLOOKUP($F15,Jornada!$I$5:$V$37,VLOOKUP(INDIRECT($C$5),Jornada!$C$8:$W$37,21,0)+2,0)</f>
        <v>0</v>
      </c>
      <c r="AM15" s="155">
        <f ca="1">HLOOKUP($F15,Jornada!$I$4:$V$37,VLOOKUP(INDIRECT($C$5),Jornada!$C$8:$W$37,21,0)+3,0)</f>
        <v>0</v>
      </c>
      <c r="AN15" s="155">
        <f t="shared" ca="1" si="7"/>
        <v>0</v>
      </c>
      <c r="AO15" s="155">
        <f t="shared" si="8"/>
        <v>0</v>
      </c>
      <c r="AP15" s="155">
        <f t="shared" si="9"/>
        <v>0</v>
      </c>
      <c r="BE15" s="14"/>
      <c r="BF15" s="14"/>
      <c r="BG15" s="14"/>
    </row>
    <row r="16" spans="1:59" s="2" customFormat="1" ht="30" customHeight="1" thickTop="1" thickBot="1" x14ac:dyDescent="0.25">
      <c r="A16" s="1"/>
      <c r="B16"/>
      <c r="C16" s="172" t="str">
        <f>IF(Funcionários!C15=0,"",Funcionários!C15)</f>
        <v/>
      </c>
      <c r="D16"/>
      <c r="E16" s="115">
        <f>Lanç!E16</f>
        <v>9</v>
      </c>
      <c r="F16" s="189" t="str">
        <f>Lanç!F16</f>
        <v>Seg</v>
      </c>
      <c r="G16" s="81"/>
      <c r="H16" s="94"/>
      <c r="I16" s="94"/>
      <c r="J16" s="94"/>
      <c r="K16" s="94"/>
      <c r="L16" s="10"/>
      <c r="M16" s="95">
        <f t="shared" si="1"/>
        <v>0</v>
      </c>
      <c r="N16" s="96"/>
      <c r="O16" s="95">
        <f ca="1">IF(OR(G16=0,G16="Férias",G16="Falta Justificada",G16="Feriado",G16="Folga (DSR)"),0,IF(G16="Falta Injustificada",HLOOKUP($F16,Jornada!$X$7:$AD$37,VLOOKUP(INDIRECT($C$5),Jornada!$C$8:$W$37,21,0),0),IF(HLOOKUP($F16,Jornada!$X$7:$AD$37,VLOOKUP(INDIRECT($C$5),Jornada!$C$8:$W$37,21,0),0)-M16&gt;0,HLOOKUP($F16,Jornada!$X$7:$AD$37,VLOOKUP(INDIRECT($C$5),Jornada!$C$8:$W$37,21,0),0)-M16,0)))</f>
        <v>0</v>
      </c>
      <c r="P16" s="190">
        <f ca="1">IF(HLOOKUP($F16,Jornada!$X$7:$AD$37,VLOOKUP(INDIRECT($C$5),Jornada!$C$8:$W$37,21,0),0)-M16&lt;0,ABS(HLOOKUP($F16,Jornada!$X$7:$AD$37,VLOOKUP(INDIRECT($C$5),Jornada!$C$8:$W$37,21,0),0)-M16),0)</f>
        <v>0</v>
      </c>
      <c r="Q16" s="95">
        <f t="shared" si="0"/>
        <v>0</v>
      </c>
      <c r="R16" s="2">
        <f t="shared" si="2"/>
        <v>0</v>
      </c>
      <c r="S16" s="294" t="s">
        <v>67</v>
      </c>
      <c r="T16" s="294"/>
      <c r="U16" s="295">
        <f>SUM(Q8:Q38)</f>
        <v>0</v>
      </c>
      <c r="W16" s="2" t="s">
        <v>99</v>
      </c>
      <c r="X16" s="156">
        <v>10</v>
      </c>
      <c r="AB16" s="177">
        <f t="shared" si="10"/>
        <v>9</v>
      </c>
      <c r="AC16" s="2">
        <f t="shared" si="3"/>
        <v>2</v>
      </c>
      <c r="AG16" s="220">
        <f t="shared" si="4"/>
        <v>0</v>
      </c>
      <c r="AH16" s="220">
        <f ca="1">IF(HLOOKUP($F16,Jornada!$X$7:$AD$37,VLOOKUP(INDIRECT($C$5),Jornada!$C$8:$W$37,21,0),0)=0,0,VLOOKUP(INDIRECT($C$5),Jornada!$C$8:$H$37,4,0))</f>
        <v>0</v>
      </c>
      <c r="AI16" s="155">
        <f ca="1">IF(AND(I16=0,J16=0,OR(H16&lt;&gt;0,K16&lt;&gt;0),HLOOKUP($F16,Jornada!$X$7:$AD$37,VLOOKUP(INDIRECT($C$5),Jornada!$C$8:$W$37,21,0),0)&gt;$AK$5,M16&gt;$AK$5),VLOOKUP(INDIRECT($C$5),Jornada!$C$8:$H$37,6,0),IF(AG16&gt;VLOOKUP(INDIRECT($C$5),Jornada!$C$8:$H$37,6,0),IF(VLOOKUP(INDIRECT($C$5),Jornada!$C$8:$H$37,6,0)&lt;AG16,0,ABS(VLOOKUP(INDIRECT($C$5),Jornada!$C$8:$H$37,6,0))-AG16),0))</f>
        <v>0</v>
      </c>
      <c r="AJ16" s="155">
        <f t="shared" si="5"/>
        <v>1</v>
      </c>
      <c r="AK16" s="155">
        <f t="shared" si="6"/>
        <v>0</v>
      </c>
      <c r="AL16" s="155">
        <f ca="1">HLOOKUP($F16,Jornada!$I$5:$V$37,VLOOKUP(INDIRECT($C$5),Jornada!$C$8:$W$37,21,0)+2,0)</f>
        <v>0</v>
      </c>
      <c r="AM16" s="155">
        <f ca="1">HLOOKUP($F16,Jornada!$I$4:$V$37,VLOOKUP(INDIRECT($C$5),Jornada!$C$8:$W$37,21,0)+3,0)</f>
        <v>0</v>
      </c>
      <c r="AN16" s="155">
        <f t="shared" ca="1" si="7"/>
        <v>0</v>
      </c>
      <c r="AO16" s="155">
        <f t="shared" si="8"/>
        <v>0</v>
      </c>
      <c r="AP16" s="155">
        <f t="shared" si="9"/>
        <v>0</v>
      </c>
      <c r="BE16" s="14"/>
      <c r="BF16" s="14"/>
      <c r="BG16" s="14"/>
    </row>
    <row r="17" spans="1:59" s="2" customFormat="1" ht="30" customHeight="1" thickTop="1" thickBot="1" x14ac:dyDescent="0.25">
      <c r="A17" s="1"/>
      <c r="B17"/>
      <c r="C17" s="172" t="str">
        <f>IF(Funcionários!C16=0,"",Funcionários!C16)</f>
        <v/>
      </c>
      <c r="D17"/>
      <c r="E17" s="115">
        <f>Lanç!E17</f>
        <v>10</v>
      </c>
      <c r="F17" s="189" t="str">
        <f>Lanç!F17</f>
        <v>Ter</v>
      </c>
      <c r="G17" s="81"/>
      <c r="H17" s="94"/>
      <c r="I17" s="94"/>
      <c r="J17" s="94"/>
      <c r="K17" s="94"/>
      <c r="L17" s="10"/>
      <c r="M17" s="95">
        <f t="shared" si="1"/>
        <v>0</v>
      </c>
      <c r="N17" s="96"/>
      <c r="O17" s="95">
        <f ca="1">IF(OR(G17=0,G17="Férias",G17="Falta Justificada",G17="Feriado",G17="Folga (DSR)"),0,IF(G17="Falta Injustificada",HLOOKUP($F17,Jornada!$X$7:$AD$37,VLOOKUP(INDIRECT($C$5),Jornada!$C$8:$W$37,21,0),0),IF(HLOOKUP($F17,Jornada!$X$7:$AD$37,VLOOKUP(INDIRECT($C$5),Jornada!$C$8:$W$37,21,0),0)-M17&gt;0,HLOOKUP($F17,Jornada!$X$7:$AD$37,VLOOKUP(INDIRECT($C$5),Jornada!$C$8:$W$37,21,0),0)-M17,0)))</f>
        <v>0</v>
      </c>
      <c r="P17" s="190">
        <f ca="1">IF(HLOOKUP($F17,Jornada!$X$7:$AD$37,VLOOKUP(INDIRECT($C$5),Jornada!$C$8:$W$37,21,0),0)-M17&lt;0,ABS(HLOOKUP($F17,Jornada!$X$7:$AD$37,VLOOKUP(INDIRECT($C$5),Jornada!$C$8:$W$37,21,0),0)-M17),0)</f>
        <v>0</v>
      </c>
      <c r="Q17" s="95">
        <f t="shared" si="0"/>
        <v>0</v>
      </c>
      <c r="R17" s="2">
        <f t="shared" si="2"/>
        <v>0</v>
      </c>
      <c r="S17" s="294"/>
      <c r="T17" s="294"/>
      <c r="U17" s="295"/>
      <c r="W17" s="2" t="s">
        <v>100</v>
      </c>
      <c r="X17" s="156">
        <v>11</v>
      </c>
      <c r="AB17" s="177">
        <f t="shared" si="10"/>
        <v>10</v>
      </c>
      <c r="AC17" s="2">
        <f t="shared" si="3"/>
        <v>3</v>
      </c>
      <c r="AG17" s="220">
        <f t="shared" si="4"/>
        <v>0</v>
      </c>
      <c r="AH17" s="220">
        <f ca="1">IF(HLOOKUP($F17,Jornada!$X$7:$AD$37,VLOOKUP(INDIRECT($C$5),Jornada!$C$8:$W$37,21,0),0)=0,0,VLOOKUP(INDIRECT($C$5),Jornada!$C$8:$H$37,4,0))</f>
        <v>0</v>
      </c>
      <c r="AI17" s="155">
        <f ca="1">IF(AND(I17=0,J17=0,OR(H17&lt;&gt;0,K17&lt;&gt;0),HLOOKUP($F17,Jornada!$X$7:$AD$37,VLOOKUP(INDIRECT($C$5),Jornada!$C$8:$W$37,21,0),0)&gt;$AK$5,M17&gt;$AK$5),VLOOKUP(INDIRECT($C$5),Jornada!$C$8:$H$37,6,0),IF(AG17&gt;VLOOKUP(INDIRECT($C$5),Jornada!$C$8:$H$37,6,0),IF(VLOOKUP(INDIRECT($C$5),Jornada!$C$8:$H$37,6,0)&lt;AG17,0,ABS(VLOOKUP(INDIRECT($C$5),Jornada!$C$8:$H$37,6,0))-AG17),0))</f>
        <v>0</v>
      </c>
      <c r="AJ17" s="155">
        <f t="shared" si="5"/>
        <v>1</v>
      </c>
      <c r="AK17" s="155">
        <f t="shared" si="6"/>
        <v>0</v>
      </c>
      <c r="AL17" s="155">
        <f ca="1">HLOOKUP($F17,Jornada!$I$5:$V$37,VLOOKUP(INDIRECT($C$5),Jornada!$C$8:$W$37,21,0)+2,0)</f>
        <v>0</v>
      </c>
      <c r="AM17" s="155">
        <f ca="1">HLOOKUP($F17,Jornada!$I$4:$V$37,VLOOKUP(INDIRECT($C$5),Jornada!$C$8:$W$37,21,0)+3,0)</f>
        <v>0</v>
      </c>
      <c r="AN17" s="155">
        <f t="shared" ca="1" si="7"/>
        <v>0</v>
      </c>
      <c r="AO17" s="155">
        <f t="shared" si="8"/>
        <v>0</v>
      </c>
      <c r="AP17" s="155">
        <f t="shared" si="9"/>
        <v>0</v>
      </c>
      <c r="BE17" s="14"/>
      <c r="BF17" s="14"/>
      <c r="BG17" s="14"/>
    </row>
    <row r="18" spans="1:59" s="2" customFormat="1" ht="30" customHeight="1" thickTop="1" thickBot="1" x14ac:dyDescent="0.25">
      <c r="A18" s="1"/>
      <c r="B18"/>
      <c r="C18" s="172" t="str">
        <f>IF(Funcionários!C17=0,"",Funcionários!C17)</f>
        <v/>
      </c>
      <c r="D18"/>
      <c r="E18" s="115">
        <f>Lanç!E18</f>
        <v>11</v>
      </c>
      <c r="F18" s="189" t="str">
        <f>Lanç!F18</f>
        <v>Qua</v>
      </c>
      <c r="G18" s="81"/>
      <c r="H18" s="94"/>
      <c r="I18" s="94"/>
      <c r="J18" s="94"/>
      <c r="K18" s="94"/>
      <c r="L18" s="10"/>
      <c r="M18" s="95">
        <f t="shared" si="1"/>
        <v>0</v>
      </c>
      <c r="N18" s="96"/>
      <c r="O18" s="95">
        <f ca="1">IF(OR(G18=0,G18="Férias",G18="Falta Justificada",G18="Feriado",G18="Folga (DSR)"),0,IF(G18="Falta Injustificada",HLOOKUP($F18,Jornada!$X$7:$AD$37,VLOOKUP(INDIRECT($C$5),Jornada!$C$8:$W$37,21,0),0),IF(HLOOKUP($F18,Jornada!$X$7:$AD$37,VLOOKUP(INDIRECT($C$5),Jornada!$C$8:$W$37,21,0),0)-M18&gt;0,HLOOKUP($F18,Jornada!$X$7:$AD$37,VLOOKUP(INDIRECT($C$5),Jornada!$C$8:$W$37,21,0),0)-M18,0)))</f>
        <v>0</v>
      </c>
      <c r="P18" s="190">
        <f ca="1">IF(HLOOKUP($F18,Jornada!$X$7:$AD$37,VLOOKUP(INDIRECT($C$5),Jornada!$C$8:$W$37,21,0),0)-M18&lt;0,ABS(HLOOKUP($F18,Jornada!$X$7:$AD$37,VLOOKUP(INDIRECT($C$5),Jornada!$C$8:$W$37,21,0),0)-M18),0)</f>
        <v>0</v>
      </c>
      <c r="Q18" s="95">
        <f t="shared" si="0"/>
        <v>0</v>
      </c>
      <c r="R18" s="2">
        <f t="shared" si="2"/>
        <v>0</v>
      </c>
      <c r="S18" s="294" t="s">
        <v>69</v>
      </c>
      <c r="T18" s="294"/>
      <c r="U18" s="299">
        <f ca="1">F54</f>
        <v>0</v>
      </c>
      <c r="W18" s="2" t="s">
        <v>101</v>
      </c>
      <c r="X18" s="156">
        <v>12</v>
      </c>
      <c r="AB18" s="177">
        <f t="shared" si="10"/>
        <v>11</v>
      </c>
      <c r="AC18" s="2">
        <f t="shared" si="3"/>
        <v>4</v>
      </c>
      <c r="AG18" s="220">
        <f t="shared" si="4"/>
        <v>0</v>
      </c>
      <c r="AH18" s="220">
        <f ca="1">IF(HLOOKUP($F18,Jornada!$X$7:$AD$37,VLOOKUP(INDIRECT($C$5),Jornada!$C$8:$W$37,21,0),0)=0,0,VLOOKUP(INDIRECT($C$5),Jornada!$C$8:$H$37,4,0))</f>
        <v>0</v>
      </c>
      <c r="AI18" s="155">
        <f ca="1">IF(AND(I18=0,J18=0,OR(H18&lt;&gt;0,K18&lt;&gt;0),HLOOKUP($F18,Jornada!$X$7:$AD$37,VLOOKUP(INDIRECT($C$5),Jornada!$C$8:$W$37,21,0),0)&gt;$AK$5,M18&gt;$AK$5),VLOOKUP(INDIRECT($C$5),Jornada!$C$8:$H$37,6,0),IF(AG18&gt;VLOOKUP(INDIRECT($C$5),Jornada!$C$8:$H$37,6,0),IF(VLOOKUP(INDIRECT($C$5),Jornada!$C$8:$H$37,6,0)&lt;AG18,0,ABS(VLOOKUP(INDIRECT($C$5),Jornada!$C$8:$H$37,6,0))-AG18),0))</f>
        <v>0</v>
      </c>
      <c r="AJ18" s="155">
        <f t="shared" si="5"/>
        <v>1</v>
      </c>
      <c r="AK18" s="155">
        <f t="shared" si="6"/>
        <v>0</v>
      </c>
      <c r="AL18" s="155">
        <f ca="1">HLOOKUP($F18,Jornada!$I$5:$V$37,VLOOKUP(INDIRECT($C$5),Jornada!$C$8:$W$37,21,0)+2,0)</f>
        <v>0</v>
      </c>
      <c r="AM18" s="155">
        <f ca="1">HLOOKUP($F18,Jornada!$I$4:$V$37,VLOOKUP(INDIRECT($C$5),Jornada!$C$8:$W$37,21,0)+3,0)</f>
        <v>0</v>
      </c>
      <c r="AN18" s="155">
        <f t="shared" ca="1" si="7"/>
        <v>0</v>
      </c>
      <c r="AO18" s="155">
        <f t="shared" si="8"/>
        <v>0</v>
      </c>
      <c r="AP18" s="155">
        <f t="shared" si="9"/>
        <v>0</v>
      </c>
      <c r="BE18" s="14"/>
      <c r="BF18" s="14"/>
      <c r="BG18" s="14"/>
    </row>
    <row r="19" spans="1:59" s="2" customFormat="1" ht="30" customHeight="1" thickTop="1" thickBot="1" x14ac:dyDescent="0.25">
      <c r="A19" s="1"/>
      <c r="B19"/>
      <c r="C19" s="172" t="str">
        <f>IF(Funcionários!C18=0,"",Funcionários!C18)</f>
        <v/>
      </c>
      <c r="D19"/>
      <c r="E19" s="115">
        <f>Lanç!E19</f>
        <v>12</v>
      </c>
      <c r="F19" s="189" t="str">
        <f>Lanç!F19</f>
        <v>Qui</v>
      </c>
      <c r="G19" s="81"/>
      <c r="H19" s="94"/>
      <c r="I19" s="94"/>
      <c r="J19" s="94"/>
      <c r="K19" s="94"/>
      <c r="L19" s="10"/>
      <c r="M19" s="95">
        <f t="shared" si="1"/>
        <v>0</v>
      </c>
      <c r="N19" s="96"/>
      <c r="O19" s="95">
        <f ca="1">IF(OR(G19=0,G19="Férias",G19="Falta Justificada",G19="Feriado",G19="Folga (DSR)"),0,IF(G19="Falta Injustificada",HLOOKUP($F19,Jornada!$X$7:$AD$37,VLOOKUP(INDIRECT($C$5),Jornada!$C$8:$W$37,21,0),0),IF(HLOOKUP($F19,Jornada!$X$7:$AD$37,VLOOKUP(INDIRECT($C$5),Jornada!$C$8:$W$37,21,0),0)-M19&gt;0,HLOOKUP($F19,Jornada!$X$7:$AD$37,VLOOKUP(INDIRECT($C$5),Jornada!$C$8:$W$37,21,0),0)-M19,0)))</f>
        <v>0</v>
      </c>
      <c r="P19" s="190">
        <f ca="1">IF(HLOOKUP($F19,Jornada!$X$7:$AD$37,VLOOKUP(INDIRECT($C$5),Jornada!$C$8:$W$37,21,0),0)-M19&lt;0,ABS(HLOOKUP($F19,Jornada!$X$7:$AD$37,VLOOKUP(INDIRECT($C$5),Jornada!$C$8:$W$37,21,0),0)-M19),0)</f>
        <v>0</v>
      </c>
      <c r="Q19" s="95">
        <f t="shared" si="0"/>
        <v>0</v>
      </c>
      <c r="R19" s="2">
        <f t="shared" si="2"/>
        <v>0</v>
      </c>
      <c r="S19" s="294"/>
      <c r="T19" s="294"/>
      <c r="U19" s="299"/>
      <c r="X19" s="177"/>
      <c r="AB19" s="177">
        <f t="shared" si="10"/>
        <v>12</v>
      </c>
      <c r="AC19" s="2">
        <f t="shared" si="3"/>
        <v>5</v>
      </c>
      <c r="AG19" s="220">
        <f t="shared" si="4"/>
        <v>0</v>
      </c>
      <c r="AH19" s="220">
        <f ca="1">IF(HLOOKUP($F19,Jornada!$X$7:$AD$37,VLOOKUP(INDIRECT($C$5),Jornada!$C$8:$W$37,21,0),0)=0,0,VLOOKUP(INDIRECT($C$5),Jornada!$C$8:$H$37,4,0))</f>
        <v>0</v>
      </c>
      <c r="AI19" s="155">
        <f ca="1">IF(AND(I19=0,J19=0,OR(H19&lt;&gt;0,K19&lt;&gt;0),HLOOKUP($F19,Jornada!$X$7:$AD$37,VLOOKUP(INDIRECT($C$5),Jornada!$C$8:$W$37,21,0),0)&gt;$AK$5,M19&gt;$AK$5),VLOOKUP(INDIRECT($C$5),Jornada!$C$8:$H$37,6,0),IF(AG19&gt;VLOOKUP(INDIRECT($C$5),Jornada!$C$8:$H$37,6,0),IF(VLOOKUP(INDIRECT($C$5),Jornada!$C$8:$H$37,6,0)&lt;AG19,0,ABS(VLOOKUP(INDIRECT($C$5),Jornada!$C$8:$H$37,6,0))-AG19),0))</f>
        <v>0</v>
      </c>
      <c r="AJ19" s="155">
        <f t="shared" si="5"/>
        <v>1</v>
      </c>
      <c r="AK19" s="155">
        <f t="shared" si="6"/>
        <v>0</v>
      </c>
      <c r="AL19" s="155">
        <f ca="1">HLOOKUP($F19,Jornada!$I$5:$V$37,VLOOKUP(INDIRECT($C$5),Jornada!$C$8:$W$37,21,0)+2,0)</f>
        <v>0</v>
      </c>
      <c r="AM19" s="155">
        <f ca="1">HLOOKUP($F19,Jornada!$I$4:$V$37,VLOOKUP(INDIRECT($C$5),Jornada!$C$8:$W$37,21,0)+3,0)</f>
        <v>0</v>
      </c>
      <c r="AN19" s="155">
        <f t="shared" ca="1" si="7"/>
        <v>0</v>
      </c>
      <c r="AO19" s="155">
        <f t="shared" si="8"/>
        <v>0</v>
      </c>
      <c r="AP19" s="155">
        <f t="shared" si="9"/>
        <v>0</v>
      </c>
      <c r="BE19" s="14"/>
      <c r="BF19" s="14"/>
      <c r="BG19" s="14"/>
    </row>
    <row r="20" spans="1:59" s="2" customFormat="1" ht="30" customHeight="1" thickTop="1" thickBot="1" x14ac:dyDescent="0.25">
      <c r="A20" s="1"/>
      <c r="B20"/>
      <c r="C20" s="172" t="str">
        <f>IF(Funcionários!C19=0,"",Funcionários!C19)</f>
        <v/>
      </c>
      <c r="D20"/>
      <c r="E20" s="115">
        <f>Lanç!E20</f>
        <v>13</v>
      </c>
      <c r="F20" s="189" t="str">
        <f>Lanç!F20</f>
        <v>Sex</v>
      </c>
      <c r="G20" s="81"/>
      <c r="H20" s="94"/>
      <c r="I20" s="94"/>
      <c r="J20" s="94"/>
      <c r="K20" s="94"/>
      <c r="L20" s="10"/>
      <c r="M20" s="95">
        <f t="shared" si="1"/>
        <v>0</v>
      </c>
      <c r="N20" s="96"/>
      <c r="O20" s="95">
        <f ca="1">IF(OR(G20=0,G20="Férias",G20="Falta Justificada",G20="Feriado",G20="Folga (DSR)"),0,IF(G20="Falta Injustificada",HLOOKUP($F20,Jornada!$X$7:$AD$37,VLOOKUP(INDIRECT($C$5),Jornada!$C$8:$W$37,21,0),0),IF(HLOOKUP($F20,Jornada!$X$7:$AD$37,VLOOKUP(INDIRECT($C$5),Jornada!$C$8:$W$37,21,0),0)-M20&gt;0,HLOOKUP($F20,Jornada!$X$7:$AD$37,VLOOKUP(INDIRECT($C$5),Jornada!$C$8:$W$37,21,0),0)-M20,0)))</f>
        <v>0</v>
      </c>
      <c r="P20" s="190">
        <f ca="1">IF(HLOOKUP($F20,Jornada!$X$7:$AD$37,VLOOKUP(INDIRECT($C$5),Jornada!$C$8:$W$37,21,0),0)-M20&lt;0,ABS(HLOOKUP($F20,Jornada!$X$7:$AD$37,VLOOKUP(INDIRECT($C$5),Jornada!$C$8:$W$37,21,0),0)-M20),0)</f>
        <v>0</v>
      </c>
      <c r="Q20" s="95">
        <f t="shared" si="0"/>
        <v>0</v>
      </c>
      <c r="R20" s="2">
        <f t="shared" si="2"/>
        <v>0</v>
      </c>
      <c r="S20"/>
      <c r="T20"/>
      <c r="U20"/>
      <c r="X20" s="177"/>
      <c r="AB20" s="177">
        <f t="shared" si="10"/>
        <v>13</v>
      </c>
      <c r="AC20" s="2">
        <f t="shared" si="3"/>
        <v>6</v>
      </c>
      <c r="AG20" s="220">
        <f t="shared" si="4"/>
        <v>0</v>
      </c>
      <c r="AH20" s="220">
        <f ca="1">IF(HLOOKUP($F20,Jornada!$X$7:$AD$37,VLOOKUP(INDIRECT($C$5),Jornada!$C$8:$W$37,21,0),0)=0,0,VLOOKUP(INDIRECT($C$5),Jornada!$C$8:$H$37,4,0))</f>
        <v>0</v>
      </c>
      <c r="AI20" s="155">
        <f ca="1">IF(AND(I20=0,J20=0,OR(H20&lt;&gt;0,K20&lt;&gt;0),HLOOKUP($F20,Jornada!$X$7:$AD$37,VLOOKUP(INDIRECT($C$5),Jornada!$C$8:$W$37,21,0),0)&gt;$AK$5,M20&gt;$AK$5),VLOOKUP(INDIRECT($C$5),Jornada!$C$8:$H$37,6,0),IF(AG20&gt;VLOOKUP(INDIRECT($C$5),Jornada!$C$8:$H$37,6,0),IF(VLOOKUP(INDIRECT($C$5),Jornada!$C$8:$H$37,6,0)&lt;AG20,0,ABS(VLOOKUP(INDIRECT($C$5),Jornada!$C$8:$H$37,6,0))-AG20),0))</f>
        <v>0</v>
      </c>
      <c r="AJ20" s="155">
        <f t="shared" si="5"/>
        <v>1</v>
      </c>
      <c r="AK20" s="155">
        <f t="shared" si="6"/>
        <v>0</v>
      </c>
      <c r="AL20" s="155">
        <f ca="1">HLOOKUP($F20,Jornada!$I$5:$V$37,VLOOKUP(INDIRECT($C$5),Jornada!$C$8:$W$37,21,0)+2,0)</f>
        <v>0</v>
      </c>
      <c r="AM20" s="155">
        <f ca="1">HLOOKUP($F20,Jornada!$I$4:$V$37,VLOOKUP(INDIRECT($C$5),Jornada!$C$8:$W$37,21,0)+3,0)</f>
        <v>0</v>
      </c>
      <c r="AN20" s="155">
        <f t="shared" ca="1" si="7"/>
        <v>0</v>
      </c>
      <c r="AO20" s="155">
        <f t="shared" si="8"/>
        <v>0</v>
      </c>
      <c r="AP20" s="155">
        <f t="shared" si="9"/>
        <v>0</v>
      </c>
      <c r="BE20" s="14"/>
      <c r="BF20" s="14"/>
      <c r="BG20" s="14"/>
    </row>
    <row r="21" spans="1:59" s="2" customFormat="1" ht="30" customHeight="1" thickTop="1" thickBot="1" x14ac:dyDescent="0.25">
      <c r="A21" s="1"/>
      <c r="B21"/>
      <c r="C21" s="172" t="str">
        <f>IF(Funcionários!C20=0,"",Funcionários!C20)</f>
        <v/>
      </c>
      <c r="D21"/>
      <c r="E21" s="115">
        <f>Lanç!E21</f>
        <v>14</v>
      </c>
      <c r="F21" s="189" t="str">
        <f>Lanç!F21</f>
        <v>Sáb</v>
      </c>
      <c r="G21" s="81"/>
      <c r="H21" s="94"/>
      <c r="I21" s="94"/>
      <c r="J21" s="94"/>
      <c r="K21" s="94"/>
      <c r="L21" s="10"/>
      <c r="M21" s="95">
        <f t="shared" si="1"/>
        <v>0</v>
      </c>
      <c r="N21" s="96"/>
      <c r="O21" s="95">
        <f ca="1">IF(OR(G21=0,G21="Férias",G21="Falta Justificada",G21="Feriado",G21="Folga (DSR)"),0,IF(G21="Falta Injustificada",HLOOKUP($F21,Jornada!$X$7:$AD$37,VLOOKUP(INDIRECT($C$5),Jornada!$C$8:$W$37,21,0),0),IF(HLOOKUP($F21,Jornada!$X$7:$AD$37,VLOOKUP(INDIRECT($C$5),Jornada!$C$8:$W$37,21,0),0)-M21&gt;0,HLOOKUP($F21,Jornada!$X$7:$AD$37,VLOOKUP(INDIRECT($C$5),Jornada!$C$8:$W$37,21,0),0)-M21,0)))</f>
        <v>0</v>
      </c>
      <c r="P21" s="190">
        <f ca="1">IF(HLOOKUP($F21,Jornada!$X$7:$AD$37,VLOOKUP(INDIRECT($C$5),Jornada!$C$8:$W$37,21,0),0)-M21&lt;0,ABS(HLOOKUP($F21,Jornada!$X$7:$AD$37,VLOOKUP(INDIRECT($C$5),Jornada!$C$8:$W$37,21,0),0)-M21),0)</f>
        <v>0</v>
      </c>
      <c r="Q21" s="95">
        <f t="shared" si="0"/>
        <v>0</v>
      </c>
      <c r="R21" s="2">
        <f t="shared" si="2"/>
        <v>0</v>
      </c>
      <c r="S21"/>
      <c r="T21"/>
      <c r="U21"/>
      <c r="X21" s="177"/>
      <c r="AB21" s="177">
        <f t="shared" si="10"/>
        <v>14</v>
      </c>
      <c r="AC21" s="2">
        <f t="shared" si="3"/>
        <v>7</v>
      </c>
      <c r="AG21" s="220">
        <f t="shared" si="4"/>
        <v>0</v>
      </c>
      <c r="AH21" s="220">
        <f ca="1">IF(HLOOKUP($F21,Jornada!$X$7:$AD$37,VLOOKUP(INDIRECT($C$5),Jornada!$C$8:$W$37,21,0),0)=0,0,VLOOKUP(INDIRECT($C$5),Jornada!$C$8:$H$37,4,0))</f>
        <v>0</v>
      </c>
      <c r="AI21" s="155">
        <f ca="1">IF(AND(I21=0,J21=0,OR(H21&lt;&gt;0,K21&lt;&gt;0),HLOOKUP($F21,Jornada!$X$7:$AD$37,VLOOKUP(INDIRECT($C$5),Jornada!$C$8:$W$37,21,0),0)&gt;$AK$5,M21&gt;$AK$5),VLOOKUP(INDIRECT($C$5),Jornada!$C$8:$H$37,6,0),IF(AG21&gt;VLOOKUP(INDIRECT($C$5),Jornada!$C$8:$H$37,6,0),IF(VLOOKUP(INDIRECT($C$5),Jornada!$C$8:$H$37,6,0)&lt;AG21,0,ABS(VLOOKUP(INDIRECT($C$5),Jornada!$C$8:$H$37,6,0))-AG21),0))</f>
        <v>0</v>
      </c>
      <c r="AJ21" s="155">
        <f t="shared" si="5"/>
        <v>1</v>
      </c>
      <c r="AK21" s="155">
        <f t="shared" si="6"/>
        <v>0</v>
      </c>
      <c r="AL21" s="155">
        <f ca="1">HLOOKUP($F21,Jornada!$I$5:$V$37,VLOOKUP(INDIRECT($C$5),Jornada!$C$8:$W$37,21,0)+2,0)</f>
        <v>0</v>
      </c>
      <c r="AM21" s="155">
        <f ca="1">HLOOKUP($F21,Jornada!$I$4:$V$37,VLOOKUP(INDIRECT($C$5),Jornada!$C$8:$W$37,21,0)+3,0)</f>
        <v>0</v>
      </c>
      <c r="AN21" s="155">
        <f t="shared" ca="1" si="7"/>
        <v>0</v>
      </c>
      <c r="AO21" s="155">
        <f t="shared" si="8"/>
        <v>0</v>
      </c>
      <c r="AP21" s="155">
        <f t="shared" si="9"/>
        <v>0</v>
      </c>
      <c r="BE21" s="14"/>
      <c r="BF21" s="14"/>
      <c r="BG21" s="14"/>
    </row>
    <row r="22" spans="1:59" s="2" customFormat="1" ht="30" customHeight="1" thickTop="1" thickBot="1" x14ac:dyDescent="0.25">
      <c r="A22" s="1"/>
      <c r="B22"/>
      <c r="C22" s="172" t="str">
        <f>IF(Funcionários!C21=0,"",Funcionários!C21)</f>
        <v/>
      </c>
      <c r="D22"/>
      <c r="E22" s="115">
        <f>Lanç!E22</f>
        <v>15</v>
      </c>
      <c r="F22" s="189" t="str">
        <f>Lanç!F22</f>
        <v>Dom</v>
      </c>
      <c r="G22" s="81"/>
      <c r="H22" s="94"/>
      <c r="I22" s="94"/>
      <c r="J22" s="94"/>
      <c r="K22" s="94"/>
      <c r="L22" s="10"/>
      <c r="M22" s="95">
        <f t="shared" si="1"/>
        <v>0</v>
      </c>
      <c r="N22" s="96"/>
      <c r="O22" s="95">
        <f ca="1">IF(OR(G22=0,G22="Férias",G22="Falta Justificada",G22="Feriado",G22="Folga (DSR)"),0,IF(G22="Falta Injustificada",HLOOKUP($F22,Jornada!$X$7:$AD$37,VLOOKUP(INDIRECT($C$5),Jornada!$C$8:$W$37,21,0),0),IF(HLOOKUP($F22,Jornada!$X$7:$AD$37,VLOOKUP(INDIRECT($C$5),Jornada!$C$8:$W$37,21,0),0)-M22&gt;0,HLOOKUP($F22,Jornada!$X$7:$AD$37,VLOOKUP(INDIRECT($C$5),Jornada!$C$8:$W$37,21,0),0)-M22,0)))</f>
        <v>0</v>
      </c>
      <c r="P22" s="190">
        <f ca="1">IF(HLOOKUP($F22,Jornada!$X$7:$AD$37,VLOOKUP(INDIRECT($C$5),Jornada!$C$8:$W$37,21,0),0)-M22&lt;0,ABS(HLOOKUP($F22,Jornada!$X$7:$AD$37,VLOOKUP(INDIRECT($C$5),Jornada!$C$8:$W$37,21,0),0)-M22),0)</f>
        <v>0</v>
      </c>
      <c r="Q22" s="95">
        <f t="shared" si="0"/>
        <v>0</v>
      </c>
      <c r="R22" s="2">
        <f t="shared" si="2"/>
        <v>0</v>
      </c>
      <c r="S22" s="300" t="s">
        <v>63</v>
      </c>
      <c r="T22" s="301"/>
      <c r="U22" s="302"/>
      <c r="X22" s="177"/>
      <c r="AB22" s="177">
        <f t="shared" si="10"/>
        <v>15</v>
      </c>
      <c r="AC22" s="2">
        <f t="shared" si="3"/>
        <v>1</v>
      </c>
      <c r="AG22" s="220">
        <f t="shared" si="4"/>
        <v>0</v>
      </c>
      <c r="AH22" s="220">
        <f ca="1">IF(HLOOKUP($F22,Jornada!$X$7:$AD$37,VLOOKUP(INDIRECT($C$5),Jornada!$C$8:$W$37,21,0),0)=0,0,VLOOKUP(INDIRECT($C$5),Jornada!$C$8:$H$37,4,0))</f>
        <v>0</v>
      </c>
      <c r="AI22" s="155">
        <f ca="1">IF(AND(I22=0,J22=0,OR(H22&lt;&gt;0,K22&lt;&gt;0),HLOOKUP($F22,Jornada!$X$7:$AD$37,VLOOKUP(INDIRECT($C$5),Jornada!$C$8:$W$37,21,0),0)&gt;$AK$5,M22&gt;$AK$5),VLOOKUP(INDIRECT($C$5),Jornada!$C$8:$H$37,6,0),IF(AG22&gt;VLOOKUP(INDIRECT($C$5),Jornada!$C$8:$H$37,6,0),IF(VLOOKUP(INDIRECT($C$5),Jornada!$C$8:$H$37,6,0)&lt;AG22,0,ABS(VLOOKUP(INDIRECT($C$5),Jornada!$C$8:$H$37,6,0))-AG22),0))</f>
        <v>0</v>
      </c>
      <c r="AJ22" s="155">
        <f t="shared" si="5"/>
        <v>1</v>
      </c>
      <c r="AK22" s="155">
        <f t="shared" si="6"/>
        <v>0</v>
      </c>
      <c r="AL22" s="155">
        <f ca="1">HLOOKUP($F22,Jornada!$I$5:$V$37,VLOOKUP(INDIRECT($C$5),Jornada!$C$8:$W$37,21,0)+2,0)</f>
        <v>0</v>
      </c>
      <c r="AM22" s="155">
        <f ca="1">HLOOKUP($F22,Jornada!$I$4:$V$37,VLOOKUP(INDIRECT($C$5),Jornada!$C$8:$W$37,21,0)+3,0)</f>
        <v>0</v>
      </c>
      <c r="AN22" s="155">
        <f t="shared" ca="1" si="7"/>
        <v>0</v>
      </c>
      <c r="AO22" s="155">
        <f t="shared" si="8"/>
        <v>0</v>
      </c>
      <c r="AP22" s="155">
        <f t="shared" si="9"/>
        <v>0</v>
      </c>
      <c r="BE22" s="14"/>
      <c r="BF22" s="14"/>
      <c r="BG22" s="14"/>
    </row>
    <row r="23" spans="1:59" s="2" customFormat="1" ht="30" customHeight="1" thickTop="1" thickBot="1" x14ac:dyDescent="0.25">
      <c r="A23" s="1"/>
      <c r="B23"/>
      <c r="C23" s="172" t="str">
        <f>IF(Funcionários!C22=0,"",Funcionários!C22)</f>
        <v/>
      </c>
      <c r="D23"/>
      <c r="E23" s="115">
        <f>Lanç!E23</f>
        <v>16</v>
      </c>
      <c r="F23" s="189" t="str">
        <f>Lanç!F23</f>
        <v>Seg</v>
      </c>
      <c r="G23" s="81"/>
      <c r="H23" s="94"/>
      <c r="I23" s="94"/>
      <c r="J23" s="94"/>
      <c r="K23" s="94"/>
      <c r="L23" s="10"/>
      <c r="M23" s="95">
        <f t="shared" si="1"/>
        <v>0</v>
      </c>
      <c r="N23" s="96"/>
      <c r="O23" s="95">
        <f ca="1">IF(OR(G23=0,G23="Férias",G23="Falta Justificada",G23="Feriado",G23="Folga (DSR)"),0,IF(G23="Falta Injustificada",HLOOKUP($F23,Jornada!$X$7:$AD$37,VLOOKUP(INDIRECT($C$5),Jornada!$C$8:$W$37,21,0),0),IF(HLOOKUP($F23,Jornada!$X$7:$AD$37,VLOOKUP(INDIRECT($C$5),Jornada!$C$8:$W$37,21,0),0)-M23&gt;0,HLOOKUP($F23,Jornada!$X$7:$AD$37,VLOOKUP(INDIRECT($C$5),Jornada!$C$8:$W$37,21,0),0)-M23,0)))</f>
        <v>0</v>
      </c>
      <c r="P23" s="190">
        <f ca="1">IF(HLOOKUP($F23,Jornada!$X$7:$AD$37,VLOOKUP(INDIRECT($C$5),Jornada!$C$8:$W$37,21,0),0)-M23&lt;0,ABS(HLOOKUP($F23,Jornada!$X$7:$AD$37,VLOOKUP(INDIRECT($C$5),Jornada!$C$8:$W$37,21,0),0)-M23),0)</f>
        <v>0</v>
      </c>
      <c r="Q23" s="95">
        <f t="shared" si="0"/>
        <v>0</v>
      </c>
      <c r="R23" s="2">
        <f t="shared" si="2"/>
        <v>0</v>
      </c>
      <c r="S23" s="296" t="str">
        <f>IF(SUM(R8:R38)&gt;0,"Segundo o art 59 da CLT, o máximo de horas extras permitidas por dia são 2 horas.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T23" s="297"/>
      <c r="U23" s="298"/>
      <c r="X23" s="177"/>
      <c r="AB23" s="177">
        <f t="shared" si="10"/>
        <v>16</v>
      </c>
      <c r="AC23" s="2">
        <f t="shared" si="3"/>
        <v>2</v>
      </c>
      <c r="AG23" s="220">
        <f t="shared" si="4"/>
        <v>0</v>
      </c>
      <c r="AH23" s="220">
        <f ca="1">IF(HLOOKUP($F23,Jornada!$X$7:$AD$37,VLOOKUP(INDIRECT($C$5),Jornada!$C$8:$W$37,21,0),0)=0,0,VLOOKUP(INDIRECT($C$5),Jornada!$C$8:$H$37,4,0))</f>
        <v>0</v>
      </c>
      <c r="AI23" s="155">
        <f ca="1">IF(AND(I23=0,J23=0,OR(H23&lt;&gt;0,K23&lt;&gt;0),HLOOKUP($F23,Jornada!$X$7:$AD$37,VLOOKUP(INDIRECT($C$5),Jornada!$C$8:$W$37,21,0),0)&gt;$AK$5,M23&gt;$AK$5),VLOOKUP(INDIRECT($C$5),Jornada!$C$8:$H$37,6,0),IF(AG23&gt;VLOOKUP(INDIRECT($C$5),Jornada!$C$8:$H$37,6,0),IF(VLOOKUP(INDIRECT($C$5),Jornada!$C$8:$H$37,6,0)&lt;AG23,0,ABS(VLOOKUP(INDIRECT($C$5),Jornada!$C$8:$H$37,6,0))-AG23),0))</f>
        <v>0</v>
      </c>
      <c r="AJ23" s="155">
        <f t="shared" si="5"/>
        <v>1</v>
      </c>
      <c r="AK23" s="155">
        <f t="shared" si="6"/>
        <v>0</v>
      </c>
      <c r="AL23" s="155">
        <f ca="1">HLOOKUP($F23,Jornada!$I$5:$V$37,VLOOKUP(INDIRECT($C$5),Jornada!$C$8:$W$37,21,0)+2,0)</f>
        <v>0</v>
      </c>
      <c r="AM23" s="155">
        <f ca="1">HLOOKUP($F23,Jornada!$I$4:$V$37,VLOOKUP(INDIRECT($C$5),Jornada!$C$8:$W$37,21,0)+3,0)</f>
        <v>0</v>
      </c>
      <c r="AN23" s="155">
        <f t="shared" ca="1" si="7"/>
        <v>0</v>
      </c>
      <c r="AO23" s="155">
        <f t="shared" si="8"/>
        <v>0</v>
      </c>
      <c r="AP23" s="155">
        <f t="shared" si="9"/>
        <v>0</v>
      </c>
      <c r="BE23" s="14"/>
      <c r="BF23" s="14"/>
      <c r="BG23" s="14"/>
    </row>
    <row r="24" spans="1:59" s="2" customFormat="1" ht="30" customHeight="1" thickTop="1" thickBot="1" x14ac:dyDescent="0.25">
      <c r="A24" s="1"/>
      <c r="B24"/>
      <c r="C24" s="172" t="str">
        <f>IF(Funcionários!C23=0,"",Funcionários!C23)</f>
        <v/>
      </c>
      <c r="D24"/>
      <c r="E24" s="115">
        <f>Lanç!E24</f>
        <v>17</v>
      </c>
      <c r="F24" s="189" t="str">
        <f>Lanç!F24</f>
        <v>Ter</v>
      </c>
      <c r="G24" s="81"/>
      <c r="H24" s="94"/>
      <c r="I24" s="94"/>
      <c r="J24" s="94"/>
      <c r="K24" s="94"/>
      <c r="L24" s="10"/>
      <c r="M24" s="95">
        <f t="shared" si="1"/>
        <v>0</v>
      </c>
      <c r="N24" s="96"/>
      <c r="O24" s="95">
        <f ca="1">IF(OR(G24=0,G24="Férias",G24="Falta Justificada",G24="Feriado",G24="Folga (DSR)"),0,IF(G24="Falta Injustificada",HLOOKUP($F24,Jornada!$X$7:$AD$37,VLOOKUP(INDIRECT($C$5),Jornada!$C$8:$W$37,21,0),0),IF(HLOOKUP($F24,Jornada!$X$7:$AD$37,VLOOKUP(INDIRECT($C$5),Jornada!$C$8:$W$37,21,0),0)-M24&gt;0,HLOOKUP($F24,Jornada!$X$7:$AD$37,VLOOKUP(INDIRECT($C$5),Jornada!$C$8:$W$37,21,0),0)-M24,0)))</f>
        <v>0</v>
      </c>
      <c r="P24" s="190">
        <f ca="1">IF(HLOOKUP($F24,Jornada!$X$7:$AD$37,VLOOKUP(INDIRECT($C$5),Jornada!$C$8:$W$37,21,0),0)-M24&lt;0,ABS(HLOOKUP($F24,Jornada!$X$7:$AD$37,VLOOKUP(INDIRECT($C$5),Jornada!$C$8:$W$37,21,0),0)-M24),0)</f>
        <v>0</v>
      </c>
      <c r="Q24" s="95">
        <f t="shared" si="0"/>
        <v>0</v>
      </c>
      <c r="R24" s="2">
        <f t="shared" si="2"/>
        <v>0</v>
      </c>
      <c r="S24" s="296"/>
      <c r="T24" s="297"/>
      <c r="U24" s="298"/>
      <c r="X24" s="177"/>
      <c r="AB24" s="177">
        <f t="shared" si="10"/>
        <v>17</v>
      </c>
      <c r="AC24" s="2">
        <f t="shared" si="3"/>
        <v>3</v>
      </c>
      <c r="AG24" s="220">
        <f t="shared" si="4"/>
        <v>0</v>
      </c>
      <c r="AH24" s="220">
        <f ca="1">IF(HLOOKUP($F24,Jornada!$X$7:$AD$37,VLOOKUP(INDIRECT($C$5),Jornada!$C$8:$W$37,21,0),0)=0,0,VLOOKUP(INDIRECT($C$5),Jornada!$C$8:$H$37,4,0))</f>
        <v>0</v>
      </c>
      <c r="AI24" s="155">
        <f ca="1">IF(AND(I24=0,J24=0,OR(H24&lt;&gt;0,K24&lt;&gt;0),HLOOKUP($F24,Jornada!$X$7:$AD$37,VLOOKUP(INDIRECT($C$5),Jornada!$C$8:$W$37,21,0),0)&gt;$AK$5,M24&gt;$AK$5),VLOOKUP(INDIRECT($C$5),Jornada!$C$8:$H$37,6,0),IF(AG24&gt;VLOOKUP(INDIRECT($C$5),Jornada!$C$8:$H$37,6,0),IF(VLOOKUP(INDIRECT($C$5),Jornada!$C$8:$H$37,6,0)&lt;AG24,0,ABS(VLOOKUP(INDIRECT($C$5),Jornada!$C$8:$H$37,6,0))-AG24),0))</f>
        <v>0</v>
      </c>
      <c r="AJ24" s="155">
        <f t="shared" si="5"/>
        <v>1</v>
      </c>
      <c r="AK24" s="155">
        <f t="shared" si="6"/>
        <v>0</v>
      </c>
      <c r="AL24" s="155">
        <f ca="1">HLOOKUP($F24,Jornada!$I$5:$V$37,VLOOKUP(INDIRECT($C$5),Jornada!$C$8:$W$37,21,0)+2,0)</f>
        <v>0</v>
      </c>
      <c r="AM24" s="155">
        <f ca="1">HLOOKUP($F24,Jornada!$I$4:$V$37,VLOOKUP(INDIRECT($C$5),Jornada!$C$8:$W$37,21,0)+3,0)</f>
        <v>0</v>
      </c>
      <c r="AN24" s="155">
        <f t="shared" ca="1" si="7"/>
        <v>0</v>
      </c>
      <c r="AO24" s="155">
        <f t="shared" si="8"/>
        <v>0</v>
      </c>
      <c r="AP24" s="155">
        <f t="shared" si="9"/>
        <v>0</v>
      </c>
      <c r="BE24" s="14"/>
      <c r="BF24" s="14"/>
      <c r="BG24" s="14"/>
    </row>
    <row r="25" spans="1:59" s="2" customFormat="1" ht="30" customHeight="1" thickTop="1" thickBot="1" x14ac:dyDescent="0.25">
      <c r="A25" s="1"/>
      <c r="B25"/>
      <c r="C25" s="172" t="str">
        <f>IF(Funcionários!C24=0,"",Funcionários!C24)</f>
        <v/>
      </c>
      <c r="D25"/>
      <c r="E25" s="115">
        <f>Lanç!E25</f>
        <v>18</v>
      </c>
      <c r="F25" s="189" t="str">
        <f>Lanç!F25</f>
        <v>Qua</v>
      </c>
      <c r="G25" s="81"/>
      <c r="H25" s="94"/>
      <c r="I25" s="94"/>
      <c r="J25" s="94"/>
      <c r="K25" s="94"/>
      <c r="L25" s="10"/>
      <c r="M25" s="95">
        <f t="shared" si="1"/>
        <v>0</v>
      </c>
      <c r="N25" s="96"/>
      <c r="O25" s="95">
        <f ca="1">IF(OR(G25=0,G25="Férias",G25="Falta Justificada",G25="Feriado",G25="Folga (DSR)"),0,IF(G25="Falta Injustificada",HLOOKUP($F25,Jornada!$X$7:$AD$37,VLOOKUP(INDIRECT($C$5),Jornada!$C$8:$W$37,21,0),0),IF(HLOOKUP($F25,Jornada!$X$7:$AD$37,VLOOKUP(INDIRECT($C$5),Jornada!$C$8:$W$37,21,0),0)-M25&gt;0,HLOOKUP($F25,Jornada!$X$7:$AD$37,VLOOKUP(INDIRECT($C$5),Jornada!$C$8:$W$37,21,0),0)-M25,0)))</f>
        <v>0</v>
      </c>
      <c r="P25" s="190">
        <f ca="1">IF(HLOOKUP($F25,Jornada!$X$7:$AD$37,VLOOKUP(INDIRECT($C$5),Jornada!$C$8:$W$37,21,0),0)-M25&lt;0,ABS(HLOOKUP($F25,Jornada!$X$7:$AD$37,VLOOKUP(INDIRECT($C$5),Jornada!$C$8:$W$37,21,0),0)-M25),0)</f>
        <v>0</v>
      </c>
      <c r="Q25" s="95">
        <f t="shared" si="0"/>
        <v>0</v>
      </c>
      <c r="R25" s="2">
        <f t="shared" si="2"/>
        <v>0</v>
      </c>
      <c r="S25" s="296"/>
      <c r="T25" s="297"/>
      <c r="U25" s="298"/>
      <c r="X25" s="177"/>
      <c r="Z25" s="2">
        <f>IF(SUM(R8:R38)&gt;0,1,0)</f>
        <v>0</v>
      </c>
      <c r="AB25" s="177">
        <f t="shared" si="10"/>
        <v>18</v>
      </c>
      <c r="AC25" s="2">
        <f t="shared" si="3"/>
        <v>4</v>
      </c>
      <c r="AG25" s="220">
        <f t="shared" si="4"/>
        <v>0</v>
      </c>
      <c r="AH25" s="220">
        <f ca="1">IF(HLOOKUP($F25,Jornada!$X$7:$AD$37,VLOOKUP(INDIRECT($C$5),Jornada!$C$8:$W$37,21,0),0)=0,0,VLOOKUP(INDIRECT($C$5),Jornada!$C$8:$H$37,4,0))</f>
        <v>0</v>
      </c>
      <c r="AI25" s="155">
        <f ca="1">IF(AND(I25=0,J25=0,OR(H25&lt;&gt;0,K25&lt;&gt;0),HLOOKUP($F25,Jornada!$X$7:$AD$37,VLOOKUP(INDIRECT($C$5),Jornada!$C$8:$W$37,21,0),0)&gt;$AK$5,M25&gt;$AK$5),VLOOKUP(INDIRECT($C$5),Jornada!$C$8:$H$37,6,0),IF(AG25&gt;VLOOKUP(INDIRECT($C$5),Jornada!$C$8:$H$37,6,0),IF(VLOOKUP(INDIRECT($C$5),Jornada!$C$8:$H$37,6,0)&lt;AG25,0,ABS(VLOOKUP(INDIRECT($C$5),Jornada!$C$8:$H$37,6,0))-AG25),0))</f>
        <v>0</v>
      </c>
      <c r="AJ25" s="155">
        <f t="shared" si="5"/>
        <v>1</v>
      </c>
      <c r="AK25" s="155">
        <f t="shared" si="6"/>
        <v>0</v>
      </c>
      <c r="AL25" s="155">
        <f ca="1">HLOOKUP($F25,Jornada!$I$5:$V$37,VLOOKUP(INDIRECT($C$5),Jornada!$C$8:$W$37,21,0)+2,0)</f>
        <v>0</v>
      </c>
      <c r="AM25" s="155">
        <f ca="1">HLOOKUP($F25,Jornada!$I$4:$V$37,VLOOKUP(INDIRECT($C$5),Jornada!$C$8:$W$37,21,0)+3,0)</f>
        <v>0</v>
      </c>
      <c r="AN25" s="155">
        <f t="shared" ca="1" si="7"/>
        <v>0</v>
      </c>
      <c r="AO25" s="155">
        <f t="shared" si="8"/>
        <v>0</v>
      </c>
      <c r="AP25" s="155">
        <f t="shared" si="9"/>
        <v>0</v>
      </c>
      <c r="BE25" s="14"/>
      <c r="BF25" s="14"/>
      <c r="BG25" s="14"/>
    </row>
    <row r="26" spans="1:59" s="2" customFormat="1" ht="30" customHeight="1" thickTop="1" thickBot="1" x14ac:dyDescent="0.25">
      <c r="A26" s="1"/>
      <c r="B26"/>
      <c r="C26" s="171" t="str">
        <f>IF(Funcionários!C25=0,"",Funcionários!C25)</f>
        <v/>
      </c>
      <c r="D26"/>
      <c r="E26" s="115">
        <f>Lanç!E26</f>
        <v>19</v>
      </c>
      <c r="F26" s="189" t="str">
        <f>Lanç!F26</f>
        <v>Qui</v>
      </c>
      <c r="G26" s="81"/>
      <c r="H26" s="94"/>
      <c r="I26" s="94"/>
      <c r="J26" s="94"/>
      <c r="K26" s="94"/>
      <c r="L26" s="10"/>
      <c r="M26" s="95">
        <f t="shared" si="1"/>
        <v>0</v>
      </c>
      <c r="N26" s="96"/>
      <c r="O26" s="95">
        <f ca="1">IF(OR(G26=0,G26="Férias",G26="Falta Justificada",G26="Feriado",G26="Folga (DSR)"),0,IF(G26="Falta Injustificada",HLOOKUP($F26,Jornada!$X$7:$AD$37,VLOOKUP(INDIRECT($C$5),Jornada!$C$8:$W$37,21,0),0),IF(HLOOKUP($F26,Jornada!$X$7:$AD$37,VLOOKUP(INDIRECT($C$5),Jornada!$C$8:$W$37,21,0),0)-M26&gt;0,HLOOKUP($F26,Jornada!$X$7:$AD$37,VLOOKUP(INDIRECT($C$5),Jornada!$C$8:$W$37,21,0),0)-M26,0)))</f>
        <v>0</v>
      </c>
      <c r="P26" s="190">
        <f ca="1">IF(HLOOKUP($F26,Jornada!$X$7:$AD$37,VLOOKUP(INDIRECT($C$5),Jornada!$C$8:$W$37,21,0),0)-M26&lt;0,ABS(HLOOKUP($F26,Jornada!$X$7:$AD$37,VLOOKUP(INDIRECT($C$5),Jornada!$C$8:$W$37,21,0),0)-M26),0)</f>
        <v>0</v>
      </c>
      <c r="Q26" s="95">
        <f t="shared" si="0"/>
        <v>0</v>
      </c>
      <c r="R26" s="2">
        <f t="shared" si="2"/>
        <v>0</v>
      </c>
      <c r="S26" s="296" t="str">
        <f>IF(COUNTIF(G8:G38,"Folga (DSR)")&lt;DAY(E39)/8,"O mês não está contemplando um DSR (Descanso Semanal Remunerado) por semana. Isso pode configurar uma irregularidade segundo as leis trabalhistas.","Parabéns!! Sua folha de pagamento contempla uma DSR por semana conforme a lei trabalhista.")</f>
        <v>O mês não está contemplando um DSR (Descanso Semanal Remunerado) por semana. Isso pode configurar uma irregularidade segundo as leis trabalhistas.</v>
      </c>
      <c r="T26" s="297"/>
      <c r="U26" s="298"/>
      <c r="X26" s="177"/>
      <c r="AB26" s="177">
        <f t="shared" si="10"/>
        <v>19</v>
      </c>
      <c r="AC26" s="2">
        <f t="shared" si="3"/>
        <v>5</v>
      </c>
      <c r="AG26" s="220">
        <f t="shared" si="4"/>
        <v>0</v>
      </c>
      <c r="AH26" s="220">
        <f ca="1">IF(HLOOKUP($F26,Jornada!$X$7:$AD$37,VLOOKUP(INDIRECT($C$5),Jornada!$C$8:$W$37,21,0),0)=0,0,VLOOKUP(INDIRECT($C$5),Jornada!$C$8:$H$37,4,0))</f>
        <v>0</v>
      </c>
      <c r="AI26" s="155">
        <f ca="1">IF(AND(I26=0,J26=0,OR(H26&lt;&gt;0,K26&lt;&gt;0),HLOOKUP($F26,Jornada!$X$7:$AD$37,VLOOKUP(INDIRECT($C$5),Jornada!$C$8:$W$37,21,0),0)&gt;$AK$5,M26&gt;$AK$5),VLOOKUP(INDIRECT($C$5),Jornada!$C$8:$H$37,6,0),IF(AG26&gt;VLOOKUP(INDIRECT($C$5),Jornada!$C$8:$H$37,6,0),IF(VLOOKUP(INDIRECT($C$5),Jornada!$C$8:$H$37,6,0)&lt;AG26,0,ABS(VLOOKUP(INDIRECT($C$5),Jornada!$C$8:$H$37,6,0))-AG26),0))</f>
        <v>0</v>
      </c>
      <c r="AJ26" s="155">
        <f t="shared" si="5"/>
        <v>1</v>
      </c>
      <c r="AK26" s="155">
        <f t="shared" si="6"/>
        <v>0</v>
      </c>
      <c r="AL26" s="155">
        <f ca="1">HLOOKUP($F26,Jornada!$I$5:$V$37,VLOOKUP(INDIRECT($C$5),Jornada!$C$8:$W$37,21,0)+2,0)</f>
        <v>0</v>
      </c>
      <c r="AM26" s="155">
        <f ca="1">HLOOKUP($F26,Jornada!$I$4:$V$37,VLOOKUP(INDIRECT($C$5),Jornada!$C$8:$W$37,21,0)+3,0)</f>
        <v>0</v>
      </c>
      <c r="AN26" s="155">
        <f t="shared" ca="1" si="7"/>
        <v>0</v>
      </c>
      <c r="AO26" s="155">
        <f t="shared" si="8"/>
        <v>0</v>
      </c>
      <c r="AP26" s="155">
        <f t="shared" si="9"/>
        <v>0</v>
      </c>
      <c r="BE26" s="14"/>
      <c r="BF26" s="14"/>
      <c r="BG26" s="14"/>
    </row>
    <row r="27" spans="1:59" s="2" customFormat="1" ht="30" customHeight="1" thickTop="1" thickBot="1" x14ac:dyDescent="0.25">
      <c r="A27" s="1"/>
      <c r="B27"/>
      <c r="C27" s="172" t="str">
        <f>IF(Funcionários!C26=0,"",Funcionários!C26)</f>
        <v/>
      </c>
      <c r="D27"/>
      <c r="E27" s="115">
        <f>Lanç!E27</f>
        <v>20</v>
      </c>
      <c r="F27" s="189" t="str">
        <f>Lanç!F27</f>
        <v>Sex</v>
      </c>
      <c r="G27" s="81"/>
      <c r="H27" s="94"/>
      <c r="I27" s="94"/>
      <c r="J27" s="94"/>
      <c r="K27" s="94"/>
      <c r="L27" s="10"/>
      <c r="M27" s="95">
        <f t="shared" si="1"/>
        <v>0</v>
      </c>
      <c r="N27" s="96"/>
      <c r="O27" s="95">
        <f ca="1">IF(OR(G27=0,G27="Férias",G27="Falta Justificada",G27="Feriado",G27="Folga (DSR)"),0,IF(G27="Falta Injustificada",HLOOKUP($F27,Jornada!$X$7:$AD$37,VLOOKUP(INDIRECT($C$5),Jornada!$C$8:$W$37,21,0),0),IF(HLOOKUP($F27,Jornada!$X$7:$AD$37,VLOOKUP(INDIRECT($C$5),Jornada!$C$8:$W$37,21,0),0)-M27&gt;0,HLOOKUP($F27,Jornada!$X$7:$AD$37,VLOOKUP(INDIRECT($C$5),Jornada!$C$8:$W$37,21,0),0)-M27,0)))</f>
        <v>0</v>
      </c>
      <c r="P27" s="190">
        <f ca="1">IF(HLOOKUP($F27,Jornada!$X$7:$AD$37,VLOOKUP(INDIRECT($C$5),Jornada!$C$8:$W$37,21,0),0)-M27&lt;0,ABS(HLOOKUP($F27,Jornada!$X$7:$AD$37,VLOOKUP(INDIRECT($C$5),Jornada!$C$8:$W$37,21,0),0)-M27),0)</f>
        <v>0</v>
      </c>
      <c r="Q27" s="95">
        <f t="shared" si="0"/>
        <v>0</v>
      </c>
      <c r="R27" s="2">
        <f t="shared" si="2"/>
        <v>0</v>
      </c>
      <c r="S27" s="296"/>
      <c r="T27" s="297"/>
      <c r="U27" s="298"/>
      <c r="X27" s="177"/>
      <c r="AB27" s="177">
        <f t="shared" si="10"/>
        <v>20</v>
      </c>
      <c r="AC27" s="2">
        <f t="shared" si="3"/>
        <v>6</v>
      </c>
      <c r="AG27" s="220">
        <f t="shared" si="4"/>
        <v>0</v>
      </c>
      <c r="AH27" s="220">
        <f ca="1">IF(HLOOKUP($F27,Jornada!$X$7:$AD$37,VLOOKUP(INDIRECT($C$5),Jornada!$C$8:$W$37,21,0),0)=0,0,VLOOKUP(INDIRECT($C$5),Jornada!$C$8:$H$37,4,0))</f>
        <v>0</v>
      </c>
      <c r="AI27" s="155">
        <f ca="1">IF(AND(I27=0,J27=0,OR(H27&lt;&gt;0,K27&lt;&gt;0),HLOOKUP($F27,Jornada!$X$7:$AD$37,VLOOKUP(INDIRECT($C$5),Jornada!$C$8:$W$37,21,0),0)&gt;$AK$5,M27&gt;$AK$5),VLOOKUP(INDIRECT($C$5),Jornada!$C$8:$H$37,6,0),IF(AG27&gt;VLOOKUP(INDIRECT($C$5),Jornada!$C$8:$H$37,6,0),IF(VLOOKUP(INDIRECT($C$5),Jornada!$C$8:$H$37,6,0)&lt;AG27,0,ABS(VLOOKUP(INDIRECT($C$5),Jornada!$C$8:$H$37,6,0))-AG27),0))</f>
        <v>0</v>
      </c>
      <c r="AJ27" s="155">
        <f t="shared" si="5"/>
        <v>1</v>
      </c>
      <c r="AK27" s="155">
        <f t="shared" si="6"/>
        <v>0</v>
      </c>
      <c r="AL27" s="155">
        <f ca="1">HLOOKUP($F27,Jornada!$I$5:$V$37,VLOOKUP(INDIRECT($C$5),Jornada!$C$8:$W$37,21,0)+2,0)</f>
        <v>0</v>
      </c>
      <c r="AM27" s="155">
        <f ca="1">HLOOKUP($F27,Jornada!$I$4:$V$37,VLOOKUP(INDIRECT($C$5),Jornada!$C$8:$W$37,21,0)+3,0)</f>
        <v>0</v>
      </c>
      <c r="AN27" s="155">
        <f t="shared" ca="1" si="7"/>
        <v>0</v>
      </c>
      <c r="AO27" s="155">
        <f t="shared" si="8"/>
        <v>0</v>
      </c>
      <c r="AP27" s="155">
        <f t="shared" si="9"/>
        <v>0</v>
      </c>
    </row>
    <row r="28" spans="1:59" s="2" customFormat="1" ht="30" customHeight="1" thickTop="1" thickBot="1" x14ac:dyDescent="0.25">
      <c r="A28" s="1"/>
      <c r="B28"/>
      <c r="C28" s="172" t="str">
        <f>IF(Funcionários!C27=0,"",Funcionários!C27)</f>
        <v/>
      </c>
      <c r="D28"/>
      <c r="E28" s="115">
        <f>Lanç!E28</f>
        <v>21</v>
      </c>
      <c r="F28" s="189" t="str">
        <f>Lanç!F28</f>
        <v>Sáb</v>
      </c>
      <c r="G28" s="81"/>
      <c r="H28" s="94"/>
      <c r="I28" s="94"/>
      <c r="J28" s="94"/>
      <c r="K28" s="94"/>
      <c r="L28" s="10"/>
      <c r="M28" s="95">
        <f t="shared" si="1"/>
        <v>0</v>
      </c>
      <c r="N28" s="96"/>
      <c r="O28" s="95">
        <f ca="1">IF(OR(G28=0,G28="Férias",G28="Falta Justificada",G28="Feriado",G28="Folga (DSR)"),0,IF(G28="Falta Injustificada",HLOOKUP($F28,Jornada!$X$7:$AD$37,VLOOKUP(INDIRECT($C$5),Jornada!$C$8:$W$37,21,0),0),IF(HLOOKUP($F28,Jornada!$X$7:$AD$37,VLOOKUP(INDIRECT($C$5),Jornada!$C$8:$W$37,21,0),0)-M28&gt;0,HLOOKUP($F28,Jornada!$X$7:$AD$37,VLOOKUP(INDIRECT($C$5),Jornada!$C$8:$W$37,21,0),0)-M28,0)))</f>
        <v>0</v>
      </c>
      <c r="P28" s="190">
        <f ca="1">IF(HLOOKUP($F28,Jornada!$X$7:$AD$37,VLOOKUP(INDIRECT($C$5),Jornada!$C$8:$W$37,21,0),0)-M28&lt;0,ABS(HLOOKUP($F28,Jornada!$X$7:$AD$37,VLOOKUP(INDIRECT($C$5),Jornada!$C$8:$W$37,21,0),0)-M28),0)</f>
        <v>0</v>
      </c>
      <c r="Q28" s="95">
        <f t="shared" si="0"/>
        <v>0</v>
      </c>
      <c r="R28" s="2">
        <f t="shared" si="2"/>
        <v>0</v>
      </c>
      <c r="S28" s="296"/>
      <c r="T28" s="297"/>
      <c r="U28" s="298"/>
      <c r="X28" s="177"/>
      <c r="AB28" s="177">
        <f t="shared" si="10"/>
        <v>21</v>
      </c>
      <c r="AC28" s="2">
        <f t="shared" si="3"/>
        <v>7</v>
      </c>
      <c r="AG28" s="220">
        <f t="shared" si="4"/>
        <v>0</v>
      </c>
      <c r="AH28" s="220">
        <f ca="1">IF(HLOOKUP($F28,Jornada!$X$7:$AD$37,VLOOKUP(INDIRECT($C$5),Jornada!$C$8:$W$37,21,0),0)=0,0,VLOOKUP(INDIRECT($C$5),Jornada!$C$8:$H$37,4,0))</f>
        <v>0</v>
      </c>
      <c r="AI28" s="155">
        <f ca="1">IF(AND(I28=0,J28=0,OR(H28&lt;&gt;0,K28&lt;&gt;0),HLOOKUP($F28,Jornada!$X$7:$AD$37,VLOOKUP(INDIRECT($C$5),Jornada!$C$8:$W$37,21,0),0)&gt;$AK$5,M28&gt;$AK$5),VLOOKUP(INDIRECT($C$5),Jornada!$C$8:$H$37,6,0),IF(AG28&gt;VLOOKUP(INDIRECT($C$5),Jornada!$C$8:$H$37,6,0),IF(VLOOKUP(INDIRECT($C$5),Jornada!$C$8:$H$37,6,0)&lt;AG28,0,ABS(VLOOKUP(INDIRECT($C$5),Jornada!$C$8:$H$37,6,0))-AG28),0))</f>
        <v>0</v>
      </c>
      <c r="AJ28" s="155">
        <f t="shared" si="5"/>
        <v>1</v>
      </c>
      <c r="AK28" s="155">
        <f t="shared" si="6"/>
        <v>0</v>
      </c>
      <c r="AL28" s="155">
        <f ca="1">HLOOKUP($F28,Jornada!$I$5:$V$37,VLOOKUP(INDIRECT($C$5),Jornada!$C$8:$W$37,21,0)+2,0)</f>
        <v>0</v>
      </c>
      <c r="AM28" s="155">
        <f ca="1">HLOOKUP($F28,Jornada!$I$4:$V$37,VLOOKUP(INDIRECT($C$5),Jornada!$C$8:$W$37,21,0)+3,0)</f>
        <v>0</v>
      </c>
      <c r="AN28" s="155">
        <f t="shared" ca="1" si="7"/>
        <v>0</v>
      </c>
      <c r="AO28" s="155">
        <f t="shared" si="8"/>
        <v>0</v>
      </c>
      <c r="AP28" s="155">
        <f t="shared" si="9"/>
        <v>0</v>
      </c>
    </row>
    <row r="29" spans="1:59" s="2" customFormat="1" ht="30" customHeight="1" thickTop="1" thickBot="1" x14ac:dyDescent="0.25">
      <c r="A29" s="1"/>
      <c r="B29"/>
      <c r="C29" s="172" t="str">
        <f>IF(Funcionários!C28=0,"",Funcionários!C28)</f>
        <v/>
      </c>
      <c r="D29"/>
      <c r="E29" s="115">
        <f>Lanç!E29</f>
        <v>22</v>
      </c>
      <c r="F29" s="189" t="str">
        <f>Lanç!F29</f>
        <v>Dom</v>
      </c>
      <c r="G29" s="81"/>
      <c r="H29" s="94"/>
      <c r="I29" s="94"/>
      <c r="J29" s="94"/>
      <c r="K29" s="94"/>
      <c r="L29" s="10"/>
      <c r="M29" s="95">
        <f t="shared" si="1"/>
        <v>0</v>
      </c>
      <c r="N29" s="96"/>
      <c r="O29" s="95">
        <f ca="1">IF(OR(G29=0,G29="Férias",G29="Falta Justificada",G29="Feriado",G29="Folga (DSR)"),0,IF(G29="Falta Injustificada",HLOOKUP($F29,Jornada!$X$7:$AD$37,VLOOKUP(INDIRECT($C$5),Jornada!$C$8:$W$37,21,0),0),IF(HLOOKUP($F29,Jornada!$X$7:$AD$37,VLOOKUP(INDIRECT($C$5),Jornada!$C$8:$W$37,21,0),0)-M29&gt;0,HLOOKUP($F29,Jornada!$X$7:$AD$37,VLOOKUP(INDIRECT($C$5),Jornada!$C$8:$W$37,21,0),0)-M29,0)))</f>
        <v>0</v>
      </c>
      <c r="P29" s="190">
        <f ca="1">IF(HLOOKUP($F29,Jornada!$X$7:$AD$37,VLOOKUP(INDIRECT($C$5),Jornada!$C$8:$W$37,21,0),0)-M29&lt;0,ABS(HLOOKUP($F29,Jornada!$X$7:$AD$37,VLOOKUP(INDIRECT($C$5),Jornada!$C$8:$W$37,21,0),0)-M29),0)</f>
        <v>0</v>
      </c>
      <c r="Q29" s="95">
        <f t="shared" si="0"/>
        <v>0</v>
      </c>
      <c r="R29" s="2">
        <f t="shared" si="2"/>
        <v>0</v>
      </c>
      <c r="S29" s="13"/>
      <c r="T29" s="74"/>
      <c r="U29" s="74"/>
      <c r="X29" s="177"/>
      <c r="AB29" s="177">
        <f t="shared" si="10"/>
        <v>22</v>
      </c>
      <c r="AC29" s="2">
        <f t="shared" si="3"/>
        <v>1</v>
      </c>
      <c r="AG29" s="220">
        <f t="shared" si="4"/>
        <v>0</v>
      </c>
      <c r="AH29" s="220">
        <f ca="1">IF(HLOOKUP($F29,Jornada!$X$7:$AD$37,VLOOKUP(INDIRECT($C$5),Jornada!$C$8:$W$37,21,0),0)=0,0,VLOOKUP(INDIRECT($C$5),Jornada!$C$8:$H$37,4,0))</f>
        <v>0</v>
      </c>
      <c r="AI29" s="155">
        <f ca="1">IF(AND(I29=0,J29=0,OR(H29&lt;&gt;0,K29&lt;&gt;0),HLOOKUP($F29,Jornada!$X$7:$AD$37,VLOOKUP(INDIRECT($C$5),Jornada!$C$8:$W$37,21,0),0)&gt;$AK$5,M29&gt;$AK$5),VLOOKUP(INDIRECT($C$5),Jornada!$C$8:$H$37,6,0),IF(AG29&gt;VLOOKUP(INDIRECT($C$5),Jornada!$C$8:$H$37,6,0),IF(VLOOKUP(INDIRECT($C$5),Jornada!$C$8:$H$37,6,0)&lt;AG29,0,ABS(VLOOKUP(INDIRECT($C$5),Jornada!$C$8:$H$37,6,0))-AG29),0))</f>
        <v>0</v>
      </c>
      <c r="AJ29" s="155">
        <f t="shared" si="5"/>
        <v>1</v>
      </c>
      <c r="AK29" s="155">
        <f t="shared" si="6"/>
        <v>0</v>
      </c>
      <c r="AL29" s="155">
        <f ca="1">HLOOKUP($F29,Jornada!$I$5:$V$37,VLOOKUP(INDIRECT($C$5),Jornada!$C$8:$W$37,21,0)+2,0)</f>
        <v>0</v>
      </c>
      <c r="AM29" s="155">
        <f ca="1">HLOOKUP($F29,Jornada!$I$4:$V$37,VLOOKUP(INDIRECT($C$5),Jornada!$C$8:$W$37,21,0)+3,0)</f>
        <v>0</v>
      </c>
      <c r="AN29" s="155">
        <f t="shared" ca="1" si="7"/>
        <v>0</v>
      </c>
      <c r="AO29" s="155">
        <f t="shared" si="8"/>
        <v>0</v>
      </c>
      <c r="AP29" s="155">
        <f t="shared" si="9"/>
        <v>0</v>
      </c>
    </row>
    <row r="30" spans="1:59" s="2" customFormat="1" ht="30" customHeight="1" thickTop="1" thickBot="1" x14ac:dyDescent="0.25">
      <c r="A30" s="1"/>
      <c r="B30"/>
      <c r="C30" s="172" t="str">
        <f>IF(Funcionários!C29=0,"",Funcionários!C29)</f>
        <v/>
      </c>
      <c r="D30"/>
      <c r="E30" s="173">
        <f>Lanç!E30</f>
        <v>23</v>
      </c>
      <c r="F30" s="189" t="str">
        <f>Lanç!F30</f>
        <v>Seg</v>
      </c>
      <c r="G30" s="81"/>
      <c r="H30" s="94"/>
      <c r="I30" s="94"/>
      <c r="J30" s="94"/>
      <c r="K30" s="94"/>
      <c r="L30" s="10"/>
      <c r="M30" s="95">
        <f t="shared" si="1"/>
        <v>0</v>
      </c>
      <c r="N30" s="96"/>
      <c r="O30" s="95">
        <f ca="1">IF(OR(G30=0,G30="Férias",G30="Falta Justificada",G30="Feriado",G30="Folga (DSR)"),0,IF(G30="Falta Injustificada",HLOOKUP($F30,Jornada!$X$7:$AD$37,VLOOKUP(INDIRECT($C$5),Jornada!$C$8:$W$37,21,0),0),IF(HLOOKUP($F30,Jornada!$X$7:$AD$37,VLOOKUP(INDIRECT($C$5),Jornada!$C$8:$W$37,21,0),0)-M30&gt;0,HLOOKUP($F30,Jornada!$X$7:$AD$37,VLOOKUP(INDIRECT($C$5),Jornada!$C$8:$W$37,21,0),0)-M30,0)))</f>
        <v>0</v>
      </c>
      <c r="P30" s="190">
        <f ca="1">IF(HLOOKUP($F30,Jornada!$X$7:$AD$37,VLOOKUP(INDIRECT($C$5),Jornada!$C$8:$W$37,21,0),0)-M30&lt;0,ABS(HLOOKUP($F30,Jornada!$X$7:$AD$37,VLOOKUP(INDIRECT($C$5),Jornada!$C$8:$W$37,21,0),0)-M30),0)</f>
        <v>0</v>
      </c>
      <c r="Q30" s="95">
        <f t="shared" si="0"/>
        <v>0</v>
      </c>
      <c r="R30" s="2">
        <f>IF(Q30&gt;$R$7,1,0)</f>
        <v>0</v>
      </c>
      <c r="S30" s="13"/>
      <c r="T30" s="74"/>
      <c r="U30" s="74"/>
      <c r="X30" s="177"/>
      <c r="AB30" s="177">
        <f t="shared" si="10"/>
        <v>23</v>
      </c>
      <c r="AC30" s="2">
        <f>WEEKDAY(AB30)</f>
        <v>2</v>
      </c>
      <c r="AG30" s="220">
        <f t="shared" si="4"/>
        <v>0</v>
      </c>
      <c r="AH30" s="220">
        <f ca="1">IF(HLOOKUP($F30,Jornada!$X$7:$AD$37,VLOOKUP(INDIRECT($C$5),Jornada!$C$8:$W$37,21,0),0)=0,0,VLOOKUP(INDIRECT($C$5),Jornada!$C$8:$H$37,4,0))</f>
        <v>0</v>
      </c>
      <c r="AI30" s="155">
        <f ca="1">IF(AND(I30=0,J30=0,OR(H30&lt;&gt;0,K30&lt;&gt;0),HLOOKUP($F30,Jornada!$X$7:$AD$37,VLOOKUP(INDIRECT($C$5),Jornada!$C$8:$W$37,21,0),0)&gt;$AK$5,M30&gt;$AK$5),VLOOKUP(INDIRECT($C$5),Jornada!$C$8:$H$37,6,0),IF(AG30&gt;VLOOKUP(INDIRECT($C$5),Jornada!$C$8:$H$37,6,0),IF(VLOOKUP(INDIRECT($C$5),Jornada!$C$8:$H$37,6,0)&lt;AG30,0,ABS(VLOOKUP(INDIRECT($C$5),Jornada!$C$8:$H$37,6,0))-AG30),0))</f>
        <v>0</v>
      </c>
      <c r="AJ30" s="155">
        <f>($AJ$7-K30)+H30</f>
        <v>1</v>
      </c>
      <c r="AK30" s="155">
        <f>IF(AJ30&lt;$AK$7,$AK$7-AJ30,$AI$7)</f>
        <v>0</v>
      </c>
      <c r="AL30" s="155">
        <f ca="1">HLOOKUP($F30,Jornada!$I$5:$V$37,VLOOKUP(INDIRECT($C$5),Jornada!$C$8:$W$37,21,0)+2,0)</f>
        <v>0</v>
      </c>
      <c r="AM30" s="155">
        <f ca="1">HLOOKUP($F30,Jornada!$I$4:$V$37,VLOOKUP(INDIRECT($C$5),Jornada!$C$8:$W$37,21,0)+3,0)</f>
        <v>0</v>
      </c>
      <c r="AN30" s="155">
        <f t="shared" ca="1" si="7"/>
        <v>0</v>
      </c>
      <c r="AO30" s="155">
        <f t="shared" si="8"/>
        <v>0</v>
      </c>
      <c r="AP30" s="155">
        <f t="shared" si="9"/>
        <v>0</v>
      </c>
    </row>
    <row r="31" spans="1:59" s="2" customFormat="1" ht="30" customHeight="1" thickTop="1" thickBot="1" x14ac:dyDescent="0.25">
      <c r="A31" s="1"/>
      <c r="B31"/>
      <c r="C31" s="172" t="str">
        <f>IF(Funcionários!C30=0,"",Funcionários!C30)</f>
        <v/>
      </c>
      <c r="D31"/>
      <c r="E31" s="173">
        <f>Lanç!E31</f>
        <v>24</v>
      </c>
      <c r="F31" s="189" t="str">
        <f>Lanç!F31</f>
        <v>Ter</v>
      </c>
      <c r="G31" s="81"/>
      <c r="H31" s="94"/>
      <c r="I31" s="94"/>
      <c r="J31" s="94"/>
      <c r="K31" s="94"/>
      <c r="L31" s="10"/>
      <c r="M31" s="95">
        <f t="shared" si="1"/>
        <v>0</v>
      </c>
      <c r="N31" s="96"/>
      <c r="O31" s="95">
        <f ca="1">IF(OR(G31=0,G31="Férias",G31="Falta Justificada",G31="Feriado",G31="Folga (DSR)"),0,IF(G31="Falta Injustificada",HLOOKUP($F31,Jornada!$X$7:$AD$37,VLOOKUP(INDIRECT($C$5),Jornada!$C$8:$W$37,21,0),0),IF(HLOOKUP($F31,Jornada!$X$7:$AD$37,VLOOKUP(INDIRECT($C$5),Jornada!$C$8:$W$37,21,0),0)-M31&gt;0,HLOOKUP($F31,Jornada!$X$7:$AD$37,VLOOKUP(INDIRECT($C$5),Jornada!$C$8:$W$37,21,0),0)-M31,0)))</f>
        <v>0</v>
      </c>
      <c r="P31" s="190">
        <f ca="1">IF(HLOOKUP($F31,Jornada!$X$7:$AD$37,VLOOKUP(INDIRECT($C$5),Jornada!$C$8:$W$37,21,0),0)-M31&lt;0,ABS(HLOOKUP($F31,Jornada!$X$7:$AD$37,VLOOKUP(INDIRECT($C$5),Jornada!$C$8:$W$37,21,0),0)-M31),0)</f>
        <v>0</v>
      </c>
      <c r="Q31" s="95">
        <f t="shared" si="0"/>
        <v>0</v>
      </c>
      <c r="R31" s="2">
        <f>IF(Q31&gt;$R$7,1,0)</f>
        <v>0</v>
      </c>
      <c r="S31" s="13"/>
      <c r="T31" s="74"/>
      <c r="U31" s="74"/>
      <c r="X31" s="177"/>
      <c r="AB31" s="177">
        <f t="shared" si="10"/>
        <v>24</v>
      </c>
      <c r="AC31" s="2">
        <f>WEEKDAY(AB31)</f>
        <v>3</v>
      </c>
      <c r="AG31" s="220">
        <f t="shared" si="4"/>
        <v>0</v>
      </c>
      <c r="AH31" s="220">
        <f ca="1">IF(HLOOKUP($F31,Jornada!$X$7:$AD$37,VLOOKUP(INDIRECT($C$5),Jornada!$C$8:$W$37,21,0),0)=0,0,VLOOKUP(INDIRECT($C$5),Jornada!$C$8:$H$37,4,0))</f>
        <v>0</v>
      </c>
      <c r="AI31" s="155">
        <f ca="1">IF(AND(I31=0,J31=0,OR(H31&lt;&gt;0,K31&lt;&gt;0),HLOOKUP($F31,Jornada!$X$7:$AD$37,VLOOKUP(INDIRECT($C$5),Jornada!$C$8:$W$37,21,0),0)&gt;$AK$5,M31&gt;$AK$5),VLOOKUP(INDIRECT($C$5),Jornada!$C$8:$H$37,6,0),IF(AG31&gt;VLOOKUP(INDIRECT($C$5),Jornada!$C$8:$H$37,6,0),IF(VLOOKUP(INDIRECT($C$5),Jornada!$C$8:$H$37,6,0)&lt;AG31,0,ABS(VLOOKUP(INDIRECT($C$5),Jornada!$C$8:$H$37,6,0))-AG31),0))</f>
        <v>0</v>
      </c>
      <c r="AJ31" s="155">
        <f>($AJ$7-K31)+H31</f>
        <v>1</v>
      </c>
      <c r="AK31" s="155">
        <f>IF(AJ31&lt;$AK$7,$AK$7-AJ31,$AI$7)</f>
        <v>0</v>
      </c>
      <c r="AL31" s="155">
        <f ca="1">HLOOKUP($F31,Jornada!$I$5:$V$37,VLOOKUP(INDIRECT($C$5),Jornada!$C$8:$W$37,21,0)+2,0)</f>
        <v>0</v>
      </c>
      <c r="AM31" s="155">
        <f ca="1">HLOOKUP($F31,Jornada!$I$4:$V$37,VLOOKUP(INDIRECT($C$5),Jornada!$C$8:$W$37,21,0)+3,0)</f>
        <v>0</v>
      </c>
      <c r="AN31" s="155">
        <f t="shared" ca="1" si="7"/>
        <v>0</v>
      </c>
      <c r="AO31" s="155">
        <f t="shared" si="8"/>
        <v>0</v>
      </c>
      <c r="AP31" s="155">
        <f t="shared" si="9"/>
        <v>0</v>
      </c>
    </row>
    <row r="32" spans="1:59" s="2" customFormat="1" ht="30" customHeight="1" thickTop="1" thickBot="1" x14ac:dyDescent="0.25">
      <c r="A32" s="1"/>
      <c r="B32"/>
      <c r="C32" s="172" t="str">
        <f>IF(Funcionários!C31=0,"",Funcionários!C31)</f>
        <v/>
      </c>
      <c r="D32"/>
      <c r="E32" s="115">
        <f>Lanç!E32</f>
        <v>25</v>
      </c>
      <c r="F32" s="189" t="str">
        <f>Lanç!F32</f>
        <v>Qua</v>
      </c>
      <c r="G32" s="81"/>
      <c r="H32" s="94"/>
      <c r="I32" s="94"/>
      <c r="J32" s="94"/>
      <c r="K32" s="94"/>
      <c r="L32" s="10"/>
      <c r="M32" s="95">
        <f t="shared" si="1"/>
        <v>0</v>
      </c>
      <c r="N32" s="96"/>
      <c r="O32" s="95">
        <f ca="1">IF(OR(G32=0,G32="Férias",G32="Falta Justificada",G32="Feriado",G32="Folga (DSR)"),0,IF(G32="Falta Injustificada",HLOOKUP($F32,Jornada!$X$7:$AD$37,VLOOKUP(INDIRECT($C$5),Jornada!$C$8:$W$37,21,0),0),IF(HLOOKUP($F32,Jornada!$X$7:$AD$37,VLOOKUP(INDIRECT($C$5),Jornada!$C$8:$W$37,21,0),0)-M32&gt;0,HLOOKUP($F32,Jornada!$X$7:$AD$37,VLOOKUP(INDIRECT($C$5),Jornada!$C$8:$W$37,21,0),0)-M32,0)))</f>
        <v>0</v>
      </c>
      <c r="P32" s="190">
        <f ca="1">IF(HLOOKUP($F32,Jornada!$X$7:$AD$37,VLOOKUP(INDIRECT($C$5),Jornada!$C$8:$W$37,21,0),0)-M32&lt;0,ABS(HLOOKUP($F32,Jornada!$X$7:$AD$37,VLOOKUP(INDIRECT($C$5),Jornada!$C$8:$W$37,21,0),0)-M32),0)</f>
        <v>0</v>
      </c>
      <c r="Q32" s="95">
        <f t="shared" si="0"/>
        <v>0</v>
      </c>
      <c r="R32" s="2">
        <f t="shared" si="2"/>
        <v>0</v>
      </c>
      <c r="S32" s="74"/>
      <c r="T32" s="74"/>
      <c r="U32" s="74"/>
      <c r="X32" s="177"/>
      <c r="AB32" s="177">
        <f t="shared" si="10"/>
        <v>25</v>
      </c>
      <c r="AC32" s="2">
        <f t="shared" si="3"/>
        <v>4</v>
      </c>
      <c r="AG32" s="220">
        <f t="shared" si="4"/>
        <v>0</v>
      </c>
      <c r="AH32" s="220">
        <f ca="1">IF(HLOOKUP($F32,Jornada!$X$7:$AD$37,VLOOKUP(INDIRECT($C$5),Jornada!$C$8:$W$37,21,0),0)=0,0,VLOOKUP(INDIRECT($C$5),Jornada!$C$8:$H$37,4,0))</f>
        <v>0</v>
      </c>
      <c r="AI32" s="155">
        <f ca="1">IF(AND(I32=0,J32=0,OR(H32&lt;&gt;0,K32&lt;&gt;0),HLOOKUP($F32,Jornada!$X$7:$AD$37,VLOOKUP(INDIRECT($C$5),Jornada!$C$8:$W$37,21,0),0)&gt;$AK$5,M32&gt;$AK$5),VLOOKUP(INDIRECT($C$5),Jornada!$C$8:$H$37,6,0),IF(AG32&gt;VLOOKUP(INDIRECT($C$5),Jornada!$C$8:$H$37,6,0),IF(VLOOKUP(INDIRECT($C$5),Jornada!$C$8:$H$37,6,0)&lt;AG32,0,ABS(VLOOKUP(INDIRECT($C$5),Jornada!$C$8:$H$37,6,0))-AG32),0))</f>
        <v>0</v>
      </c>
      <c r="AJ32" s="155">
        <f t="shared" si="5"/>
        <v>1</v>
      </c>
      <c r="AK32" s="155">
        <f t="shared" si="6"/>
        <v>0</v>
      </c>
      <c r="AL32" s="155">
        <f ca="1">HLOOKUP($F32,Jornada!$I$5:$V$37,VLOOKUP(INDIRECT($C$5),Jornada!$C$8:$W$37,21,0)+2,0)</f>
        <v>0</v>
      </c>
      <c r="AM32" s="155">
        <f ca="1">HLOOKUP($F32,Jornada!$I$4:$V$37,VLOOKUP(INDIRECT($C$5),Jornada!$C$8:$W$37,21,0)+3,0)</f>
        <v>0</v>
      </c>
      <c r="AN32" s="155">
        <f t="shared" ca="1" si="7"/>
        <v>0</v>
      </c>
      <c r="AO32" s="155">
        <f t="shared" si="8"/>
        <v>0</v>
      </c>
      <c r="AP32" s="155">
        <f t="shared" si="9"/>
        <v>0</v>
      </c>
    </row>
    <row r="33" spans="1:42" s="2" customFormat="1" ht="30" customHeight="1" thickTop="1" thickBot="1" x14ac:dyDescent="0.25">
      <c r="A33" s="1"/>
      <c r="B33"/>
      <c r="C33" s="172" t="str">
        <f>IF(Funcionários!C32=0,"",Funcionários!C32)</f>
        <v/>
      </c>
      <c r="D33"/>
      <c r="E33" s="115">
        <f>Lanç!E33</f>
        <v>26</v>
      </c>
      <c r="F33" s="189" t="str">
        <f>Lanç!F33</f>
        <v>Qui</v>
      </c>
      <c r="G33" s="81"/>
      <c r="H33" s="94"/>
      <c r="I33" s="94"/>
      <c r="J33" s="94"/>
      <c r="K33" s="94"/>
      <c r="L33" s="10"/>
      <c r="M33" s="95">
        <f t="shared" si="1"/>
        <v>0</v>
      </c>
      <c r="N33" s="96"/>
      <c r="O33" s="95">
        <f ca="1">IF(OR(G33=0,G33="Férias",G33="Falta Justificada",G33="Feriado",G33="Folga (DSR)"),0,IF(G33="Falta Injustificada",HLOOKUP($F33,Jornada!$X$7:$AD$37,VLOOKUP(INDIRECT($C$5),Jornada!$C$8:$W$37,21,0),0),IF(HLOOKUP($F33,Jornada!$X$7:$AD$37,VLOOKUP(INDIRECT($C$5),Jornada!$C$8:$W$37,21,0),0)-M33&gt;0,HLOOKUP($F33,Jornada!$X$7:$AD$37,VLOOKUP(INDIRECT($C$5),Jornada!$C$8:$W$37,21,0),0)-M33,0)))</f>
        <v>0</v>
      </c>
      <c r="P33" s="190">
        <f ca="1">IF(HLOOKUP($F33,Jornada!$X$7:$AD$37,VLOOKUP(INDIRECT($C$5),Jornada!$C$8:$W$37,21,0),0)-M33&lt;0,ABS(HLOOKUP($F33,Jornada!$X$7:$AD$37,VLOOKUP(INDIRECT($C$5),Jornada!$C$8:$W$37,21,0),0)-M33),0)</f>
        <v>0</v>
      </c>
      <c r="Q33" s="95">
        <f t="shared" si="0"/>
        <v>0</v>
      </c>
      <c r="R33" s="2">
        <f t="shared" si="2"/>
        <v>0</v>
      </c>
      <c r="S33" s="74"/>
      <c r="T33" s="74"/>
      <c r="U33" s="74"/>
      <c r="X33" s="177"/>
      <c r="AB33" s="177">
        <f t="shared" si="10"/>
        <v>26</v>
      </c>
      <c r="AC33" s="2">
        <f t="shared" si="3"/>
        <v>5</v>
      </c>
      <c r="AG33" s="220">
        <f t="shared" si="4"/>
        <v>0</v>
      </c>
      <c r="AH33" s="220">
        <f ca="1">IF(HLOOKUP($F33,Jornada!$X$7:$AD$37,VLOOKUP(INDIRECT($C$5),Jornada!$C$8:$W$37,21,0),0)=0,0,VLOOKUP(INDIRECT($C$5),Jornada!$C$8:$H$37,4,0))</f>
        <v>0</v>
      </c>
      <c r="AI33" s="155">
        <f ca="1">IF(AND(I33=0,J33=0,OR(H33&lt;&gt;0,K33&lt;&gt;0),HLOOKUP($F33,Jornada!$X$7:$AD$37,VLOOKUP(INDIRECT($C$5),Jornada!$C$8:$W$37,21,0),0)&gt;$AK$5,M33&gt;$AK$5),VLOOKUP(INDIRECT($C$5),Jornada!$C$8:$H$37,6,0),IF(AG33&gt;VLOOKUP(INDIRECT($C$5),Jornada!$C$8:$H$37,6,0),IF(VLOOKUP(INDIRECT($C$5),Jornada!$C$8:$H$37,6,0)&lt;AG33,0,ABS(VLOOKUP(INDIRECT($C$5),Jornada!$C$8:$H$37,6,0))-AG33),0))</f>
        <v>0</v>
      </c>
      <c r="AJ33" s="155">
        <f t="shared" si="5"/>
        <v>1</v>
      </c>
      <c r="AK33" s="155">
        <f t="shared" si="6"/>
        <v>0</v>
      </c>
      <c r="AL33" s="155">
        <f ca="1">HLOOKUP($F33,Jornada!$I$5:$V$37,VLOOKUP(INDIRECT($C$5),Jornada!$C$8:$W$37,21,0)+2,0)</f>
        <v>0</v>
      </c>
      <c r="AM33" s="155">
        <f ca="1">HLOOKUP($F33,Jornada!$I$4:$V$37,VLOOKUP(INDIRECT($C$5),Jornada!$C$8:$W$37,21,0)+3,0)</f>
        <v>0</v>
      </c>
      <c r="AN33" s="155">
        <f t="shared" ca="1" si="7"/>
        <v>0</v>
      </c>
      <c r="AO33" s="155">
        <f t="shared" si="8"/>
        <v>0</v>
      </c>
      <c r="AP33" s="155">
        <f t="shared" si="9"/>
        <v>0</v>
      </c>
    </row>
    <row r="34" spans="1:42" s="2" customFormat="1" ht="30" customHeight="1" thickTop="1" thickBot="1" x14ac:dyDescent="0.25">
      <c r="A34" s="1"/>
      <c r="B34"/>
      <c r="C34" s="172" t="str">
        <f>IF(Funcionários!C33=0,"",Funcionários!C33)</f>
        <v/>
      </c>
      <c r="D34"/>
      <c r="E34" s="115">
        <f>Lanç!E34</f>
        <v>27</v>
      </c>
      <c r="F34" s="189" t="str">
        <f>Lanç!F34</f>
        <v>Sex</v>
      </c>
      <c r="G34" s="81"/>
      <c r="H34" s="94"/>
      <c r="I34" s="94"/>
      <c r="J34" s="94"/>
      <c r="K34" s="94"/>
      <c r="L34" s="10"/>
      <c r="M34" s="95">
        <f t="shared" si="1"/>
        <v>0</v>
      </c>
      <c r="N34" s="96"/>
      <c r="O34" s="95">
        <f ca="1">IF(OR(G34=0,G34="Férias",G34="Falta Justificada",G34="Feriado",G34="Folga (DSR)"),0,IF(G34="Falta Injustificada",HLOOKUP($F34,Jornada!$X$7:$AD$37,VLOOKUP(INDIRECT($C$5),Jornada!$C$8:$W$37,21,0),0),IF(HLOOKUP($F34,Jornada!$X$7:$AD$37,VLOOKUP(INDIRECT($C$5),Jornada!$C$8:$W$37,21,0),0)-M34&gt;0,HLOOKUP($F34,Jornada!$X$7:$AD$37,VLOOKUP(INDIRECT($C$5),Jornada!$C$8:$W$37,21,0),0)-M34,0)))</f>
        <v>0</v>
      </c>
      <c r="P34" s="190">
        <f ca="1">IF(HLOOKUP($F34,Jornada!$X$7:$AD$37,VLOOKUP(INDIRECT($C$5),Jornada!$C$8:$W$37,21,0),0)-M34&lt;0,ABS(HLOOKUP($F34,Jornada!$X$7:$AD$37,VLOOKUP(INDIRECT($C$5),Jornada!$C$8:$W$37,21,0),0)-M34),0)</f>
        <v>0</v>
      </c>
      <c r="Q34" s="95">
        <f t="shared" si="0"/>
        <v>0</v>
      </c>
      <c r="R34" s="2">
        <f t="shared" si="2"/>
        <v>0</v>
      </c>
      <c r="S34" s="74"/>
      <c r="T34" s="74"/>
      <c r="U34" s="74"/>
      <c r="X34" s="177"/>
      <c r="AB34" s="177">
        <f t="shared" si="10"/>
        <v>27</v>
      </c>
      <c r="AC34" s="2">
        <f t="shared" si="3"/>
        <v>6</v>
      </c>
      <c r="AG34" s="220">
        <f t="shared" si="4"/>
        <v>0</v>
      </c>
      <c r="AH34" s="220">
        <f ca="1">IF(HLOOKUP($F34,Jornada!$X$7:$AD$37,VLOOKUP(INDIRECT($C$5),Jornada!$C$8:$W$37,21,0),0)=0,0,VLOOKUP(INDIRECT($C$5),Jornada!$C$8:$H$37,4,0))</f>
        <v>0</v>
      </c>
      <c r="AI34" s="155">
        <f ca="1">IF(AND(I34=0,J34=0,OR(H34&lt;&gt;0,K34&lt;&gt;0),HLOOKUP($F34,Jornada!$X$7:$AD$37,VLOOKUP(INDIRECT($C$5),Jornada!$C$8:$W$37,21,0),0)&gt;$AK$5,M34&gt;$AK$5),VLOOKUP(INDIRECT($C$5),Jornada!$C$8:$H$37,6,0),IF(AG34&gt;VLOOKUP(INDIRECT($C$5),Jornada!$C$8:$H$37,6,0),IF(VLOOKUP(INDIRECT($C$5),Jornada!$C$8:$H$37,6,0)&lt;AG34,0,ABS(VLOOKUP(INDIRECT($C$5),Jornada!$C$8:$H$37,6,0))-AG34),0))</f>
        <v>0</v>
      </c>
      <c r="AJ34" s="155">
        <f t="shared" si="5"/>
        <v>1</v>
      </c>
      <c r="AK34" s="155">
        <f t="shared" si="6"/>
        <v>0</v>
      </c>
      <c r="AL34" s="155">
        <f ca="1">HLOOKUP($F34,Jornada!$I$5:$V$37,VLOOKUP(INDIRECT($C$5),Jornada!$C$8:$W$37,21,0)+2,0)</f>
        <v>0</v>
      </c>
      <c r="AM34" s="155">
        <f ca="1">HLOOKUP($F34,Jornada!$I$4:$V$37,VLOOKUP(INDIRECT($C$5),Jornada!$C$8:$W$37,21,0)+3,0)</f>
        <v>0</v>
      </c>
      <c r="AN34" s="155">
        <f t="shared" ca="1" si="7"/>
        <v>0</v>
      </c>
      <c r="AO34" s="155">
        <f t="shared" si="8"/>
        <v>0</v>
      </c>
      <c r="AP34" s="155">
        <f t="shared" si="9"/>
        <v>0</v>
      </c>
    </row>
    <row r="35" spans="1:42" s="2" customFormat="1" ht="30" customHeight="1" thickTop="1" thickBot="1" x14ac:dyDescent="0.25">
      <c r="A35" s="1"/>
      <c r="B35"/>
      <c r="C35" s="172" t="str">
        <f>IF(Funcionários!C34=0,"",Funcionários!C34)</f>
        <v/>
      </c>
      <c r="D35"/>
      <c r="E35" s="115">
        <f>Lanç!E35</f>
        <v>28</v>
      </c>
      <c r="F35" s="189" t="str">
        <f>Lanç!F35</f>
        <v>Sáb</v>
      </c>
      <c r="G35" s="81"/>
      <c r="H35" s="94"/>
      <c r="I35" s="94"/>
      <c r="J35" s="94"/>
      <c r="K35" s="94"/>
      <c r="L35" s="10"/>
      <c r="M35" s="95">
        <f t="shared" si="1"/>
        <v>0</v>
      </c>
      <c r="N35" s="96"/>
      <c r="O35" s="95">
        <f ca="1">IF(OR(G35=0,G35="Férias",G35="Falta Justificada",G35="Feriado",G35="Folga (DSR)"),0,IF(G35="Falta Injustificada",HLOOKUP($F35,Jornada!$X$7:$AD$37,VLOOKUP(INDIRECT($C$5),Jornada!$C$8:$W$37,21,0),0),IF(HLOOKUP($F35,Jornada!$X$7:$AD$37,VLOOKUP(INDIRECT($C$5),Jornada!$C$8:$W$37,21,0),0)-M35&gt;0,HLOOKUP($F35,Jornada!$X$7:$AD$37,VLOOKUP(INDIRECT($C$5),Jornada!$C$8:$W$37,21,0),0)-M35,0)))</f>
        <v>0</v>
      </c>
      <c r="P35" s="190">
        <f ca="1">IF(HLOOKUP($F35,Jornada!$X$7:$AD$37,VLOOKUP(INDIRECT($C$5),Jornada!$C$8:$W$37,21,0),0)-M35&lt;0,ABS(HLOOKUP($F35,Jornada!$X$7:$AD$37,VLOOKUP(INDIRECT($C$5),Jornada!$C$8:$W$37,21,0),0)-M35),0)</f>
        <v>0</v>
      </c>
      <c r="Q35" s="95">
        <f t="shared" si="0"/>
        <v>0</v>
      </c>
      <c r="R35" s="2">
        <f t="shared" si="2"/>
        <v>0</v>
      </c>
      <c r="S35"/>
      <c r="T35"/>
      <c r="U35"/>
      <c r="X35" s="177"/>
      <c r="AB35" s="177">
        <f>IF(MONTH(AB34+1)&lt;&gt;MONTH(AB34),"",AB34+1)</f>
        <v>28</v>
      </c>
      <c r="AC35" s="2">
        <f t="shared" si="3"/>
        <v>7</v>
      </c>
      <c r="AG35" s="220">
        <f t="shared" si="4"/>
        <v>0</v>
      </c>
      <c r="AH35" s="220">
        <f ca="1">IF(HLOOKUP($F35,Jornada!$X$7:$AD$37,VLOOKUP(INDIRECT($C$5),Jornada!$C$8:$W$37,21,0),0)=0,0,VLOOKUP(INDIRECT($C$5),Jornada!$C$8:$H$37,4,0))</f>
        <v>0</v>
      </c>
      <c r="AI35" s="155">
        <f ca="1">IF(AND(I35=0,J35=0,OR(H35&lt;&gt;0,K35&lt;&gt;0),HLOOKUP($F35,Jornada!$X$7:$AD$37,VLOOKUP(INDIRECT($C$5),Jornada!$C$8:$W$37,21,0),0)&gt;$AK$5,M35&gt;$AK$5),VLOOKUP(INDIRECT($C$5),Jornada!$C$8:$H$37,6,0),IF(AG35&gt;VLOOKUP(INDIRECT($C$5),Jornada!$C$8:$H$37,6,0),IF(VLOOKUP(INDIRECT($C$5),Jornada!$C$8:$H$37,6,0)&lt;AG35,0,ABS(VLOOKUP(INDIRECT($C$5),Jornada!$C$8:$H$37,6,0))-AG35),0))</f>
        <v>0</v>
      </c>
      <c r="AJ35" s="155">
        <f t="shared" si="5"/>
        <v>1</v>
      </c>
      <c r="AK35" s="155">
        <f t="shared" si="6"/>
        <v>0</v>
      </c>
      <c r="AL35" s="155">
        <f ca="1">HLOOKUP($F35,Jornada!$I$5:$V$37,VLOOKUP(INDIRECT($C$5),Jornada!$C$8:$W$37,21,0)+2,0)</f>
        <v>0</v>
      </c>
      <c r="AM35" s="155">
        <f ca="1">HLOOKUP($F35,Jornada!$I$4:$V$37,VLOOKUP(INDIRECT($C$5),Jornada!$C$8:$W$37,21,0)+3,0)</f>
        <v>0</v>
      </c>
      <c r="AN35" s="155">
        <f t="shared" ca="1" si="7"/>
        <v>0</v>
      </c>
      <c r="AO35" s="155">
        <f t="shared" si="8"/>
        <v>0</v>
      </c>
      <c r="AP35" s="155">
        <f t="shared" si="9"/>
        <v>0</v>
      </c>
    </row>
    <row r="36" spans="1:42" s="2" customFormat="1" ht="30" customHeight="1" thickTop="1" thickBot="1" x14ac:dyDescent="0.25">
      <c r="A36" s="1"/>
      <c r="B36"/>
      <c r="C36" s="172" t="str">
        <f>IF(Funcionários!C35=0,"",Funcionários!C35)</f>
        <v/>
      </c>
      <c r="D36"/>
      <c r="E36" s="115">
        <f>Lanç!E36</f>
        <v>29</v>
      </c>
      <c r="F36" s="189" t="str">
        <f>Lanç!F36</f>
        <v>Dom</v>
      </c>
      <c r="G36" s="81"/>
      <c r="H36" s="94"/>
      <c r="I36" s="94"/>
      <c r="J36" s="94"/>
      <c r="K36" s="94"/>
      <c r="L36" s="10"/>
      <c r="M36" s="95">
        <f t="shared" si="1"/>
        <v>0</v>
      </c>
      <c r="N36" s="96"/>
      <c r="O36" s="95">
        <f ca="1">IF(OR(G36=0,G36="Férias",G36="Falta Justificada",G36="Feriado",G36="Folga (DSR)"),0,IF(G36="Falta Injustificada",HLOOKUP($F36,Jornada!$X$7:$AD$37,VLOOKUP(INDIRECT($C$5),Jornada!$C$8:$W$37,21,0),0),IF(HLOOKUP($F36,Jornada!$X$7:$AD$37,VLOOKUP(INDIRECT($C$5),Jornada!$C$8:$W$37,21,0),0)-M36&gt;0,HLOOKUP($F36,Jornada!$X$7:$AD$37,VLOOKUP(INDIRECT($C$5),Jornada!$C$8:$W$37,21,0),0)-M36,0)))</f>
        <v>0</v>
      </c>
      <c r="P36" s="190">
        <f ca="1">IF(HLOOKUP($F36,Jornada!$X$7:$AD$37,VLOOKUP(INDIRECT($C$5),Jornada!$C$8:$W$37,21,0),0)-M36&lt;0,ABS(HLOOKUP($F36,Jornada!$X$7:$AD$37,VLOOKUP(INDIRECT($C$5),Jornada!$C$8:$W$37,21,0),0)-M36),0)</f>
        <v>0</v>
      </c>
      <c r="Q36" s="95">
        <f t="shared" si="0"/>
        <v>0</v>
      </c>
      <c r="R36" s="2">
        <f t="shared" si="2"/>
        <v>0</v>
      </c>
      <c r="S36"/>
      <c r="T36"/>
      <c r="U36"/>
      <c r="X36" s="177"/>
      <c r="AB36" s="177">
        <f>IF(MONTH(AB35+1)&lt;&gt;MONTH(AB35),"",IF(AB35="","",AB35+1))</f>
        <v>29</v>
      </c>
      <c r="AC36" s="2">
        <f>IF(ISERROR(WEEKDAY(AB36)),"",WEEKDAY(AB36))</f>
        <v>1</v>
      </c>
      <c r="AG36" s="220">
        <f t="shared" si="4"/>
        <v>0</v>
      </c>
      <c r="AH36" s="220">
        <f ca="1">IF(HLOOKUP($F36,Jornada!$X$7:$AD$37,VLOOKUP(INDIRECT($C$5),Jornada!$C$8:$W$37,21,0),0)=0,0,VLOOKUP(INDIRECT($C$5),Jornada!$C$8:$H$37,4,0))</f>
        <v>0</v>
      </c>
      <c r="AI36" s="155">
        <f ca="1">IF(AND(I36=0,J36=0,OR(H36&lt;&gt;0,K36&lt;&gt;0),HLOOKUP($F36,Jornada!$X$7:$AD$37,VLOOKUP(INDIRECT($C$5),Jornada!$C$8:$W$37,21,0),0)&gt;$AK$5,M36&gt;$AK$5),VLOOKUP(INDIRECT($C$5),Jornada!$C$8:$H$37,6,0),IF(AG36&gt;VLOOKUP(INDIRECT($C$5),Jornada!$C$8:$H$37,6,0),IF(VLOOKUP(INDIRECT($C$5),Jornada!$C$8:$H$37,6,0)&lt;AG36,0,ABS(VLOOKUP(INDIRECT($C$5),Jornada!$C$8:$H$37,6,0))-AG36),0))</f>
        <v>0</v>
      </c>
      <c r="AJ36" s="155">
        <f t="shared" si="5"/>
        <v>1</v>
      </c>
      <c r="AK36" s="155">
        <f t="shared" si="6"/>
        <v>0</v>
      </c>
      <c r="AL36" s="155">
        <f ca="1">HLOOKUP($F36,Jornada!$I$5:$V$37,VLOOKUP(INDIRECT($C$5),Jornada!$C$8:$W$37,21,0)+2,0)</f>
        <v>0</v>
      </c>
      <c r="AM36" s="155">
        <f ca="1">HLOOKUP($F36,Jornada!$I$4:$V$37,VLOOKUP(INDIRECT($C$5),Jornada!$C$8:$W$37,21,0)+3,0)</f>
        <v>0</v>
      </c>
      <c r="AN36" s="155">
        <f t="shared" ca="1" si="7"/>
        <v>0</v>
      </c>
      <c r="AO36" s="155">
        <f t="shared" si="8"/>
        <v>0</v>
      </c>
      <c r="AP36" s="155">
        <f t="shared" si="9"/>
        <v>0</v>
      </c>
    </row>
    <row r="37" spans="1:42" s="2" customFormat="1" ht="30" customHeight="1" thickTop="1" thickBot="1" x14ac:dyDescent="0.25">
      <c r="A37" s="1"/>
      <c r="B37"/>
      <c r="C37" s="172" t="str">
        <f>IF(Funcionários!C36=0,"",Funcionários!C36)</f>
        <v/>
      </c>
      <c r="D37"/>
      <c r="E37" s="115">
        <f>Lanç!E37</f>
        <v>30</v>
      </c>
      <c r="F37" s="189" t="str">
        <f>Lanç!F37</f>
        <v>Seg</v>
      </c>
      <c r="G37" s="81"/>
      <c r="H37" s="94"/>
      <c r="I37" s="94"/>
      <c r="J37" s="94"/>
      <c r="K37" s="94"/>
      <c r="L37" s="10"/>
      <c r="M37" s="95">
        <f t="shared" si="1"/>
        <v>0</v>
      </c>
      <c r="N37" s="96"/>
      <c r="O37" s="95">
        <f ca="1">IF(OR(G37=0,G37="Férias",G37="Falta Justificada",G37="Feriado",G37="Folga (DSR)"),0,IF(G37="Falta Injustificada",HLOOKUP($F37,Jornada!$X$7:$AD$37,VLOOKUP(INDIRECT($C$5),Jornada!$C$8:$W$37,21,0),0),IF(HLOOKUP($F37,Jornada!$X$7:$AD$37,VLOOKUP(INDIRECT($C$5),Jornada!$C$8:$W$37,21,0),0)-M37&gt;0,HLOOKUP($F37,Jornada!$X$7:$AD$37,VLOOKUP(INDIRECT($C$5),Jornada!$C$8:$W$37,21,0),0)-M37,0)))</f>
        <v>0</v>
      </c>
      <c r="P37" s="190">
        <f ca="1">IF(HLOOKUP($F37,Jornada!$X$7:$AD$37,VLOOKUP(INDIRECT($C$5),Jornada!$C$8:$W$37,21,0),0)-M37&lt;0,ABS(HLOOKUP($F37,Jornada!$X$7:$AD$37,VLOOKUP(INDIRECT($C$5),Jornada!$C$8:$W$37,21,0),0)-M37),0)</f>
        <v>0</v>
      </c>
      <c r="Q37" s="95">
        <f t="shared" si="0"/>
        <v>0</v>
      </c>
      <c r="R37" s="2">
        <f t="shared" si="2"/>
        <v>0</v>
      </c>
      <c r="S37"/>
      <c r="T37"/>
      <c r="U37"/>
      <c r="X37" s="177"/>
      <c r="AB37" s="177">
        <f>IF(AB36="","",IF(MONTH(AB36+1)&lt;&gt;MONTH(AB36),"",AB36+1))</f>
        <v>30</v>
      </c>
      <c r="AC37" s="2">
        <f>IF(ISERROR(WEEKDAY(AB37)),"",WEEKDAY(AB37))</f>
        <v>2</v>
      </c>
      <c r="AG37" s="220">
        <f t="shared" si="4"/>
        <v>0</v>
      </c>
      <c r="AH37" s="220">
        <f ca="1">IF(HLOOKUP($F37,Jornada!$X$7:$AD$37,VLOOKUP(INDIRECT($C$5),Jornada!$C$8:$W$37,21,0),0)=0,0,VLOOKUP(INDIRECT($C$5),Jornada!$C$8:$H$37,4,0))</f>
        <v>0</v>
      </c>
      <c r="AI37" s="155">
        <f ca="1">IF(AND(I37=0,J37=0,OR(H37&lt;&gt;0,K37&lt;&gt;0),HLOOKUP($F37,Jornada!$X$7:$AD$37,VLOOKUP(INDIRECT($C$5),Jornada!$C$8:$W$37,21,0),0)&gt;$AK$5,M37&gt;$AK$5),VLOOKUP(INDIRECT($C$5),Jornada!$C$8:$H$37,6,0),IF(AG37&gt;VLOOKUP(INDIRECT($C$5),Jornada!$C$8:$H$37,6,0),IF(VLOOKUP(INDIRECT($C$5),Jornada!$C$8:$H$37,6,0)&lt;AG37,0,ABS(VLOOKUP(INDIRECT($C$5),Jornada!$C$8:$H$37,6,0))-AG37),0))</f>
        <v>0</v>
      </c>
      <c r="AJ37" s="155">
        <f t="shared" si="5"/>
        <v>1</v>
      </c>
      <c r="AK37" s="155">
        <f t="shared" si="6"/>
        <v>0</v>
      </c>
      <c r="AL37" s="155">
        <f ca="1">HLOOKUP($F37,Jornada!$I$5:$V$37,VLOOKUP(INDIRECT($C$5),Jornada!$C$8:$W$37,21,0)+2,0)</f>
        <v>0</v>
      </c>
      <c r="AM37" s="155">
        <f ca="1">HLOOKUP($F37,Jornada!$I$4:$V$37,VLOOKUP(INDIRECT($C$5),Jornada!$C$8:$W$37,21,0)+3,0)</f>
        <v>0</v>
      </c>
      <c r="AN37" s="155">
        <f t="shared" ca="1" si="7"/>
        <v>0</v>
      </c>
      <c r="AO37" s="155">
        <f t="shared" si="8"/>
        <v>0</v>
      </c>
      <c r="AP37" s="155">
        <f t="shared" si="9"/>
        <v>0</v>
      </c>
    </row>
    <row r="38" spans="1:42" s="2" customFormat="1" ht="30" customHeight="1" thickTop="1" thickBot="1" x14ac:dyDescent="0.25">
      <c r="A38" s="1"/>
      <c r="B38"/>
      <c r="C38"/>
      <c r="D38" s="2">
        <f t="shared" ref="D38" si="11">IF(D37=7,1,D37+1)</f>
        <v>1</v>
      </c>
      <c r="E38" s="210">
        <f>Lanç!E38</f>
        <v>31</v>
      </c>
      <c r="F38" s="210" t="str">
        <f>Lanç!F38</f>
        <v>Ter</v>
      </c>
      <c r="G38" s="81"/>
      <c r="H38" s="94"/>
      <c r="I38" s="94"/>
      <c r="J38" s="94"/>
      <c r="K38" s="94"/>
      <c r="L38" s="197"/>
      <c r="M38" s="95">
        <f t="shared" si="1"/>
        <v>0</v>
      </c>
      <c r="N38" s="196"/>
      <c r="O38" s="95">
        <f ca="1">IF(OR(G38=0,G38="Férias",G38="Falta Justificada",G38="Feriado",G38="Folga (DSR)"),0,IF(G38="Falta Injustificada",HLOOKUP($F38,Jornada!$X$7:$AD$37,VLOOKUP(INDIRECT($C$5),Jornada!$C$8:$W$37,21,0),0),IF(HLOOKUP($F38,Jornada!$X$7:$AD$37,VLOOKUP(INDIRECT($C$5),Jornada!$C$8:$W$37,21,0),0)-M38&gt;0,HLOOKUP($F38,Jornada!$X$7:$AD$37,VLOOKUP(INDIRECT($C$5),Jornada!$C$8:$W$37,21,0),0)-M38,0)))</f>
        <v>0</v>
      </c>
      <c r="P38" s="201">
        <f ca="1">IF(HLOOKUP($F38,Jornada!$X$7:$AD$37,VLOOKUP(INDIRECT($C$5),Jornada!$C$8:$W$37,21,0),0)-M38&lt;0,ABS(HLOOKUP($F38,Jornada!$X$7:$AD$37,VLOOKUP(INDIRECT($C$5),Jornada!$C$8:$W$37,21,0),0)-M38),0)</f>
        <v>0</v>
      </c>
      <c r="Q38" s="95">
        <f t="shared" si="0"/>
        <v>0</v>
      </c>
      <c r="R38" s="2">
        <f t="shared" si="2"/>
        <v>0</v>
      </c>
      <c r="X38" s="177"/>
      <c r="AB38" s="177">
        <f>IF(AB37="","",IF(MONTH(AB37+1)&lt;&gt;MONTH(AB37),"",AB37+1))</f>
        <v>31</v>
      </c>
      <c r="AC38" s="2">
        <f>IF(ISERROR(WEEKDAY(AB38)),"",WEEKDAY(AB38))</f>
        <v>3</v>
      </c>
      <c r="AG38" s="220">
        <f t="shared" si="4"/>
        <v>0</v>
      </c>
      <c r="AH38" s="220">
        <f ca="1">IF(HLOOKUP($F38,Jornada!$X$7:$AD$37,VLOOKUP(INDIRECT($C$5),Jornada!$C$8:$W$37,21,0),0)=0,0,VLOOKUP(INDIRECT($C$5),Jornada!$C$8:$H$37,4,0))</f>
        <v>0</v>
      </c>
      <c r="AI38" s="155">
        <f ca="1">IF(AND(I38=0,J38=0,OR(H38&lt;&gt;0,K38&lt;&gt;0),HLOOKUP($F38,Jornada!$X$7:$AD$37,VLOOKUP(INDIRECT($C$5),Jornada!$C$8:$W$37,21,0),0)&gt;$AK$5,M38&gt;$AK$5),VLOOKUP(INDIRECT($C$5),Jornada!$C$8:$H$37,6,0),IF(AG38&gt;VLOOKUP(INDIRECT($C$5),Jornada!$C$8:$H$37,6,0),IF(VLOOKUP(INDIRECT($C$5),Jornada!$C$8:$H$37,6,0)&lt;AG38,0,ABS(VLOOKUP(INDIRECT($C$5),Jornada!$C$8:$H$37,6,0))-AG38),0))</f>
        <v>0</v>
      </c>
      <c r="AJ38" s="155">
        <f t="shared" si="5"/>
        <v>1</v>
      </c>
      <c r="AK38" s="155">
        <f t="shared" si="6"/>
        <v>0</v>
      </c>
      <c r="AL38" s="155">
        <f ca="1">HLOOKUP($F38,Jornada!$I$5:$V$37,VLOOKUP(INDIRECT($C$5),Jornada!$C$8:$W$37,21,0)+2,0)</f>
        <v>0</v>
      </c>
      <c r="AM38" s="155">
        <f ca="1">HLOOKUP($F38,Jornada!$I$4:$V$37,VLOOKUP(INDIRECT($C$5),Jornada!$C$8:$W$37,21,0)+3,0)</f>
        <v>0</v>
      </c>
      <c r="AN38" s="155">
        <f t="shared" ca="1" si="7"/>
        <v>0</v>
      </c>
      <c r="AO38" s="155">
        <f t="shared" si="8"/>
        <v>0</v>
      </c>
      <c r="AP38" s="155">
        <f t="shared" si="9"/>
        <v>0</v>
      </c>
    </row>
    <row r="39" spans="1:42" s="2" customFormat="1" ht="30" customHeight="1" thickTop="1" x14ac:dyDescent="0.2">
      <c r="A39" s="9"/>
      <c r="B39" s="234"/>
      <c r="C39" s="234"/>
      <c r="D39" s="234"/>
      <c r="E39" s="236">
        <f>EOMONTH(AB8,0)</f>
        <v>31</v>
      </c>
      <c r="F39" s="234">
        <f>DAY(E39)</f>
        <v>31</v>
      </c>
      <c r="G39" s="237">
        <f>COUNTIF(F8:F38,"Dom")+COUNTIF(G8:G38,"Feriado")</f>
        <v>5</v>
      </c>
      <c r="H39" s="238">
        <f>(SUM(Q8:Q38)/(F39-G39))*G39</f>
        <v>0</v>
      </c>
      <c r="I39" s="234"/>
      <c r="J39" s="234"/>
      <c r="K39" s="234"/>
      <c r="L39" s="234"/>
      <c r="M39" s="234"/>
      <c r="Z39" s="219"/>
    </row>
    <row r="40" spans="1:42" s="2" customFormat="1" ht="30" customHeight="1" x14ac:dyDescent="0.2">
      <c r="A40" s="9"/>
      <c r="B40" s="234"/>
      <c r="C40" s="239"/>
      <c r="D40" s="239"/>
      <c r="E40" s="239"/>
      <c r="F40" s="240"/>
      <c r="G40" s="241"/>
      <c r="H40" s="234">
        <f ca="1">IF(INDIRECT($C$5)="",0,VLOOKUP(INDIRECT($C$5),Funcionários!$C$7:$E$36,3,0)+IF(VLOOKUP(INDIRECT($C$5),Jornada!$C$8:$E$37,2,0)="Sim",IF('P Gerais'!$I$8&lt;&gt;0,VLOOKUP(INDIRECT($C$5),Funcionários!$C$7:$E$36,3,0)*'P Gerais'!$L$14,'P Gerais'!$I$8*'P Gerais'!$L$14),0)+IF(VLOOKUP(INDIRECT($C$5),Jornada!$C$8:$E$37,3,0)="Sim",VLOOKUP(INDIRECT($C$5),Funcionários!$C$7:$E$36,3,0)*'P Gerais'!$K$14,0))</f>
        <v>0</v>
      </c>
      <c r="I40" s="234">
        <f ca="1">VLOOKUP(INDIRECT($C$5),Jornada!$C$8:$AF$37,30,0)</f>
        <v>0</v>
      </c>
      <c r="J40" s="234" t="s">
        <v>298</v>
      </c>
      <c r="K40" s="242">
        <f ca="1">IF(I40=0,0,H40/I40)</f>
        <v>0</v>
      </c>
      <c r="L40" s="234"/>
      <c r="M40" s="234"/>
      <c r="Z40" s="219"/>
    </row>
    <row r="41" spans="1:42" s="2" customFormat="1" ht="30" customHeight="1" x14ac:dyDescent="0.2">
      <c r="A41" s="9"/>
      <c r="B41" s="234" t="s">
        <v>52</v>
      </c>
      <c r="C41" s="292" t="s">
        <v>75</v>
      </c>
      <c r="D41" s="292"/>
      <c r="E41" s="292"/>
      <c r="F41" s="243">
        <f t="shared" ref="F41:F47" si="12">SUMIFS($Q$8:$Q$38,$F$8:$F$38,$B41,$G$8:$G$38,"Normal")</f>
        <v>0</v>
      </c>
      <c r="G41" s="244">
        <f>IF($M$41="Sistema de banco de horas",0,'P Gerais'!$C$14)</f>
        <v>0.5</v>
      </c>
      <c r="H41" s="245">
        <f t="shared" ref="H41:H48" ca="1" si="13">IF($M$41="Sistema de banco de horas",0,$K$40*(1+G41)*(F41*24))</f>
        <v>0</v>
      </c>
      <c r="I41" s="243">
        <f t="shared" ref="I41:I47" ca="1" si="14">IF(SUMIF($F$8:$F$38,$B41,$Q$8:$Q$38)-SUMIFS($M$8:$M$38,$F$8:$F$38,$B41,$G$8:$G$38,"Feriado")-SUMIFS($M$8:$M$38,$F$8:$F$38,$B41,$G$8:$G$38,"Folga (DSR)")-SUMIFS($M$8:$M$38,$F$8:$F$38,$B41,$G$8:$G$38,"Férias")-SUMIF($F$8:$F$38,$B41,$AN$8:$AN$38)-SUMIF($F$8:$F$38,$B41,$AO$8:$AO$38)&lt;0,0,SUMIF($F$8:$F$38,$B41,$Q$8:$Q$38)-SUMIFS($M$8:$M$38,$F$8:$F$38,$B41,$G$8:$G$38,"Feriado")-SUMIFS($M$8:$M$38,$F$8:$F$38,$B41,$G$8:$G$38,"Folga (DSR)")-SUMIFS($M$8:$M$38,$F$8:$F$38,$B41,$G$8:$G$38,"Férias")-SUMIF($F$8:$F$38,$B41,$AN$8:$AN$38)-SUMIF($F$8:$F$38,$B41,$AO$8:$AO$38))</f>
        <v>0</v>
      </c>
      <c r="J41" s="245">
        <f ca="1">H41</f>
        <v>0</v>
      </c>
      <c r="K41" s="234"/>
      <c r="L41" s="234"/>
      <c r="M41" s="234">
        <f>'P Gerais'!I10</f>
        <v>0</v>
      </c>
      <c r="Z41" s="219"/>
    </row>
    <row r="42" spans="1:42" s="2" customFormat="1" ht="30" customHeight="1" x14ac:dyDescent="0.2">
      <c r="A42" s="9"/>
      <c r="B42" s="234" t="s">
        <v>53</v>
      </c>
      <c r="C42" s="292" t="s">
        <v>76</v>
      </c>
      <c r="D42" s="292"/>
      <c r="E42" s="292"/>
      <c r="F42" s="243">
        <f t="shared" si="12"/>
        <v>0</v>
      </c>
      <c r="G42" s="244">
        <f>IF($M$41="Sistema de banco de horas",0,'P Gerais'!$C$14)</f>
        <v>0.5</v>
      </c>
      <c r="H42" s="245">
        <f t="shared" ca="1" si="13"/>
        <v>0</v>
      </c>
      <c r="I42" s="243">
        <f t="shared" ca="1" si="14"/>
        <v>0</v>
      </c>
      <c r="J42" s="245">
        <f t="shared" ref="J42:J51" ca="1" si="15">H42</f>
        <v>0</v>
      </c>
      <c r="K42" s="234"/>
      <c r="L42" s="234"/>
      <c r="M42" s="234"/>
      <c r="Z42" s="219"/>
    </row>
    <row r="43" spans="1:42" s="2" customFormat="1" ht="30" customHeight="1" x14ac:dyDescent="0.2">
      <c r="A43" s="9"/>
      <c r="B43" s="234" t="s">
        <v>54</v>
      </c>
      <c r="C43" s="292" t="s">
        <v>77</v>
      </c>
      <c r="D43" s="292"/>
      <c r="E43" s="292"/>
      <c r="F43" s="243">
        <f t="shared" si="12"/>
        <v>0</v>
      </c>
      <c r="G43" s="244">
        <f>IF($M$41="Sistema de banco de horas",0,'P Gerais'!$C$14)</f>
        <v>0.5</v>
      </c>
      <c r="H43" s="245">
        <f t="shared" ca="1" si="13"/>
        <v>0</v>
      </c>
      <c r="I43" s="243">
        <f t="shared" ca="1" si="14"/>
        <v>0</v>
      </c>
      <c r="J43" s="245">
        <f t="shared" ca="1" si="15"/>
        <v>0</v>
      </c>
      <c r="K43" s="234"/>
      <c r="L43" s="234"/>
      <c r="M43" s="234"/>
      <c r="Z43" s="219"/>
    </row>
    <row r="44" spans="1:42" s="2" customFormat="1" ht="30" customHeight="1" x14ac:dyDescent="0.2">
      <c r="A44" s="9"/>
      <c r="B44" s="234" t="s">
        <v>55</v>
      </c>
      <c r="C44" s="292" t="s">
        <v>78</v>
      </c>
      <c r="D44" s="292"/>
      <c r="E44" s="292"/>
      <c r="F44" s="243">
        <f t="shared" si="12"/>
        <v>0</v>
      </c>
      <c r="G44" s="244">
        <f>IF($M$41="Sistema de banco de horas",0,'P Gerais'!$C$14)</f>
        <v>0.5</v>
      </c>
      <c r="H44" s="245">
        <f t="shared" ca="1" si="13"/>
        <v>0</v>
      </c>
      <c r="I44" s="243">
        <f t="shared" ca="1" si="14"/>
        <v>0</v>
      </c>
      <c r="J44" s="245">
        <f t="shared" ca="1" si="15"/>
        <v>0</v>
      </c>
      <c r="K44" s="234"/>
      <c r="L44" s="234"/>
      <c r="M44" s="234"/>
      <c r="Z44" s="219"/>
    </row>
    <row r="45" spans="1:42" s="2" customFormat="1" ht="30" customHeight="1" x14ac:dyDescent="0.2">
      <c r="A45" s="9"/>
      <c r="B45" s="234" t="s">
        <v>56</v>
      </c>
      <c r="C45" s="292" t="s">
        <v>79</v>
      </c>
      <c r="D45" s="292"/>
      <c r="E45" s="292"/>
      <c r="F45" s="243">
        <f t="shared" si="12"/>
        <v>0</v>
      </c>
      <c r="G45" s="244">
        <f>IF($M$41="Sistema de banco de horas",0,'P Gerais'!$C$14)</f>
        <v>0.5</v>
      </c>
      <c r="H45" s="245">
        <f t="shared" ca="1" si="13"/>
        <v>0</v>
      </c>
      <c r="I45" s="243">
        <f t="shared" ca="1" si="14"/>
        <v>0</v>
      </c>
      <c r="J45" s="245">
        <f t="shared" ca="1" si="15"/>
        <v>0</v>
      </c>
      <c r="K45" s="234"/>
      <c r="L45" s="234"/>
      <c r="M45" s="234"/>
      <c r="Z45" s="219"/>
    </row>
    <row r="46" spans="1:42" s="2" customFormat="1" ht="30" customHeight="1" x14ac:dyDescent="0.2">
      <c r="A46" s="9"/>
      <c r="B46" s="234" t="s">
        <v>57</v>
      </c>
      <c r="C46" s="292" t="s">
        <v>82</v>
      </c>
      <c r="D46" s="292"/>
      <c r="E46" s="292"/>
      <c r="F46" s="243">
        <f t="shared" si="12"/>
        <v>0</v>
      </c>
      <c r="G46" s="244">
        <f>IF($M$41="Sistema de banco de horas",0,'P Gerais'!$E$14)</f>
        <v>0.5</v>
      </c>
      <c r="H46" s="245">
        <f t="shared" ca="1" si="13"/>
        <v>0</v>
      </c>
      <c r="I46" s="243">
        <f t="shared" ca="1" si="14"/>
        <v>0</v>
      </c>
      <c r="J46" s="245">
        <f t="shared" ca="1" si="15"/>
        <v>0</v>
      </c>
      <c r="K46" s="234"/>
      <c r="L46" s="234"/>
      <c r="M46" s="234"/>
      <c r="Z46" s="219"/>
    </row>
    <row r="47" spans="1:42" s="2" customFormat="1" ht="30" customHeight="1" x14ac:dyDescent="0.2">
      <c r="A47" s="9"/>
      <c r="B47" s="234" t="s">
        <v>51</v>
      </c>
      <c r="C47" s="292" t="s">
        <v>81</v>
      </c>
      <c r="D47" s="292"/>
      <c r="E47" s="292"/>
      <c r="F47" s="243">
        <f t="shared" si="12"/>
        <v>0</v>
      </c>
      <c r="G47" s="244">
        <f>IF($M$41="Sistema de banco de horas",0,'P Gerais'!$F$14)</f>
        <v>1</v>
      </c>
      <c r="H47" s="245">
        <f t="shared" ca="1" si="13"/>
        <v>0</v>
      </c>
      <c r="I47" s="243">
        <f t="shared" ca="1" si="14"/>
        <v>0</v>
      </c>
      <c r="J47" s="245">
        <f t="shared" ca="1" si="15"/>
        <v>0</v>
      </c>
      <c r="K47" s="234"/>
      <c r="L47" s="234"/>
      <c r="M47" s="234"/>
      <c r="Z47" s="219"/>
    </row>
    <row r="48" spans="1:42" s="2" customFormat="1" ht="30" customHeight="1" x14ac:dyDescent="0.2">
      <c r="A48" s="9"/>
      <c r="B48" s="234"/>
      <c r="C48" s="292" t="s">
        <v>80</v>
      </c>
      <c r="D48" s="292"/>
      <c r="E48" s="292"/>
      <c r="F48" s="243">
        <f>SUMIFS($Q$8:$Q$38,$G$8:$G$38,"Feriado")</f>
        <v>0</v>
      </c>
      <c r="G48" s="244">
        <f>IF($M$41="Sistema de banco de horas",0,'P Gerais'!$I$14)</f>
        <v>1</v>
      </c>
      <c r="H48" s="245">
        <f t="shared" ca="1" si="13"/>
        <v>0</v>
      </c>
      <c r="I48" s="243"/>
      <c r="J48" s="245">
        <f t="shared" ca="1" si="15"/>
        <v>0</v>
      </c>
      <c r="K48" s="234"/>
      <c r="L48" s="234"/>
      <c r="M48" s="234"/>
      <c r="Z48" s="219"/>
    </row>
    <row r="49" spans="1:26" s="2" customFormat="1" ht="15" x14ac:dyDescent="0.2">
      <c r="A49" s="9"/>
      <c r="B49" s="234"/>
      <c r="C49" s="292" t="s">
        <v>146</v>
      </c>
      <c r="D49" s="292"/>
      <c r="E49" s="292"/>
      <c r="F49" s="243">
        <f>SUMIFS($Q$8:$Q$38,$G$8:$G$38,"Folga (DSR)")</f>
        <v>0</v>
      </c>
      <c r="G49" s="244">
        <f>IF($M$41="Sistema de banco de horas",0,'P Gerais'!H14)</f>
        <v>1</v>
      </c>
      <c r="H49" s="245">
        <f ca="1">((F53/(F39-G39))*G39)</f>
        <v>0</v>
      </c>
      <c r="I49" s="243"/>
      <c r="J49" s="245">
        <f t="shared" ca="1" si="15"/>
        <v>0</v>
      </c>
      <c r="K49" s="234"/>
      <c r="L49" s="234"/>
      <c r="M49" s="234"/>
      <c r="Z49" s="219"/>
    </row>
    <row r="50" spans="1:26" s="2" customFormat="1" ht="15" x14ac:dyDescent="0.2">
      <c r="A50" s="9"/>
      <c r="B50" s="234"/>
      <c r="C50" s="292" t="s">
        <v>84</v>
      </c>
      <c r="D50" s="292"/>
      <c r="E50" s="292"/>
      <c r="F50" s="243">
        <f ca="1">IF($M$41="Sistema de banco de horas",(SUM(AI$8:AI$38)*(1+G50)),SUM(AI$8:AI$38))</f>
        <v>0</v>
      </c>
      <c r="G50" s="244">
        <f>IF($M$41="Sistema de banco de horas",0,'P Gerais'!$I$17)</f>
        <v>0.5</v>
      </c>
      <c r="H50" s="245">
        <f ca="1">IF($M$41="Sistema de banco de horas",0,$K$40*(1+G50)*(F50*24))</f>
        <v>0</v>
      </c>
      <c r="I50" s="243">
        <f ca="1">IF(SUM($AN$8:$AO$38)&gt;SUM(AI$8:AI$38),0,SUM(AI$8:AI$38)-SUM($AN$8:$AO$38))</f>
        <v>0</v>
      </c>
      <c r="J50" s="245">
        <f t="shared" ca="1" si="15"/>
        <v>0</v>
      </c>
      <c r="K50" s="234"/>
      <c r="L50" s="234"/>
      <c r="M50" s="234"/>
      <c r="Z50" s="219"/>
    </row>
    <row r="51" spans="1:26" s="2" customFormat="1" ht="15" x14ac:dyDescent="0.2">
      <c r="A51" s="9"/>
      <c r="B51" s="234"/>
      <c r="C51" s="292" t="s">
        <v>85</v>
      </c>
      <c r="D51" s="292"/>
      <c r="E51" s="292"/>
      <c r="F51" s="243">
        <f>IF($M$41="Sistema de banco de horas",(SUM(AK$8:AK$38)*(1+G51)),SUM(AK$8:AK$38))</f>
        <v>0</v>
      </c>
      <c r="G51" s="244">
        <f>IF($M$41="Sistema de banco de horas",0,'P Gerais'!$C$17)</f>
        <v>1</v>
      </c>
      <c r="H51" s="245">
        <f ca="1">IF($M$41="Sistema de banco de horas",0,$K$40*(1+G51)*(F51*24))</f>
        <v>0</v>
      </c>
      <c r="I51" s="243"/>
      <c r="J51" s="245">
        <f t="shared" ca="1" si="15"/>
        <v>0</v>
      </c>
      <c r="K51" s="234"/>
      <c r="L51" s="234"/>
      <c r="M51" s="234"/>
      <c r="Z51" s="219"/>
    </row>
    <row r="52" spans="1:26" s="2" customFormat="1" ht="15" customHeight="1" x14ac:dyDescent="0.2">
      <c r="A52" s="9"/>
      <c r="B52" s="234"/>
      <c r="C52" s="292" t="s">
        <v>87</v>
      </c>
      <c r="D52" s="292"/>
      <c r="E52" s="292"/>
      <c r="F52" s="243">
        <f ca="1">U12</f>
        <v>0</v>
      </c>
      <c r="G52" s="246"/>
      <c r="H52" s="234"/>
      <c r="I52" s="234"/>
      <c r="J52" s="234"/>
      <c r="K52" s="234"/>
      <c r="L52" s="234"/>
      <c r="M52" s="234"/>
      <c r="Z52" s="219"/>
    </row>
    <row r="53" spans="1:26" s="2" customFormat="1" ht="15" x14ac:dyDescent="0.2">
      <c r="A53" s="9"/>
      <c r="B53" s="234"/>
      <c r="C53" s="292" t="s">
        <v>299</v>
      </c>
      <c r="D53" s="292"/>
      <c r="E53" s="292"/>
      <c r="F53" s="247">
        <f ca="1">SUM(H48)+J50+H51+SUM(J41:J47)</f>
        <v>0</v>
      </c>
      <c r="G53" s="248"/>
      <c r="H53" s="234"/>
      <c r="I53" s="234"/>
      <c r="J53" s="234"/>
      <c r="K53" s="234"/>
      <c r="L53" s="234"/>
      <c r="M53" s="234"/>
      <c r="Z53" s="219"/>
    </row>
    <row r="54" spans="1:26" s="2" customFormat="1" ht="15" x14ac:dyDescent="0.2">
      <c r="A54" s="9"/>
      <c r="B54" s="234"/>
      <c r="C54" s="292" t="s">
        <v>88</v>
      </c>
      <c r="D54" s="292"/>
      <c r="E54" s="292"/>
      <c r="F54" s="247">
        <f ca="1">F53+(H49*(1+G49))</f>
        <v>0</v>
      </c>
      <c r="G54" s="248"/>
      <c r="H54" s="249"/>
      <c r="I54" s="234"/>
      <c r="J54" s="234"/>
      <c r="K54" s="234"/>
      <c r="L54" s="234"/>
      <c r="M54" s="234"/>
      <c r="Z54" s="219"/>
    </row>
    <row r="55" spans="1:26" s="2" customFormat="1" ht="15" x14ac:dyDescent="0.2">
      <c r="A55" s="9"/>
      <c r="B55" s="234"/>
      <c r="C55" s="292" t="s">
        <v>89</v>
      </c>
      <c r="D55" s="292"/>
      <c r="E55" s="292"/>
      <c r="F55" s="247">
        <f ca="1">H40+F54</f>
        <v>0</v>
      </c>
      <c r="G55" s="246"/>
      <c r="H55" s="234"/>
      <c r="I55" s="234"/>
      <c r="J55" s="234"/>
      <c r="K55" s="234"/>
      <c r="L55" s="234"/>
      <c r="M55" s="234"/>
      <c r="Z55" s="219"/>
    </row>
    <row r="56" spans="1:26" s="2" customFormat="1" ht="15" x14ac:dyDescent="0.2">
      <c r="A56" s="9"/>
      <c r="B56" s="234"/>
      <c r="C56" s="292" t="s">
        <v>178</v>
      </c>
      <c r="D56" s="292"/>
      <c r="E56" s="292"/>
      <c r="F56" s="243">
        <f>IF($M$41="Sistema de banco de horas",(SUMIF($G$8:$G$38,"Férias",Q8:Q38))*(1+G48),SUMIF($G$8:$G$38,"Férias",Q8:Q38))</f>
        <v>0</v>
      </c>
      <c r="G56" s="246"/>
      <c r="H56" s="234"/>
      <c r="I56" s="234"/>
      <c r="J56" s="234"/>
      <c r="K56" s="234"/>
      <c r="L56" s="234"/>
      <c r="M56" s="234"/>
      <c r="Z56" s="219"/>
    </row>
    <row r="57" spans="1:26" s="2" customFormat="1" ht="15" x14ac:dyDescent="0.2">
      <c r="A57" s="9"/>
      <c r="B57" s="234"/>
      <c r="C57" s="239"/>
      <c r="D57" s="239"/>
      <c r="E57" s="239"/>
      <c r="F57" s="250">
        <f ca="1">U14</f>
        <v>0</v>
      </c>
      <c r="G57" s="246"/>
      <c r="H57" s="234"/>
      <c r="I57" s="234"/>
      <c r="J57" s="234"/>
      <c r="K57" s="234"/>
      <c r="L57" s="234"/>
      <c r="M57" s="234"/>
      <c r="Z57" s="219"/>
    </row>
    <row r="58" spans="1:26" s="2" customFormat="1" ht="15" x14ac:dyDescent="0.2">
      <c r="A58" s="9"/>
      <c r="B58" s="234"/>
      <c r="C58" s="239"/>
      <c r="D58" s="239"/>
      <c r="E58" s="239"/>
      <c r="F58" s="243">
        <f ca="1">SUM(F41:F51)</f>
        <v>0</v>
      </c>
      <c r="G58" s="246"/>
      <c r="H58" s="234"/>
      <c r="I58" s="234"/>
      <c r="J58" s="234"/>
      <c r="K58" s="234"/>
      <c r="L58" s="234"/>
      <c r="M58" s="234"/>
      <c r="Z58" s="219"/>
    </row>
    <row r="59" spans="1:26" s="2" customFormat="1" ht="15" x14ac:dyDescent="0.2">
      <c r="A59" s="9"/>
      <c r="Z59" s="219"/>
    </row>
    <row r="60" spans="1:26" s="2" customFormat="1" ht="15" x14ac:dyDescent="0.2">
      <c r="A60" s="9"/>
      <c r="G60" s="178"/>
      <c r="Z60" s="219"/>
    </row>
    <row r="61" spans="1:26" ht="15" x14ac:dyDescent="0.2"/>
    <row r="62" spans="1:26" ht="15" x14ac:dyDescent="0.2"/>
    <row r="63" spans="1:26" ht="15" x14ac:dyDescent="0.2"/>
    <row r="64" spans="1:26" ht="15" x14ac:dyDescent="0.2"/>
    <row r="65" ht="15" x14ac:dyDescent="0.2"/>
    <row r="66" ht="15" x14ac:dyDescent="0.2"/>
    <row r="67" ht="15" x14ac:dyDescent="0.2"/>
    <row r="68" ht="15" x14ac:dyDescent="0.2"/>
    <row r="69" ht="15" x14ac:dyDescent="0.2"/>
    <row r="70" ht="15" x14ac:dyDescent="0.2"/>
    <row r="71" ht="15" x14ac:dyDescent="0.2"/>
    <row r="72" ht="15" x14ac:dyDescent="0.2"/>
    <row r="73" ht="15" x14ac:dyDescent="0.2"/>
    <row r="74" ht="15" x14ac:dyDescent="0.2"/>
    <row r="75" ht="15" x14ac:dyDescent="0.2"/>
    <row r="76" ht="15" x14ac:dyDescent="0.2"/>
    <row r="77" ht="15" x14ac:dyDescent="0.2"/>
    <row r="78" ht="15" x14ac:dyDescent="0.2"/>
    <row r="79" ht="15" x14ac:dyDescent="0.2"/>
    <row r="80" ht="15" x14ac:dyDescent="0.2"/>
    <row r="81" ht="15" x14ac:dyDescent="0.2"/>
    <row r="82" ht="15" x14ac:dyDescent="0.2"/>
    <row r="83" ht="15" x14ac:dyDescent="0.2"/>
    <row r="84" ht="15" x14ac:dyDescent="0.2"/>
    <row r="85" ht="15" x14ac:dyDescent="0.2"/>
    <row r="86" ht="15" x14ac:dyDescent="0.2"/>
    <row r="87" ht="15" x14ac:dyDescent="0.2"/>
    <row r="88" ht="15" x14ac:dyDescent="0.2"/>
    <row r="89" ht="15" x14ac:dyDescent="0.2"/>
    <row r="90" ht="15" x14ac:dyDescent="0.2"/>
    <row r="91" ht="15" x14ac:dyDescent="0.2"/>
    <row r="92" ht="15" x14ac:dyDescent="0.2"/>
    <row r="93" ht="15" x14ac:dyDescent="0.2"/>
    <row r="94" ht="15" x14ac:dyDescent="0.2"/>
    <row r="95" ht="15" x14ac:dyDescent="0.2"/>
    <row r="96" ht="15" x14ac:dyDescent="0.2"/>
    <row r="97" ht="15" x14ac:dyDescent="0.2"/>
    <row r="98" ht="15" x14ac:dyDescent="0.2"/>
    <row r="99" ht="15" x14ac:dyDescent="0.2"/>
    <row r="100" ht="15" x14ac:dyDescent="0.2"/>
    <row r="101" ht="15" x14ac:dyDescent="0.2"/>
    <row r="102" ht="15" x14ac:dyDescent="0.2"/>
    <row r="103" ht="15" x14ac:dyDescent="0.2"/>
  </sheetData>
  <sheetProtection sheet="1" objects="1" scenarios="1" selectLockedCells="1"/>
  <mergeCells count="34">
    <mergeCell ref="C56:E56"/>
    <mergeCell ref="C48:E48"/>
    <mergeCell ref="C49:E49"/>
    <mergeCell ref="C50:E50"/>
    <mergeCell ref="C52:E52"/>
    <mergeCell ref="C53:E53"/>
    <mergeCell ref="C54:E54"/>
    <mergeCell ref="C51:E51"/>
    <mergeCell ref="C44:E44"/>
    <mergeCell ref="C55:E55"/>
    <mergeCell ref="C45:E45"/>
    <mergeCell ref="C46:E46"/>
    <mergeCell ref="C47:E47"/>
    <mergeCell ref="S22:U22"/>
    <mergeCell ref="C41:E41"/>
    <mergeCell ref="C42:E42"/>
    <mergeCell ref="C43:E43"/>
    <mergeCell ref="S26:U28"/>
    <mergeCell ref="S23:U25"/>
    <mergeCell ref="E7:F7"/>
    <mergeCell ref="I7:J7"/>
    <mergeCell ref="S7:U7"/>
    <mergeCell ref="S8:T9"/>
    <mergeCell ref="U8:U9"/>
    <mergeCell ref="S16:T17"/>
    <mergeCell ref="U16:U17"/>
    <mergeCell ref="S18:T19"/>
    <mergeCell ref="S10:T11"/>
    <mergeCell ref="U10:U11"/>
    <mergeCell ref="S12:T13"/>
    <mergeCell ref="U12:U13"/>
    <mergeCell ref="S14:T15"/>
    <mergeCell ref="U14:U15"/>
    <mergeCell ref="U18:U19"/>
  </mergeCells>
  <conditionalFormatting sqref="M8:M37">
    <cfRule type="cellIs" dxfId="552" priority="122" operator="greaterThan">
      <formula>0</formula>
    </cfRule>
  </conditionalFormatting>
  <conditionalFormatting sqref="L36:L37 N36:N37">
    <cfRule type="expression" dxfId="551" priority="89">
      <formula>AND($E36&lt;$E$35,$E$8=1)</formula>
    </cfRule>
    <cfRule type="expression" dxfId="550" priority="90">
      <formula>AND($E36&gt;=$E$8,$E$8&lt;&gt;1)</formula>
    </cfRule>
  </conditionalFormatting>
  <conditionalFormatting sqref="E36:E38">
    <cfRule type="expression" dxfId="549" priority="87">
      <formula>AND($E36&lt;$E$35,$E$8=1)</formula>
    </cfRule>
    <cfRule type="expression" dxfId="548" priority="88">
      <formula>AND($E36&gt;=$E$8,$E$8&lt;&gt;1)</formula>
    </cfRule>
  </conditionalFormatting>
  <conditionalFormatting sqref="O8:O37">
    <cfRule type="cellIs" dxfId="547" priority="82" operator="greaterThan">
      <formula>0.000001</formula>
    </cfRule>
  </conditionalFormatting>
  <conditionalFormatting sqref="O36:O37">
    <cfRule type="expression" dxfId="546" priority="80">
      <formula>AND($E36&lt;$E$35,$E$8=1)</formula>
    </cfRule>
    <cfRule type="expression" dxfId="545" priority="81">
      <formula>AND($E36&gt;=$E$8,$E$8&lt;&gt;1)</formula>
    </cfRule>
  </conditionalFormatting>
  <conditionalFormatting sqref="F8:F38">
    <cfRule type="containsText" dxfId="544" priority="78" operator="containsText" text="Dom">
      <formula>NOT(ISERROR(SEARCH("Dom",F8)))</formula>
    </cfRule>
    <cfRule type="containsText" dxfId="543" priority="79" operator="containsText" text="Sáb">
      <formula>NOT(ISERROR(SEARCH("Sáb",F8)))</formula>
    </cfRule>
  </conditionalFormatting>
  <conditionalFormatting sqref="Q8:Q37">
    <cfRule type="cellIs" dxfId="542" priority="76" operator="greaterThan">
      <formula>0.000001</formula>
    </cfRule>
  </conditionalFormatting>
  <conditionalFormatting sqref="G8:K35">
    <cfRule type="expression" dxfId="541" priority="48">
      <formula>OR($G8="Férias",$G8="Falta Injustificada")</formula>
    </cfRule>
    <cfRule type="expression" dxfId="540" priority="49">
      <formula>$G8="Folga (DSR)"</formula>
    </cfRule>
    <cfRule type="expression" dxfId="539" priority="50">
      <formula>$G8="Feriado"</formula>
    </cfRule>
    <cfRule type="expression" dxfId="538" priority="51">
      <formula>$F8="Dom"</formula>
    </cfRule>
  </conditionalFormatting>
  <conditionalFormatting sqref="H8:K35">
    <cfRule type="expression" dxfId="537" priority="47">
      <formula>OR($G8="Falta Justificada",$G8="Falta Injustificada")</formula>
    </cfRule>
  </conditionalFormatting>
  <conditionalFormatting sqref="G36:K37">
    <cfRule type="expression" dxfId="536" priority="43">
      <formula>OR($G36="Férias",$G36="Falta Injustificada")</formula>
    </cfRule>
    <cfRule type="expression" dxfId="535" priority="44">
      <formula>$G36="Folga (DSR)"</formula>
    </cfRule>
    <cfRule type="expression" dxfId="534" priority="45">
      <formula>$G36="Feriado"</formula>
    </cfRule>
    <cfRule type="expression" dxfId="533" priority="46">
      <formula>$F36="Dom"</formula>
    </cfRule>
  </conditionalFormatting>
  <conditionalFormatting sqref="G36:K37">
    <cfRule type="expression" dxfId="532" priority="40">
      <formula>AND($E36&lt;$E$35,$E$8=1)</formula>
    </cfRule>
    <cfRule type="expression" dxfId="531" priority="41">
      <formula>AND($E36&gt;=$E$8,$E$8&lt;&gt;1)</formula>
    </cfRule>
  </conditionalFormatting>
  <conditionalFormatting sqref="H36:K37">
    <cfRule type="expression" dxfId="530" priority="42">
      <formula>OR($G36="Falta Justificada",$G36="Falta Injustificada")</formula>
    </cfRule>
  </conditionalFormatting>
  <conditionalFormatting sqref="O38">
    <cfRule type="cellIs" dxfId="529" priority="38" operator="greaterThan">
      <formula>0.000001</formula>
    </cfRule>
  </conditionalFormatting>
  <conditionalFormatting sqref="M38">
    <cfRule type="cellIs" dxfId="528" priority="39" operator="greaterThan">
      <formula>0</formula>
    </cfRule>
  </conditionalFormatting>
  <conditionalFormatting sqref="L38:O38">
    <cfRule type="expression" dxfId="527" priority="37">
      <formula>AND($E38&gt;=$E$8,$E$8&lt;&gt;1)</formula>
    </cfRule>
  </conditionalFormatting>
  <conditionalFormatting sqref="G38:K38">
    <cfRule type="expression" dxfId="526" priority="24">
      <formula>OR($G38="Férias",$G38="Falta Injustificada")</formula>
    </cfRule>
    <cfRule type="expression" dxfId="525" priority="25">
      <formula>$G38="Folga (DSR)"</formula>
    </cfRule>
    <cfRule type="expression" dxfId="524" priority="26">
      <formula>$G38="Feriado"</formula>
    </cfRule>
    <cfRule type="expression" dxfId="523" priority="27">
      <formula>$F38="Dom"</formula>
    </cfRule>
  </conditionalFormatting>
  <conditionalFormatting sqref="H38:K38">
    <cfRule type="expression" dxfId="522" priority="23">
      <formula>OR($G38="Falta Justificada",$G38="Falta Injustificada")</formula>
    </cfRule>
  </conditionalFormatting>
  <conditionalFormatting sqref="Q38">
    <cfRule type="cellIs" dxfId="521" priority="20" operator="greaterThan">
      <formula>0.000001</formula>
    </cfRule>
  </conditionalFormatting>
  <conditionalFormatting sqref="L38:Q38">
    <cfRule type="expression" dxfId="520" priority="36">
      <formula>AND($E38&lt;$E$35,$E$8=1)</formula>
    </cfRule>
  </conditionalFormatting>
  <conditionalFormatting sqref="G38:Q38">
    <cfRule type="expression" dxfId="519" priority="21">
      <formula>AND($E38&lt;$E$35,$E$8=1)</formula>
    </cfRule>
    <cfRule type="expression" dxfId="518" priority="22">
      <formula>AND($E38&gt;=$E$8,$E$8&lt;&gt;1)</formula>
    </cfRule>
  </conditionalFormatting>
  <conditionalFormatting sqref="U10:U11">
    <cfRule type="expression" dxfId="517" priority="8">
      <formula>$V$11="Negativo"</formula>
    </cfRule>
  </conditionalFormatting>
  <conditionalFormatting sqref="U12:U13">
    <cfRule type="expression" dxfId="516" priority="528">
      <formula>$U$14&gt;$F$58</formula>
    </cfRule>
  </conditionalFormatting>
  <conditionalFormatting sqref="F40">
    <cfRule type="expression" dxfId="515" priority="529">
      <formula>$E40="Folga(DSR)"</formula>
    </cfRule>
    <cfRule type="expression" dxfId="514" priority="530">
      <formula>$E40="Feriado"</formula>
    </cfRule>
    <cfRule type="expression" dxfId="513" priority="531">
      <formula>$D40="Dom"</formula>
    </cfRule>
  </conditionalFormatting>
  <dataValidations count="3">
    <dataValidation type="list" allowBlank="1" showInputMessage="1" showErrorMessage="1" sqref="G8:G38">
      <formula1>"Normal,Feriado,Folga (DSR),Falta Justificada,Férias,Falta Injustificada"</formula1>
    </dataValidation>
    <dataValidation type="time" allowBlank="1" showInputMessage="1" showErrorMessage="1" sqref="H8:K38">
      <formula1>0</formula1>
      <formula2>0.999988425925926</formula2>
    </dataValidation>
    <dataValidation type="list" allowBlank="1" showInputMessage="1" showErrorMessage="1" sqref="E9:E35">
      <formula1>"1,5,10,16"</formula1>
    </dataValidation>
  </dataValidations>
  <hyperlinks>
    <hyperlink ref="C8" location="Lanç!A1" display="Lanç!A1"/>
    <hyperlink ref="C9" location="'Lanç (2)'!A1" display="'Lanç (2)'!A1"/>
    <hyperlink ref="C10" location="'Lanç (3)'!A1" display="'Lanç (3)'!A1"/>
    <hyperlink ref="C11" location="'Lanç (4)'!A1" display="'Lanç (4)'!A1"/>
    <hyperlink ref="C12" location="'Lanç (5)'!A1" display="'Lanç (5)'!A1"/>
    <hyperlink ref="C13" location="'Lanç (6)'!A1" display="'Lanç (6)'!A1"/>
    <hyperlink ref="C14" location="'Lanç (7)'!A1" display="'Lanç (7)'!A1"/>
    <hyperlink ref="C15" location="'Lanç (8)'!A1" display="'Lanç (8)'!A1"/>
    <hyperlink ref="C16" location="'Lanç (9)'!A1" display="'Lanç (9)'!A1"/>
    <hyperlink ref="C17" location="'Lanç (10)'!A1" display="'Lanç (10)'!A1"/>
    <hyperlink ref="C18" location="'Lanç (11)'!A1" display="'Lanç (11)'!A1"/>
    <hyperlink ref="C19" location="'Lanç (12)'!A1" display="'Lanç (12)'!A1"/>
    <hyperlink ref="C20" location="'Lanç (13)'!A1" display="'Lanç (13)'!A1"/>
    <hyperlink ref="C21" location="'Lanç (14)'!A1" display="'Lanç (14)'!A1"/>
    <hyperlink ref="C22" location="'Lanç (15)'!A1" display="'Lanç (15)'!A1"/>
    <hyperlink ref="C23" location="'Lanç (16)'!A1" display="'Lanç (16)'!A1"/>
    <hyperlink ref="C24" location="'Lanç (17)'!A1" display="'Lanç (17)'!A1"/>
    <hyperlink ref="C25" location="'Lanç (18)'!A1" display="'Lanç (18)'!A1"/>
    <hyperlink ref="C26" location="'Lanç (19)'!A1" display="'Lanç (19)'!A1"/>
    <hyperlink ref="C27" location="'Lanç (20)'!A1" display="'Lanç (20)'!A1"/>
    <hyperlink ref="C28" location="'Lanç (21)'!A1" display="'Lanç (21)'!A1"/>
    <hyperlink ref="C29" location="'Lanç (22)'!A1" display="'Lanç (22)'!A1"/>
    <hyperlink ref="C30" location="'Lanç (23)'!A1" display="'Lanç (23)'!A1"/>
    <hyperlink ref="C31" location="'Lanç (24)'!A1" display="'Lanç (24)'!A1"/>
    <hyperlink ref="C32" location="'Lanç (25)'!A1" display="'Lanç (25)'!A1"/>
    <hyperlink ref="C33" location="'Lanç (26)'!A1" display="'Lanç (26)'!A1"/>
    <hyperlink ref="C34" location="'Lanç (27)'!A1" display="'Lanç (27)'!A1"/>
    <hyperlink ref="C35" location="'Lanç (28)'!A1" display="'Lanç (28)'!A1"/>
    <hyperlink ref="C36" location="'Lanç (29)'!A1" display="'Lanç (29)'!A1"/>
    <hyperlink ref="C37" location="'Lanç (30)'!A1" display="'Lanç (30)'!A1"/>
  </hyperlinks>
  <printOptions horizontalCentered="1"/>
  <pageMargins left="0.23622047244094502" right="0.23622047244094502" top="0.74803149606299202" bottom="0.74803149606299202" header="0.31496062992126" footer="0.31496062992126"/>
  <pageSetup paperSize="9" scale="53" orientation="portrait" cellComments="atEnd"/>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69" id="{26ABF2BF-4A24-A140-8A99-8EF8CED00096}">
            <xm:f>'P Gerais'!$I$10:$M$10="Pagas em Dinheiro"</xm:f>
            <x14:dxf>
              <font>
                <color theme="0"/>
              </font>
              <fill>
                <patternFill>
                  <bgColor theme="0"/>
                </patternFill>
              </fill>
              <border>
                <left/>
                <right/>
                <top/>
                <bottom/>
              </border>
            </x14:dxf>
          </x14:cfRule>
          <xm:sqref>S10:T13</xm:sqref>
        </x14:conditionalFormatting>
        <x14:conditionalFormatting xmlns:xm="http://schemas.microsoft.com/office/excel/2006/main">
          <x14:cfRule type="expression" priority="68" id="{8F290F69-52F4-B241-892B-9A5CCB6CA7E9}">
            <xm:f>'P Gerais'!$I$10:$M$10="Sistema de banco de horas"</xm:f>
            <x14:dxf>
              <font>
                <color theme="0"/>
              </font>
              <fill>
                <patternFill>
                  <bgColor theme="0"/>
                </patternFill>
              </fill>
              <border>
                <left/>
                <right/>
                <top/>
                <bottom/>
              </border>
            </x14:dxf>
          </x14:cfRule>
          <xm:sqref>S18:T19</xm:sqref>
        </x14:conditionalFormatting>
        <x14:conditionalFormatting xmlns:xm="http://schemas.microsoft.com/office/excel/2006/main">
          <x14:cfRule type="expression" priority="10" id="{A1F55593-9B47-A843-8C24-B8D2C7C0E22C}">
            <xm:f>'P Gerais'!$I$10:$M$10="Sistema de banco de horas"</xm:f>
            <x14:dxf>
              <font>
                <color theme="0"/>
              </font>
              <fill>
                <patternFill>
                  <bgColor theme="0"/>
                </patternFill>
              </fill>
              <border>
                <left/>
                <right/>
                <top/>
                <bottom/>
              </border>
            </x14:dxf>
          </x14:cfRule>
          <xm:sqref>U18:U19</xm:sqref>
        </x14:conditionalFormatting>
        <x14:conditionalFormatting xmlns:xm="http://schemas.microsoft.com/office/excel/2006/main">
          <x14:cfRule type="expression" priority="7" id="{2E21428B-8A29-C443-8A64-34F9429D0C7A}">
            <xm:f>'P Gerais'!$I$10:$M$10="Pagas em Dinheiro"</xm:f>
            <x14:dxf>
              <font>
                <color theme="0"/>
              </font>
              <fill>
                <patternFill>
                  <bgColor theme="0"/>
                </patternFill>
              </fill>
              <border>
                <left/>
                <right/>
                <top/>
                <bottom/>
              </border>
            </x14:dxf>
          </x14:cfRule>
          <xm:sqref>U10:U13</xm:sqref>
        </x14:conditionalFormatting>
      </x14:conditionalFormattings>
    </ext>
  </extLs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22" enableFormatConditionsCalculation="0"/>
  <dimension ref="A1:BG103"/>
  <sheetViews>
    <sheetView showGridLines="0" zoomScale="90" zoomScaleNormal="90" zoomScalePageLayoutView="90" workbookViewId="0">
      <selection activeCell="I12" sqref="I12"/>
    </sheetView>
  </sheetViews>
  <sheetFormatPr baseColWidth="10" defaultColWidth="0" defaultRowHeight="0" customHeight="1" zeroHeight="1" x14ac:dyDescent="0.2"/>
  <cols>
    <col min="1" max="1" width="27.83203125" style="194" customWidth="1"/>
    <col min="2" max="2" width="3.83203125" style="14" customWidth="1"/>
    <col min="3" max="3" width="33.33203125" style="14" customWidth="1"/>
    <col min="4" max="4" width="2.83203125" style="14" customWidth="1"/>
    <col min="5" max="5" width="5.83203125" style="14" customWidth="1"/>
    <col min="6" max="6" width="11.83203125" style="14" customWidth="1"/>
    <col min="7" max="7" width="14.33203125" style="195" customWidth="1"/>
    <col min="8" max="11" width="9.83203125" style="14" customWidth="1"/>
    <col min="12" max="12" width="1.83203125" style="14" customWidth="1"/>
    <col min="13" max="13" width="13.33203125" style="14" customWidth="1"/>
    <col min="14" max="14" width="1.83203125" style="14" customWidth="1"/>
    <col min="15" max="15" width="13.33203125" style="14" customWidth="1"/>
    <col min="16" max="16" width="1.83203125" style="14" customWidth="1"/>
    <col min="17" max="17" width="13.33203125" style="14" customWidth="1"/>
    <col min="18" max="18" width="4.83203125" style="2" bestFit="1" customWidth="1"/>
    <col min="19" max="21" width="11.83203125" style="14" customWidth="1"/>
    <col min="22" max="23" width="8.83203125" style="2" customWidth="1"/>
    <col min="24" max="24" width="11.33203125" style="2" bestFit="1" customWidth="1"/>
    <col min="25" max="25" width="8.83203125" style="2" customWidth="1"/>
    <col min="26" max="26" width="8.1640625" style="219" bestFit="1" customWidth="1"/>
    <col min="27" max="27" width="8.83203125" style="2" customWidth="1"/>
    <col min="28" max="28" width="11.33203125" style="2" bestFit="1" customWidth="1"/>
    <col min="29" max="43" width="8.83203125" style="2" customWidth="1"/>
    <col min="44" max="50" width="11.33203125" style="2" customWidth="1"/>
    <col min="51" max="57" width="11.33203125" style="14" customWidth="1"/>
    <col min="58" max="16384" width="8.83203125" style="14" hidden="1"/>
  </cols>
  <sheetData>
    <row r="1" spans="1:59" s="15" customFormat="1" ht="33.75" customHeight="1" x14ac:dyDescent="0.3">
      <c r="A1" s="56"/>
      <c r="B1" s="3"/>
      <c r="C1" s="4" t="s">
        <v>30</v>
      </c>
      <c r="D1" s="3"/>
      <c r="E1" s="3"/>
      <c r="F1" s="3"/>
      <c r="G1" s="77"/>
      <c r="H1" s="3"/>
      <c r="I1" s="3"/>
      <c r="J1" s="3"/>
      <c r="K1" s="3"/>
      <c r="L1" s="3"/>
      <c r="M1" s="3"/>
      <c r="N1" s="3"/>
      <c r="O1" s="3"/>
      <c r="Q1" s="3"/>
      <c r="S1" s="3"/>
      <c r="T1" s="3"/>
      <c r="U1" s="3"/>
      <c r="Z1" s="174"/>
    </row>
    <row r="2" spans="1:59" s="15" customFormat="1" ht="21.5" customHeight="1" x14ac:dyDescent="0.2">
      <c r="A2" s="1"/>
      <c r="B2" s="3"/>
      <c r="C2" s="3"/>
      <c r="D2" s="3"/>
      <c r="E2" s="3"/>
      <c r="F2" s="3"/>
      <c r="G2" s="77"/>
      <c r="H2" s="3"/>
      <c r="I2" s="3"/>
      <c r="J2" s="3"/>
      <c r="K2" s="3"/>
      <c r="L2" s="3"/>
      <c r="M2" s="3"/>
      <c r="N2" s="3"/>
      <c r="O2" s="3"/>
      <c r="Q2" s="3"/>
      <c r="S2" s="3"/>
      <c r="T2" s="3"/>
      <c r="U2" s="3"/>
      <c r="Z2" s="174"/>
    </row>
    <row r="3" spans="1:59" s="15" customFormat="1" ht="21.5" customHeight="1" x14ac:dyDescent="0.2">
      <c r="A3" s="1"/>
      <c r="B3" s="3"/>
      <c r="C3" s="3"/>
      <c r="D3" s="3"/>
      <c r="E3" s="3"/>
      <c r="F3" s="3"/>
      <c r="G3" s="77"/>
      <c r="H3" s="3"/>
      <c r="I3" s="3"/>
      <c r="J3" s="3"/>
      <c r="K3" s="3"/>
      <c r="L3" s="3"/>
      <c r="M3" s="3"/>
      <c r="N3" s="3"/>
      <c r="O3" s="3"/>
      <c r="Q3" s="3"/>
      <c r="S3" s="3"/>
      <c r="T3" s="3"/>
      <c r="U3" s="3"/>
      <c r="Z3" s="174"/>
    </row>
    <row r="4" spans="1:59" s="2" customFormat="1" ht="30" customHeight="1" x14ac:dyDescent="0.2">
      <c r="A4" s="1"/>
      <c r="B4"/>
      <c r="C4"/>
      <c r="D4"/>
      <c r="E4"/>
      <c r="F4"/>
      <c r="G4" s="78"/>
      <c r="H4"/>
      <c r="I4"/>
      <c r="J4"/>
      <c r="K4"/>
      <c r="L4"/>
      <c r="M4"/>
      <c r="N4"/>
      <c r="O4" s="13"/>
      <c r="Q4"/>
      <c r="S4"/>
      <c r="T4"/>
      <c r="U4"/>
      <c r="Z4" s="219"/>
      <c r="AN4" s="175"/>
    </row>
    <row r="5" spans="1:59" s="2" customFormat="1" ht="30" customHeight="1" x14ac:dyDescent="0.2">
      <c r="A5" s="1"/>
      <c r="B5"/>
      <c r="C5" s="160" t="s">
        <v>203</v>
      </c>
      <c r="D5"/>
      <c r="E5"/>
      <c r="F5"/>
      <c r="G5"/>
      <c r="H5"/>
      <c r="I5"/>
      <c r="J5"/>
      <c r="K5" s="157">
        <f ca="1">IF(ISERROR(VLOOKUP(INDIRECT($C$5),Jornada!$C$8:$F$37,4,0)),0,VLOOKUP(INDIRECT($C$5),Jornada!$C$8:$F$37,4,0))</f>
        <v>0</v>
      </c>
      <c r="L5" s="158"/>
      <c r="M5" s="157">
        <f ca="1">IF(ISERROR(VLOOKUP(INDIRECT($C$5),Jornada!$C$8:$G$37,5,0)),0,VLOOKUP(INDIRECT($C$5),Jornada!$C$8:$G$37,5,0))</f>
        <v>0</v>
      </c>
      <c r="N5"/>
      <c r="O5" s="69"/>
      <c r="Q5"/>
      <c r="S5"/>
      <c r="T5"/>
      <c r="U5" s="12"/>
      <c r="Z5" s="219"/>
      <c r="AC5" s="12"/>
      <c r="AK5" s="179">
        <v>0.25</v>
      </c>
      <c r="AL5" s="155">
        <v>0.91666666666666663</v>
      </c>
      <c r="AM5" s="155">
        <v>0.20833333333333334</v>
      </c>
      <c r="AN5" s="155">
        <v>1</v>
      </c>
      <c r="AO5" s="155">
        <v>0.70833333333333337</v>
      </c>
    </row>
    <row r="6" spans="1:59" s="2" customFormat="1" ht="8" customHeight="1" thickBot="1" x14ac:dyDescent="0.25">
      <c r="A6" s="1"/>
      <c r="B6"/>
      <c r="C6" s="75"/>
      <c r="D6"/>
      <c r="E6"/>
      <c r="F6"/>
      <c r="G6" s="78"/>
      <c r="H6"/>
      <c r="I6"/>
      <c r="J6"/>
      <c r="M6" s="220">
        <v>1</v>
      </c>
      <c r="N6"/>
      <c r="O6" s="11"/>
      <c r="Q6" s="11"/>
      <c r="S6"/>
      <c r="T6"/>
      <c r="Z6" s="176"/>
    </row>
    <row r="7" spans="1:59" s="2" customFormat="1" ht="30" customHeight="1" thickTop="1" thickBot="1" x14ac:dyDescent="0.25">
      <c r="A7" s="1"/>
      <c r="B7"/>
      <c r="C7" s="76" t="s">
        <v>176</v>
      </c>
      <c r="D7"/>
      <c r="E7" s="281" t="str">
        <f>Lanç!E7</f>
        <v>Janeiro</v>
      </c>
      <c r="F7" s="283"/>
      <c r="G7" s="79" t="s">
        <v>58</v>
      </c>
      <c r="H7" s="82" t="s">
        <v>0</v>
      </c>
      <c r="I7" s="293" t="s">
        <v>59</v>
      </c>
      <c r="J7" s="293"/>
      <c r="K7" s="82" t="s">
        <v>60</v>
      </c>
      <c r="L7"/>
      <c r="M7" s="73" t="s">
        <v>61</v>
      </c>
      <c r="N7"/>
      <c r="O7" s="73" t="s">
        <v>62</v>
      </c>
      <c r="Q7" s="73" t="s">
        <v>63</v>
      </c>
      <c r="R7" s="155">
        <v>8.3333333333333329E-2</v>
      </c>
      <c r="S7" s="293" t="s">
        <v>64</v>
      </c>
      <c r="T7" s="293"/>
      <c r="U7" s="293"/>
      <c r="W7" s="2" t="s">
        <v>90</v>
      </c>
      <c r="X7" s="156">
        <v>1</v>
      </c>
      <c r="AB7" s="2">
        <f>VLOOKUP($E$7,$W$7:$X$18,2,0)</f>
        <v>1</v>
      </c>
      <c r="AG7" s="176" t="s">
        <v>167</v>
      </c>
      <c r="AH7" s="176" t="s">
        <v>168</v>
      </c>
      <c r="AI7" s="155">
        <v>0</v>
      </c>
      <c r="AJ7" s="155">
        <v>1</v>
      </c>
      <c r="AK7" s="155">
        <v>0.45833333333333331</v>
      </c>
      <c r="AL7" s="2" t="s">
        <v>0</v>
      </c>
      <c r="AM7" s="2" t="s">
        <v>162</v>
      </c>
      <c r="AN7" s="2" t="s">
        <v>184</v>
      </c>
      <c r="BE7" s="14"/>
      <c r="BF7" s="14"/>
      <c r="BG7" s="14"/>
    </row>
    <row r="8" spans="1:59" s="2" customFormat="1" ht="30" customHeight="1" thickTop="1" thickBot="1" x14ac:dyDescent="0.25">
      <c r="A8" s="1"/>
      <c r="B8"/>
      <c r="C8" s="172" t="str">
        <f>IF(Funcionários!C7=0,"",Funcionários!C7)</f>
        <v/>
      </c>
      <c r="D8"/>
      <c r="E8" s="115">
        <f>Lanç!E8</f>
        <v>1</v>
      </c>
      <c r="F8" s="189" t="str">
        <f>Lanç!F8</f>
        <v>Dom</v>
      </c>
      <c r="G8" s="80"/>
      <c r="H8" s="93"/>
      <c r="I8" s="93"/>
      <c r="J8" s="93"/>
      <c r="K8" s="93"/>
      <c r="L8" s="10"/>
      <c r="M8" s="95">
        <f>IF(AND(H8=K8,H8&lt;&gt;0),$M$6-IF(J8&lt;I8,$AJ$7+J8-I8,J8-I8),IF(H8&gt;K8,(K8+1-H8)-IF(J8&lt;I8,$AJ$7+J8-I8,J8-I8),(K8-H8)-IF(J8&lt;I8,$AJ$7+J8-I8,J8-I8)))</f>
        <v>0</v>
      </c>
      <c r="N8" s="96"/>
      <c r="O8" s="95">
        <f ca="1">IF(OR(G8=0,G8="Férias",G8="Falta Justificada",G8="Feriado",G8="Folga (DSR)"),0,IF(G8="Falta Injustificada",HLOOKUP($F8,Jornada!$X$7:$AD$37,VLOOKUP(INDIRECT($C$5),Jornada!$C$8:$W$37,21,0),0),IF(HLOOKUP($F8,Jornada!$X$7:$AD$37,VLOOKUP(INDIRECT($C$5),Jornada!$C$8:$W$37,21,0),0)-M8&gt;0,HLOOKUP($F8,Jornada!$X$7:$AD$37,VLOOKUP(INDIRECT($C$5),Jornada!$C$8:$W$37,21,0),0)-M8,0)))</f>
        <v>0</v>
      </c>
      <c r="P8" s="190">
        <f ca="1">IF(HLOOKUP($F8,Jornada!$X$7:$AD$37,VLOOKUP(INDIRECT($C$5),Jornada!$C$8:$W$37,21,0),0)-M8&lt;0,ABS(HLOOKUP($F8,Jornada!$X$7:$AD$37,VLOOKUP(INDIRECT($C$5),Jornada!$C$8:$W$37,21,0),0)-M8),0)</f>
        <v>0</v>
      </c>
      <c r="Q8" s="95">
        <f t="shared" ref="Q8:Q38" si="0">IF(G8="Normal",P8,IF(G8=0,0,IF(OR(G8="Feriado",G8="Férias"),IF(H8&gt;K8,(K8+1-H8)-IF(J8&lt;I8,$AJ$7+J8-I8,J8-I8),(K8-H8)-IF(J8&lt;I8,$AJ$7+J8-I8,J8-I8)),IF(G8="Folga (DSR)",IF(H8&gt;K8,(K8+1-H8)-IF(J8&lt;I8,$AJ$7+J8-I8,J8-I8),(K8-H8)-IF(J8&lt;I8,$AJ$7+J8-I8,J8-I8)),IF(G8="Falta Justificada",IF(H8&gt;K8,(K8+1-H8)-IF(J8&lt;I8,$AJ$7+J8-I8,J8-I8),(K8-H8)-IF(J8&lt;I8,$AJ$7+J8-I8,J8-I8)),0)))))</f>
        <v>0</v>
      </c>
      <c r="R8" s="2">
        <f>IF(Q8&gt;$R$7,1,0)</f>
        <v>0</v>
      </c>
      <c r="S8" s="294" t="s">
        <v>65</v>
      </c>
      <c r="T8" s="294"/>
      <c r="U8" s="295">
        <f>SUM(M8:M38)</f>
        <v>0</v>
      </c>
      <c r="W8" s="2" t="s">
        <v>91</v>
      </c>
      <c r="X8" s="156">
        <v>2</v>
      </c>
      <c r="AB8" s="177">
        <f>DATE('P Gerais'!$D$6,AB7,1)</f>
        <v>1</v>
      </c>
      <c r="AC8" s="2">
        <f>WEEKDAY(AB8)</f>
        <v>1</v>
      </c>
      <c r="AE8" s="2">
        <v>1</v>
      </c>
      <c r="AF8" s="2" t="s">
        <v>51</v>
      </c>
      <c r="AG8" s="220">
        <f>IF(J8&lt;I8,$AJ$7+J8-I8,J8-I8)</f>
        <v>0</v>
      </c>
      <c r="AH8" s="220">
        <f ca="1">IF(HLOOKUP($F8,Jornada!$X$7:$AD$37,VLOOKUP(INDIRECT($C$5),Jornada!$C$8:$W$37,21,0),0)=0,0,VLOOKUP(INDIRECT($C$5),Jornada!$C$8:$H$37,4,0))</f>
        <v>0</v>
      </c>
      <c r="AI8" s="155">
        <f ca="1">IF(AND(I8=0,J8=0,OR(H8&lt;&gt;0,K8&lt;&gt;0),HLOOKUP($F8,Jornada!$X$7:$AD$37,VLOOKUP(INDIRECT($C$5),Jornada!$C$8:$W$37,21,0),0)&gt;$AK$5,M8&gt;$AK$5),VLOOKUP(INDIRECT($C$5),Jornada!$C$8:$H$37,6,0),IF(AG8&gt;VLOOKUP(INDIRECT($C$5),Jornada!$C$8:$H$37,6,0),IF(VLOOKUP(INDIRECT($C$5),Jornada!$C$8:$H$37,6,0)&lt;AG8,0,ABS(VLOOKUP(INDIRECT($C$5),Jornada!$C$8:$H$37,6,0))-AG8),0))</f>
        <v>0</v>
      </c>
      <c r="AJ8" s="155">
        <f>($AJ$7-K8)+H8</f>
        <v>1</v>
      </c>
      <c r="AK8" s="155">
        <f>IF(AJ8&lt;$AK$7,$AK$7-AJ8,$AI$7)</f>
        <v>0</v>
      </c>
      <c r="AL8" s="155">
        <f ca="1">HLOOKUP($F8,Jornada!$I$5:$V$37,VLOOKUP(INDIRECT($C$5),Jornada!$C$8:$W$37,21,0)+2,0)</f>
        <v>0</v>
      </c>
      <c r="AM8" s="155">
        <f ca="1">HLOOKUP($F8,Jornada!$I$4:$V$37,VLOOKUP(INDIRECT($C$5),Jornada!$C$8:$W$37,21,0)+3,0)</f>
        <v>0</v>
      </c>
      <c r="AN8" s="155">
        <f ca="1">IF(AND(AL8&gt;=$AL$5,AL8&lt;$AN$5,H8&gt;=$AL$5,H8&lt;AL8),AL8-H8,IF(AND(AL8&gt;$AI$7,AL8&lt;=$AM$5,H8&gt;=$AL$5,H8&lt;=$AN$5),$AN$5-H8+AL8,IF(AND(AL8&gt;=$AI$7,AL8&lt;=$AM$5,H8&gt;=$AI$7,H8&lt;=$AM$5,H8&lt;AL8),H8-AL8,0)))</f>
        <v>0</v>
      </c>
      <c r="AO8" s="155">
        <f>IF(AP8&gt;Q8,0,AP8)</f>
        <v>0</v>
      </c>
      <c r="AP8" s="155">
        <f>IF(Q8=0,0,IF(AND(AM8&gt;=$AL$5,AM8&lt;$AN$5,K8&gt;=$AL$5,K8&lt;$AM$5,K8&gt;AM8),K8-AM8,IF(AND(AM8&gt;=$AL$5,AM8&lt;$AN$5,K8&lt;$AN$5,K8&gt;AM8),K8-$AL$5,IF(AND(AM8&gt;=$AI$7,AM8&lt;$AM$5,K8&lt;$AM$5),K8-AM8,IF(AND(AM8&lt;&gt;AI7,AM8&gt;=$AI$7,AM8&lt;=$AM$5,K8&gt;$AM$5,K8&gt;AM8),$AM$5-AM8,IF(AND(K8&gt;$AL$5,K8&lt;$AN$5),K8-$AL$5,IF(AND(K8&gt;$AI$7,K8&lt;$AM$5),$AN$5-$AL$5+K8,IF(AND(OR(K8&gt;$AL$5,H8&gt;$AO$5),AM8&gt;=$AI$7,AM8&lt;$AM$5,K8&gt;$AM$5),(1+$AM$5-$AL$5)-AG8,0))))))))</f>
        <v>0</v>
      </c>
      <c r="BE8" s="14"/>
      <c r="BF8" s="14"/>
      <c r="BG8" s="14"/>
    </row>
    <row r="9" spans="1:59" s="2" customFormat="1" ht="30" customHeight="1" thickTop="1" thickBot="1" x14ac:dyDescent="0.25">
      <c r="A9" s="1"/>
      <c r="B9"/>
      <c r="C9" s="172" t="str">
        <f>IF(Funcionários!C8=0,"",Funcionários!C8)</f>
        <v/>
      </c>
      <c r="D9"/>
      <c r="E9" s="115">
        <f>Lanç!E9</f>
        <v>2</v>
      </c>
      <c r="F9" s="189" t="str">
        <f>Lanç!F9</f>
        <v>Seg</v>
      </c>
      <c r="G9" s="81"/>
      <c r="H9" s="94"/>
      <c r="I9" s="94"/>
      <c r="J9" s="94"/>
      <c r="K9" s="94"/>
      <c r="L9" s="10"/>
      <c r="M9" s="95">
        <f t="shared" ref="M9:M38" si="1">IF(AND(H9=K9,H9&lt;&gt;0),$M$6-IF(J9&lt;I9,$AJ$7+J9-I9,J9-I9),IF(H9&gt;K9,(K9+1-H9)-IF(J9&lt;I9,$AJ$7+J9-I9,J9-I9),(K9-H9)-IF(J9&lt;I9,$AJ$7+J9-I9,J9-I9)))</f>
        <v>0</v>
      </c>
      <c r="N9" s="96"/>
      <c r="O9" s="95">
        <f ca="1">IF(OR(G9=0,G9="Férias",G9="Falta Justificada",G9="Feriado",G9="Folga (DSR)"),0,IF(G9="Falta Injustificada",HLOOKUP($F9,Jornada!$X$7:$AD$37,VLOOKUP(INDIRECT($C$5),Jornada!$C$8:$W$37,21,0),0),IF(HLOOKUP($F9,Jornada!$X$7:$AD$37,VLOOKUP(INDIRECT($C$5),Jornada!$C$8:$W$37,21,0),0)-M9&gt;0,HLOOKUP($F9,Jornada!$X$7:$AD$37,VLOOKUP(INDIRECT($C$5),Jornada!$C$8:$W$37,21,0),0)-M9,0)))</f>
        <v>0</v>
      </c>
      <c r="P9" s="190">
        <f ca="1">IF(HLOOKUP($F9,Jornada!$X$7:$AD$37,VLOOKUP(INDIRECT($C$5),Jornada!$C$8:$W$37,21,0),0)-M9&lt;0,ABS(HLOOKUP($F9,Jornada!$X$7:$AD$37,VLOOKUP(INDIRECT($C$5),Jornada!$C$8:$W$37,21,0),0)-M9),0)</f>
        <v>0</v>
      </c>
      <c r="Q9" s="95">
        <f t="shared" si="0"/>
        <v>0</v>
      </c>
      <c r="R9" s="2">
        <f t="shared" ref="R9:R38" si="2">IF(Q9&gt;$R$7,1,0)</f>
        <v>0</v>
      </c>
      <c r="S9" s="294"/>
      <c r="T9" s="294"/>
      <c r="U9" s="295"/>
      <c r="W9" s="2" t="s">
        <v>92</v>
      </c>
      <c r="X9" s="156">
        <v>3</v>
      </c>
      <c r="AB9" s="177">
        <f>AB8+1</f>
        <v>2</v>
      </c>
      <c r="AC9" s="2">
        <f t="shared" ref="AC9:AC35" si="3">WEEKDAY(AB9)</f>
        <v>2</v>
      </c>
      <c r="AE9" s="2">
        <v>2</v>
      </c>
      <c r="AF9" s="2" t="s">
        <v>52</v>
      </c>
      <c r="AG9" s="220">
        <f t="shared" ref="AG9:AG38" si="4">IF(J9&lt;I9,$AJ$7+J9-I9,J9-I9)</f>
        <v>0</v>
      </c>
      <c r="AH9" s="220">
        <f ca="1">IF(HLOOKUP($F9,Jornada!$X$7:$AD$37,VLOOKUP(INDIRECT($C$5),Jornada!$C$8:$W$37,21,0),0)=0,0,VLOOKUP(INDIRECT($C$5),Jornada!$C$8:$H$37,4,0))</f>
        <v>0</v>
      </c>
      <c r="AI9" s="155">
        <f ca="1">IF(AND(I9=0,J9=0,OR(H9&lt;&gt;0,K9&lt;&gt;0),HLOOKUP($F9,Jornada!$X$7:$AD$37,VLOOKUP(INDIRECT($C$5),Jornada!$C$8:$W$37,21,0),0)&gt;$AK$5,M9&gt;$AK$5),VLOOKUP(INDIRECT($C$5),Jornada!$C$8:$H$37,6,0),IF(AG9&gt;VLOOKUP(INDIRECT($C$5),Jornada!$C$8:$H$37,6,0),IF(VLOOKUP(INDIRECT($C$5),Jornada!$C$8:$H$37,6,0)&lt;AG9,0,ABS(VLOOKUP(INDIRECT($C$5),Jornada!$C$8:$H$37,6,0))-AG9),0))</f>
        <v>0</v>
      </c>
      <c r="AJ9" s="155">
        <f t="shared" ref="AJ9:AJ38" si="5">($AJ$7-K9)+H9</f>
        <v>1</v>
      </c>
      <c r="AK9" s="155">
        <f t="shared" ref="AK9:AK38" si="6">IF(AJ9&lt;$AK$7,$AK$7-AJ9,$AI$7)</f>
        <v>0</v>
      </c>
      <c r="AL9" s="155">
        <f ca="1">HLOOKUP($F9,Jornada!$I$5:$V$37,VLOOKUP(INDIRECT($C$5),Jornada!$C$8:$W$37,21,0)+2,0)</f>
        <v>0</v>
      </c>
      <c r="AM9" s="155">
        <f ca="1">HLOOKUP($F9,Jornada!$I$4:$V$37,VLOOKUP(INDIRECT($C$5),Jornada!$C$8:$W$37,21,0)+3,0)</f>
        <v>0</v>
      </c>
      <c r="AN9" s="155">
        <f t="shared" ref="AN9:AN38" ca="1" si="7">IF(AND(AL9&gt;=$AL$5,AL9&lt;$AN$5,H9&gt;=$AL$5,H9&lt;AL9),AL9-H9,IF(AND(AL9&gt;$AI$7,AL9&lt;=$AM$5,H9&gt;=$AL$5,H9&lt;=$AN$5),$AN$5-H9+AL9,IF(AND(AL9&gt;=$AI$7,AL9&lt;=$AM$5,H9&gt;=$AI$7,H9&lt;=$AM$5,H9&lt;AL9),H9-AL9,0)))</f>
        <v>0</v>
      </c>
      <c r="AO9" s="155">
        <f t="shared" ref="AO9:AO38" si="8">IF(AP9&gt;Q9,0,AP9)</f>
        <v>0</v>
      </c>
      <c r="AP9" s="155">
        <f t="shared" ref="AP9:AP38" si="9">IF(Q9=0,0,IF(AND(AM9&gt;=$AL$5,AM9&lt;$AN$5,K9&gt;=$AL$5,K9&lt;$AM$5,K9&gt;AM9),K9-AM9,IF(AND(AM9&gt;=$AL$5,AM9&lt;$AN$5,K9&lt;$AN$5,K9&gt;AM9),K9-$AL$5,IF(AND(AM9&gt;=$AI$7,AM9&lt;$AM$5,K9&lt;$AM$5),K9-AM9,IF(AND(AM9&lt;&gt;AI8,AM9&gt;=$AI$7,AM9&lt;=$AM$5,K9&gt;$AM$5,K9&gt;AM9),$AM$5-AM9,IF(AND(K9&gt;$AL$5,K9&lt;$AN$5),K9-$AL$5,IF(AND(K9&gt;$AI$7,K9&lt;$AM$5),$AN$5-$AL$5+K9,IF(AND(OR(K9&gt;$AL$5,H9&gt;$AO$5),AM9&gt;=$AI$7,AM9&lt;$AM$5,K9&gt;$AM$5),(1+$AM$5-$AL$5)-AG9,0))))))))</f>
        <v>0</v>
      </c>
      <c r="BE9" s="14"/>
      <c r="BF9" s="14"/>
      <c r="BG9" s="14"/>
    </row>
    <row r="10" spans="1:59" s="2" customFormat="1" ht="30" customHeight="1" thickTop="1" thickBot="1" x14ac:dyDescent="0.25">
      <c r="A10" s="1"/>
      <c r="B10"/>
      <c r="C10" s="172" t="str">
        <f>IF(Funcionários!C9=0,"",Funcionários!C9)</f>
        <v/>
      </c>
      <c r="D10"/>
      <c r="E10" s="115">
        <f>Lanç!E10</f>
        <v>3</v>
      </c>
      <c r="F10" s="189" t="str">
        <f>Lanç!F10</f>
        <v>Ter</v>
      </c>
      <c r="G10" s="81"/>
      <c r="H10" s="94"/>
      <c r="I10" s="94"/>
      <c r="J10" s="94"/>
      <c r="K10" s="94"/>
      <c r="L10" s="10"/>
      <c r="M10" s="95">
        <f t="shared" si="1"/>
        <v>0</v>
      </c>
      <c r="N10" s="96"/>
      <c r="O10" s="95">
        <f ca="1">IF(OR(G10=0,G10="Férias",G10="Falta Justificada",G10="Feriado",G10="Folga (DSR)"),0,IF(G10="Falta Injustificada",HLOOKUP($F10,Jornada!$X$7:$AD$37,VLOOKUP(INDIRECT($C$5),Jornada!$C$8:$W$37,21,0),0),IF(HLOOKUP($F10,Jornada!$X$7:$AD$37,VLOOKUP(INDIRECT($C$5),Jornada!$C$8:$W$37,21,0),0)-M10&gt;0,HLOOKUP($F10,Jornada!$X$7:$AD$37,VLOOKUP(INDIRECT($C$5),Jornada!$C$8:$W$37,21,0),0)-M10,0)))</f>
        <v>0</v>
      </c>
      <c r="P10" s="190">
        <f ca="1">IF(HLOOKUP($F10,Jornada!$X$7:$AD$37,VLOOKUP(INDIRECT($C$5),Jornada!$C$8:$W$37,21,0),0)-M10&lt;0,ABS(HLOOKUP($F10,Jornada!$X$7:$AD$37,VLOOKUP(INDIRECT($C$5),Jornada!$C$8:$W$37,21,0),0)-M10),0)</f>
        <v>0</v>
      </c>
      <c r="Q10" s="95">
        <f t="shared" si="0"/>
        <v>0</v>
      </c>
      <c r="R10" s="2">
        <f t="shared" si="2"/>
        <v>0</v>
      </c>
      <c r="S10" s="294" t="s">
        <v>66</v>
      </c>
      <c r="T10" s="294"/>
      <c r="U10" s="295">
        <f ca="1">IF(M5="Horas devidas",ABS(-K5+F58-U14),ABS(K5+F58-U14))</f>
        <v>0</v>
      </c>
      <c r="W10" s="2" t="s">
        <v>93</v>
      </c>
      <c r="X10" s="156">
        <v>4</v>
      </c>
      <c r="AB10" s="177">
        <f t="shared" ref="AB10:AB34" si="10">AB9+1</f>
        <v>3</v>
      </c>
      <c r="AC10" s="2">
        <f t="shared" si="3"/>
        <v>3</v>
      </c>
      <c r="AE10" s="2">
        <v>3</v>
      </c>
      <c r="AF10" s="2" t="s">
        <v>53</v>
      </c>
      <c r="AG10" s="220">
        <f t="shared" si="4"/>
        <v>0</v>
      </c>
      <c r="AH10" s="220">
        <f ca="1">IF(HLOOKUP($F10,Jornada!$X$7:$AD$37,VLOOKUP(INDIRECT($C$5),Jornada!$C$8:$W$37,21,0),0)=0,0,VLOOKUP(INDIRECT($C$5),Jornada!$C$8:$H$37,4,0))</f>
        <v>0</v>
      </c>
      <c r="AI10" s="155">
        <f ca="1">IF(AND(I10=0,J10=0,OR(H10&lt;&gt;0,K10&lt;&gt;0),HLOOKUP($F10,Jornada!$X$7:$AD$37,VLOOKUP(INDIRECT($C$5),Jornada!$C$8:$W$37,21,0),0)&gt;$AK$5,M10&gt;$AK$5),VLOOKUP(INDIRECT($C$5),Jornada!$C$8:$H$37,6,0),IF(AG10&gt;VLOOKUP(INDIRECT($C$5),Jornada!$C$8:$H$37,6,0),IF(VLOOKUP(INDIRECT($C$5),Jornada!$C$8:$H$37,6,0)&lt;AG10,0,ABS(VLOOKUP(INDIRECT($C$5),Jornada!$C$8:$H$37,6,0))-AG10),0))</f>
        <v>0</v>
      </c>
      <c r="AJ10" s="155">
        <f t="shared" si="5"/>
        <v>1</v>
      </c>
      <c r="AK10" s="155">
        <f t="shared" si="6"/>
        <v>0</v>
      </c>
      <c r="AL10" s="155">
        <f ca="1">HLOOKUP($F10,Jornada!$I$5:$V$37,VLOOKUP(INDIRECT($C$5),Jornada!$C$8:$W$37,21,0)+2,0)</f>
        <v>0</v>
      </c>
      <c r="AM10" s="155">
        <f ca="1">HLOOKUP($F10,Jornada!$I$4:$V$37,VLOOKUP(INDIRECT($C$5),Jornada!$C$8:$W$37,21,0)+3,0)</f>
        <v>0</v>
      </c>
      <c r="AN10" s="155">
        <f t="shared" ca="1" si="7"/>
        <v>0</v>
      </c>
      <c r="AO10" s="155">
        <f t="shared" si="8"/>
        <v>0</v>
      </c>
      <c r="AP10" s="155">
        <f t="shared" si="9"/>
        <v>0</v>
      </c>
      <c r="BE10" s="14"/>
      <c r="BF10" s="14"/>
      <c r="BG10" s="14"/>
    </row>
    <row r="11" spans="1:59" s="2" customFormat="1" ht="30" customHeight="1" thickTop="1" thickBot="1" x14ac:dyDescent="0.25">
      <c r="A11" s="1"/>
      <c r="B11"/>
      <c r="C11" s="172" t="str">
        <f>IF(Funcionários!C10=0,"",Funcionários!C10)</f>
        <v/>
      </c>
      <c r="D11"/>
      <c r="E11" s="115">
        <f>Lanç!E11</f>
        <v>4</v>
      </c>
      <c r="F11" s="189" t="str">
        <f>Lanç!F11</f>
        <v>Qua</v>
      </c>
      <c r="G11" s="81"/>
      <c r="H11" s="94"/>
      <c r="I11" s="94"/>
      <c r="J11" s="94"/>
      <c r="K11" s="94"/>
      <c r="L11" s="10"/>
      <c r="M11" s="95">
        <f t="shared" si="1"/>
        <v>0</v>
      </c>
      <c r="N11" s="96"/>
      <c r="O11" s="95">
        <f ca="1">IF(OR(G11=0,G11="Férias",G11="Falta Justificada",G11="Feriado",G11="Folga (DSR)"),0,IF(G11="Falta Injustificada",HLOOKUP($F11,Jornada!$X$7:$AD$37,VLOOKUP(INDIRECT($C$5),Jornada!$C$8:$W$37,21,0),0),IF(HLOOKUP($F11,Jornada!$X$7:$AD$37,VLOOKUP(INDIRECT($C$5),Jornada!$C$8:$W$37,21,0),0)-M11&gt;0,HLOOKUP($F11,Jornada!$X$7:$AD$37,VLOOKUP(INDIRECT($C$5),Jornada!$C$8:$W$37,21,0),0)-M11,0)))</f>
        <v>0</v>
      </c>
      <c r="P11" s="190">
        <f ca="1">IF(HLOOKUP($F11,Jornada!$X$7:$AD$37,VLOOKUP(INDIRECT($C$5),Jornada!$C$8:$W$37,21,0),0)-M11&lt;0,ABS(HLOOKUP($F11,Jornada!$X$7:$AD$37,VLOOKUP(INDIRECT($C$5),Jornada!$C$8:$W$37,21,0),0)-M11),0)</f>
        <v>0</v>
      </c>
      <c r="Q11" s="95">
        <f t="shared" si="0"/>
        <v>0</v>
      </c>
      <c r="R11" s="2">
        <f t="shared" si="2"/>
        <v>0</v>
      </c>
      <c r="S11" s="294"/>
      <c r="T11" s="294"/>
      <c r="U11" s="295"/>
      <c r="V11" s="2">
        <f ca="1">IF(AND(K5&gt;U12,M5="Horas devidas"),"Negativo",IF(AND(U12&gt;K5,U14&gt;F58),"Negativo",0))</f>
        <v>0</v>
      </c>
      <c r="W11" s="2" t="s">
        <v>94</v>
      </c>
      <c r="X11" s="156">
        <v>5</v>
      </c>
      <c r="Z11" s="2" t="str">
        <f ca="1">IF(AND(M5="horas extras",Z13="positivo"),"positivo",IF(AND(M5="horas devidas",Z13="Negativo"),"Negativo",IF(AND(Z13="positivo",M5="horas devidas",U12&gt;K5),"Positivo","Negativo")))</f>
        <v>Negativo</v>
      </c>
      <c r="AB11" s="177">
        <f t="shared" si="10"/>
        <v>4</v>
      </c>
      <c r="AC11" s="2">
        <f t="shared" si="3"/>
        <v>4</v>
      </c>
      <c r="AE11" s="2">
        <v>4</v>
      </c>
      <c r="AF11" s="2" t="s">
        <v>54</v>
      </c>
      <c r="AG11" s="220">
        <f t="shared" si="4"/>
        <v>0</v>
      </c>
      <c r="AH11" s="220">
        <f ca="1">IF(HLOOKUP($F11,Jornada!$X$7:$AD$37,VLOOKUP(INDIRECT($C$5),Jornada!$C$8:$W$37,21,0),0)=0,0,VLOOKUP(INDIRECT($C$5),Jornada!$C$8:$H$37,4,0))</f>
        <v>0</v>
      </c>
      <c r="AI11" s="155">
        <f ca="1">IF(AND(I11=0,J11=0,OR(H11&lt;&gt;0,K11&lt;&gt;0),HLOOKUP($F11,Jornada!$X$7:$AD$37,VLOOKUP(INDIRECT($C$5),Jornada!$C$8:$W$37,21,0),0)&gt;$AK$5,M11&gt;$AK$5),VLOOKUP(INDIRECT($C$5),Jornada!$C$8:$H$37,6,0),IF(AG11&gt;VLOOKUP(INDIRECT($C$5),Jornada!$C$8:$H$37,6,0),IF(VLOOKUP(INDIRECT($C$5),Jornada!$C$8:$H$37,6,0)&lt;AG11,0,ABS(VLOOKUP(INDIRECT($C$5),Jornada!$C$8:$H$37,6,0))-AG11),0))</f>
        <v>0</v>
      </c>
      <c r="AJ11" s="155">
        <f t="shared" si="5"/>
        <v>1</v>
      </c>
      <c r="AK11" s="155">
        <f t="shared" si="6"/>
        <v>0</v>
      </c>
      <c r="AL11" s="155">
        <f ca="1">HLOOKUP($F11,Jornada!$I$5:$V$37,VLOOKUP(INDIRECT($C$5),Jornada!$C$8:$W$37,21,0)+2,0)</f>
        <v>0</v>
      </c>
      <c r="AM11" s="155">
        <f ca="1">HLOOKUP($F11,Jornada!$I$4:$V$37,VLOOKUP(INDIRECT($C$5),Jornada!$C$8:$W$37,21,0)+3,0)</f>
        <v>0</v>
      </c>
      <c r="AN11" s="155">
        <f t="shared" ca="1" si="7"/>
        <v>0</v>
      </c>
      <c r="AO11" s="155">
        <f t="shared" si="8"/>
        <v>0</v>
      </c>
      <c r="AP11" s="155">
        <f t="shared" si="9"/>
        <v>0</v>
      </c>
      <c r="BE11" s="14"/>
      <c r="BF11" s="14"/>
      <c r="BG11" s="14"/>
    </row>
    <row r="12" spans="1:59" s="2" customFormat="1" ht="30" customHeight="1" thickTop="1" thickBot="1" x14ac:dyDescent="0.25">
      <c r="A12" s="1"/>
      <c r="B12"/>
      <c r="C12" s="172" t="str">
        <f>IF(Funcionários!C11=0,"",Funcionários!C11)</f>
        <v/>
      </c>
      <c r="D12"/>
      <c r="E12" s="115">
        <f>Lanç!E12</f>
        <v>5</v>
      </c>
      <c r="F12" s="189" t="str">
        <f>Lanç!F12</f>
        <v>Qui</v>
      </c>
      <c r="G12" s="81"/>
      <c r="H12" s="94"/>
      <c r="I12" s="94"/>
      <c r="J12" s="94"/>
      <c r="K12" s="94"/>
      <c r="L12" s="10"/>
      <c r="M12" s="95">
        <f t="shared" si="1"/>
        <v>0</v>
      </c>
      <c r="N12" s="96"/>
      <c r="O12" s="95">
        <f ca="1">IF(OR(G12=0,G12="Férias",G12="Falta Justificada",G12="Feriado",G12="Folga (DSR)"),0,IF(G12="Falta Injustificada",HLOOKUP($F12,Jornada!$X$7:$AD$37,VLOOKUP(INDIRECT($C$5),Jornada!$C$8:$W$37,21,0),0),IF(HLOOKUP($F12,Jornada!$X$7:$AD$37,VLOOKUP(INDIRECT($C$5),Jornada!$C$8:$W$37,21,0),0)-M12&gt;0,HLOOKUP($F12,Jornada!$X$7:$AD$37,VLOOKUP(INDIRECT($C$5),Jornada!$C$8:$W$37,21,0),0)-M12,0)))</f>
        <v>0</v>
      </c>
      <c r="P12" s="190">
        <f ca="1">IF(HLOOKUP($F12,Jornada!$X$7:$AD$37,VLOOKUP(INDIRECT($C$5),Jornada!$C$8:$W$37,21,0),0)-M12&lt;0,ABS(HLOOKUP($F12,Jornada!$X$7:$AD$37,VLOOKUP(INDIRECT($C$5),Jornada!$C$8:$W$37,21,0),0)-M12),0)</f>
        <v>0</v>
      </c>
      <c r="Q12" s="95">
        <f t="shared" si="0"/>
        <v>0</v>
      </c>
      <c r="R12" s="2">
        <f t="shared" si="2"/>
        <v>0</v>
      </c>
      <c r="S12" s="294" t="s">
        <v>175</v>
      </c>
      <c r="T12" s="294"/>
      <c r="U12" s="295">
        <f ca="1">IF(U14&gt;=F58,(U14)-F58,(F58-U14))</f>
        <v>0</v>
      </c>
      <c r="W12" s="2" t="s">
        <v>95</v>
      </c>
      <c r="X12" s="156">
        <v>6</v>
      </c>
      <c r="AB12" s="177">
        <f t="shared" si="10"/>
        <v>5</v>
      </c>
      <c r="AC12" s="2">
        <f t="shared" si="3"/>
        <v>5</v>
      </c>
      <c r="AE12" s="2">
        <v>5</v>
      </c>
      <c r="AF12" s="2" t="s">
        <v>55</v>
      </c>
      <c r="AG12" s="220">
        <f t="shared" si="4"/>
        <v>0</v>
      </c>
      <c r="AH12" s="220">
        <f ca="1">IF(HLOOKUP($F12,Jornada!$X$7:$AD$37,VLOOKUP(INDIRECT($C$5),Jornada!$C$8:$W$37,21,0),0)=0,0,VLOOKUP(INDIRECT($C$5),Jornada!$C$8:$H$37,4,0))</f>
        <v>0</v>
      </c>
      <c r="AI12" s="155">
        <f ca="1">IF(AND(I12=0,J12=0,OR(H12&lt;&gt;0,K12&lt;&gt;0),HLOOKUP($F12,Jornada!$X$7:$AD$37,VLOOKUP(INDIRECT($C$5),Jornada!$C$8:$W$37,21,0),0)&gt;$AK$5,M12&gt;$AK$5),VLOOKUP(INDIRECT($C$5),Jornada!$C$8:$H$37,6,0),IF(AG12&gt;VLOOKUP(INDIRECT($C$5),Jornada!$C$8:$H$37,6,0),IF(VLOOKUP(INDIRECT($C$5),Jornada!$C$8:$H$37,6,0)&lt;AG12,0,ABS(VLOOKUP(INDIRECT($C$5),Jornada!$C$8:$H$37,6,0))-AG12),0))</f>
        <v>0</v>
      </c>
      <c r="AJ12" s="155">
        <f t="shared" si="5"/>
        <v>1</v>
      </c>
      <c r="AK12" s="155">
        <f t="shared" si="6"/>
        <v>0</v>
      </c>
      <c r="AL12" s="155">
        <f ca="1">HLOOKUP($F12,Jornada!$I$5:$V$37,VLOOKUP(INDIRECT($C$5),Jornada!$C$8:$W$37,21,0)+2,0)</f>
        <v>0</v>
      </c>
      <c r="AM12" s="155">
        <f ca="1">HLOOKUP($F12,Jornada!$I$4:$V$37,VLOOKUP(INDIRECT($C$5),Jornada!$C$8:$W$37,21,0)+3,0)</f>
        <v>0</v>
      </c>
      <c r="AN12" s="155">
        <f t="shared" ca="1" si="7"/>
        <v>0</v>
      </c>
      <c r="AO12" s="155">
        <f t="shared" si="8"/>
        <v>0</v>
      </c>
      <c r="AP12" s="155">
        <f t="shared" si="9"/>
        <v>0</v>
      </c>
      <c r="BE12" s="14"/>
      <c r="BF12" s="14"/>
      <c r="BG12" s="14"/>
    </row>
    <row r="13" spans="1:59" s="2" customFormat="1" ht="30" customHeight="1" thickTop="1" thickBot="1" x14ac:dyDescent="0.25">
      <c r="A13" s="1"/>
      <c r="B13"/>
      <c r="C13" s="172" t="str">
        <f>IF(Funcionários!C12=0,"",Funcionários!C12)</f>
        <v/>
      </c>
      <c r="D13"/>
      <c r="E13" s="115">
        <f>Lanç!E13</f>
        <v>6</v>
      </c>
      <c r="F13" s="189" t="str">
        <f>Lanç!F13</f>
        <v>Sex</v>
      </c>
      <c r="G13" s="81"/>
      <c r="H13" s="94"/>
      <c r="I13" s="94"/>
      <c r="J13" s="94"/>
      <c r="K13" s="94"/>
      <c r="L13" s="10"/>
      <c r="M13" s="95">
        <f t="shared" si="1"/>
        <v>0</v>
      </c>
      <c r="N13" s="96"/>
      <c r="O13" s="95">
        <f ca="1">IF(OR(G13=0,G13="Férias",G13="Falta Justificada",G13="Feriado",G13="Folga (DSR)"),0,IF(G13="Falta Injustificada",HLOOKUP($F13,Jornada!$X$7:$AD$37,VLOOKUP(INDIRECT($C$5),Jornada!$C$8:$W$37,21,0),0),IF(HLOOKUP($F13,Jornada!$X$7:$AD$37,VLOOKUP(INDIRECT($C$5),Jornada!$C$8:$W$37,21,0),0)-M13&gt;0,HLOOKUP($F13,Jornada!$X$7:$AD$37,VLOOKUP(INDIRECT($C$5),Jornada!$C$8:$W$37,21,0),0)-M13,0)))</f>
        <v>0</v>
      </c>
      <c r="P13" s="190">
        <f ca="1">IF(HLOOKUP($F13,Jornada!$X$7:$AD$37,VLOOKUP(INDIRECT($C$5),Jornada!$C$8:$W$37,21,0),0)-M13&lt;0,ABS(HLOOKUP($F13,Jornada!$X$7:$AD$37,VLOOKUP(INDIRECT($C$5),Jornada!$C$8:$W$37,21,0),0)-M13),0)</f>
        <v>0</v>
      </c>
      <c r="Q13" s="95">
        <f t="shared" si="0"/>
        <v>0</v>
      </c>
      <c r="R13" s="2">
        <f t="shared" si="2"/>
        <v>0</v>
      </c>
      <c r="S13" s="294"/>
      <c r="T13" s="294"/>
      <c r="U13" s="295"/>
      <c r="W13" s="2" t="s">
        <v>96</v>
      </c>
      <c r="X13" s="156">
        <v>7</v>
      </c>
      <c r="Z13" s="2" t="str">
        <f ca="1">IF(U14&gt;F58,"Negativo","Positivo")</f>
        <v>Positivo</v>
      </c>
      <c r="AB13" s="177">
        <f t="shared" si="10"/>
        <v>6</v>
      </c>
      <c r="AC13" s="2">
        <f t="shared" si="3"/>
        <v>6</v>
      </c>
      <c r="AE13" s="2">
        <v>6</v>
      </c>
      <c r="AF13" s="2" t="s">
        <v>56</v>
      </c>
      <c r="AG13" s="220">
        <f t="shared" si="4"/>
        <v>0</v>
      </c>
      <c r="AH13" s="220">
        <f ca="1">IF(HLOOKUP($F13,Jornada!$X$7:$AD$37,VLOOKUP(INDIRECT($C$5),Jornada!$C$8:$W$37,21,0),0)=0,0,VLOOKUP(INDIRECT($C$5),Jornada!$C$8:$H$37,4,0))</f>
        <v>0</v>
      </c>
      <c r="AI13" s="155">
        <f ca="1">IF(AND(I13=0,J13=0,OR(H13&lt;&gt;0,K13&lt;&gt;0),HLOOKUP($F13,Jornada!$X$7:$AD$37,VLOOKUP(INDIRECT($C$5),Jornada!$C$8:$W$37,21,0),0)&gt;$AK$5,M13&gt;$AK$5),VLOOKUP(INDIRECT($C$5),Jornada!$C$8:$H$37,6,0),IF(AG13&gt;VLOOKUP(INDIRECT($C$5),Jornada!$C$8:$H$37,6,0),IF(VLOOKUP(INDIRECT($C$5),Jornada!$C$8:$H$37,6,0)&lt;AG13,0,ABS(VLOOKUP(INDIRECT($C$5),Jornada!$C$8:$H$37,6,0))-AG13),0))</f>
        <v>0</v>
      </c>
      <c r="AJ13" s="155">
        <f t="shared" si="5"/>
        <v>1</v>
      </c>
      <c r="AK13" s="155">
        <f t="shared" si="6"/>
        <v>0</v>
      </c>
      <c r="AL13" s="155">
        <f ca="1">HLOOKUP($F13,Jornada!$I$5:$V$37,VLOOKUP(INDIRECT($C$5),Jornada!$C$8:$W$37,21,0)+2,0)</f>
        <v>0</v>
      </c>
      <c r="AM13" s="155">
        <f ca="1">HLOOKUP($F13,Jornada!$I$4:$V$37,VLOOKUP(INDIRECT($C$5),Jornada!$C$8:$W$37,21,0)+3,0)</f>
        <v>0</v>
      </c>
      <c r="AN13" s="155">
        <f t="shared" ca="1" si="7"/>
        <v>0</v>
      </c>
      <c r="AO13" s="155">
        <f t="shared" si="8"/>
        <v>0</v>
      </c>
      <c r="AP13" s="155">
        <f t="shared" si="9"/>
        <v>0</v>
      </c>
      <c r="BE13" s="14"/>
      <c r="BF13" s="14"/>
      <c r="BG13" s="14"/>
    </row>
    <row r="14" spans="1:59" s="2" customFormat="1" ht="30" customHeight="1" thickTop="1" thickBot="1" x14ac:dyDescent="0.25">
      <c r="A14" s="1"/>
      <c r="B14"/>
      <c r="C14" s="172" t="str">
        <f>IF(Funcionários!C13=0,"",Funcionários!C13)</f>
        <v/>
      </c>
      <c r="D14"/>
      <c r="E14" s="115">
        <f>Lanç!E14</f>
        <v>7</v>
      </c>
      <c r="F14" s="189" t="str">
        <f>Lanç!F14</f>
        <v>Sáb</v>
      </c>
      <c r="G14" s="81"/>
      <c r="H14" s="94"/>
      <c r="I14" s="94"/>
      <c r="J14" s="94"/>
      <c r="K14" s="94"/>
      <c r="L14" s="10"/>
      <c r="M14" s="95">
        <f t="shared" si="1"/>
        <v>0</v>
      </c>
      <c r="N14" s="96"/>
      <c r="O14" s="95">
        <f ca="1">IF(OR(G14=0,G14="Férias",G14="Falta Justificada",G14="Feriado",G14="Folga (DSR)"),0,IF(G14="Falta Injustificada",HLOOKUP($F14,Jornada!$X$7:$AD$37,VLOOKUP(INDIRECT($C$5),Jornada!$C$8:$W$37,21,0),0),IF(HLOOKUP($F14,Jornada!$X$7:$AD$37,VLOOKUP(INDIRECT($C$5),Jornada!$C$8:$W$37,21,0),0)-M14&gt;0,HLOOKUP($F14,Jornada!$X$7:$AD$37,VLOOKUP(INDIRECT($C$5),Jornada!$C$8:$W$37,21,0),0)-M14,0)))</f>
        <v>0</v>
      </c>
      <c r="P14" s="190">
        <f ca="1">IF(HLOOKUP($F14,Jornada!$X$7:$AD$37,VLOOKUP(INDIRECT($C$5),Jornada!$C$8:$W$37,21,0),0)-M14&lt;0,ABS(HLOOKUP($F14,Jornada!$X$7:$AD$37,VLOOKUP(INDIRECT($C$5),Jornada!$C$8:$W$37,21,0),0)-M14),0)</f>
        <v>0</v>
      </c>
      <c r="Q14" s="95">
        <f t="shared" si="0"/>
        <v>0</v>
      </c>
      <c r="R14" s="2">
        <f t="shared" si="2"/>
        <v>0</v>
      </c>
      <c r="S14" s="294" t="s">
        <v>68</v>
      </c>
      <c r="T14" s="294"/>
      <c r="U14" s="295">
        <f ca="1">SUM(O8:O38)</f>
        <v>0</v>
      </c>
      <c r="W14" s="2" t="s">
        <v>97</v>
      </c>
      <c r="X14" s="156">
        <v>8</v>
      </c>
      <c r="AB14" s="177">
        <f t="shared" si="10"/>
        <v>7</v>
      </c>
      <c r="AC14" s="2">
        <f t="shared" si="3"/>
        <v>7</v>
      </c>
      <c r="AE14" s="2">
        <v>7</v>
      </c>
      <c r="AF14" s="2" t="s">
        <v>57</v>
      </c>
      <c r="AG14" s="220">
        <f t="shared" si="4"/>
        <v>0</v>
      </c>
      <c r="AH14" s="220">
        <f ca="1">IF(HLOOKUP($F14,Jornada!$X$7:$AD$37,VLOOKUP(INDIRECT($C$5),Jornada!$C$8:$W$37,21,0),0)=0,0,VLOOKUP(INDIRECT($C$5),Jornada!$C$8:$H$37,4,0))</f>
        <v>0</v>
      </c>
      <c r="AI14" s="155">
        <f ca="1">IF(AND(I14=0,J14=0,OR(H14&lt;&gt;0,K14&lt;&gt;0),HLOOKUP($F14,Jornada!$X$7:$AD$37,VLOOKUP(INDIRECT($C$5),Jornada!$C$8:$W$37,21,0),0)&gt;$AK$5,M14&gt;$AK$5),VLOOKUP(INDIRECT($C$5),Jornada!$C$8:$H$37,6,0),IF(AG14&gt;VLOOKUP(INDIRECT($C$5),Jornada!$C$8:$H$37,6,0),IF(VLOOKUP(INDIRECT($C$5),Jornada!$C$8:$H$37,6,0)&lt;AG14,0,ABS(VLOOKUP(INDIRECT($C$5),Jornada!$C$8:$H$37,6,0))-AG14),0))</f>
        <v>0</v>
      </c>
      <c r="AJ14" s="155">
        <f t="shared" si="5"/>
        <v>1</v>
      </c>
      <c r="AK14" s="155">
        <f t="shared" si="6"/>
        <v>0</v>
      </c>
      <c r="AL14" s="155">
        <f ca="1">HLOOKUP($F14,Jornada!$I$5:$V$37,VLOOKUP(INDIRECT($C$5),Jornada!$C$8:$W$37,21,0)+2,0)</f>
        <v>0</v>
      </c>
      <c r="AM14" s="155">
        <f ca="1">HLOOKUP($F14,Jornada!$I$4:$V$37,VLOOKUP(INDIRECT($C$5),Jornada!$C$8:$W$37,21,0)+3,0)</f>
        <v>0</v>
      </c>
      <c r="AN14" s="155">
        <f t="shared" ca="1" si="7"/>
        <v>0</v>
      </c>
      <c r="AO14" s="155">
        <f t="shared" si="8"/>
        <v>0</v>
      </c>
      <c r="AP14" s="155">
        <f t="shared" si="9"/>
        <v>0</v>
      </c>
      <c r="BE14" s="14"/>
      <c r="BF14" s="14"/>
      <c r="BG14" s="14"/>
    </row>
    <row r="15" spans="1:59" s="2" customFormat="1" ht="30" customHeight="1" thickTop="1" thickBot="1" x14ac:dyDescent="0.25">
      <c r="A15" s="1"/>
      <c r="B15"/>
      <c r="C15" s="172" t="str">
        <f>IF(Funcionários!C14=0,"",Funcionários!C14)</f>
        <v/>
      </c>
      <c r="D15"/>
      <c r="E15" s="115">
        <f>Lanç!E15</f>
        <v>8</v>
      </c>
      <c r="F15" s="189" t="str">
        <f>Lanç!F15</f>
        <v>Dom</v>
      </c>
      <c r="G15" s="81"/>
      <c r="H15" s="94"/>
      <c r="I15" s="94"/>
      <c r="J15" s="94"/>
      <c r="K15" s="94"/>
      <c r="L15" s="10"/>
      <c r="M15" s="95">
        <f t="shared" si="1"/>
        <v>0</v>
      </c>
      <c r="N15" s="96"/>
      <c r="O15" s="95">
        <f ca="1">IF(OR(G15=0,G15="Férias",G15="Falta Justificada",G15="Feriado",G15="Folga (DSR)"),0,IF(G15="Falta Injustificada",HLOOKUP($F15,Jornada!$X$7:$AD$37,VLOOKUP(INDIRECT($C$5),Jornada!$C$8:$W$37,21,0),0),IF(HLOOKUP($F15,Jornada!$X$7:$AD$37,VLOOKUP(INDIRECT($C$5),Jornada!$C$8:$W$37,21,0),0)-M15&gt;0,HLOOKUP($F15,Jornada!$X$7:$AD$37,VLOOKUP(INDIRECT($C$5),Jornada!$C$8:$W$37,21,0),0)-M15,0)))</f>
        <v>0</v>
      </c>
      <c r="P15" s="190">
        <f ca="1">IF(HLOOKUP($F15,Jornada!$X$7:$AD$37,VLOOKUP(INDIRECT($C$5),Jornada!$C$8:$W$37,21,0),0)-M15&lt;0,ABS(HLOOKUP($F15,Jornada!$X$7:$AD$37,VLOOKUP(INDIRECT($C$5),Jornada!$C$8:$W$37,21,0),0)-M15),0)</f>
        <v>0</v>
      </c>
      <c r="Q15" s="95">
        <f t="shared" si="0"/>
        <v>0</v>
      </c>
      <c r="R15" s="2">
        <f t="shared" si="2"/>
        <v>0</v>
      </c>
      <c r="S15" s="294"/>
      <c r="T15" s="294"/>
      <c r="U15" s="295"/>
      <c r="W15" s="2" t="s">
        <v>98</v>
      </c>
      <c r="X15" s="156">
        <v>9</v>
      </c>
      <c r="AB15" s="177">
        <f t="shared" si="10"/>
        <v>8</v>
      </c>
      <c r="AC15" s="2">
        <f t="shared" si="3"/>
        <v>1</v>
      </c>
      <c r="AG15" s="220">
        <f t="shared" si="4"/>
        <v>0</v>
      </c>
      <c r="AH15" s="220">
        <f ca="1">IF(HLOOKUP($F15,Jornada!$X$7:$AD$37,VLOOKUP(INDIRECT($C$5),Jornada!$C$8:$W$37,21,0),0)=0,0,VLOOKUP(INDIRECT($C$5),Jornada!$C$8:$H$37,4,0))</f>
        <v>0</v>
      </c>
      <c r="AI15" s="155">
        <f ca="1">IF(AND(I15=0,J15=0,OR(H15&lt;&gt;0,K15&lt;&gt;0),HLOOKUP($F15,Jornada!$X$7:$AD$37,VLOOKUP(INDIRECT($C$5),Jornada!$C$8:$W$37,21,0),0)&gt;$AK$5,M15&gt;$AK$5),VLOOKUP(INDIRECT($C$5),Jornada!$C$8:$H$37,6,0),IF(AG15&gt;VLOOKUP(INDIRECT($C$5),Jornada!$C$8:$H$37,6,0),IF(VLOOKUP(INDIRECT($C$5),Jornada!$C$8:$H$37,6,0)&lt;AG15,0,ABS(VLOOKUP(INDIRECT($C$5),Jornada!$C$8:$H$37,6,0))-AG15),0))</f>
        <v>0</v>
      </c>
      <c r="AJ15" s="155">
        <f t="shared" si="5"/>
        <v>1</v>
      </c>
      <c r="AK15" s="155">
        <f t="shared" si="6"/>
        <v>0</v>
      </c>
      <c r="AL15" s="155">
        <f ca="1">HLOOKUP($F15,Jornada!$I$5:$V$37,VLOOKUP(INDIRECT($C$5),Jornada!$C$8:$W$37,21,0)+2,0)</f>
        <v>0</v>
      </c>
      <c r="AM15" s="155">
        <f ca="1">HLOOKUP($F15,Jornada!$I$4:$V$37,VLOOKUP(INDIRECT($C$5),Jornada!$C$8:$W$37,21,0)+3,0)</f>
        <v>0</v>
      </c>
      <c r="AN15" s="155">
        <f t="shared" ca="1" si="7"/>
        <v>0</v>
      </c>
      <c r="AO15" s="155">
        <f t="shared" si="8"/>
        <v>0</v>
      </c>
      <c r="AP15" s="155">
        <f t="shared" si="9"/>
        <v>0</v>
      </c>
      <c r="BE15" s="14"/>
      <c r="BF15" s="14"/>
      <c r="BG15" s="14"/>
    </row>
    <row r="16" spans="1:59" s="2" customFormat="1" ht="30" customHeight="1" thickTop="1" thickBot="1" x14ac:dyDescent="0.25">
      <c r="A16" s="1"/>
      <c r="B16"/>
      <c r="C16" s="172" t="str">
        <f>IF(Funcionários!C15=0,"",Funcionários!C15)</f>
        <v/>
      </c>
      <c r="D16"/>
      <c r="E16" s="115">
        <f>Lanç!E16</f>
        <v>9</v>
      </c>
      <c r="F16" s="189" t="str">
        <f>Lanç!F16</f>
        <v>Seg</v>
      </c>
      <c r="G16" s="81"/>
      <c r="H16" s="94"/>
      <c r="I16" s="94"/>
      <c r="J16" s="94"/>
      <c r="K16" s="94"/>
      <c r="L16" s="10"/>
      <c r="M16" s="95">
        <f t="shared" si="1"/>
        <v>0</v>
      </c>
      <c r="N16" s="96"/>
      <c r="O16" s="95">
        <f ca="1">IF(OR(G16=0,G16="Férias",G16="Falta Justificada",G16="Feriado",G16="Folga (DSR)"),0,IF(G16="Falta Injustificada",HLOOKUP($F16,Jornada!$X$7:$AD$37,VLOOKUP(INDIRECT($C$5),Jornada!$C$8:$W$37,21,0),0),IF(HLOOKUP($F16,Jornada!$X$7:$AD$37,VLOOKUP(INDIRECT($C$5),Jornada!$C$8:$W$37,21,0),0)-M16&gt;0,HLOOKUP($F16,Jornada!$X$7:$AD$37,VLOOKUP(INDIRECT($C$5),Jornada!$C$8:$W$37,21,0),0)-M16,0)))</f>
        <v>0</v>
      </c>
      <c r="P16" s="190">
        <f ca="1">IF(HLOOKUP($F16,Jornada!$X$7:$AD$37,VLOOKUP(INDIRECT($C$5),Jornada!$C$8:$W$37,21,0),0)-M16&lt;0,ABS(HLOOKUP($F16,Jornada!$X$7:$AD$37,VLOOKUP(INDIRECT($C$5),Jornada!$C$8:$W$37,21,0),0)-M16),0)</f>
        <v>0</v>
      </c>
      <c r="Q16" s="95">
        <f t="shared" si="0"/>
        <v>0</v>
      </c>
      <c r="R16" s="2">
        <f t="shared" si="2"/>
        <v>0</v>
      </c>
      <c r="S16" s="294" t="s">
        <v>67</v>
      </c>
      <c r="T16" s="294"/>
      <c r="U16" s="295">
        <f>SUM(Q8:Q38)</f>
        <v>0</v>
      </c>
      <c r="W16" s="2" t="s">
        <v>99</v>
      </c>
      <c r="X16" s="156">
        <v>10</v>
      </c>
      <c r="AB16" s="177">
        <f t="shared" si="10"/>
        <v>9</v>
      </c>
      <c r="AC16" s="2">
        <f t="shared" si="3"/>
        <v>2</v>
      </c>
      <c r="AG16" s="220">
        <f t="shared" si="4"/>
        <v>0</v>
      </c>
      <c r="AH16" s="220">
        <f ca="1">IF(HLOOKUP($F16,Jornada!$X$7:$AD$37,VLOOKUP(INDIRECT($C$5),Jornada!$C$8:$W$37,21,0),0)=0,0,VLOOKUP(INDIRECT($C$5),Jornada!$C$8:$H$37,4,0))</f>
        <v>0</v>
      </c>
      <c r="AI16" s="155">
        <f ca="1">IF(AND(I16=0,J16=0,OR(H16&lt;&gt;0,K16&lt;&gt;0),HLOOKUP($F16,Jornada!$X$7:$AD$37,VLOOKUP(INDIRECT($C$5),Jornada!$C$8:$W$37,21,0),0)&gt;$AK$5,M16&gt;$AK$5),VLOOKUP(INDIRECT($C$5),Jornada!$C$8:$H$37,6,0),IF(AG16&gt;VLOOKUP(INDIRECT($C$5),Jornada!$C$8:$H$37,6,0),IF(VLOOKUP(INDIRECT($C$5),Jornada!$C$8:$H$37,6,0)&lt;AG16,0,ABS(VLOOKUP(INDIRECT($C$5),Jornada!$C$8:$H$37,6,0))-AG16),0))</f>
        <v>0</v>
      </c>
      <c r="AJ16" s="155">
        <f t="shared" si="5"/>
        <v>1</v>
      </c>
      <c r="AK16" s="155">
        <f t="shared" si="6"/>
        <v>0</v>
      </c>
      <c r="AL16" s="155">
        <f ca="1">HLOOKUP($F16,Jornada!$I$5:$V$37,VLOOKUP(INDIRECT($C$5),Jornada!$C$8:$W$37,21,0)+2,0)</f>
        <v>0</v>
      </c>
      <c r="AM16" s="155">
        <f ca="1">HLOOKUP($F16,Jornada!$I$4:$V$37,VLOOKUP(INDIRECT($C$5),Jornada!$C$8:$W$37,21,0)+3,0)</f>
        <v>0</v>
      </c>
      <c r="AN16" s="155">
        <f t="shared" ca="1" si="7"/>
        <v>0</v>
      </c>
      <c r="AO16" s="155">
        <f t="shared" si="8"/>
        <v>0</v>
      </c>
      <c r="AP16" s="155">
        <f t="shared" si="9"/>
        <v>0</v>
      </c>
      <c r="BE16" s="14"/>
      <c r="BF16" s="14"/>
      <c r="BG16" s="14"/>
    </row>
    <row r="17" spans="1:59" s="2" customFormat="1" ht="30" customHeight="1" thickTop="1" thickBot="1" x14ac:dyDescent="0.25">
      <c r="A17" s="1"/>
      <c r="B17"/>
      <c r="C17" s="172" t="str">
        <f>IF(Funcionários!C16=0,"",Funcionários!C16)</f>
        <v/>
      </c>
      <c r="D17"/>
      <c r="E17" s="115">
        <f>Lanç!E17</f>
        <v>10</v>
      </c>
      <c r="F17" s="189" t="str">
        <f>Lanç!F17</f>
        <v>Ter</v>
      </c>
      <c r="G17" s="81"/>
      <c r="H17" s="94"/>
      <c r="I17" s="94"/>
      <c r="J17" s="94"/>
      <c r="K17" s="94"/>
      <c r="L17" s="10"/>
      <c r="M17" s="95">
        <f t="shared" si="1"/>
        <v>0</v>
      </c>
      <c r="N17" s="96"/>
      <c r="O17" s="95">
        <f ca="1">IF(OR(G17=0,G17="Férias",G17="Falta Justificada",G17="Feriado",G17="Folga (DSR)"),0,IF(G17="Falta Injustificada",HLOOKUP($F17,Jornada!$X$7:$AD$37,VLOOKUP(INDIRECT($C$5),Jornada!$C$8:$W$37,21,0),0),IF(HLOOKUP($F17,Jornada!$X$7:$AD$37,VLOOKUP(INDIRECT($C$5),Jornada!$C$8:$W$37,21,0),0)-M17&gt;0,HLOOKUP($F17,Jornada!$X$7:$AD$37,VLOOKUP(INDIRECT($C$5),Jornada!$C$8:$W$37,21,0),0)-M17,0)))</f>
        <v>0</v>
      </c>
      <c r="P17" s="190">
        <f ca="1">IF(HLOOKUP($F17,Jornada!$X$7:$AD$37,VLOOKUP(INDIRECT($C$5),Jornada!$C$8:$W$37,21,0),0)-M17&lt;0,ABS(HLOOKUP($F17,Jornada!$X$7:$AD$37,VLOOKUP(INDIRECT($C$5),Jornada!$C$8:$W$37,21,0),0)-M17),0)</f>
        <v>0</v>
      </c>
      <c r="Q17" s="95">
        <f t="shared" si="0"/>
        <v>0</v>
      </c>
      <c r="R17" s="2">
        <f t="shared" si="2"/>
        <v>0</v>
      </c>
      <c r="S17" s="294"/>
      <c r="T17" s="294"/>
      <c r="U17" s="295"/>
      <c r="W17" s="2" t="s">
        <v>100</v>
      </c>
      <c r="X17" s="156">
        <v>11</v>
      </c>
      <c r="AB17" s="177">
        <f t="shared" si="10"/>
        <v>10</v>
      </c>
      <c r="AC17" s="2">
        <f t="shared" si="3"/>
        <v>3</v>
      </c>
      <c r="AG17" s="220">
        <f t="shared" si="4"/>
        <v>0</v>
      </c>
      <c r="AH17" s="220">
        <f ca="1">IF(HLOOKUP($F17,Jornada!$X$7:$AD$37,VLOOKUP(INDIRECT($C$5),Jornada!$C$8:$W$37,21,0),0)=0,0,VLOOKUP(INDIRECT($C$5),Jornada!$C$8:$H$37,4,0))</f>
        <v>0</v>
      </c>
      <c r="AI17" s="155">
        <f ca="1">IF(AND(I17=0,J17=0,OR(H17&lt;&gt;0,K17&lt;&gt;0),HLOOKUP($F17,Jornada!$X$7:$AD$37,VLOOKUP(INDIRECT($C$5),Jornada!$C$8:$W$37,21,0),0)&gt;$AK$5,M17&gt;$AK$5),VLOOKUP(INDIRECT($C$5),Jornada!$C$8:$H$37,6,0),IF(AG17&gt;VLOOKUP(INDIRECT($C$5),Jornada!$C$8:$H$37,6,0),IF(VLOOKUP(INDIRECT($C$5),Jornada!$C$8:$H$37,6,0)&lt;AG17,0,ABS(VLOOKUP(INDIRECT($C$5),Jornada!$C$8:$H$37,6,0))-AG17),0))</f>
        <v>0</v>
      </c>
      <c r="AJ17" s="155">
        <f t="shared" si="5"/>
        <v>1</v>
      </c>
      <c r="AK17" s="155">
        <f t="shared" si="6"/>
        <v>0</v>
      </c>
      <c r="AL17" s="155">
        <f ca="1">HLOOKUP($F17,Jornada!$I$5:$V$37,VLOOKUP(INDIRECT($C$5),Jornada!$C$8:$W$37,21,0)+2,0)</f>
        <v>0</v>
      </c>
      <c r="AM17" s="155">
        <f ca="1">HLOOKUP($F17,Jornada!$I$4:$V$37,VLOOKUP(INDIRECT($C$5),Jornada!$C$8:$W$37,21,0)+3,0)</f>
        <v>0</v>
      </c>
      <c r="AN17" s="155">
        <f t="shared" ca="1" si="7"/>
        <v>0</v>
      </c>
      <c r="AO17" s="155">
        <f t="shared" si="8"/>
        <v>0</v>
      </c>
      <c r="AP17" s="155">
        <f t="shared" si="9"/>
        <v>0</v>
      </c>
      <c r="BE17" s="14"/>
      <c r="BF17" s="14"/>
      <c r="BG17" s="14"/>
    </row>
    <row r="18" spans="1:59" s="2" customFormat="1" ht="30" customHeight="1" thickTop="1" thickBot="1" x14ac:dyDescent="0.25">
      <c r="A18" s="1"/>
      <c r="B18"/>
      <c r="C18" s="172" t="str">
        <f>IF(Funcionários!C17=0,"",Funcionários!C17)</f>
        <v/>
      </c>
      <c r="D18"/>
      <c r="E18" s="115">
        <f>Lanç!E18</f>
        <v>11</v>
      </c>
      <c r="F18" s="189" t="str">
        <f>Lanç!F18</f>
        <v>Qua</v>
      </c>
      <c r="G18" s="81"/>
      <c r="H18" s="94"/>
      <c r="I18" s="94"/>
      <c r="J18" s="94"/>
      <c r="K18" s="94"/>
      <c r="L18" s="10"/>
      <c r="M18" s="95">
        <f t="shared" si="1"/>
        <v>0</v>
      </c>
      <c r="N18" s="96"/>
      <c r="O18" s="95">
        <f ca="1">IF(OR(G18=0,G18="Férias",G18="Falta Justificada",G18="Feriado",G18="Folga (DSR)"),0,IF(G18="Falta Injustificada",HLOOKUP($F18,Jornada!$X$7:$AD$37,VLOOKUP(INDIRECT($C$5),Jornada!$C$8:$W$37,21,0),0),IF(HLOOKUP($F18,Jornada!$X$7:$AD$37,VLOOKUP(INDIRECT($C$5),Jornada!$C$8:$W$37,21,0),0)-M18&gt;0,HLOOKUP($F18,Jornada!$X$7:$AD$37,VLOOKUP(INDIRECT($C$5),Jornada!$C$8:$W$37,21,0),0)-M18,0)))</f>
        <v>0</v>
      </c>
      <c r="P18" s="190">
        <f ca="1">IF(HLOOKUP($F18,Jornada!$X$7:$AD$37,VLOOKUP(INDIRECT($C$5),Jornada!$C$8:$W$37,21,0),0)-M18&lt;0,ABS(HLOOKUP($F18,Jornada!$X$7:$AD$37,VLOOKUP(INDIRECT($C$5),Jornada!$C$8:$W$37,21,0),0)-M18),0)</f>
        <v>0</v>
      </c>
      <c r="Q18" s="95">
        <f t="shared" si="0"/>
        <v>0</v>
      </c>
      <c r="R18" s="2">
        <f t="shared" si="2"/>
        <v>0</v>
      </c>
      <c r="S18" s="294" t="s">
        <v>69</v>
      </c>
      <c r="T18" s="294"/>
      <c r="U18" s="299">
        <f ca="1">F54</f>
        <v>0</v>
      </c>
      <c r="W18" s="2" t="s">
        <v>101</v>
      </c>
      <c r="X18" s="156">
        <v>12</v>
      </c>
      <c r="AB18" s="177">
        <f t="shared" si="10"/>
        <v>11</v>
      </c>
      <c r="AC18" s="2">
        <f t="shared" si="3"/>
        <v>4</v>
      </c>
      <c r="AG18" s="220">
        <f t="shared" si="4"/>
        <v>0</v>
      </c>
      <c r="AH18" s="220">
        <f ca="1">IF(HLOOKUP($F18,Jornada!$X$7:$AD$37,VLOOKUP(INDIRECT($C$5),Jornada!$C$8:$W$37,21,0),0)=0,0,VLOOKUP(INDIRECT($C$5),Jornada!$C$8:$H$37,4,0))</f>
        <v>0</v>
      </c>
      <c r="AI18" s="155">
        <f ca="1">IF(AND(I18=0,J18=0,OR(H18&lt;&gt;0,K18&lt;&gt;0),HLOOKUP($F18,Jornada!$X$7:$AD$37,VLOOKUP(INDIRECT($C$5),Jornada!$C$8:$W$37,21,0),0)&gt;$AK$5,M18&gt;$AK$5),VLOOKUP(INDIRECT($C$5),Jornada!$C$8:$H$37,6,0),IF(AG18&gt;VLOOKUP(INDIRECT($C$5),Jornada!$C$8:$H$37,6,0),IF(VLOOKUP(INDIRECT($C$5),Jornada!$C$8:$H$37,6,0)&lt;AG18,0,ABS(VLOOKUP(INDIRECT($C$5),Jornada!$C$8:$H$37,6,0))-AG18),0))</f>
        <v>0</v>
      </c>
      <c r="AJ18" s="155">
        <f t="shared" si="5"/>
        <v>1</v>
      </c>
      <c r="AK18" s="155">
        <f t="shared" si="6"/>
        <v>0</v>
      </c>
      <c r="AL18" s="155">
        <f ca="1">HLOOKUP($F18,Jornada!$I$5:$V$37,VLOOKUP(INDIRECT($C$5),Jornada!$C$8:$W$37,21,0)+2,0)</f>
        <v>0</v>
      </c>
      <c r="AM18" s="155">
        <f ca="1">HLOOKUP($F18,Jornada!$I$4:$V$37,VLOOKUP(INDIRECT($C$5),Jornada!$C$8:$W$37,21,0)+3,0)</f>
        <v>0</v>
      </c>
      <c r="AN18" s="155">
        <f t="shared" ca="1" si="7"/>
        <v>0</v>
      </c>
      <c r="AO18" s="155">
        <f t="shared" si="8"/>
        <v>0</v>
      </c>
      <c r="AP18" s="155">
        <f t="shared" si="9"/>
        <v>0</v>
      </c>
      <c r="BE18" s="14"/>
      <c r="BF18" s="14"/>
      <c r="BG18" s="14"/>
    </row>
    <row r="19" spans="1:59" s="2" customFormat="1" ht="30" customHeight="1" thickTop="1" thickBot="1" x14ac:dyDescent="0.25">
      <c r="A19" s="1"/>
      <c r="B19"/>
      <c r="C19" s="172" t="str">
        <f>IF(Funcionários!C18=0,"",Funcionários!C18)</f>
        <v/>
      </c>
      <c r="D19"/>
      <c r="E19" s="115">
        <f>Lanç!E19</f>
        <v>12</v>
      </c>
      <c r="F19" s="189" t="str">
        <f>Lanç!F19</f>
        <v>Qui</v>
      </c>
      <c r="G19" s="81"/>
      <c r="H19" s="94"/>
      <c r="I19" s="94"/>
      <c r="J19" s="94"/>
      <c r="K19" s="94"/>
      <c r="L19" s="10"/>
      <c r="M19" s="95">
        <f t="shared" si="1"/>
        <v>0</v>
      </c>
      <c r="N19" s="96"/>
      <c r="O19" s="95">
        <f ca="1">IF(OR(G19=0,G19="Férias",G19="Falta Justificada",G19="Feriado",G19="Folga (DSR)"),0,IF(G19="Falta Injustificada",HLOOKUP($F19,Jornada!$X$7:$AD$37,VLOOKUP(INDIRECT($C$5),Jornada!$C$8:$W$37,21,0),0),IF(HLOOKUP($F19,Jornada!$X$7:$AD$37,VLOOKUP(INDIRECT($C$5),Jornada!$C$8:$W$37,21,0),0)-M19&gt;0,HLOOKUP($F19,Jornada!$X$7:$AD$37,VLOOKUP(INDIRECT($C$5),Jornada!$C$8:$W$37,21,0),0)-M19,0)))</f>
        <v>0</v>
      </c>
      <c r="P19" s="190">
        <f ca="1">IF(HLOOKUP($F19,Jornada!$X$7:$AD$37,VLOOKUP(INDIRECT($C$5),Jornada!$C$8:$W$37,21,0),0)-M19&lt;0,ABS(HLOOKUP($F19,Jornada!$X$7:$AD$37,VLOOKUP(INDIRECT($C$5),Jornada!$C$8:$W$37,21,0),0)-M19),0)</f>
        <v>0</v>
      </c>
      <c r="Q19" s="95">
        <f t="shared" si="0"/>
        <v>0</v>
      </c>
      <c r="R19" s="2">
        <f t="shared" si="2"/>
        <v>0</v>
      </c>
      <c r="S19" s="294"/>
      <c r="T19" s="294"/>
      <c r="U19" s="299"/>
      <c r="X19" s="177"/>
      <c r="AB19" s="177">
        <f t="shared" si="10"/>
        <v>12</v>
      </c>
      <c r="AC19" s="2">
        <f t="shared" si="3"/>
        <v>5</v>
      </c>
      <c r="AG19" s="220">
        <f t="shared" si="4"/>
        <v>0</v>
      </c>
      <c r="AH19" s="220">
        <f ca="1">IF(HLOOKUP($F19,Jornada!$X$7:$AD$37,VLOOKUP(INDIRECT($C$5),Jornada!$C$8:$W$37,21,0),0)=0,0,VLOOKUP(INDIRECT($C$5),Jornada!$C$8:$H$37,4,0))</f>
        <v>0</v>
      </c>
      <c r="AI19" s="155">
        <f ca="1">IF(AND(I19=0,J19=0,OR(H19&lt;&gt;0,K19&lt;&gt;0),HLOOKUP($F19,Jornada!$X$7:$AD$37,VLOOKUP(INDIRECT($C$5),Jornada!$C$8:$W$37,21,0),0)&gt;$AK$5,M19&gt;$AK$5),VLOOKUP(INDIRECT($C$5),Jornada!$C$8:$H$37,6,0),IF(AG19&gt;VLOOKUP(INDIRECT($C$5),Jornada!$C$8:$H$37,6,0),IF(VLOOKUP(INDIRECT($C$5),Jornada!$C$8:$H$37,6,0)&lt;AG19,0,ABS(VLOOKUP(INDIRECT($C$5),Jornada!$C$8:$H$37,6,0))-AG19),0))</f>
        <v>0</v>
      </c>
      <c r="AJ19" s="155">
        <f t="shared" si="5"/>
        <v>1</v>
      </c>
      <c r="AK19" s="155">
        <f t="shared" si="6"/>
        <v>0</v>
      </c>
      <c r="AL19" s="155">
        <f ca="1">HLOOKUP($F19,Jornada!$I$5:$V$37,VLOOKUP(INDIRECT($C$5),Jornada!$C$8:$W$37,21,0)+2,0)</f>
        <v>0</v>
      </c>
      <c r="AM19" s="155">
        <f ca="1">HLOOKUP($F19,Jornada!$I$4:$V$37,VLOOKUP(INDIRECT($C$5),Jornada!$C$8:$W$37,21,0)+3,0)</f>
        <v>0</v>
      </c>
      <c r="AN19" s="155">
        <f t="shared" ca="1" si="7"/>
        <v>0</v>
      </c>
      <c r="AO19" s="155">
        <f t="shared" si="8"/>
        <v>0</v>
      </c>
      <c r="AP19" s="155">
        <f t="shared" si="9"/>
        <v>0</v>
      </c>
      <c r="BE19" s="14"/>
      <c r="BF19" s="14"/>
      <c r="BG19" s="14"/>
    </row>
    <row r="20" spans="1:59" s="2" customFormat="1" ht="30" customHeight="1" thickTop="1" thickBot="1" x14ac:dyDescent="0.25">
      <c r="A20" s="1"/>
      <c r="B20"/>
      <c r="C20" s="172" t="str">
        <f>IF(Funcionários!C19=0,"",Funcionários!C19)</f>
        <v/>
      </c>
      <c r="D20"/>
      <c r="E20" s="115">
        <f>Lanç!E20</f>
        <v>13</v>
      </c>
      <c r="F20" s="189" t="str">
        <f>Lanç!F20</f>
        <v>Sex</v>
      </c>
      <c r="G20" s="81"/>
      <c r="H20" s="94"/>
      <c r="I20" s="94"/>
      <c r="J20" s="94"/>
      <c r="K20" s="94"/>
      <c r="L20" s="10"/>
      <c r="M20" s="95">
        <f t="shared" si="1"/>
        <v>0</v>
      </c>
      <c r="N20" s="96"/>
      <c r="O20" s="95">
        <f ca="1">IF(OR(G20=0,G20="Férias",G20="Falta Justificada",G20="Feriado",G20="Folga (DSR)"),0,IF(G20="Falta Injustificada",HLOOKUP($F20,Jornada!$X$7:$AD$37,VLOOKUP(INDIRECT($C$5),Jornada!$C$8:$W$37,21,0),0),IF(HLOOKUP($F20,Jornada!$X$7:$AD$37,VLOOKUP(INDIRECT($C$5),Jornada!$C$8:$W$37,21,0),0)-M20&gt;0,HLOOKUP($F20,Jornada!$X$7:$AD$37,VLOOKUP(INDIRECT($C$5),Jornada!$C$8:$W$37,21,0),0)-M20,0)))</f>
        <v>0</v>
      </c>
      <c r="P20" s="190">
        <f ca="1">IF(HLOOKUP($F20,Jornada!$X$7:$AD$37,VLOOKUP(INDIRECT($C$5),Jornada!$C$8:$W$37,21,0),0)-M20&lt;0,ABS(HLOOKUP($F20,Jornada!$X$7:$AD$37,VLOOKUP(INDIRECT($C$5),Jornada!$C$8:$W$37,21,0),0)-M20),0)</f>
        <v>0</v>
      </c>
      <c r="Q20" s="95">
        <f t="shared" si="0"/>
        <v>0</v>
      </c>
      <c r="R20" s="2">
        <f t="shared" si="2"/>
        <v>0</v>
      </c>
      <c r="S20"/>
      <c r="T20"/>
      <c r="U20"/>
      <c r="X20" s="177"/>
      <c r="AB20" s="177">
        <f t="shared" si="10"/>
        <v>13</v>
      </c>
      <c r="AC20" s="2">
        <f t="shared" si="3"/>
        <v>6</v>
      </c>
      <c r="AG20" s="220">
        <f t="shared" si="4"/>
        <v>0</v>
      </c>
      <c r="AH20" s="220">
        <f ca="1">IF(HLOOKUP($F20,Jornada!$X$7:$AD$37,VLOOKUP(INDIRECT($C$5),Jornada!$C$8:$W$37,21,0),0)=0,0,VLOOKUP(INDIRECT($C$5),Jornada!$C$8:$H$37,4,0))</f>
        <v>0</v>
      </c>
      <c r="AI20" s="155">
        <f ca="1">IF(AND(I20=0,J20=0,OR(H20&lt;&gt;0,K20&lt;&gt;0),HLOOKUP($F20,Jornada!$X$7:$AD$37,VLOOKUP(INDIRECT($C$5),Jornada!$C$8:$W$37,21,0),0)&gt;$AK$5,M20&gt;$AK$5),VLOOKUP(INDIRECT($C$5),Jornada!$C$8:$H$37,6,0),IF(AG20&gt;VLOOKUP(INDIRECT($C$5),Jornada!$C$8:$H$37,6,0),IF(VLOOKUP(INDIRECT($C$5),Jornada!$C$8:$H$37,6,0)&lt;AG20,0,ABS(VLOOKUP(INDIRECT($C$5),Jornada!$C$8:$H$37,6,0))-AG20),0))</f>
        <v>0</v>
      </c>
      <c r="AJ20" s="155">
        <f t="shared" si="5"/>
        <v>1</v>
      </c>
      <c r="AK20" s="155">
        <f t="shared" si="6"/>
        <v>0</v>
      </c>
      <c r="AL20" s="155">
        <f ca="1">HLOOKUP($F20,Jornada!$I$5:$V$37,VLOOKUP(INDIRECT($C$5),Jornada!$C$8:$W$37,21,0)+2,0)</f>
        <v>0</v>
      </c>
      <c r="AM20" s="155">
        <f ca="1">HLOOKUP($F20,Jornada!$I$4:$V$37,VLOOKUP(INDIRECT($C$5),Jornada!$C$8:$W$37,21,0)+3,0)</f>
        <v>0</v>
      </c>
      <c r="AN20" s="155">
        <f t="shared" ca="1" si="7"/>
        <v>0</v>
      </c>
      <c r="AO20" s="155">
        <f t="shared" si="8"/>
        <v>0</v>
      </c>
      <c r="AP20" s="155">
        <f t="shared" si="9"/>
        <v>0</v>
      </c>
      <c r="BE20" s="14"/>
      <c r="BF20" s="14"/>
      <c r="BG20" s="14"/>
    </row>
    <row r="21" spans="1:59" s="2" customFormat="1" ht="30" customHeight="1" thickTop="1" thickBot="1" x14ac:dyDescent="0.25">
      <c r="A21" s="1"/>
      <c r="B21"/>
      <c r="C21" s="172" t="str">
        <f>IF(Funcionários!C20=0,"",Funcionários!C20)</f>
        <v/>
      </c>
      <c r="D21"/>
      <c r="E21" s="115">
        <f>Lanç!E21</f>
        <v>14</v>
      </c>
      <c r="F21" s="189" t="str">
        <f>Lanç!F21</f>
        <v>Sáb</v>
      </c>
      <c r="G21" s="81"/>
      <c r="H21" s="94"/>
      <c r="I21" s="94"/>
      <c r="J21" s="94"/>
      <c r="K21" s="94"/>
      <c r="L21" s="10"/>
      <c r="M21" s="95">
        <f t="shared" si="1"/>
        <v>0</v>
      </c>
      <c r="N21" s="96"/>
      <c r="O21" s="95">
        <f ca="1">IF(OR(G21=0,G21="Férias",G21="Falta Justificada",G21="Feriado",G21="Folga (DSR)"),0,IF(G21="Falta Injustificada",HLOOKUP($F21,Jornada!$X$7:$AD$37,VLOOKUP(INDIRECT($C$5),Jornada!$C$8:$W$37,21,0),0),IF(HLOOKUP($F21,Jornada!$X$7:$AD$37,VLOOKUP(INDIRECT($C$5),Jornada!$C$8:$W$37,21,0),0)-M21&gt;0,HLOOKUP($F21,Jornada!$X$7:$AD$37,VLOOKUP(INDIRECT($C$5),Jornada!$C$8:$W$37,21,0),0)-M21,0)))</f>
        <v>0</v>
      </c>
      <c r="P21" s="190">
        <f ca="1">IF(HLOOKUP($F21,Jornada!$X$7:$AD$37,VLOOKUP(INDIRECT($C$5),Jornada!$C$8:$W$37,21,0),0)-M21&lt;0,ABS(HLOOKUP($F21,Jornada!$X$7:$AD$37,VLOOKUP(INDIRECT($C$5),Jornada!$C$8:$W$37,21,0),0)-M21),0)</f>
        <v>0</v>
      </c>
      <c r="Q21" s="95">
        <f t="shared" si="0"/>
        <v>0</v>
      </c>
      <c r="R21" s="2">
        <f t="shared" si="2"/>
        <v>0</v>
      </c>
      <c r="S21"/>
      <c r="T21"/>
      <c r="U21"/>
      <c r="X21" s="177"/>
      <c r="AB21" s="177">
        <f t="shared" si="10"/>
        <v>14</v>
      </c>
      <c r="AC21" s="2">
        <f t="shared" si="3"/>
        <v>7</v>
      </c>
      <c r="AG21" s="220">
        <f t="shared" si="4"/>
        <v>0</v>
      </c>
      <c r="AH21" s="220">
        <f ca="1">IF(HLOOKUP($F21,Jornada!$X$7:$AD$37,VLOOKUP(INDIRECT($C$5),Jornada!$C$8:$W$37,21,0),0)=0,0,VLOOKUP(INDIRECT($C$5),Jornada!$C$8:$H$37,4,0))</f>
        <v>0</v>
      </c>
      <c r="AI21" s="155">
        <f ca="1">IF(AND(I21=0,J21=0,OR(H21&lt;&gt;0,K21&lt;&gt;0),HLOOKUP($F21,Jornada!$X$7:$AD$37,VLOOKUP(INDIRECT($C$5),Jornada!$C$8:$W$37,21,0),0)&gt;$AK$5,M21&gt;$AK$5),VLOOKUP(INDIRECT($C$5),Jornada!$C$8:$H$37,6,0),IF(AG21&gt;VLOOKUP(INDIRECT($C$5),Jornada!$C$8:$H$37,6,0),IF(VLOOKUP(INDIRECT($C$5),Jornada!$C$8:$H$37,6,0)&lt;AG21,0,ABS(VLOOKUP(INDIRECT($C$5),Jornada!$C$8:$H$37,6,0))-AG21),0))</f>
        <v>0</v>
      </c>
      <c r="AJ21" s="155">
        <f t="shared" si="5"/>
        <v>1</v>
      </c>
      <c r="AK21" s="155">
        <f t="shared" si="6"/>
        <v>0</v>
      </c>
      <c r="AL21" s="155">
        <f ca="1">HLOOKUP($F21,Jornada!$I$5:$V$37,VLOOKUP(INDIRECT($C$5),Jornada!$C$8:$W$37,21,0)+2,0)</f>
        <v>0</v>
      </c>
      <c r="AM21" s="155">
        <f ca="1">HLOOKUP($F21,Jornada!$I$4:$V$37,VLOOKUP(INDIRECT($C$5),Jornada!$C$8:$W$37,21,0)+3,0)</f>
        <v>0</v>
      </c>
      <c r="AN21" s="155">
        <f t="shared" ca="1" si="7"/>
        <v>0</v>
      </c>
      <c r="AO21" s="155">
        <f t="shared" si="8"/>
        <v>0</v>
      </c>
      <c r="AP21" s="155">
        <f t="shared" si="9"/>
        <v>0</v>
      </c>
      <c r="BE21" s="14"/>
      <c r="BF21" s="14"/>
      <c r="BG21" s="14"/>
    </row>
    <row r="22" spans="1:59" s="2" customFormat="1" ht="30" customHeight="1" thickTop="1" thickBot="1" x14ac:dyDescent="0.25">
      <c r="A22" s="1"/>
      <c r="B22"/>
      <c r="C22" s="172" t="str">
        <f>IF(Funcionários!C21=0,"",Funcionários!C21)</f>
        <v/>
      </c>
      <c r="D22"/>
      <c r="E22" s="115">
        <f>Lanç!E22</f>
        <v>15</v>
      </c>
      <c r="F22" s="189" t="str">
        <f>Lanç!F22</f>
        <v>Dom</v>
      </c>
      <c r="G22" s="81"/>
      <c r="H22" s="94"/>
      <c r="I22" s="94"/>
      <c r="J22" s="94"/>
      <c r="K22" s="94"/>
      <c r="L22" s="10"/>
      <c r="M22" s="95">
        <f t="shared" si="1"/>
        <v>0</v>
      </c>
      <c r="N22" s="96"/>
      <c r="O22" s="95">
        <f ca="1">IF(OR(G22=0,G22="Férias",G22="Falta Justificada",G22="Feriado",G22="Folga (DSR)"),0,IF(G22="Falta Injustificada",HLOOKUP($F22,Jornada!$X$7:$AD$37,VLOOKUP(INDIRECT($C$5),Jornada!$C$8:$W$37,21,0),0),IF(HLOOKUP($F22,Jornada!$X$7:$AD$37,VLOOKUP(INDIRECT($C$5),Jornada!$C$8:$W$37,21,0),0)-M22&gt;0,HLOOKUP($F22,Jornada!$X$7:$AD$37,VLOOKUP(INDIRECT($C$5),Jornada!$C$8:$W$37,21,0),0)-M22,0)))</f>
        <v>0</v>
      </c>
      <c r="P22" s="190">
        <f ca="1">IF(HLOOKUP($F22,Jornada!$X$7:$AD$37,VLOOKUP(INDIRECT($C$5),Jornada!$C$8:$W$37,21,0),0)-M22&lt;0,ABS(HLOOKUP($F22,Jornada!$X$7:$AD$37,VLOOKUP(INDIRECT($C$5),Jornada!$C$8:$W$37,21,0),0)-M22),0)</f>
        <v>0</v>
      </c>
      <c r="Q22" s="95">
        <f t="shared" si="0"/>
        <v>0</v>
      </c>
      <c r="R22" s="2">
        <f t="shared" si="2"/>
        <v>0</v>
      </c>
      <c r="S22" s="300" t="s">
        <v>63</v>
      </c>
      <c r="T22" s="301"/>
      <c r="U22" s="302"/>
      <c r="X22" s="177"/>
      <c r="AB22" s="177">
        <f t="shared" si="10"/>
        <v>15</v>
      </c>
      <c r="AC22" s="2">
        <f t="shared" si="3"/>
        <v>1</v>
      </c>
      <c r="AG22" s="220">
        <f t="shared" si="4"/>
        <v>0</v>
      </c>
      <c r="AH22" s="220">
        <f ca="1">IF(HLOOKUP($F22,Jornada!$X$7:$AD$37,VLOOKUP(INDIRECT($C$5),Jornada!$C$8:$W$37,21,0),0)=0,0,VLOOKUP(INDIRECT($C$5),Jornada!$C$8:$H$37,4,0))</f>
        <v>0</v>
      </c>
      <c r="AI22" s="155">
        <f ca="1">IF(AND(I22=0,J22=0,OR(H22&lt;&gt;0,K22&lt;&gt;0),HLOOKUP($F22,Jornada!$X$7:$AD$37,VLOOKUP(INDIRECT($C$5),Jornada!$C$8:$W$37,21,0),0)&gt;$AK$5,M22&gt;$AK$5),VLOOKUP(INDIRECT($C$5),Jornada!$C$8:$H$37,6,0),IF(AG22&gt;VLOOKUP(INDIRECT($C$5),Jornada!$C$8:$H$37,6,0),IF(VLOOKUP(INDIRECT($C$5),Jornada!$C$8:$H$37,6,0)&lt;AG22,0,ABS(VLOOKUP(INDIRECT($C$5),Jornada!$C$8:$H$37,6,0))-AG22),0))</f>
        <v>0</v>
      </c>
      <c r="AJ22" s="155">
        <f t="shared" si="5"/>
        <v>1</v>
      </c>
      <c r="AK22" s="155">
        <f t="shared" si="6"/>
        <v>0</v>
      </c>
      <c r="AL22" s="155">
        <f ca="1">HLOOKUP($F22,Jornada!$I$5:$V$37,VLOOKUP(INDIRECT($C$5),Jornada!$C$8:$W$37,21,0)+2,0)</f>
        <v>0</v>
      </c>
      <c r="AM22" s="155">
        <f ca="1">HLOOKUP($F22,Jornada!$I$4:$V$37,VLOOKUP(INDIRECT($C$5),Jornada!$C$8:$W$37,21,0)+3,0)</f>
        <v>0</v>
      </c>
      <c r="AN22" s="155">
        <f t="shared" ca="1" si="7"/>
        <v>0</v>
      </c>
      <c r="AO22" s="155">
        <f t="shared" si="8"/>
        <v>0</v>
      </c>
      <c r="AP22" s="155">
        <f t="shared" si="9"/>
        <v>0</v>
      </c>
      <c r="BE22" s="14"/>
      <c r="BF22" s="14"/>
      <c r="BG22" s="14"/>
    </row>
    <row r="23" spans="1:59" s="2" customFormat="1" ht="30" customHeight="1" thickTop="1" thickBot="1" x14ac:dyDescent="0.25">
      <c r="A23" s="1"/>
      <c r="B23"/>
      <c r="C23" s="172" t="str">
        <f>IF(Funcionários!C22=0,"",Funcionários!C22)</f>
        <v/>
      </c>
      <c r="D23"/>
      <c r="E23" s="115">
        <f>Lanç!E23</f>
        <v>16</v>
      </c>
      <c r="F23" s="189" t="str">
        <f>Lanç!F23</f>
        <v>Seg</v>
      </c>
      <c r="G23" s="81"/>
      <c r="H23" s="94"/>
      <c r="I23" s="94"/>
      <c r="J23" s="94"/>
      <c r="K23" s="94"/>
      <c r="L23" s="10"/>
      <c r="M23" s="95">
        <f t="shared" si="1"/>
        <v>0</v>
      </c>
      <c r="N23" s="96"/>
      <c r="O23" s="95">
        <f ca="1">IF(OR(G23=0,G23="Férias",G23="Falta Justificada",G23="Feriado",G23="Folga (DSR)"),0,IF(G23="Falta Injustificada",HLOOKUP($F23,Jornada!$X$7:$AD$37,VLOOKUP(INDIRECT($C$5),Jornada!$C$8:$W$37,21,0),0),IF(HLOOKUP($F23,Jornada!$X$7:$AD$37,VLOOKUP(INDIRECT($C$5),Jornada!$C$8:$W$37,21,0),0)-M23&gt;0,HLOOKUP($F23,Jornada!$X$7:$AD$37,VLOOKUP(INDIRECT($C$5),Jornada!$C$8:$W$37,21,0),0)-M23,0)))</f>
        <v>0</v>
      </c>
      <c r="P23" s="190">
        <f ca="1">IF(HLOOKUP($F23,Jornada!$X$7:$AD$37,VLOOKUP(INDIRECT($C$5),Jornada!$C$8:$W$37,21,0),0)-M23&lt;0,ABS(HLOOKUP($F23,Jornada!$X$7:$AD$37,VLOOKUP(INDIRECT($C$5),Jornada!$C$8:$W$37,21,0),0)-M23),0)</f>
        <v>0</v>
      </c>
      <c r="Q23" s="95">
        <f t="shared" si="0"/>
        <v>0</v>
      </c>
      <c r="R23" s="2">
        <f t="shared" si="2"/>
        <v>0</v>
      </c>
      <c r="S23" s="296" t="str">
        <f>IF(SUM(R8:R38)&gt;0,"Segundo o art 59 da CLT, o máximo de horas extras permitidas por dia são 2 horas.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T23" s="297"/>
      <c r="U23" s="298"/>
      <c r="X23" s="177"/>
      <c r="AB23" s="177">
        <f t="shared" si="10"/>
        <v>16</v>
      </c>
      <c r="AC23" s="2">
        <f t="shared" si="3"/>
        <v>2</v>
      </c>
      <c r="AG23" s="220">
        <f t="shared" si="4"/>
        <v>0</v>
      </c>
      <c r="AH23" s="220">
        <f ca="1">IF(HLOOKUP($F23,Jornada!$X$7:$AD$37,VLOOKUP(INDIRECT($C$5),Jornada!$C$8:$W$37,21,0),0)=0,0,VLOOKUP(INDIRECT($C$5),Jornada!$C$8:$H$37,4,0))</f>
        <v>0</v>
      </c>
      <c r="AI23" s="155">
        <f ca="1">IF(AND(I23=0,J23=0,OR(H23&lt;&gt;0,K23&lt;&gt;0),HLOOKUP($F23,Jornada!$X$7:$AD$37,VLOOKUP(INDIRECT($C$5),Jornada!$C$8:$W$37,21,0),0)&gt;$AK$5,M23&gt;$AK$5),VLOOKUP(INDIRECT($C$5),Jornada!$C$8:$H$37,6,0),IF(AG23&gt;VLOOKUP(INDIRECT($C$5),Jornada!$C$8:$H$37,6,0),IF(VLOOKUP(INDIRECT($C$5),Jornada!$C$8:$H$37,6,0)&lt;AG23,0,ABS(VLOOKUP(INDIRECT($C$5),Jornada!$C$8:$H$37,6,0))-AG23),0))</f>
        <v>0</v>
      </c>
      <c r="AJ23" s="155">
        <f t="shared" si="5"/>
        <v>1</v>
      </c>
      <c r="AK23" s="155">
        <f t="shared" si="6"/>
        <v>0</v>
      </c>
      <c r="AL23" s="155">
        <f ca="1">HLOOKUP($F23,Jornada!$I$5:$V$37,VLOOKUP(INDIRECT($C$5),Jornada!$C$8:$W$37,21,0)+2,0)</f>
        <v>0</v>
      </c>
      <c r="AM23" s="155">
        <f ca="1">HLOOKUP($F23,Jornada!$I$4:$V$37,VLOOKUP(INDIRECT($C$5),Jornada!$C$8:$W$37,21,0)+3,0)</f>
        <v>0</v>
      </c>
      <c r="AN23" s="155">
        <f t="shared" ca="1" si="7"/>
        <v>0</v>
      </c>
      <c r="AO23" s="155">
        <f t="shared" si="8"/>
        <v>0</v>
      </c>
      <c r="AP23" s="155">
        <f t="shared" si="9"/>
        <v>0</v>
      </c>
      <c r="BE23" s="14"/>
      <c r="BF23" s="14"/>
      <c r="BG23" s="14"/>
    </row>
    <row r="24" spans="1:59" s="2" customFormat="1" ht="30" customHeight="1" thickTop="1" thickBot="1" x14ac:dyDescent="0.25">
      <c r="A24" s="1"/>
      <c r="B24"/>
      <c r="C24" s="172" t="str">
        <f>IF(Funcionários!C23=0,"",Funcionários!C23)</f>
        <v/>
      </c>
      <c r="D24"/>
      <c r="E24" s="115">
        <f>Lanç!E24</f>
        <v>17</v>
      </c>
      <c r="F24" s="189" t="str">
        <f>Lanç!F24</f>
        <v>Ter</v>
      </c>
      <c r="G24" s="81"/>
      <c r="H24" s="94"/>
      <c r="I24" s="94"/>
      <c r="J24" s="94"/>
      <c r="K24" s="94"/>
      <c r="L24" s="10"/>
      <c r="M24" s="95">
        <f t="shared" si="1"/>
        <v>0</v>
      </c>
      <c r="N24" s="96"/>
      <c r="O24" s="95">
        <f ca="1">IF(OR(G24=0,G24="Férias",G24="Falta Justificada",G24="Feriado",G24="Folga (DSR)"),0,IF(G24="Falta Injustificada",HLOOKUP($F24,Jornada!$X$7:$AD$37,VLOOKUP(INDIRECT($C$5),Jornada!$C$8:$W$37,21,0),0),IF(HLOOKUP($F24,Jornada!$X$7:$AD$37,VLOOKUP(INDIRECT($C$5),Jornada!$C$8:$W$37,21,0),0)-M24&gt;0,HLOOKUP($F24,Jornada!$X$7:$AD$37,VLOOKUP(INDIRECT($C$5),Jornada!$C$8:$W$37,21,0),0)-M24,0)))</f>
        <v>0</v>
      </c>
      <c r="P24" s="190">
        <f ca="1">IF(HLOOKUP($F24,Jornada!$X$7:$AD$37,VLOOKUP(INDIRECT($C$5),Jornada!$C$8:$W$37,21,0),0)-M24&lt;0,ABS(HLOOKUP($F24,Jornada!$X$7:$AD$37,VLOOKUP(INDIRECT($C$5),Jornada!$C$8:$W$37,21,0),0)-M24),0)</f>
        <v>0</v>
      </c>
      <c r="Q24" s="95">
        <f t="shared" si="0"/>
        <v>0</v>
      </c>
      <c r="R24" s="2">
        <f t="shared" si="2"/>
        <v>0</v>
      </c>
      <c r="S24" s="296"/>
      <c r="T24" s="297"/>
      <c r="U24" s="298"/>
      <c r="X24" s="177"/>
      <c r="AB24" s="177">
        <f t="shared" si="10"/>
        <v>17</v>
      </c>
      <c r="AC24" s="2">
        <f t="shared" si="3"/>
        <v>3</v>
      </c>
      <c r="AG24" s="220">
        <f t="shared" si="4"/>
        <v>0</v>
      </c>
      <c r="AH24" s="220">
        <f ca="1">IF(HLOOKUP($F24,Jornada!$X$7:$AD$37,VLOOKUP(INDIRECT($C$5),Jornada!$C$8:$W$37,21,0),0)=0,0,VLOOKUP(INDIRECT($C$5),Jornada!$C$8:$H$37,4,0))</f>
        <v>0</v>
      </c>
      <c r="AI24" s="155">
        <f ca="1">IF(AND(I24=0,J24=0,OR(H24&lt;&gt;0,K24&lt;&gt;0),HLOOKUP($F24,Jornada!$X$7:$AD$37,VLOOKUP(INDIRECT($C$5),Jornada!$C$8:$W$37,21,0),0)&gt;$AK$5,M24&gt;$AK$5),VLOOKUP(INDIRECT($C$5),Jornada!$C$8:$H$37,6,0),IF(AG24&gt;VLOOKUP(INDIRECT($C$5),Jornada!$C$8:$H$37,6,0),IF(VLOOKUP(INDIRECT($C$5),Jornada!$C$8:$H$37,6,0)&lt;AG24,0,ABS(VLOOKUP(INDIRECT($C$5),Jornada!$C$8:$H$37,6,0))-AG24),0))</f>
        <v>0</v>
      </c>
      <c r="AJ24" s="155">
        <f t="shared" si="5"/>
        <v>1</v>
      </c>
      <c r="AK24" s="155">
        <f t="shared" si="6"/>
        <v>0</v>
      </c>
      <c r="AL24" s="155">
        <f ca="1">HLOOKUP($F24,Jornada!$I$5:$V$37,VLOOKUP(INDIRECT($C$5),Jornada!$C$8:$W$37,21,0)+2,0)</f>
        <v>0</v>
      </c>
      <c r="AM24" s="155">
        <f ca="1">HLOOKUP($F24,Jornada!$I$4:$V$37,VLOOKUP(INDIRECT($C$5),Jornada!$C$8:$W$37,21,0)+3,0)</f>
        <v>0</v>
      </c>
      <c r="AN24" s="155">
        <f t="shared" ca="1" si="7"/>
        <v>0</v>
      </c>
      <c r="AO24" s="155">
        <f t="shared" si="8"/>
        <v>0</v>
      </c>
      <c r="AP24" s="155">
        <f t="shared" si="9"/>
        <v>0</v>
      </c>
      <c r="BE24" s="14"/>
      <c r="BF24" s="14"/>
      <c r="BG24" s="14"/>
    </row>
    <row r="25" spans="1:59" s="2" customFormat="1" ht="30" customHeight="1" thickTop="1" thickBot="1" x14ac:dyDescent="0.25">
      <c r="A25" s="1"/>
      <c r="B25"/>
      <c r="C25" s="172" t="str">
        <f>IF(Funcionários!C24=0,"",Funcionários!C24)</f>
        <v/>
      </c>
      <c r="D25"/>
      <c r="E25" s="115">
        <f>Lanç!E25</f>
        <v>18</v>
      </c>
      <c r="F25" s="189" t="str">
        <f>Lanç!F25</f>
        <v>Qua</v>
      </c>
      <c r="G25" s="81"/>
      <c r="H25" s="94"/>
      <c r="I25" s="94"/>
      <c r="J25" s="94"/>
      <c r="K25" s="94"/>
      <c r="L25" s="10"/>
      <c r="M25" s="95">
        <f t="shared" si="1"/>
        <v>0</v>
      </c>
      <c r="N25" s="96"/>
      <c r="O25" s="95">
        <f ca="1">IF(OR(G25=0,G25="Férias",G25="Falta Justificada",G25="Feriado",G25="Folga (DSR)"),0,IF(G25="Falta Injustificada",HLOOKUP($F25,Jornada!$X$7:$AD$37,VLOOKUP(INDIRECT($C$5),Jornada!$C$8:$W$37,21,0),0),IF(HLOOKUP($F25,Jornada!$X$7:$AD$37,VLOOKUP(INDIRECT($C$5),Jornada!$C$8:$W$37,21,0),0)-M25&gt;0,HLOOKUP($F25,Jornada!$X$7:$AD$37,VLOOKUP(INDIRECT($C$5),Jornada!$C$8:$W$37,21,0),0)-M25,0)))</f>
        <v>0</v>
      </c>
      <c r="P25" s="190">
        <f ca="1">IF(HLOOKUP($F25,Jornada!$X$7:$AD$37,VLOOKUP(INDIRECT($C$5),Jornada!$C$8:$W$37,21,0),0)-M25&lt;0,ABS(HLOOKUP($F25,Jornada!$X$7:$AD$37,VLOOKUP(INDIRECT($C$5),Jornada!$C$8:$W$37,21,0),0)-M25),0)</f>
        <v>0</v>
      </c>
      <c r="Q25" s="95">
        <f t="shared" si="0"/>
        <v>0</v>
      </c>
      <c r="R25" s="2">
        <f t="shared" si="2"/>
        <v>0</v>
      </c>
      <c r="S25" s="296"/>
      <c r="T25" s="297"/>
      <c r="U25" s="298"/>
      <c r="X25" s="177"/>
      <c r="Z25" s="2">
        <f>IF(SUM(R8:R38)&gt;0,1,0)</f>
        <v>0</v>
      </c>
      <c r="AB25" s="177">
        <f t="shared" si="10"/>
        <v>18</v>
      </c>
      <c r="AC25" s="2">
        <f t="shared" si="3"/>
        <v>4</v>
      </c>
      <c r="AG25" s="220">
        <f t="shared" si="4"/>
        <v>0</v>
      </c>
      <c r="AH25" s="220">
        <f ca="1">IF(HLOOKUP($F25,Jornada!$X$7:$AD$37,VLOOKUP(INDIRECT($C$5),Jornada!$C$8:$W$37,21,0),0)=0,0,VLOOKUP(INDIRECT($C$5),Jornada!$C$8:$H$37,4,0))</f>
        <v>0</v>
      </c>
      <c r="AI25" s="155">
        <f ca="1">IF(AND(I25=0,J25=0,OR(H25&lt;&gt;0,K25&lt;&gt;0),HLOOKUP($F25,Jornada!$X$7:$AD$37,VLOOKUP(INDIRECT($C$5),Jornada!$C$8:$W$37,21,0),0)&gt;$AK$5,M25&gt;$AK$5),VLOOKUP(INDIRECT($C$5),Jornada!$C$8:$H$37,6,0),IF(AG25&gt;VLOOKUP(INDIRECT($C$5),Jornada!$C$8:$H$37,6,0),IF(VLOOKUP(INDIRECT($C$5),Jornada!$C$8:$H$37,6,0)&lt;AG25,0,ABS(VLOOKUP(INDIRECT($C$5),Jornada!$C$8:$H$37,6,0))-AG25),0))</f>
        <v>0</v>
      </c>
      <c r="AJ25" s="155">
        <f t="shared" si="5"/>
        <v>1</v>
      </c>
      <c r="AK25" s="155">
        <f t="shared" si="6"/>
        <v>0</v>
      </c>
      <c r="AL25" s="155">
        <f ca="1">HLOOKUP($F25,Jornada!$I$5:$V$37,VLOOKUP(INDIRECT($C$5),Jornada!$C$8:$W$37,21,0)+2,0)</f>
        <v>0</v>
      </c>
      <c r="AM25" s="155">
        <f ca="1">HLOOKUP($F25,Jornada!$I$4:$V$37,VLOOKUP(INDIRECT($C$5),Jornada!$C$8:$W$37,21,0)+3,0)</f>
        <v>0</v>
      </c>
      <c r="AN25" s="155">
        <f t="shared" ca="1" si="7"/>
        <v>0</v>
      </c>
      <c r="AO25" s="155">
        <f t="shared" si="8"/>
        <v>0</v>
      </c>
      <c r="AP25" s="155">
        <f t="shared" si="9"/>
        <v>0</v>
      </c>
      <c r="BE25" s="14"/>
      <c r="BF25" s="14"/>
      <c r="BG25" s="14"/>
    </row>
    <row r="26" spans="1:59" s="2" customFormat="1" ht="30" customHeight="1" thickTop="1" thickBot="1" x14ac:dyDescent="0.25">
      <c r="A26" s="1"/>
      <c r="B26"/>
      <c r="C26" s="172" t="str">
        <f>IF(Funcionários!C25=0,"",Funcionários!C25)</f>
        <v/>
      </c>
      <c r="D26"/>
      <c r="E26" s="115">
        <f>Lanç!E26</f>
        <v>19</v>
      </c>
      <c r="F26" s="189" t="str">
        <f>Lanç!F26</f>
        <v>Qui</v>
      </c>
      <c r="G26" s="81"/>
      <c r="H26" s="94"/>
      <c r="I26" s="94"/>
      <c r="J26" s="94"/>
      <c r="K26" s="94"/>
      <c r="L26" s="10"/>
      <c r="M26" s="95">
        <f t="shared" si="1"/>
        <v>0</v>
      </c>
      <c r="N26" s="96"/>
      <c r="O26" s="95">
        <f ca="1">IF(OR(G26=0,G26="Férias",G26="Falta Justificada",G26="Feriado",G26="Folga (DSR)"),0,IF(G26="Falta Injustificada",HLOOKUP($F26,Jornada!$X$7:$AD$37,VLOOKUP(INDIRECT($C$5),Jornada!$C$8:$W$37,21,0),0),IF(HLOOKUP($F26,Jornada!$X$7:$AD$37,VLOOKUP(INDIRECT($C$5),Jornada!$C$8:$W$37,21,0),0)-M26&gt;0,HLOOKUP($F26,Jornada!$X$7:$AD$37,VLOOKUP(INDIRECT($C$5),Jornada!$C$8:$W$37,21,0),0)-M26,0)))</f>
        <v>0</v>
      </c>
      <c r="P26" s="190">
        <f ca="1">IF(HLOOKUP($F26,Jornada!$X$7:$AD$37,VLOOKUP(INDIRECT($C$5),Jornada!$C$8:$W$37,21,0),0)-M26&lt;0,ABS(HLOOKUP($F26,Jornada!$X$7:$AD$37,VLOOKUP(INDIRECT($C$5),Jornada!$C$8:$W$37,21,0),0)-M26),0)</f>
        <v>0</v>
      </c>
      <c r="Q26" s="95">
        <f t="shared" si="0"/>
        <v>0</v>
      </c>
      <c r="R26" s="2">
        <f t="shared" si="2"/>
        <v>0</v>
      </c>
      <c r="S26" s="296" t="str">
        <f>IF(COUNTIF(G8:G38,"Folga (DSR)")&lt;DAY(E39)/8,"O mês não está contemplando um DSR (Descanso Semanal Remunerado) por semana. Isso pode configurar uma irregularidade segundo as leis trabalhistas.","Parabéns!! Sua folha de pagamento contempla uma DSR por semana conforme a lei trabalhista.")</f>
        <v>O mês não está contemplando um DSR (Descanso Semanal Remunerado) por semana. Isso pode configurar uma irregularidade segundo as leis trabalhistas.</v>
      </c>
      <c r="T26" s="297"/>
      <c r="U26" s="298"/>
      <c r="X26" s="177"/>
      <c r="AB26" s="177">
        <f t="shared" si="10"/>
        <v>19</v>
      </c>
      <c r="AC26" s="2">
        <f t="shared" si="3"/>
        <v>5</v>
      </c>
      <c r="AG26" s="220">
        <f t="shared" si="4"/>
        <v>0</v>
      </c>
      <c r="AH26" s="220">
        <f ca="1">IF(HLOOKUP($F26,Jornada!$X$7:$AD$37,VLOOKUP(INDIRECT($C$5),Jornada!$C$8:$W$37,21,0),0)=0,0,VLOOKUP(INDIRECT($C$5),Jornada!$C$8:$H$37,4,0))</f>
        <v>0</v>
      </c>
      <c r="AI26" s="155">
        <f ca="1">IF(AND(I26=0,J26=0,OR(H26&lt;&gt;0,K26&lt;&gt;0),HLOOKUP($F26,Jornada!$X$7:$AD$37,VLOOKUP(INDIRECT($C$5),Jornada!$C$8:$W$37,21,0),0)&gt;$AK$5,M26&gt;$AK$5),VLOOKUP(INDIRECT($C$5),Jornada!$C$8:$H$37,6,0),IF(AG26&gt;VLOOKUP(INDIRECT($C$5),Jornada!$C$8:$H$37,6,0),IF(VLOOKUP(INDIRECT($C$5),Jornada!$C$8:$H$37,6,0)&lt;AG26,0,ABS(VLOOKUP(INDIRECT($C$5),Jornada!$C$8:$H$37,6,0))-AG26),0))</f>
        <v>0</v>
      </c>
      <c r="AJ26" s="155">
        <f t="shared" si="5"/>
        <v>1</v>
      </c>
      <c r="AK26" s="155">
        <f t="shared" si="6"/>
        <v>0</v>
      </c>
      <c r="AL26" s="155">
        <f ca="1">HLOOKUP($F26,Jornada!$I$5:$V$37,VLOOKUP(INDIRECT($C$5),Jornada!$C$8:$W$37,21,0)+2,0)</f>
        <v>0</v>
      </c>
      <c r="AM26" s="155">
        <f ca="1">HLOOKUP($F26,Jornada!$I$4:$V$37,VLOOKUP(INDIRECT($C$5),Jornada!$C$8:$W$37,21,0)+3,0)</f>
        <v>0</v>
      </c>
      <c r="AN26" s="155">
        <f t="shared" ca="1" si="7"/>
        <v>0</v>
      </c>
      <c r="AO26" s="155">
        <f t="shared" si="8"/>
        <v>0</v>
      </c>
      <c r="AP26" s="155">
        <f t="shared" si="9"/>
        <v>0</v>
      </c>
      <c r="BE26" s="14"/>
      <c r="BF26" s="14"/>
      <c r="BG26" s="14"/>
    </row>
    <row r="27" spans="1:59" s="2" customFormat="1" ht="30" customHeight="1" thickTop="1" thickBot="1" x14ac:dyDescent="0.25">
      <c r="A27" s="1"/>
      <c r="B27"/>
      <c r="C27" s="171" t="str">
        <f>IF(Funcionários!C26=0,"",Funcionários!C26)</f>
        <v/>
      </c>
      <c r="D27"/>
      <c r="E27" s="115">
        <f>Lanç!E27</f>
        <v>20</v>
      </c>
      <c r="F27" s="189" t="str">
        <f>Lanç!F27</f>
        <v>Sex</v>
      </c>
      <c r="G27" s="81"/>
      <c r="H27" s="94"/>
      <c r="I27" s="94"/>
      <c r="J27" s="94"/>
      <c r="K27" s="94"/>
      <c r="L27" s="10"/>
      <c r="M27" s="95">
        <f t="shared" si="1"/>
        <v>0</v>
      </c>
      <c r="N27" s="96"/>
      <c r="O27" s="95">
        <f ca="1">IF(OR(G27=0,G27="Férias",G27="Falta Justificada",G27="Feriado",G27="Folga (DSR)"),0,IF(G27="Falta Injustificada",HLOOKUP($F27,Jornada!$X$7:$AD$37,VLOOKUP(INDIRECT($C$5),Jornada!$C$8:$W$37,21,0),0),IF(HLOOKUP($F27,Jornada!$X$7:$AD$37,VLOOKUP(INDIRECT($C$5),Jornada!$C$8:$W$37,21,0),0)-M27&gt;0,HLOOKUP($F27,Jornada!$X$7:$AD$37,VLOOKUP(INDIRECT($C$5),Jornada!$C$8:$W$37,21,0),0)-M27,0)))</f>
        <v>0</v>
      </c>
      <c r="P27" s="190">
        <f ca="1">IF(HLOOKUP($F27,Jornada!$X$7:$AD$37,VLOOKUP(INDIRECT($C$5),Jornada!$C$8:$W$37,21,0),0)-M27&lt;0,ABS(HLOOKUP($F27,Jornada!$X$7:$AD$37,VLOOKUP(INDIRECT($C$5),Jornada!$C$8:$W$37,21,0),0)-M27),0)</f>
        <v>0</v>
      </c>
      <c r="Q27" s="95">
        <f t="shared" si="0"/>
        <v>0</v>
      </c>
      <c r="R27" s="2">
        <f t="shared" si="2"/>
        <v>0</v>
      </c>
      <c r="S27" s="296"/>
      <c r="T27" s="297"/>
      <c r="U27" s="298"/>
      <c r="X27" s="177"/>
      <c r="AB27" s="177">
        <f t="shared" si="10"/>
        <v>20</v>
      </c>
      <c r="AC27" s="2">
        <f t="shared" si="3"/>
        <v>6</v>
      </c>
      <c r="AG27" s="220">
        <f t="shared" si="4"/>
        <v>0</v>
      </c>
      <c r="AH27" s="220">
        <f ca="1">IF(HLOOKUP($F27,Jornada!$X$7:$AD$37,VLOOKUP(INDIRECT($C$5),Jornada!$C$8:$W$37,21,0),0)=0,0,VLOOKUP(INDIRECT($C$5),Jornada!$C$8:$H$37,4,0))</f>
        <v>0</v>
      </c>
      <c r="AI27" s="155">
        <f ca="1">IF(AND(I27=0,J27=0,OR(H27&lt;&gt;0,K27&lt;&gt;0),HLOOKUP($F27,Jornada!$X$7:$AD$37,VLOOKUP(INDIRECT($C$5),Jornada!$C$8:$W$37,21,0),0)&gt;$AK$5,M27&gt;$AK$5),VLOOKUP(INDIRECT($C$5),Jornada!$C$8:$H$37,6,0),IF(AG27&gt;VLOOKUP(INDIRECT($C$5),Jornada!$C$8:$H$37,6,0),IF(VLOOKUP(INDIRECT($C$5),Jornada!$C$8:$H$37,6,0)&lt;AG27,0,ABS(VLOOKUP(INDIRECT($C$5),Jornada!$C$8:$H$37,6,0))-AG27),0))</f>
        <v>0</v>
      </c>
      <c r="AJ27" s="155">
        <f t="shared" si="5"/>
        <v>1</v>
      </c>
      <c r="AK27" s="155">
        <f t="shared" si="6"/>
        <v>0</v>
      </c>
      <c r="AL27" s="155">
        <f ca="1">HLOOKUP($F27,Jornada!$I$5:$V$37,VLOOKUP(INDIRECT($C$5),Jornada!$C$8:$W$37,21,0)+2,0)</f>
        <v>0</v>
      </c>
      <c r="AM27" s="155">
        <f ca="1">HLOOKUP($F27,Jornada!$I$4:$V$37,VLOOKUP(INDIRECT($C$5),Jornada!$C$8:$W$37,21,0)+3,0)</f>
        <v>0</v>
      </c>
      <c r="AN27" s="155">
        <f t="shared" ca="1" si="7"/>
        <v>0</v>
      </c>
      <c r="AO27" s="155">
        <f t="shared" si="8"/>
        <v>0</v>
      </c>
      <c r="AP27" s="155">
        <f t="shared" si="9"/>
        <v>0</v>
      </c>
    </row>
    <row r="28" spans="1:59" s="2" customFormat="1" ht="30" customHeight="1" thickTop="1" thickBot="1" x14ac:dyDescent="0.25">
      <c r="A28" s="1"/>
      <c r="B28"/>
      <c r="C28" s="172" t="str">
        <f>IF(Funcionários!C27=0,"",Funcionários!C27)</f>
        <v/>
      </c>
      <c r="D28"/>
      <c r="E28" s="115">
        <f>Lanç!E28</f>
        <v>21</v>
      </c>
      <c r="F28" s="189" t="str">
        <f>Lanç!F28</f>
        <v>Sáb</v>
      </c>
      <c r="G28" s="81"/>
      <c r="H28" s="94"/>
      <c r="I28" s="94"/>
      <c r="J28" s="94"/>
      <c r="K28" s="94"/>
      <c r="L28" s="10"/>
      <c r="M28" s="95">
        <f t="shared" si="1"/>
        <v>0</v>
      </c>
      <c r="N28" s="96"/>
      <c r="O28" s="95">
        <f ca="1">IF(OR(G28=0,G28="Férias",G28="Falta Justificada",G28="Feriado",G28="Folga (DSR)"),0,IF(G28="Falta Injustificada",HLOOKUP($F28,Jornada!$X$7:$AD$37,VLOOKUP(INDIRECT($C$5),Jornada!$C$8:$W$37,21,0),0),IF(HLOOKUP($F28,Jornada!$X$7:$AD$37,VLOOKUP(INDIRECT($C$5),Jornada!$C$8:$W$37,21,0),0)-M28&gt;0,HLOOKUP($F28,Jornada!$X$7:$AD$37,VLOOKUP(INDIRECT($C$5),Jornada!$C$8:$W$37,21,0),0)-M28,0)))</f>
        <v>0</v>
      </c>
      <c r="P28" s="190">
        <f ca="1">IF(HLOOKUP($F28,Jornada!$X$7:$AD$37,VLOOKUP(INDIRECT($C$5),Jornada!$C$8:$W$37,21,0),0)-M28&lt;0,ABS(HLOOKUP($F28,Jornada!$X$7:$AD$37,VLOOKUP(INDIRECT($C$5),Jornada!$C$8:$W$37,21,0),0)-M28),0)</f>
        <v>0</v>
      </c>
      <c r="Q28" s="95">
        <f t="shared" si="0"/>
        <v>0</v>
      </c>
      <c r="R28" s="2">
        <f t="shared" si="2"/>
        <v>0</v>
      </c>
      <c r="S28" s="296"/>
      <c r="T28" s="297"/>
      <c r="U28" s="298"/>
      <c r="X28" s="177"/>
      <c r="AB28" s="177">
        <f t="shared" si="10"/>
        <v>21</v>
      </c>
      <c r="AC28" s="2">
        <f t="shared" si="3"/>
        <v>7</v>
      </c>
      <c r="AG28" s="220">
        <f t="shared" si="4"/>
        <v>0</v>
      </c>
      <c r="AH28" s="220">
        <f ca="1">IF(HLOOKUP($F28,Jornada!$X$7:$AD$37,VLOOKUP(INDIRECT($C$5),Jornada!$C$8:$W$37,21,0),0)=0,0,VLOOKUP(INDIRECT($C$5),Jornada!$C$8:$H$37,4,0))</f>
        <v>0</v>
      </c>
      <c r="AI28" s="155">
        <f ca="1">IF(AND(I28=0,J28=0,OR(H28&lt;&gt;0,K28&lt;&gt;0),HLOOKUP($F28,Jornada!$X$7:$AD$37,VLOOKUP(INDIRECT($C$5),Jornada!$C$8:$W$37,21,0),0)&gt;$AK$5,M28&gt;$AK$5),VLOOKUP(INDIRECT($C$5),Jornada!$C$8:$H$37,6,0),IF(AG28&gt;VLOOKUP(INDIRECT($C$5),Jornada!$C$8:$H$37,6,0),IF(VLOOKUP(INDIRECT($C$5),Jornada!$C$8:$H$37,6,0)&lt;AG28,0,ABS(VLOOKUP(INDIRECT($C$5),Jornada!$C$8:$H$37,6,0))-AG28),0))</f>
        <v>0</v>
      </c>
      <c r="AJ28" s="155">
        <f t="shared" si="5"/>
        <v>1</v>
      </c>
      <c r="AK28" s="155">
        <f t="shared" si="6"/>
        <v>0</v>
      </c>
      <c r="AL28" s="155">
        <f ca="1">HLOOKUP($F28,Jornada!$I$5:$V$37,VLOOKUP(INDIRECT($C$5),Jornada!$C$8:$W$37,21,0)+2,0)</f>
        <v>0</v>
      </c>
      <c r="AM28" s="155">
        <f ca="1">HLOOKUP($F28,Jornada!$I$4:$V$37,VLOOKUP(INDIRECT($C$5),Jornada!$C$8:$W$37,21,0)+3,0)</f>
        <v>0</v>
      </c>
      <c r="AN28" s="155">
        <f t="shared" ca="1" si="7"/>
        <v>0</v>
      </c>
      <c r="AO28" s="155">
        <f t="shared" si="8"/>
        <v>0</v>
      </c>
      <c r="AP28" s="155">
        <f t="shared" si="9"/>
        <v>0</v>
      </c>
    </row>
    <row r="29" spans="1:59" s="2" customFormat="1" ht="30" customHeight="1" thickTop="1" thickBot="1" x14ac:dyDescent="0.25">
      <c r="A29" s="1"/>
      <c r="B29"/>
      <c r="C29" s="172" t="str">
        <f>IF(Funcionários!C28=0,"",Funcionários!C28)</f>
        <v/>
      </c>
      <c r="D29"/>
      <c r="E29" s="115">
        <f>Lanç!E29</f>
        <v>22</v>
      </c>
      <c r="F29" s="189" t="str">
        <f>Lanç!F29</f>
        <v>Dom</v>
      </c>
      <c r="G29" s="81"/>
      <c r="H29" s="94"/>
      <c r="I29" s="94"/>
      <c r="J29" s="94"/>
      <c r="K29" s="94"/>
      <c r="L29" s="10"/>
      <c r="M29" s="95">
        <f t="shared" si="1"/>
        <v>0</v>
      </c>
      <c r="N29" s="96"/>
      <c r="O29" s="95">
        <f ca="1">IF(OR(G29=0,G29="Férias",G29="Falta Justificada",G29="Feriado",G29="Folga (DSR)"),0,IF(G29="Falta Injustificada",HLOOKUP($F29,Jornada!$X$7:$AD$37,VLOOKUP(INDIRECT($C$5),Jornada!$C$8:$W$37,21,0),0),IF(HLOOKUP($F29,Jornada!$X$7:$AD$37,VLOOKUP(INDIRECT($C$5),Jornada!$C$8:$W$37,21,0),0)-M29&gt;0,HLOOKUP($F29,Jornada!$X$7:$AD$37,VLOOKUP(INDIRECT($C$5),Jornada!$C$8:$W$37,21,0),0)-M29,0)))</f>
        <v>0</v>
      </c>
      <c r="P29" s="190">
        <f ca="1">IF(HLOOKUP($F29,Jornada!$X$7:$AD$37,VLOOKUP(INDIRECT($C$5),Jornada!$C$8:$W$37,21,0),0)-M29&lt;0,ABS(HLOOKUP($F29,Jornada!$X$7:$AD$37,VLOOKUP(INDIRECT($C$5),Jornada!$C$8:$W$37,21,0),0)-M29),0)</f>
        <v>0</v>
      </c>
      <c r="Q29" s="95">
        <f t="shared" si="0"/>
        <v>0</v>
      </c>
      <c r="R29" s="2">
        <f t="shared" si="2"/>
        <v>0</v>
      </c>
      <c r="S29" s="13"/>
      <c r="T29" s="74"/>
      <c r="U29" s="74"/>
      <c r="X29" s="177"/>
      <c r="AB29" s="177">
        <f t="shared" si="10"/>
        <v>22</v>
      </c>
      <c r="AC29" s="2">
        <f t="shared" si="3"/>
        <v>1</v>
      </c>
      <c r="AG29" s="220">
        <f t="shared" si="4"/>
        <v>0</v>
      </c>
      <c r="AH29" s="220">
        <f ca="1">IF(HLOOKUP($F29,Jornada!$X$7:$AD$37,VLOOKUP(INDIRECT($C$5),Jornada!$C$8:$W$37,21,0),0)=0,0,VLOOKUP(INDIRECT($C$5),Jornada!$C$8:$H$37,4,0))</f>
        <v>0</v>
      </c>
      <c r="AI29" s="155">
        <f ca="1">IF(AND(I29=0,J29=0,OR(H29&lt;&gt;0,K29&lt;&gt;0),HLOOKUP($F29,Jornada!$X$7:$AD$37,VLOOKUP(INDIRECT($C$5),Jornada!$C$8:$W$37,21,0),0)&gt;$AK$5,M29&gt;$AK$5),VLOOKUP(INDIRECT($C$5),Jornada!$C$8:$H$37,6,0),IF(AG29&gt;VLOOKUP(INDIRECT($C$5),Jornada!$C$8:$H$37,6,0),IF(VLOOKUP(INDIRECT($C$5),Jornada!$C$8:$H$37,6,0)&lt;AG29,0,ABS(VLOOKUP(INDIRECT($C$5),Jornada!$C$8:$H$37,6,0))-AG29),0))</f>
        <v>0</v>
      </c>
      <c r="AJ29" s="155">
        <f t="shared" si="5"/>
        <v>1</v>
      </c>
      <c r="AK29" s="155">
        <f t="shared" si="6"/>
        <v>0</v>
      </c>
      <c r="AL29" s="155">
        <f ca="1">HLOOKUP($F29,Jornada!$I$5:$V$37,VLOOKUP(INDIRECT($C$5),Jornada!$C$8:$W$37,21,0)+2,0)</f>
        <v>0</v>
      </c>
      <c r="AM29" s="155">
        <f ca="1">HLOOKUP($F29,Jornada!$I$4:$V$37,VLOOKUP(INDIRECT($C$5),Jornada!$C$8:$W$37,21,0)+3,0)</f>
        <v>0</v>
      </c>
      <c r="AN29" s="155">
        <f t="shared" ca="1" si="7"/>
        <v>0</v>
      </c>
      <c r="AO29" s="155">
        <f t="shared" si="8"/>
        <v>0</v>
      </c>
      <c r="AP29" s="155">
        <f t="shared" si="9"/>
        <v>0</v>
      </c>
    </row>
    <row r="30" spans="1:59" s="2" customFormat="1" ht="30" customHeight="1" thickTop="1" thickBot="1" x14ac:dyDescent="0.25">
      <c r="A30" s="1"/>
      <c r="B30"/>
      <c r="C30" s="172" t="str">
        <f>IF(Funcionários!C29=0,"",Funcionários!C29)</f>
        <v/>
      </c>
      <c r="D30"/>
      <c r="E30" s="173">
        <f>Lanç!E30</f>
        <v>23</v>
      </c>
      <c r="F30" s="189" t="str">
        <f>Lanç!F30</f>
        <v>Seg</v>
      </c>
      <c r="G30" s="81"/>
      <c r="H30" s="94"/>
      <c r="I30" s="94"/>
      <c r="J30" s="94"/>
      <c r="K30" s="94"/>
      <c r="L30" s="10"/>
      <c r="M30" s="95">
        <f t="shared" si="1"/>
        <v>0</v>
      </c>
      <c r="N30" s="96"/>
      <c r="O30" s="95">
        <f ca="1">IF(OR(G30=0,G30="Férias",G30="Falta Justificada",G30="Feriado",G30="Folga (DSR)"),0,IF(G30="Falta Injustificada",HLOOKUP($F30,Jornada!$X$7:$AD$37,VLOOKUP(INDIRECT($C$5),Jornada!$C$8:$W$37,21,0),0),IF(HLOOKUP($F30,Jornada!$X$7:$AD$37,VLOOKUP(INDIRECT($C$5),Jornada!$C$8:$W$37,21,0),0)-M30&gt;0,HLOOKUP($F30,Jornada!$X$7:$AD$37,VLOOKUP(INDIRECT($C$5),Jornada!$C$8:$W$37,21,0),0)-M30,0)))</f>
        <v>0</v>
      </c>
      <c r="P30" s="190">
        <f ca="1">IF(HLOOKUP($F30,Jornada!$X$7:$AD$37,VLOOKUP(INDIRECT($C$5),Jornada!$C$8:$W$37,21,0),0)-M30&lt;0,ABS(HLOOKUP($F30,Jornada!$X$7:$AD$37,VLOOKUP(INDIRECT($C$5),Jornada!$C$8:$W$37,21,0),0)-M30),0)</f>
        <v>0</v>
      </c>
      <c r="Q30" s="95">
        <f t="shared" si="0"/>
        <v>0</v>
      </c>
      <c r="R30" s="2">
        <f>IF(Q30&gt;$R$7,1,0)</f>
        <v>0</v>
      </c>
      <c r="S30" s="13"/>
      <c r="T30" s="74"/>
      <c r="U30" s="74"/>
      <c r="X30" s="177"/>
      <c r="AB30" s="177">
        <f t="shared" si="10"/>
        <v>23</v>
      </c>
      <c r="AC30" s="2">
        <f>WEEKDAY(AB30)</f>
        <v>2</v>
      </c>
      <c r="AG30" s="220">
        <f t="shared" si="4"/>
        <v>0</v>
      </c>
      <c r="AH30" s="220">
        <f ca="1">IF(HLOOKUP($F30,Jornada!$X$7:$AD$37,VLOOKUP(INDIRECT($C$5),Jornada!$C$8:$W$37,21,0),0)=0,0,VLOOKUP(INDIRECT($C$5),Jornada!$C$8:$H$37,4,0))</f>
        <v>0</v>
      </c>
      <c r="AI30" s="155">
        <f ca="1">IF(AND(I30=0,J30=0,OR(H30&lt;&gt;0,K30&lt;&gt;0),HLOOKUP($F30,Jornada!$X$7:$AD$37,VLOOKUP(INDIRECT($C$5),Jornada!$C$8:$W$37,21,0),0)&gt;$AK$5,M30&gt;$AK$5),VLOOKUP(INDIRECT($C$5),Jornada!$C$8:$H$37,6,0),IF(AG30&gt;VLOOKUP(INDIRECT($C$5),Jornada!$C$8:$H$37,6,0),IF(VLOOKUP(INDIRECT($C$5),Jornada!$C$8:$H$37,6,0)&lt;AG30,0,ABS(VLOOKUP(INDIRECT($C$5),Jornada!$C$8:$H$37,6,0))-AG30),0))</f>
        <v>0</v>
      </c>
      <c r="AJ30" s="155">
        <f>($AJ$7-K30)+H30</f>
        <v>1</v>
      </c>
      <c r="AK30" s="155">
        <f>IF(AJ30&lt;$AK$7,$AK$7-AJ30,$AI$7)</f>
        <v>0</v>
      </c>
      <c r="AL30" s="155">
        <f ca="1">HLOOKUP($F30,Jornada!$I$5:$V$37,VLOOKUP(INDIRECT($C$5),Jornada!$C$8:$W$37,21,0)+2,0)</f>
        <v>0</v>
      </c>
      <c r="AM30" s="155">
        <f ca="1">HLOOKUP($F30,Jornada!$I$4:$V$37,VLOOKUP(INDIRECT($C$5),Jornada!$C$8:$W$37,21,0)+3,0)</f>
        <v>0</v>
      </c>
      <c r="AN30" s="155">
        <f t="shared" ca="1" si="7"/>
        <v>0</v>
      </c>
      <c r="AO30" s="155">
        <f t="shared" si="8"/>
        <v>0</v>
      </c>
      <c r="AP30" s="155">
        <f t="shared" si="9"/>
        <v>0</v>
      </c>
    </row>
    <row r="31" spans="1:59" s="2" customFormat="1" ht="30" customHeight="1" thickTop="1" thickBot="1" x14ac:dyDescent="0.25">
      <c r="A31" s="1"/>
      <c r="B31"/>
      <c r="C31" s="172" t="str">
        <f>IF(Funcionários!C30=0,"",Funcionários!C30)</f>
        <v/>
      </c>
      <c r="D31"/>
      <c r="E31" s="173">
        <f>Lanç!E31</f>
        <v>24</v>
      </c>
      <c r="F31" s="189" t="str">
        <f>Lanç!F31</f>
        <v>Ter</v>
      </c>
      <c r="G31" s="81"/>
      <c r="H31" s="94"/>
      <c r="I31" s="94"/>
      <c r="J31" s="94"/>
      <c r="K31" s="94"/>
      <c r="L31" s="10"/>
      <c r="M31" s="95">
        <f t="shared" si="1"/>
        <v>0</v>
      </c>
      <c r="N31" s="96"/>
      <c r="O31" s="95">
        <f ca="1">IF(OR(G31=0,G31="Férias",G31="Falta Justificada",G31="Feriado",G31="Folga (DSR)"),0,IF(G31="Falta Injustificada",HLOOKUP($F31,Jornada!$X$7:$AD$37,VLOOKUP(INDIRECT($C$5),Jornada!$C$8:$W$37,21,0),0),IF(HLOOKUP($F31,Jornada!$X$7:$AD$37,VLOOKUP(INDIRECT($C$5),Jornada!$C$8:$W$37,21,0),0)-M31&gt;0,HLOOKUP($F31,Jornada!$X$7:$AD$37,VLOOKUP(INDIRECT($C$5),Jornada!$C$8:$W$37,21,0),0)-M31,0)))</f>
        <v>0</v>
      </c>
      <c r="P31" s="190">
        <f ca="1">IF(HLOOKUP($F31,Jornada!$X$7:$AD$37,VLOOKUP(INDIRECT($C$5),Jornada!$C$8:$W$37,21,0),0)-M31&lt;0,ABS(HLOOKUP($F31,Jornada!$X$7:$AD$37,VLOOKUP(INDIRECT($C$5),Jornada!$C$8:$W$37,21,0),0)-M31),0)</f>
        <v>0</v>
      </c>
      <c r="Q31" s="95">
        <f t="shared" si="0"/>
        <v>0</v>
      </c>
      <c r="R31" s="2">
        <f>IF(Q31&gt;$R$7,1,0)</f>
        <v>0</v>
      </c>
      <c r="S31" s="13"/>
      <c r="T31" s="74"/>
      <c r="U31" s="74"/>
      <c r="X31" s="177"/>
      <c r="AB31" s="177">
        <f t="shared" si="10"/>
        <v>24</v>
      </c>
      <c r="AC31" s="2">
        <f>WEEKDAY(AB31)</f>
        <v>3</v>
      </c>
      <c r="AG31" s="220">
        <f t="shared" si="4"/>
        <v>0</v>
      </c>
      <c r="AH31" s="220">
        <f ca="1">IF(HLOOKUP($F31,Jornada!$X$7:$AD$37,VLOOKUP(INDIRECT($C$5),Jornada!$C$8:$W$37,21,0),0)=0,0,VLOOKUP(INDIRECT($C$5),Jornada!$C$8:$H$37,4,0))</f>
        <v>0</v>
      </c>
      <c r="AI31" s="155">
        <f ca="1">IF(AND(I31=0,J31=0,OR(H31&lt;&gt;0,K31&lt;&gt;0),HLOOKUP($F31,Jornada!$X$7:$AD$37,VLOOKUP(INDIRECT($C$5),Jornada!$C$8:$W$37,21,0),0)&gt;$AK$5,M31&gt;$AK$5),VLOOKUP(INDIRECT($C$5),Jornada!$C$8:$H$37,6,0),IF(AG31&gt;VLOOKUP(INDIRECT($C$5),Jornada!$C$8:$H$37,6,0),IF(VLOOKUP(INDIRECT($C$5),Jornada!$C$8:$H$37,6,0)&lt;AG31,0,ABS(VLOOKUP(INDIRECT($C$5),Jornada!$C$8:$H$37,6,0))-AG31),0))</f>
        <v>0</v>
      </c>
      <c r="AJ31" s="155">
        <f>($AJ$7-K31)+H31</f>
        <v>1</v>
      </c>
      <c r="AK31" s="155">
        <f>IF(AJ31&lt;$AK$7,$AK$7-AJ31,$AI$7)</f>
        <v>0</v>
      </c>
      <c r="AL31" s="155">
        <f ca="1">HLOOKUP($F31,Jornada!$I$5:$V$37,VLOOKUP(INDIRECT($C$5),Jornada!$C$8:$W$37,21,0)+2,0)</f>
        <v>0</v>
      </c>
      <c r="AM31" s="155">
        <f ca="1">HLOOKUP($F31,Jornada!$I$4:$V$37,VLOOKUP(INDIRECT($C$5),Jornada!$C$8:$W$37,21,0)+3,0)</f>
        <v>0</v>
      </c>
      <c r="AN31" s="155">
        <f t="shared" ca="1" si="7"/>
        <v>0</v>
      </c>
      <c r="AO31" s="155">
        <f t="shared" si="8"/>
        <v>0</v>
      </c>
      <c r="AP31" s="155">
        <f t="shared" si="9"/>
        <v>0</v>
      </c>
    </row>
    <row r="32" spans="1:59" s="2" customFormat="1" ht="30" customHeight="1" thickTop="1" thickBot="1" x14ac:dyDescent="0.25">
      <c r="A32" s="1"/>
      <c r="B32"/>
      <c r="C32" s="172" t="str">
        <f>IF(Funcionários!C31=0,"",Funcionários!C31)</f>
        <v/>
      </c>
      <c r="D32"/>
      <c r="E32" s="115">
        <f>Lanç!E32</f>
        <v>25</v>
      </c>
      <c r="F32" s="189" t="str">
        <f>Lanç!F32</f>
        <v>Qua</v>
      </c>
      <c r="G32" s="81"/>
      <c r="H32" s="94"/>
      <c r="I32" s="94"/>
      <c r="J32" s="94"/>
      <c r="K32" s="94"/>
      <c r="L32" s="10"/>
      <c r="M32" s="95">
        <f t="shared" si="1"/>
        <v>0</v>
      </c>
      <c r="N32" s="96"/>
      <c r="O32" s="95">
        <f ca="1">IF(OR(G32=0,G32="Férias",G32="Falta Justificada",G32="Feriado",G32="Folga (DSR)"),0,IF(G32="Falta Injustificada",HLOOKUP($F32,Jornada!$X$7:$AD$37,VLOOKUP(INDIRECT($C$5),Jornada!$C$8:$W$37,21,0),0),IF(HLOOKUP($F32,Jornada!$X$7:$AD$37,VLOOKUP(INDIRECT($C$5),Jornada!$C$8:$W$37,21,0),0)-M32&gt;0,HLOOKUP($F32,Jornada!$X$7:$AD$37,VLOOKUP(INDIRECT($C$5),Jornada!$C$8:$W$37,21,0),0)-M32,0)))</f>
        <v>0</v>
      </c>
      <c r="P32" s="190">
        <f ca="1">IF(HLOOKUP($F32,Jornada!$X$7:$AD$37,VLOOKUP(INDIRECT($C$5),Jornada!$C$8:$W$37,21,0),0)-M32&lt;0,ABS(HLOOKUP($F32,Jornada!$X$7:$AD$37,VLOOKUP(INDIRECT($C$5),Jornada!$C$8:$W$37,21,0),0)-M32),0)</f>
        <v>0</v>
      </c>
      <c r="Q32" s="95">
        <f t="shared" si="0"/>
        <v>0</v>
      </c>
      <c r="R32" s="2">
        <f t="shared" si="2"/>
        <v>0</v>
      </c>
      <c r="S32" s="74"/>
      <c r="T32" s="74"/>
      <c r="U32" s="74"/>
      <c r="X32" s="177"/>
      <c r="AB32" s="177">
        <f t="shared" si="10"/>
        <v>25</v>
      </c>
      <c r="AC32" s="2">
        <f t="shared" si="3"/>
        <v>4</v>
      </c>
      <c r="AG32" s="220">
        <f t="shared" si="4"/>
        <v>0</v>
      </c>
      <c r="AH32" s="220">
        <f ca="1">IF(HLOOKUP($F32,Jornada!$X$7:$AD$37,VLOOKUP(INDIRECT($C$5),Jornada!$C$8:$W$37,21,0),0)=0,0,VLOOKUP(INDIRECT($C$5),Jornada!$C$8:$H$37,4,0))</f>
        <v>0</v>
      </c>
      <c r="AI32" s="155">
        <f ca="1">IF(AND(I32=0,J32=0,OR(H32&lt;&gt;0,K32&lt;&gt;0),HLOOKUP($F32,Jornada!$X$7:$AD$37,VLOOKUP(INDIRECT($C$5),Jornada!$C$8:$W$37,21,0),0)&gt;$AK$5,M32&gt;$AK$5),VLOOKUP(INDIRECT($C$5),Jornada!$C$8:$H$37,6,0),IF(AG32&gt;VLOOKUP(INDIRECT($C$5),Jornada!$C$8:$H$37,6,0),IF(VLOOKUP(INDIRECT($C$5),Jornada!$C$8:$H$37,6,0)&lt;AG32,0,ABS(VLOOKUP(INDIRECT($C$5),Jornada!$C$8:$H$37,6,0))-AG32),0))</f>
        <v>0</v>
      </c>
      <c r="AJ32" s="155">
        <f t="shared" si="5"/>
        <v>1</v>
      </c>
      <c r="AK32" s="155">
        <f t="shared" si="6"/>
        <v>0</v>
      </c>
      <c r="AL32" s="155">
        <f ca="1">HLOOKUP($F32,Jornada!$I$5:$V$37,VLOOKUP(INDIRECT($C$5),Jornada!$C$8:$W$37,21,0)+2,0)</f>
        <v>0</v>
      </c>
      <c r="AM32" s="155">
        <f ca="1">HLOOKUP($F32,Jornada!$I$4:$V$37,VLOOKUP(INDIRECT($C$5),Jornada!$C$8:$W$37,21,0)+3,0)</f>
        <v>0</v>
      </c>
      <c r="AN32" s="155">
        <f t="shared" ca="1" si="7"/>
        <v>0</v>
      </c>
      <c r="AO32" s="155">
        <f t="shared" si="8"/>
        <v>0</v>
      </c>
      <c r="AP32" s="155">
        <f t="shared" si="9"/>
        <v>0</v>
      </c>
    </row>
    <row r="33" spans="1:42" s="2" customFormat="1" ht="30" customHeight="1" thickTop="1" thickBot="1" x14ac:dyDescent="0.25">
      <c r="A33" s="1"/>
      <c r="B33"/>
      <c r="C33" s="172" t="str">
        <f>IF(Funcionários!C32=0,"",Funcionários!C32)</f>
        <v/>
      </c>
      <c r="D33"/>
      <c r="E33" s="115">
        <f>Lanç!E33</f>
        <v>26</v>
      </c>
      <c r="F33" s="189" t="str">
        <f>Lanç!F33</f>
        <v>Qui</v>
      </c>
      <c r="G33" s="81"/>
      <c r="H33" s="94"/>
      <c r="I33" s="94"/>
      <c r="J33" s="94"/>
      <c r="K33" s="94"/>
      <c r="L33" s="10"/>
      <c r="M33" s="95">
        <f t="shared" si="1"/>
        <v>0</v>
      </c>
      <c r="N33" s="96"/>
      <c r="O33" s="95">
        <f ca="1">IF(OR(G33=0,G33="Férias",G33="Falta Justificada",G33="Feriado",G33="Folga (DSR)"),0,IF(G33="Falta Injustificada",HLOOKUP($F33,Jornada!$X$7:$AD$37,VLOOKUP(INDIRECT($C$5),Jornada!$C$8:$W$37,21,0),0),IF(HLOOKUP($F33,Jornada!$X$7:$AD$37,VLOOKUP(INDIRECT($C$5),Jornada!$C$8:$W$37,21,0),0)-M33&gt;0,HLOOKUP($F33,Jornada!$X$7:$AD$37,VLOOKUP(INDIRECT($C$5),Jornada!$C$8:$W$37,21,0),0)-M33,0)))</f>
        <v>0</v>
      </c>
      <c r="P33" s="190">
        <f ca="1">IF(HLOOKUP($F33,Jornada!$X$7:$AD$37,VLOOKUP(INDIRECT($C$5),Jornada!$C$8:$W$37,21,0),0)-M33&lt;0,ABS(HLOOKUP($F33,Jornada!$X$7:$AD$37,VLOOKUP(INDIRECT($C$5),Jornada!$C$8:$W$37,21,0),0)-M33),0)</f>
        <v>0</v>
      </c>
      <c r="Q33" s="95">
        <f t="shared" si="0"/>
        <v>0</v>
      </c>
      <c r="R33" s="2">
        <f t="shared" si="2"/>
        <v>0</v>
      </c>
      <c r="S33" s="74"/>
      <c r="T33" s="74"/>
      <c r="U33" s="74"/>
      <c r="X33" s="177"/>
      <c r="AB33" s="177">
        <f t="shared" si="10"/>
        <v>26</v>
      </c>
      <c r="AC33" s="2">
        <f t="shared" si="3"/>
        <v>5</v>
      </c>
      <c r="AG33" s="220">
        <f t="shared" si="4"/>
        <v>0</v>
      </c>
      <c r="AH33" s="220">
        <f ca="1">IF(HLOOKUP($F33,Jornada!$X$7:$AD$37,VLOOKUP(INDIRECT($C$5),Jornada!$C$8:$W$37,21,0),0)=0,0,VLOOKUP(INDIRECT($C$5),Jornada!$C$8:$H$37,4,0))</f>
        <v>0</v>
      </c>
      <c r="AI33" s="155">
        <f ca="1">IF(AND(I33=0,J33=0,OR(H33&lt;&gt;0,K33&lt;&gt;0),HLOOKUP($F33,Jornada!$X$7:$AD$37,VLOOKUP(INDIRECT($C$5),Jornada!$C$8:$W$37,21,0),0)&gt;$AK$5,M33&gt;$AK$5),VLOOKUP(INDIRECT($C$5),Jornada!$C$8:$H$37,6,0),IF(AG33&gt;VLOOKUP(INDIRECT($C$5),Jornada!$C$8:$H$37,6,0),IF(VLOOKUP(INDIRECT($C$5),Jornada!$C$8:$H$37,6,0)&lt;AG33,0,ABS(VLOOKUP(INDIRECT($C$5),Jornada!$C$8:$H$37,6,0))-AG33),0))</f>
        <v>0</v>
      </c>
      <c r="AJ33" s="155">
        <f t="shared" si="5"/>
        <v>1</v>
      </c>
      <c r="AK33" s="155">
        <f t="shared" si="6"/>
        <v>0</v>
      </c>
      <c r="AL33" s="155">
        <f ca="1">HLOOKUP($F33,Jornada!$I$5:$V$37,VLOOKUP(INDIRECT($C$5),Jornada!$C$8:$W$37,21,0)+2,0)</f>
        <v>0</v>
      </c>
      <c r="AM33" s="155">
        <f ca="1">HLOOKUP($F33,Jornada!$I$4:$V$37,VLOOKUP(INDIRECT($C$5),Jornada!$C$8:$W$37,21,0)+3,0)</f>
        <v>0</v>
      </c>
      <c r="AN33" s="155">
        <f t="shared" ca="1" si="7"/>
        <v>0</v>
      </c>
      <c r="AO33" s="155">
        <f t="shared" si="8"/>
        <v>0</v>
      </c>
      <c r="AP33" s="155">
        <f t="shared" si="9"/>
        <v>0</v>
      </c>
    </row>
    <row r="34" spans="1:42" s="2" customFormat="1" ht="30" customHeight="1" thickTop="1" thickBot="1" x14ac:dyDescent="0.25">
      <c r="A34" s="1"/>
      <c r="B34"/>
      <c r="C34" s="172" t="str">
        <f>IF(Funcionários!C33=0,"",Funcionários!C33)</f>
        <v/>
      </c>
      <c r="D34"/>
      <c r="E34" s="115">
        <f>Lanç!E34</f>
        <v>27</v>
      </c>
      <c r="F34" s="189" t="str">
        <f>Lanç!F34</f>
        <v>Sex</v>
      </c>
      <c r="G34" s="81"/>
      <c r="H34" s="94"/>
      <c r="I34" s="94"/>
      <c r="J34" s="94"/>
      <c r="K34" s="94"/>
      <c r="L34" s="10"/>
      <c r="M34" s="95">
        <f t="shared" si="1"/>
        <v>0</v>
      </c>
      <c r="N34" s="96"/>
      <c r="O34" s="95">
        <f ca="1">IF(OR(G34=0,G34="Férias",G34="Falta Justificada",G34="Feriado",G34="Folga (DSR)"),0,IF(G34="Falta Injustificada",HLOOKUP($F34,Jornada!$X$7:$AD$37,VLOOKUP(INDIRECT($C$5),Jornada!$C$8:$W$37,21,0),0),IF(HLOOKUP($F34,Jornada!$X$7:$AD$37,VLOOKUP(INDIRECT($C$5),Jornada!$C$8:$W$37,21,0),0)-M34&gt;0,HLOOKUP($F34,Jornada!$X$7:$AD$37,VLOOKUP(INDIRECT($C$5),Jornada!$C$8:$W$37,21,0),0)-M34,0)))</f>
        <v>0</v>
      </c>
      <c r="P34" s="190">
        <f ca="1">IF(HLOOKUP($F34,Jornada!$X$7:$AD$37,VLOOKUP(INDIRECT($C$5),Jornada!$C$8:$W$37,21,0),0)-M34&lt;0,ABS(HLOOKUP($F34,Jornada!$X$7:$AD$37,VLOOKUP(INDIRECT($C$5),Jornada!$C$8:$W$37,21,0),0)-M34),0)</f>
        <v>0</v>
      </c>
      <c r="Q34" s="95">
        <f t="shared" si="0"/>
        <v>0</v>
      </c>
      <c r="R34" s="2">
        <f t="shared" si="2"/>
        <v>0</v>
      </c>
      <c r="S34" s="74"/>
      <c r="T34" s="74"/>
      <c r="U34" s="74"/>
      <c r="X34" s="177"/>
      <c r="AB34" s="177">
        <f t="shared" si="10"/>
        <v>27</v>
      </c>
      <c r="AC34" s="2">
        <f t="shared" si="3"/>
        <v>6</v>
      </c>
      <c r="AG34" s="220">
        <f t="shared" si="4"/>
        <v>0</v>
      </c>
      <c r="AH34" s="220">
        <f ca="1">IF(HLOOKUP($F34,Jornada!$X$7:$AD$37,VLOOKUP(INDIRECT($C$5),Jornada!$C$8:$W$37,21,0),0)=0,0,VLOOKUP(INDIRECT($C$5),Jornada!$C$8:$H$37,4,0))</f>
        <v>0</v>
      </c>
      <c r="AI34" s="155">
        <f ca="1">IF(AND(I34=0,J34=0,OR(H34&lt;&gt;0,K34&lt;&gt;0),HLOOKUP($F34,Jornada!$X$7:$AD$37,VLOOKUP(INDIRECT($C$5),Jornada!$C$8:$W$37,21,0),0)&gt;$AK$5,M34&gt;$AK$5),VLOOKUP(INDIRECT($C$5),Jornada!$C$8:$H$37,6,0),IF(AG34&gt;VLOOKUP(INDIRECT($C$5),Jornada!$C$8:$H$37,6,0),IF(VLOOKUP(INDIRECT($C$5),Jornada!$C$8:$H$37,6,0)&lt;AG34,0,ABS(VLOOKUP(INDIRECT($C$5),Jornada!$C$8:$H$37,6,0))-AG34),0))</f>
        <v>0</v>
      </c>
      <c r="AJ34" s="155">
        <f t="shared" si="5"/>
        <v>1</v>
      </c>
      <c r="AK34" s="155">
        <f t="shared" si="6"/>
        <v>0</v>
      </c>
      <c r="AL34" s="155">
        <f ca="1">HLOOKUP($F34,Jornada!$I$5:$V$37,VLOOKUP(INDIRECT($C$5),Jornada!$C$8:$W$37,21,0)+2,0)</f>
        <v>0</v>
      </c>
      <c r="AM34" s="155">
        <f ca="1">HLOOKUP($F34,Jornada!$I$4:$V$37,VLOOKUP(INDIRECT($C$5),Jornada!$C$8:$W$37,21,0)+3,0)</f>
        <v>0</v>
      </c>
      <c r="AN34" s="155">
        <f t="shared" ca="1" si="7"/>
        <v>0</v>
      </c>
      <c r="AO34" s="155">
        <f t="shared" si="8"/>
        <v>0</v>
      </c>
      <c r="AP34" s="155">
        <f t="shared" si="9"/>
        <v>0</v>
      </c>
    </row>
    <row r="35" spans="1:42" s="2" customFormat="1" ht="30" customHeight="1" thickTop="1" thickBot="1" x14ac:dyDescent="0.25">
      <c r="A35" s="1"/>
      <c r="B35"/>
      <c r="C35" s="172" t="str">
        <f>IF(Funcionários!C34=0,"",Funcionários!C34)</f>
        <v/>
      </c>
      <c r="D35"/>
      <c r="E35" s="115">
        <f>Lanç!E35</f>
        <v>28</v>
      </c>
      <c r="F35" s="189" t="str">
        <f>Lanç!F35</f>
        <v>Sáb</v>
      </c>
      <c r="G35" s="81"/>
      <c r="H35" s="94"/>
      <c r="I35" s="94"/>
      <c r="J35" s="94"/>
      <c r="K35" s="94"/>
      <c r="L35" s="10"/>
      <c r="M35" s="95">
        <f t="shared" si="1"/>
        <v>0</v>
      </c>
      <c r="N35" s="96"/>
      <c r="O35" s="95">
        <f ca="1">IF(OR(G35=0,G35="Férias",G35="Falta Justificada",G35="Feriado",G35="Folga (DSR)"),0,IF(G35="Falta Injustificada",HLOOKUP($F35,Jornada!$X$7:$AD$37,VLOOKUP(INDIRECT($C$5),Jornada!$C$8:$W$37,21,0),0),IF(HLOOKUP($F35,Jornada!$X$7:$AD$37,VLOOKUP(INDIRECT($C$5),Jornada!$C$8:$W$37,21,0),0)-M35&gt;0,HLOOKUP($F35,Jornada!$X$7:$AD$37,VLOOKUP(INDIRECT($C$5),Jornada!$C$8:$W$37,21,0),0)-M35,0)))</f>
        <v>0</v>
      </c>
      <c r="P35" s="190">
        <f ca="1">IF(HLOOKUP($F35,Jornada!$X$7:$AD$37,VLOOKUP(INDIRECT($C$5),Jornada!$C$8:$W$37,21,0),0)-M35&lt;0,ABS(HLOOKUP($F35,Jornada!$X$7:$AD$37,VLOOKUP(INDIRECT($C$5),Jornada!$C$8:$W$37,21,0),0)-M35),0)</f>
        <v>0</v>
      </c>
      <c r="Q35" s="95">
        <f t="shared" si="0"/>
        <v>0</v>
      </c>
      <c r="R35" s="2">
        <f t="shared" si="2"/>
        <v>0</v>
      </c>
      <c r="S35"/>
      <c r="T35"/>
      <c r="U35"/>
      <c r="X35" s="177"/>
      <c r="AB35" s="177">
        <f>IF(MONTH(AB34+1)&lt;&gt;MONTH(AB34),"",AB34+1)</f>
        <v>28</v>
      </c>
      <c r="AC35" s="2">
        <f t="shared" si="3"/>
        <v>7</v>
      </c>
      <c r="AG35" s="220">
        <f t="shared" si="4"/>
        <v>0</v>
      </c>
      <c r="AH35" s="220">
        <f ca="1">IF(HLOOKUP($F35,Jornada!$X$7:$AD$37,VLOOKUP(INDIRECT($C$5),Jornada!$C$8:$W$37,21,0),0)=0,0,VLOOKUP(INDIRECT($C$5),Jornada!$C$8:$H$37,4,0))</f>
        <v>0</v>
      </c>
      <c r="AI35" s="155">
        <f ca="1">IF(AND(I35=0,J35=0,OR(H35&lt;&gt;0,K35&lt;&gt;0),HLOOKUP($F35,Jornada!$X$7:$AD$37,VLOOKUP(INDIRECT($C$5),Jornada!$C$8:$W$37,21,0),0)&gt;$AK$5,M35&gt;$AK$5),VLOOKUP(INDIRECT($C$5),Jornada!$C$8:$H$37,6,0),IF(AG35&gt;VLOOKUP(INDIRECT($C$5),Jornada!$C$8:$H$37,6,0),IF(VLOOKUP(INDIRECT($C$5),Jornada!$C$8:$H$37,6,0)&lt;AG35,0,ABS(VLOOKUP(INDIRECT($C$5),Jornada!$C$8:$H$37,6,0))-AG35),0))</f>
        <v>0</v>
      </c>
      <c r="AJ35" s="155">
        <f t="shared" si="5"/>
        <v>1</v>
      </c>
      <c r="AK35" s="155">
        <f t="shared" si="6"/>
        <v>0</v>
      </c>
      <c r="AL35" s="155">
        <f ca="1">HLOOKUP($F35,Jornada!$I$5:$V$37,VLOOKUP(INDIRECT($C$5),Jornada!$C$8:$W$37,21,0)+2,0)</f>
        <v>0</v>
      </c>
      <c r="AM35" s="155">
        <f ca="1">HLOOKUP($F35,Jornada!$I$4:$V$37,VLOOKUP(INDIRECT($C$5),Jornada!$C$8:$W$37,21,0)+3,0)</f>
        <v>0</v>
      </c>
      <c r="AN35" s="155">
        <f t="shared" ca="1" si="7"/>
        <v>0</v>
      </c>
      <c r="AO35" s="155">
        <f t="shared" si="8"/>
        <v>0</v>
      </c>
      <c r="AP35" s="155">
        <f t="shared" si="9"/>
        <v>0</v>
      </c>
    </row>
    <row r="36" spans="1:42" s="2" customFormat="1" ht="30" customHeight="1" thickTop="1" thickBot="1" x14ac:dyDescent="0.25">
      <c r="A36" s="1"/>
      <c r="B36"/>
      <c r="C36" s="172" t="str">
        <f>IF(Funcionários!C35=0,"",Funcionários!C35)</f>
        <v/>
      </c>
      <c r="D36"/>
      <c r="E36" s="115">
        <f>Lanç!E36</f>
        <v>29</v>
      </c>
      <c r="F36" s="189" t="str">
        <f>Lanç!F36</f>
        <v>Dom</v>
      </c>
      <c r="G36" s="81"/>
      <c r="H36" s="94"/>
      <c r="I36" s="94"/>
      <c r="J36" s="94"/>
      <c r="K36" s="94"/>
      <c r="L36" s="10"/>
      <c r="M36" s="95">
        <f t="shared" si="1"/>
        <v>0</v>
      </c>
      <c r="N36" s="96"/>
      <c r="O36" s="95">
        <f ca="1">IF(OR(G36=0,G36="Férias",G36="Falta Justificada",G36="Feriado",G36="Folga (DSR)"),0,IF(G36="Falta Injustificada",HLOOKUP($F36,Jornada!$X$7:$AD$37,VLOOKUP(INDIRECT($C$5),Jornada!$C$8:$W$37,21,0),0),IF(HLOOKUP($F36,Jornada!$X$7:$AD$37,VLOOKUP(INDIRECT($C$5),Jornada!$C$8:$W$37,21,0),0)-M36&gt;0,HLOOKUP($F36,Jornada!$X$7:$AD$37,VLOOKUP(INDIRECT($C$5),Jornada!$C$8:$W$37,21,0),0)-M36,0)))</f>
        <v>0</v>
      </c>
      <c r="P36" s="190">
        <f ca="1">IF(HLOOKUP($F36,Jornada!$X$7:$AD$37,VLOOKUP(INDIRECT($C$5),Jornada!$C$8:$W$37,21,0),0)-M36&lt;0,ABS(HLOOKUP($F36,Jornada!$X$7:$AD$37,VLOOKUP(INDIRECT($C$5),Jornada!$C$8:$W$37,21,0),0)-M36),0)</f>
        <v>0</v>
      </c>
      <c r="Q36" s="95">
        <f t="shared" si="0"/>
        <v>0</v>
      </c>
      <c r="R36" s="2">
        <f t="shared" si="2"/>
        <v>0</v>
      </c>
      <c r="S36"/>
      <c r="T36"/>
      <c r="U36"/>
      <c r="X36" s="177"/>
      <c r="AB36" s="177">
        <f>IF(MONTH(AB35+1)&lt;&gt;MONTH(AB35),"",IF(AB35="","",AB35+1))</f>
        <v>29</v>
      </c>
      <c r="AC36" s="2">
        <f>IF(ISERROR(WEEKDAY(AB36)),"",WEEKDAY(AB36))</f>
        <v>1</v>
      </c>
      <c r="AG36" s="220">
        <f t="shared" si="4"/>
        <v>0</v>
      </c>
      <c r="AH36" s="220">
        <f ca="1">IF(HLOOKUP($F36,Jornada!$X$7:$AD$37,VLOOKUP(INDIRECT($C$5),Jornada!$C$8:$W$37,21,0),0)=0,0,VLOOKUP(INDIRECT($C$5),Jornada!$C$8:$H$37,4,0))</f>
        <v>0</v>
      </c>
      <c r="AI36" s="155">
        <f ca="1">IF(AND(I36=0,J36=0,OR(H36&lt;&gt;0,K36&lt;&gt;0),HLOOKUP($F36,Jornada!$X$7:$AD$37,VLOOKUP(INDIRECT($C$5),Jornada!$C$8:$W$37,21,0),0)&gt;$AK$5,M36&gt;$AK$5),VLOOKUP(INDIRECT($C$5),Jornada!$C$8:$H$37,6,0),IF(AG36&gt;VLOOKUP(INDIRECT($C$5),Jornada!$C$8:$H$37,6,0),IF(VLOOKUP(INDIRECT($C$5),Jornada!$C$8:$H$37,6,0)&lt;AG36,0,ABS(VLOOKUP(INDIRECT($C$5),Jornada!$C$8:$H$37,6,0))-AG36),0))</f>
        <v>0</v>
      </c>
      <c r="AJ36" s="155">
        <f t="shared" si="5"/>
        <v>1</v>
      </c>
      <c r="AK36" s="155">
        <f t="shared" si="6"/>
        <v>0</v>
      </c>
      <c r="AL36" s="155">
        <f ca="1">HLOOKUP($F36,Jornada!$I$5:$V$37,VLOOKUP(INDIRECT($C$5),Jornada!$C$8:$W$37,21,0)+2,0)</f>
        <v>0</v>
      </c>
      <c r="AM36" s="155">
        <f ca="1">HLOOKUP($F36,Jornada!$I$4:$V$37,VLOOKUP(INDIRECT($C$5),Jornada!$C$8:$W$37,21,0)+3,0)</f>
        <v>0</v>
      </c>
      <c r="AN36" s="155">
        <f t="shared" ca="1" si="7"/>
        <v>0</v>
      </c>
      <c r="AO36" s="155">
        <f t="shared" si="8"/>
        <v>0</v>
      </c>
      <c r="AP36" s="155">
        <f t="shared" si="9"/>
        <v>0</v>
      </c>
    </row>
    <row r="37" spans="1:42" s="2" customFormat="1" ht="30" customHeight="1" thickTop="1" thickBot="1" x14ac:dyDescent="0.25">
      <c r="A37" s="1"/>
      <c r="B37"/>
      <c r="C37" s="172" t="str">
        <f>IF(Funcionários!C36=0,"",Funcionários!C36)</f>
        <v/>
      </c>
      <c r="D37"/>
      <c r="E37" s="115">
        <f>Lanç!E37</f>
        <v>30</v>
      </c>
      <c r="F37" s="189" t="str">
        <f>Lanç!F37</f>
        <v>Seg</v>
      </c>
      <c r="G37" s="81"/>
      <c r="H37" s="94"/>
      <c r="I37" s="94"/>
      <c r="J37" s="94"/>
      <c r="K37" s="94"/>
      <c r="L37" s="10"/>
      <c r="M37" s="95">
        <f t="shared" si="1"/>
        <v>0</v>
      </c>
      <c r="N37" s="96"/>
      <c r="O37" s="95">
        <f ca="1">IF(OR(G37=0,G37="Férias",G37="Falta Justificada",G37="Feriado",G37="Folga (DSR)"),0,IF(G37="Falta Injustificada",HLOOKUP($F37,Jornada!$X$7:$AD$37,VLOOKUP(INDIRECT($C$5),Jornada!$C$8:$W$37,21,0),0),IF(HLOOKUP($F37,Jornada!$X$7:$AD$37,VLOOKUP(INDIRECT($C$5),Jornada!$C$8:$W$37,21,0),0)-M37&gt;0,HLOOKUP($F37,Jornada!$X$7:$AD$37,VLOOKUP(INDIRECT($C$5),Jornada!$C$8:$W$37,21,0),0)-M37,0)))</f>
        <v>0</v>
      </c>
      <c r="P37" s="190">
        <f ca="1">IF(HLOOKUP($F37,Jornada!$X$7:$AD$37,VLOOKUP(INDIRECT($C$5),Jornada!$C$8:$W$37,21,0),0)-M37&lt;0,ABS(HLOOKUP($F37,Jornada!$X$7:$AD$37,VLOOKUP(INDIRECT($C$5),Jornada!$C$8:$W$37,21,0),0)-M37),0)</f>
        <v>0</v>
      </c>
      <c r="Q37" s="95">
        <f t="shared" si="0"/>
        <v>0</v>
      </c>
      <c r="R37" s="2">
        <f t="shared" si="2"/>
        <v>0</v>
      </c>
      <c r="S37"/>
      <c r="T37"/>
      <c r="U37"/>
      <c r="X37" s="177"/>
      <c r="AB37" s="177">
        <f>IF(AB36="","",IF(MONTH(AB36+1)&lt;&gt;MONTH(AB36),"",AB36+1))</f>
        <v>30</v>
      </c>
      <c r="AC37" s="2">
        <f>IF(ISERROR(WEEKDAY(AB37)),"",WEEKDAY(AB37))</f>
        <v>2</v>
      </c>
      <c r="AG37" s="220">
        <f t="shared" si="4"/>
        <v>0</v>
      </c>
      <c r="AH37" s="220">
        <f ca="1">IF(HLOOKUP($F37,Jornada!$X$7:$AD$37,VLOOKUP(INDIRECT($C$5),Jornada!$C$8:$W$37,21,0),0)=0,0,VLOOKUP(INDIRECT($C$5),Jornada!$C$8:$H$37,4,0))</f>
        <v>0</v>
      </c>
      <c r="AI37" s="155">
        <f ca="1">IF(AND(I37=0,J37=0,OR(H37&lt;&gt;0,K37&lt;&gt;0),HLOOKUP($F37,Jornada!$X$7:$AD$37,VLOOKUP(INDIRECT($C$5),Jornada!$C$8:$W$37,21,0),0)&gt;$AK$5,M37&gt;$AK$5),VLOOKUP(INDIRECT($C$5),Jornada!$C$8:$H$37,6,0),IF(AG37&gt;VLOOKUP(INDIRECT($C$5),Jornada!$C$8:$H$37,6,0),IF(VLOOKUP(INDIRECT($C$5),Jornada!$C$8:$H$37,6,0)&lt;AG37,0,ABS(VLOOKUP(INDIRECT($C$5),Jornada!$C$8:$H$37,6,0))-AG37),0))</f>
        <v>0</v>
      </c>
      <c r="AJ37" s="155">
        <f t="shared" si="5"/>
        <v>1</v>
      </c>
      <c r="AK37" s="155">
        <f t="shared" si="6"/>
        <v>0</v>
      </c>
      <c r="AL37" s="155">
        <f ca="1">HLOOKUP($F37,Jornada!$I$5:$V$37,VLOOKUP(INDIRECT($C$5),Jornada!$C$8:$W$37,21,0)+2,0)</f>
        <v>0</v>
      </c>
      <c r="AM37" s="155">
        <f ca="1">HLOOKUP($F37,Jornada!$I$4:$V$37,VLOOKUP(INDIRECT($C$5),Jornada!$C$8:$W$37,21,0)+3,0)</f>
        <v>0</v>
      </c>
      <c r="AN37" s="155">
        <f t="shared" ca="1" si="7"/>
        <v>0</v>
      </c>
      <c r="AO37" s="155">
        <f t="shared" si="8"/>
        <v>0</v>
      </c>
      <c r="AP37" s="155">
        <f t="shared" si="9"/>
        <v>0</v>
      </c>
    </row>
    <row r="38" spans="1:42" s="2" customFormat="1" ht="30" customHeight="1" thickTop="1" thickBot="1" x14ac:dyDescent="0.25">
      <c r="A38" s="1"/>
      <c r="B38"/>
      <c r="C38"/>
      <c r="D38" s="2">
        <f t="shared" ref="D38" si="11">IF(D37=7,1,D37+1)</f>
        <v>1</v>
      </c>
      <c r="E38" s="210">
        <f>Lanç!E38</f>
        <v>31</v>
      </c>
      <c r="F38" s="210" t="str">
        <f>Lanç!F38</f>
        <v>Ter</v>
      </c>
      <c r="G38" s="81"/>
      <c r="H38" s="94"/>
      <c r="I38" s="94"/>
      <c r="J38" s="94"/>
      <c r="K38" s="94"/>
      <c r="L38" s="197"/>
      <c r="M38" s="95">
        <f t="shared" si="1"/>
        <v>0</v>
      </c>
      <c r="N38" s="196"/>
      <c r="O38" s="95">
        <f ca="1">IF(OR(G38=0,G38="Férias",G38="Falta Justificada",G38="Feriado",G38="Folga (DSR)"),0,IF(G38="Falta Injustificada",HLOOKUP($F38,Jornada!$X$7:$AD$37,VLOOKUP(INDIRECT($C$5),Jornada!$C$8:$W$37,21,0),0),IF(HLOOKUP($F38,Jornada!$X$7:$AD$37,VLOOKUP(INDIRECT($C$5),Jornada!$C$8:$W$37,21,0),0)-M38&gt;0,HLOOKUP($F38,Jornada!$X$7:$AD$37,VLOOKUP(INDIRECT($C$5),Jornada!$C$8:$W$37,21,0),0)-M38,0)))</f>
        <v>0</v>
      </c>
      <c r="P38" s="201">
        <f ca="1">IF(HLOOKUP($F38,Jornada!$X$7:$AD$37,VLOOKUP(INDIRECT($C$5),Jornada!$C$8:$W$37,21,0),0)-M38&lt;0,ABS(HLOOKUP($F38,Jornada!$X$7:$AD$37,VLOOKUP(INDIRECT($C$5),Jornada!$C$8:$W$37,21,0),0)-M38),0)</f>
        <v>0</v>
      </c>
      <c r="Q38" s="95">
        <f t="shared" si="0"/>
        <v>0</v>
      </c>
      <c r="R38" s="2">
        <f t="shared" si="2"/>
        <v>0</v>
      </c>
      <c r="X38" s="177"/>
      <c r="AB38" s="177">
        <f>IF(AB37="","",IF(MONTH(AB37+1)&lt;&gt;MONTH(AB37),"",AB37+1))</f>
        <v>31</v>
      </c>
      <c r="AC38" s="2">
        <f>IF(ISERROR(WEEKDAY(AB38)),"",WEEKDAY(AB38))</f>
        <v>3</v>
      </c>
      <c r="AG38" s="220">
        <f t="shared" si="4"/>
        <v>0</v>
      </c>
      <c r="AH38" s="220">
        <f ca="1">IF(HLOOKUP($F38,Jornada!$X$7:$AD$37,VLOOKUP(INDIRECT($C$5),Jornada!$C$8:$W$37,21,0),0)=0,0,VLOOKUP(INDIRECT($C$5),Jornada!$C$8:$H$37,4,0))</f>
        <v>0</v>
      </c>
      <c r="AI38" s="155">
        <f ca="1">IF(AND(I38=0,J38=0,OR(H38&lt;&gt;0,K38&lt;&gt;0),HLOOKUP($F38,Jornada!$X$7:$AD$37,VLOOKUP(INDIRECT($C$5),Jornada!$C$8:$W$37,21,0),0)&gt;$AK$5,M38&gt;$AK$5),VLOOKUP(INDIRECT($C$5),Jornada!$C$8:$H$37,6,0),IF(AG38&gt;VLOOKUP(INDIRECT($C$5),Jornada!$C$8:$H$37,6,0),IF(VLOOKUP(INDIRECT($C$5),Jornada!$C$8:$H$37,6,0)&lt;AG38,0,ABS(VLOOKUP(INDIRECT($C$5),Jornada!$C$8:$H$37,6,0))-AG38),0))</f>
        <v>0</v>
      </c>
      <c r="AJ38" s="155">
        <f t="shared" si="5"/>
        <v>1</v>
      </c>
      <c r="AK38" s="155">
        <f t="shared" si="6"/>
        <v>0</v>
      </c>
      <c r="AL38" s="155">
        <f ca="1">HLOOKUP($F38,Jornada!$I$5:$V$37,VLOOKUP(INDIRECT($C$5),Jornada!$C$8:$W$37,21,0)+2,0)</f>
        <v>0</v>
      </c>
      <c r="AM38" s="155">
        <f ca="1">HLOOKUP($F38,Jornada!$I$4:$V$37,VLOOKUP(INDIRECT($C$5),Jornada!$C$8:$W$37,21,0)+3,0)</f>
        <v>0</v>
      </c>
      <c r="AN38" s="155">
        <f t="shared" ca="1" si="7"/>
        <v>0</v>
      </c>
      <c r="AO38" s="155">
        <f t="shared" si="8"/>
        <v>0</v>
      </c>
      <c r="AP38" s="155">
        <f t="shared" si="9"/>
        <v>0</v>
      </c>
    </row>
    <row r="39" spans="1:42" s="2" customFormat="1" ht="30" customHeight="1" thickTop="1" x14ac:dyDescent="0.2">
      <c r="A39" s="9"/>
      <c r="B39" s="234"/>
      <c r="C39" s="234"/>
      <c r="D39" s="234"/>
      <c r="E39" s="236">
        <f>EOMONTH(AB8,0)</f>
        <v>31</v>
      </c>
      <c r="F39" s="234">
        <f>DAY(E39)</f>
        <v>31</v>
      </c>
      <c r="G39" s="237">
        <f>COUNTIF(F8:F38,"Dom")+COUNTIF(G8:G38,"Feriado")</f>
        <v>5</v>
      </c>
      <c r="H39" s="238">
        <f>(SUM(Q8:Q38)/(F39-G39))*G39</f>
        <v>0</v>
      </c>
      <c r="I39" s="234"/>
      <c r="J39" s="234"/>
      <c r="K39" s="234"/>
      <c r="L39" s="234"/>
      <c r="M39" s="234"/>
      <c r="Z39" s="219"/>
    </row>
    <row r="40" spans="1:42" s="2" customFormat="1" ht="30" customHeight="1" x14ac:dyDescent="0.2">
      <c r="A40" s="9"/>
      <c r="B40" s="234"/>
      <c r="C40" s="239"/>
      <c r="D40" s="239"/>
      <c r="E40" s="239"/>
      <c r="F40" s="240"/>
      <c r="G40" s="241"/>
      <c r="H40" s="234">
        <f ca="1">IF(INDIRECT($C$5)="",0,VLOOKUP(INDIRECT($C$5),Funcionários!$C$7:$E$36,3,0)+IF(VLOOKUP(INDIRECT($C$5),Jornada!$C$8:$E$37,2,0)="Sim",IF('P Gerais'!$I$8&lt;&gt;0,VLOOKUP(INDIRECT($C$5),Funcionários!$C$7:$E$36,3,0)*'P Gerais'!$L$14,'P Gerais'!$I$8*'P Gerais'!$L$14),0)+IF(VLOOKUP(INDIRECT($C$5),Jornada!$C$8:$E$37,3,0)="Sim",VLOOKUP(INDIRECT($C$5),Funcionários!$C$7:$E$36,3,0)*'P Gerais'!$K$14,0))</f>
        <v>0</v>
      </c>
      <c r="I40" s="234">
        <f ca="1">VLOOKUP(INDIRECT($C$5),Jornada!$C$8:$AF$37,30,0)</f>
        <v>0</v>
      </c>
      <c r="J40" s="234" t="s">
        <v>298</v>
      </c>
      <c r="K40" s="242">
        <f ca="1">IF(I40=0,0,H40/I40)</f>
        <v>0</v>
      </c>
      <c r="L40" s="234"/>
      <c r="M40" s="234"/>
      <c r="Z40" s="219"/>
    </row>
    <row r="41" spans="1:42" s="2" customFormat="1" ht="30" customHeight="1" x14ac:dyDescent="0.2">
      <c r="A41" s="9"/>
      <c r="B41" s="234" t="s">
        <v>52</v>
      </c>
      <c r="C41" s="292" t="s">
        <v>75</v>
      </c>
      <c r="D41" s="292"/>
      <c r="E41" s="292"/>
      <c r="F41" s="243">
        <f t="shared" ref="F41:F47" si="12">SUMIFS($Q$8:$Q$38,$F$8:$F$38,$B41,$G$8:$G$38,"Normal")</f>
        <v>0</v>
      </c>
      <c r="G41" s="244">
        <f>IF($M$41="Sistema de banco de horas",0,'P Gerais'!$C$14)</f>
        <v>0.5</v>
      </c>
      <c r="H41" s="245">
        <f t="shared" ref="H41:H48" ca="1" si="13">IF($M$41="Sistema de banco de horas",0,$K$40*(1+G41)*(F41*24))</f>
        <v>0</v>
      </c>
      <c r="I41" s="243">
        <f t="shared" ref="I41:I47" ca="1" si="14">IF(SUMIF($F$8:$F$38,$B41,$Q$8:$Q$38)-SUMIFS($M$8:$M$38,$F$8:$F$38,$B41,$G$8:$G$38,"Feriado")-SUMIFS($M$8:$M$38,$F$8:$F$38,$B41,$G$8:$G$38,"Folga (DSR)")-SUMIFS($M$8:$M$38,$F$8:$F$38,$B41,$G$8:$G$38,"Férias")-SUMIF($F$8:$F$38,$B41,$AN$8:$AN$38)-SUMIF($F$8:$F$38,$B41,$AO$8:$AO$38)&lt;0,0,SUMIF($F$8:$F$38,$B41,$Q$8:$Q$38)-SUMIFS($M$8:$M$38,$F$8:$F$38,$B41,$G$8:$G$38,"Feriado")-SUMIFS($M$8:$M$38,$F$8:$F$38,$B41,$G$8:$G$38,"Folga (DSR)")-SUMIFS($M$8:$M$38,$F$8:$F$38,$B41,$G$8:$G$38,"Férias")-SUMIF($F$8:$F$38,$B41,$AN$8:$AN$38)-SUMIF($F$8:$F$38,$B41,$AO$8:$AO$38))</f>
        <v>0</v>
      </c>
      <c r="J41" s="245">
        <f ca="1">H41</f>
        <v>0</v>
      </c>
      <c r="K41" s="234"/>
      <c r="L41" s="234"/>
      <c r="M41" s="234">
        <f>'P Gerais'!I10</f>
        <v>0</v>
      </c>
      <c r="Z41" s="219"/>
    </row>
    <row r="42" spans="1:42" s="2" customFormat="1" ht="30" customHeight="1" x14ac:dyDescent="0.2">
      <c r="A42" s="9"/>
      <c r="B42" s="234" t="s">
        <v>53</v>
      </c>
      <c r="C42" s="292" t="s">
        <v>76</v>
      </c>
      <c r="D42" s="292"/>
      <c r="E42" s="292"/>
      <c r="F42" s="243">
        <f t="shared" si="12"/>
        <v>0</v>
      </c>
      <c r="G42" s="244">
        <f>IF($M$41="Sistema de banco de horas",0,'P Gerais'!$C$14)</f>
        <v>0.5</v>
      </c>
      <c r="H42" s="245">
        <f t="shared" ca="1" si="13"/>
        <v>0</v>
      </c>
      <c r="I42" s="243">
        <f t="shared" ca="1" si="14"/>
        <v>0</v>
      </c>
      <c r="J42" s="245">
        <f t="shared" ref="J42:J51" ca="1" si="15">H42</f>
        <v>0</v>
      </c>
      <c r="K42" s="234"/>
      <c r="L42" s="234"/>
      <c r="M42" s="234"/>
      <c r="Z42" s="219"/>
    </row>
    <row r="43" spans="1:42" s="2" customFormat="1" ht="30" customHeight="1" x14ac:dyDescent="0.2">
      <c r="A43" s="9"/>
      <c r="B43" s="234" t="s">
        <v>54</v>
      </c>
      <c r="C43" s="292" t="s">
        <v>77</v>
      </c>
      <c r="D43" s="292"/>
      <c r="E43" s="292"/>
      <c r="F43" s="243">
        <f t="shared" si="12"/>
        <v>0</v>
      </c>
      <c r="G43" s="244">
        <f>IF($M$41="Sistema de banco de horas",0,'P Gerais'!$C$14)</f>
        <v>0.5</v>
      </c>
      <c r="H43" s="245">
        <f t="shared" ca="1" si="13"/>
        <v>0</v>
      </c>
      <c r="I43" s="243">
        <f t="shared" ca="1" si="14"/>
        <v>0</v>
      </c>
      <c r="J43" s="245">
        <f t="shared" ca="1" si="15"/>
        <v>0</v>
      </c>
      <c r="K43" s="234"/>
      <c r="L43" s="234"/>
      <c r="M43" s="234"/>
      <c r="Z43" s="219"/>
    </row>
    <row r="44" spans="1:42" s="2" customFormat="1" ht="30" customHeight="1" x14ac:dyDescent="0.2">
      <c r="A44" s="9"/>
      <c r="B44" s="234" t="s">
        <v>55</v>
      </c>
      <c r="C44" s="292" t="s">
        <v>78</v>
      </c>
      <c r="D44" s="292"/>
      <c r="E44" s="292"/>
      <c r="F44" s="243">
        <f t="shared" si="12"/>
        <v>0</v>
      </c>
      <c r="G44" s="244">
        <f>IF($M$41="Sistema de banco de horas",0,'P Gerais'!$C$14)</f>
        <v>0.5</v>
      </c>
      <c r="H44" s="245">
        <f t="shared" ca="1" si="13"/>
        <v>0</v>
      </c>
      <c r="I44" s="243">
        <f t="shared" ca="1" si="14"/>
        <v>0</v>
      </c>
      <c r="J44" s="245">
        <f t="shared" ca="1" si="15"/>
        <v>0</v>
      </c>
      <c r="K44" s="234"/>
      <c r="L44" s="234"/>
      <c r="M44" s="234"/>
      <c r="Z44" s="219"/>
    </row>
    <row r="45" spans="1:42" s="2" customFormat="1" ht="30" customHeight="1" x14ac:dyDescent="0.2">
      <c r="A45" s="9"/>
      <c r="B45" s="234" t="s">
        <v>56</v>
      </c>
      <c r="C45" s="292" t="s">
        <v>79</v>
      </c>
      <c r="D45" s="292"/>
      <c r="E45" s="292"/>
      <c r="F45" s="243">
        <f t="shared" si="12"/>
        <v>0</v>
      </c>
      <c r="G45" s="244">
        <f>IF($M$41="Sistema de banco de horas",0,'P Gerais'!$C$14)</f>
        <v>0.5</v>
      </c>
      <c r="H45" s="245">
        <f t="shared" ca="1" si="13"/>
        <v>0</v>
      </c>
      <c r="I45" s="243">
        <f t="shared" ca="1" si="14"/>
        <v>0</v>
      </c>
      <c r="J45" s="245">
        <f t="shared" ca="1" si="15"/>
        <v>0</v>
      </c>
      <c r="K45" s="234"/>
      <c r="L45" s="234"/>
      <c r="M45" s="234"/>
      <c r="Z45" s="219"/>
    </row>
    <row r="46" spans="1:42" s="2" customFormat="1" ht="30" customHeight="1" x14ac:dyDescent="0.2">
      <c r="A46" s="9"/>
      <c r="B46" s="234" t="s">
        <v>57</v>
      </c>
      <c r="C46" s="292" t="s">
        <v>82</v>
      </c>
      <c r="D46" s="292"/>
      <c r="E46" s="292"/>
      <c r="F46" s="243">
        <f t="shared" si="12"/>
        <v>0</v>
      </c>
      <c r="G46" s="244">
        <f>IF($M$41="Sistema de banco de horas",0,'P Gerais'!$E$14)</f>
        <v>0.5</v>
      </c>
      <c r="H46" s="245">
        <f t="shared" ca="1" si="13"/>
        <v>0</v>
      </c>
      <c r="I46" s="243">
        <f t="shared" ca="1" si="14"/>
        <v>0</v>
      </c>
      <c r="J46" s="245">
        <f t="shared" ca="1" si="15"/>
        <v>0</v>
      </c>
      <c r="K46" s="234"/>
      <c r="L46" s="234"/>
      <c r="M46" s="234"/>
      <c r="Z46" s="219"/>
    </row>
    <row r="47" spans="1:42" s="2" customFormat="1" ht="30" customHeight="1" x14ac:dyDescent="0.2">
      <c r="A47" s="9"/>
      <c r="B47" s="234" t="s">
        <v>51</v>
      </c>
      <c r="C47" s="292" t="s">
        <v>81</v>
      </c>
      <c r="D47" s="292"/>
      <c r="E47" s="292"/>
      <c r="F47" s="243">
        <f t="shared" si="12"/>
        <v>0</v>
      </c>
      <c r="G47" s="244">
        <f>IF($M$41="Sistema de banco de horas",0,'P Gerais'!$F$14)</f>
        <v>1</v>
      </c>
      <c r="H47" s="245">
        <f t="shared" ca="1" si="13"/>
        <v>0</v>
      </c>
      <c r="I47" s="243">
        <f t="shared" ca="1" si="14"/>
        <v>0</v>
      </c>
      <c r="J47" s="245">
        <f t="shared" ca="1" si="15"/>
        <v>0</v>
      </c>
      <c r="K47" s="234"/>
      <c r="L47" s="234"/>
      <c r="M47" s="234"/>
      <c r="Z47" s="219"/>
    </row>
    <row r="48" spans="1:42" s="2" customFormat="1" ht="30" customHeight="1" x14ac:dyDescent="0.2">
      <c r="A48" s="9"/>
      <c r="B48" s="234"/>
      <c r="C48" s="292" t="s">
        <v>80</v>
      </c>
      <c r="D48" s="292"/>
      <c r="E48" s="292"/>
      <c r="F48" s="243">
        <f>SUMIFS($Q$8:$Q$38,$G$8:$G$38,"Feriado")</f>
        <v>0</v>
      </c>
      <c r="G48" s="244">
        <f>IF($M$41="Sistema de banco de horas",0,'P Gerais'!$I$14)</f>
        <v>1</v>
      </c>
      <c r="H48" s="245">
        <f t="shared" ca="1" si="13"/>
        <v>0</v>
      </c>
      <c r="I48" s="243"/>
      <c r="J48" s="245">
        <f t="shared" ca="1" si="15"/>
        <v>0</v>
      </c>
      <c r="K48" s="234"/>
      <c r="L48" s="234"/>
      <c r="M48" s="234"/>
      <c r="Z48" s="219"/>
    </row>
    <row r="49" spans="1:26" s="2" customFormat="1" ht="15" x14ac:dyDescent="0.2">
      <c r="A49" s="9"/>
      <c r="B49" s="234"/>
      <c r="C49" s="292" t="s">
        <v>146</v>
      </c>
      <c r="D49" s="292"/>
      <c r="E49" s="292"/>
      <c r="F49" s="243">
        <f>SUMIFS($Q$8:$Q$38,$G$8:$G$38,"Folga (DSR)")</f>
        <v>0</v>
      </c>
      <c r="G49" s="244">
        <f>IF($M$41="Sistema de banco de horas",0,'P Gerais'!H14)</f>
        <v>1</v>
      </c>
      <c r="H49" s="245">
        <f ca="1">((F53/(F39-G39))*G39)</f>
        <v>0</v>
      </c>
      <c r="I49" s="243"/>
      <c r="J49" s="245">
        <f t="shared" ca="1" si="15"/>
        <v>0</v>
      </c>
      <c r="K49" s="234"/>
      <c r="L49" s="234"/>
      <c r="M49" s="234"/>
      <c r="Z49" s="219"/>
    </row>
    <row r="50" spans="1:26" s="2" customFormat="1" ht="15" x14ac:dyDescent="0.2">
      <c r="A50" s="9"/>
      <c r="B50" s="234"/>
      <c r="C50" s="292" t="s">
        <v>84</v>
      </c>
      <c r="D50" s="292"/>
      <c r="E50" s="292"/>
      <c r="F50" s="243">
        <f ca="1">IF($M$41="Sistema de banco de horas",(SUM(AI$8:AI$38)*(1+G50)),SUM(AI$8:AI$38))</f>
        <v>0</v>
      </c>
      <c r="G50" s="244">
        <f>IF($M$41="Sistema de banco de horas",0,'P Gerais'!$I$17)</f>
        <v>0.5</v>
      </c>
      <c r="H50" s="245">
        <f ca="1">IF($M$41="Sistema de banco de horas",0,$K$40*(1+G50)*(F50*24))</f>
        <v>0</v>
      </c>
      <c r="I50" s="243">
        <f ca="1">IF(SUM($AN$8:$AO$38)&gt;SUM(AI$8:AI$38),0,SUM(AI$8:AI$38)-SUM($AN$8:$AO$38))</f>
        <v>0</v>
      </c>
      <c r="J50" s="245">
        <f t="shared" ca="1" si="15"/>
        <v>0</v>
      </c>
      <c r="K50" s="234"/>
      <c r="L50" s="234"/>
      <c r="M50" s="234"/>
      <c r="Z50" s="219"/>
    </row>
    <row r="51" spans="1:26" s="2" customFormat="1" ht="15" x14ac:dyDescent="0.2">
      <c r="A51" s="9"/>
      <c r="B51" s="234"/>
      <c r="C51" s="292" t="s">
        <v>85</v>
      </c>
      <c r="D51" s="292"/>
      <c r="E51" s="292"/>
      <c r="F51" s="243">
        <f>IF($M$41="Sistema de banco de horas",(SUM(AK$8:AK$38)*(1+G51)),SUM(AK$8:AK$38))</f>
        <v>0</v>
      </c>
      <c r="G51" s="244">
        <f>IF($M$41="Sistema de banco de horas",0,'P Gerais'!$C$17)</f>
        <v>1</v>
      </c>
      <c r="H51" s="245">
        <f ca="1">IF($M$41="Sistema de banco de horas",0,$K$40*(1+G51)*(F51*24))</f>
        <v>0</v>
      </c>
      <c r="I51" s="243"/>
      <c r="J51" s="245">
        <f t="shared" ca="1" si="15"/>
        <v>0</v>
      </c>
      <c r="K51" s="234"/>
      <c r="L51" s="234"/>
      <c r="M51" s="234"/>
      <c r="Z51" s="219"/>
    </row>
    <row r="52" spans="1:26" s="2" customFormat="1" ht="15" customHeight="1" x14ac:dyDescent="0.2">
      <c r="A52" s="9"/>
      <c r="B52" s="234"/>
      <c r="C52" s="292" t="s">
        <v>87</v>
      </c>
      <c r="D52" s="292"/>
      <c r="E52" s="292"/>
      <c r="F52" s="243">
        <f ca="1">U12</f>
        <v>0</v>
      </c>
      <c r="G52" s="246"/>
      <c r="H52" s="234"/>
      <c r="I52" s="234"/>
      <c r="J52" s="234"/>
      <c r="K52" s="234"/>
      <c r="L52" s="234"/>
      <c r="M52" s="234"/>
      <c r="Z52" s="219"/>
    </row>
    <row r="53" spans="1:26" s="2" customFormat="1" ht="15" x14ac:dyDescent="0.2">
      <c r="A53" s="9"/>
      <c r="B53" s="234"/>
      <c r="C53" s="292" t="s">
        <v>299</v>
      </c>
      <c r="D53" s="292"/>
      <c r="E53" s="292"/>
      <c r="F53" s="247">
        <f ca="1">SUM(H48)+J50+H51+SUM(J41:J47)</f>
        <v>0</v>
      </c>
      <c r="G53" s="248"/>
      <c r="H53" s="234"/>
      <c r="I53" s="234"/>
      <c r="J53" s="234"/>
      <c r="K53" s="234"/>
      <c r="L53" s="234"/>
      <c r="M53" s="234"/>
      <c r="Z53" s="219"/>
    </row>
    <row r="54" spans="1:26" s="2" customFormat="1" ht="15" x14ac:dyDescent="0.2">
      <c r="A54" s="9"/>
      <c r="B54" s="234"/>
      <c r="C54" s="292" t="s">
        <v>88</v>
      </c>
      <c r="D54" s="292"/>
      <c r="E54" s="292"/>
      <c r="F54" s="247">
        <f ca="1">F53+(H49*(1+G49))</f>
        <v>0</v>
      </c>
      <c r="G54" s="248"/>
      <c r="H54" s="249"/>
      <c r="I54" s="234"/>
      <c r="J54" s="234"/>
      <c r="K54" s="234"/>
      <c r="L54" s="234"/>
      <c r="M54" s="234"/>
      <c r="Z54" s="219"/>
    </row>
    <row r="55" spans="1:26" s="2" customFormat="1" ht="15" x14ac:dyDescent="0.2">
      <c r="A55" s="9"/>
      <c r="B55" s="234"/>
      <c r="C55" s="292" t="s">
        <v>89</v>
      </c>
      <c r="D55" s="292"/>
      <c r="E55" s="292"/>
      <c r="F55" s="247">
        <f ca="1">H40+F54</f>
        <v>0</v>
      </c>
      <c r="G55" s="246"/>
      <c r="H55" s="234"/>
      <c r="I55" s="234"/>
      <c r="J55" s="234"/>
      <c r="K55" s="234"/>
      <c r="L55" s="234"/>
      <c r="M55" s="234"/>
      <c r="Z55" s="219"/>
    </row>
    <row r="56" spans="1:26" s="2" customFormat="1" ht="15" x14ac:dyDescent="0.2">
      <c r="A56" s="9"/>
      <c r="B56" s="234"/>
      <c r="C56" s="292" t="s">
        <v>178</v>
      </c>
      <c r="D56" s="292"/>
      <c r="E56" s="292"/>
      <c r="F56" s="243">
        <f>IF($M$41="Sistema de banco de horas",(SUMIF($G$8:$G$38,"Férias",Q8:Q38))*(1+G48),SUMIF($G$8:$G$38,"Férias",Q8:Q38))</f>
        <v>0</v>
      </c>
      <c r="G56" s="246"/>
      <c r="H56" s="234"/>
      <c r="I56" s="234"/>
      <c r="J56" s="234"/>
      <c r="K56" s="234"/>
      <c r="L56" s="234"/>
      <c r="M56" s="234"/>
      <c r="Z56" s="219"/>
    </row>
    <row r="57" spans="1:26" s="2" customFormat="1" ht="15" x14ac:dyDescent="0.2">
      <c r="A57" s="9"/>
      <c r="B57" s="234"/>
      <c r="C57" s="239"/>
      <c r="D57" s="239"/>
      <c r="E57" s="239"/>
      <c r="F57" s="250">
        <f ca="1">U14</f>
        <v>0</v>
      </c>
      <c r="G57" s="246"/>
      <c r="H57" s="234"/>
      <c r="I57" s="234"/>
      <c r="J57" s="234"/>
      <c r="K57" s="234"/>
      <c r="L57" s="234"/>
      <c r="M57" s="234"/>
      <c r="Z57" s="219"/>
    </row>
    <row r="58" spans="1:26" s="2" customFormat="1" ht="15" x14ac:dyDescent="0.2">
      <c r="A58" s="9"/>
      <c r="B58" s="234"/>
      <c r="C58" s="239"/>
      <c r="D58" s="239"/>
      <c r="E58" s="239"/>
      <c r="F58" s="243">
        <f ca="1">SUM(F41:F51)</f>
        <v>0</v>
      </c>
      <c r="G58" s="246"/>
      <c r="H58" s="234"/>
      <c r="I58" s="234"/>
      <c r="J58" s="234"/>
      <c r="K58" s="234"/>
      <c r="L58" s="234"/>
      <c r="M58" s="234"/>
      <c r="Z58" s="219"/>
    </row>
    <row r="59" spans="1:26" s="2" customFormat="1" ht="15" x14ac:dyDescent="0.2">
      <c r="A59" s="9"/>
      <c r="Z59" s="219"/>
    </row>
    <row r="60" spans="1:26" s="2" customFormat="1" ht="15" x14ac:dyDescent="0.2">
      <c r="A60" s="9"/>
      <c r="G60" s="178"/>
      <c r="Z60" s="219"/>
    </row>
    <row r="61" spans="1:26" ht="15" x14ac:dyDescent="0.2"/>
    <row r="62" spans="1:26" ht="15" x14ac:dyDescent="0.2"/>
    <row r="63" spans="1:26" ht="15" x14ac:dyDescent="0.2"/>
    <row r="64" spans="1:26" ht="15" x14ac:dyDescent="0.2"/>
    <row r="65" ht="15" x14ac:dyDescent="0.2"/>
    <row r="66" ht="15" x14ac:dyDescent="0.2"/>
    <row r="67" ht="15" x14ac:dyDescent="0.2"/>
    <row r="68" ht="15" x14ac:dyDescent="0.2"/>
    <row r="69" ht="15" x14ac:dyDescent="0.2"/>
    <row r="70" ht="15" x14ac:dyDescent="0.2"/>
    <row r="71" ht="15" x14ac:dyDescent="0.2"/>
    <row r="72" ht="15" x14ac:dyDescent="0.2"/>
    <row r="73" ht="15" x14ac:dyDescent="0.2"/>
    <row r="74" ht="15" x14ac:dyDescent="0.2"/>
    <row r="75" ht="15" x14ac:dyDescent="0.2"/>
    <row r="76" ht="15" x14ac:dyDescent="0.2"/>
    <row r="77" ht="15" x14ac:dyDescent="0.2"/>
    <row r="78" ht="15" x14ac:dyDescent="0.2"/>
    <row r="79" ht="15" x14ac:dyDescent="0.2"/>
    <row r="80" ht="15" x14ac:dyDescent="0.2"/>
    <row r="81" ht="15" x14ac:dyDescent="0.2"/>
    <row r="82" ht="15" x14ac:dyDescent="0.2"/>
    <row r="83" ht="15" x14ac:dyDescent="0.2"/>
    <row r="84" ht="15" x14ac:dyDescent="0.2"/>
    <row r="85" ht="15" x14ac:dyDescent="0.2"/>
    <row r="86" ht="15" x14ac:dyDescent="0.2"/>
    <row r="87" ht="15" x14ac:dyDescent="0.2"/>
    <row r="88" ht="15" x14ac:dyDescent="0.2"/>
    <row r="89" ht="15" x14ac:dyDescent="0.2"/>
    <row r="90" ht="15" x14ac:dyDescent="0.2"/>
    <row r="91" ht="15" x14ac:dyDescent="0.2"/>
    <row r="92" ht="15" x14ac:dyDescent="0.2"/>
    <row r="93" ht="15" x14ac:dyDescent="0.2"/>
    <row r="94" ht="15" x14ac:dyDescent="0.2"/>
    <row r="95" ht="15" x14ac:dyDescent="0.2"/>
    <row r="96" ht="15" x14ac:dyDescent="0.2"/>
    <row r="97" ht="15" x14ac:dyDescent="0.2"/>
    <row r="98" ht="15" x14ac:dyDescent="0.2"/>
    <row r="99" ht="15" x14ac:dyDescent="0.2"/>
    <row r="100" ht="15" x14ac:dyDescent="0.2"/>
    <row r="101" ht="15" x14ac:dyDescent="0.2"/>
    <row r="102" ht="15" x14ac:dyDescent="0.2"/>
    <row r="103" ht="15" x14ac:dyDescent="0.2"/>
  </sheetData>
  <sheetProtection sheet="1" objects="1" scenarios="1" selectLockedCells="1"/>
  <mergeCells count="34">
    <mergeCell ref="C56:E56"/>
    <mergeCell ref="C48:E48"/>
    <mergeCell ref="C49:E49"/>
    <mergeCell ref="C50:E50"/>
    <mergeCell ref="C52:E52"/>
    <mergeCell ref="C53:E53"/>
    <mergeCell ref="C54:E54"/>
    <mergeCell ref="C51:E51"/>
    <mergeCell ref="C44:E44"/>
    <mergeCell ref="C55:E55"/>
    <mergeCell ref="C45:E45"/>
    <mergeCell ref="C46:E46"/>
    <mergeCell ref="C47:E47"/>
    <mergeCell ref="S22:U22"/>
    <mergeCell ref="C41:E41"/>
    <mergeCell ref="C42:E42"/>
    <mergeCell ref="C43:E43"/>
    <mergeCell ref="S26:U28"/>
    <mergeCell ref="S23:U25"/>
    <mergeCell ref="E7:F7"/>
    <mergeCell ref="I7:J7"/>
    <mergeCell ref="S7:U7"/>
    <mergeCell ref="S8:T9"/>
    <mergeCell ref="U8:U9"/>
    <mergeCell ref="S16:T17"/>
    <mergeCell ref="U16:U17"/>
    <mergeCell ref="S18:T19"/>
    <mergeCell ref="S10:T11"/>
    <mergeCell ref="U10:U11"/>
    <mergeCell ref="S12:T13"/>
    <mergeCell ref="U12:U13"/>
    <mergeCell ref="S14:T15"/>
    <mergeCell ref="U14:U15"/>
    <mergeCell ref="U18:U19"/>
  </mergeCells>
  <conditionalFormatting sqref="M8:M37">
    <cfRule type="cellIs" dxfId="508" priority="132" operator="greaterThan">
      <formula>0</formula>
    </cfRule>
  </conditionalFormatting>
  <conditionalFormatting sqref="L36:L37 N36:N37">
    <cfRule type="expression" dxfId="507" priority="99">
      <formula>AND($E36&lt;$E$35,$E$8=1)</formula>
    </cfRule>
    <cfRule type="expression" dxfId="506" priority="100">
      <formula>AND($E36&gt;=$E$8,$E$8&lt;&gt;1)</formula>
    </cfRule>
  </conditionalFormatting>
  <conditionalFormatting sqref="E36:E38">
    <cfRule type="expression" dxfId="505" priority="97">
      <formula>AND($E36&lt;$E$35,$E$8=1)</formula>
    </cfRule>
    <cfRule type="expression" dxfId="504" priority="98">
      <formula>AND($E36&gt;=$E$8,$E$8&lt;&gt;1)</formula>
    </cfRule>
  </conditionalFormatting>
  <conditionalFormatting sqref="O8:O37">
    <cfRule type="cellIs" dxfId="503" priority="92" operator="greaterThan">
      <formula>0.000001</formula>
    </cfRule>
  </conditionalFormatting>
  <conditionalFormatting sqref="O36:O37">
    <cfRule type="expression" dxfId="502" priority="90">
      <formula>AND($E36&lt;$E$35,$E$8=1)</formula>
    </cfRule>
    <cfRule type="expression" dxfId="501" priority="91">
      <formula>AND($E36&gt;=$E$8,$E$8&lt;&gt;1)</formula>
    </cfRule>
  </conditionalFormatting>
  <conditionalFormatting sqref="F8:F38">
    <cfRule type="containsText" dxfId="500" priority="88" operator="containsText" text="Dom">
      <formula>NOT(ISERROR(SEARCH("Dom",F8)))</formula>
    </cfRule>
    <cfRule type="containsText" dxfId="499" priority="89" operator="containsText" text="Sáb">
      <formula>NOT(ISERROR(SEARCH("Sáb",F8)))</formula>
    </cfRule>
  </conditionalFormatting>
  <conditionalFormatting sqref="Q8:Q37">
    <cfRule type="cellIs" dxfId="498" priority="86" operator="greaterThan">
      <formula>0.000001</formula>
    </cfRule>
  </conditionalFormatting>
  <conditionalFormatting sqref="G8:K35">
    <cfRule type="expression" dxfId="497" priority="48">
      <formula>OR($G8="Férias",$G8="Falta Injustificada")</formula>
    </cfRule>
    <cfRule type="expression" dxfId="496" priority="49">
      <formula>$G8="Folga (DSR)"</formula>
    </cfRule>
    <cfRule type="expression" dxfId="495" priority="50">
      <formula>$G8="Feriado"</formula>
    </cfRule>
    <cfRule type="expression" dxfId="494" priority="51">
      <formula>$F8="Dom"</formula>
    </cfRule>
  </conditionalFormatting>
  <conditionalFormatting sqref="H8:K35">
    <cfRule type="expression" dxfId="493" priority="47">
      <formula>OR($G8="Falta Justificada",$G8="Falta Injustificada")</formula>
    </cfRule>
  </conditionalFormatting>
  <conditionalFormatting sqref="G36:K37">
    <cfRule type="expression" dxfId="492" priority="43">
      <formula>OR($G36="Férias",$G36="Falta Injustificada")</formula>
    </cfRule>
    <cfRule type="expression" dxfId="491" priority="44">
      <formula>$G36="Folga (DSR)"</formula>
    </cfRule>
    <cfRule type="expression" dxfId="490" priority="45">
      <formula>$G36="Feriado"</formula>
    </cfRule>
    <cfRule type="expression" dxfId="489" priority="46">
      <formula>$F36="Dom"</formula>
    </cfRule>
  </conditionalFormatting>
  <conditionalFormatting sqref="G36:K37">
    <cfRule type="expression" dxfId="488" priority="40">
      <formula>AND($E36&lt;$E$35,$E$8=1)</formula>
    </cfRule>
    <cfRule type="expression" dxfId="487" priority="41">
      <formula>AND($E36&gt;=$E$8,$E$8&lt;&gt;1)</formula>
    </cfRule>
  </conditionalFormatting>
  <conditionalFormatting sqref="H36:K37">
    <cfRule type="expression" dxfId="486" priority="42">
      <formula>OR($G36="Falta Justificada",$G36="Falta Injustificada")</formula>
    </cfRule>
  </conditionalFormatting>
  <conditionalFormatting sqref="O38">
    <cfRule type="cellIs" dxfId="485" priority="38" operator="greaterThan">
      <formula>0.000001</formula>
    </cfRule>
  </conditionalFormatting>
  <conditionalFormatting sqref="M38">
    <cfRule type="cellIs" dxfId="484" priority="39" operator="greaterThan">
      <formula>0</formula>
    </cfRule>
  </conditionalFormatting>
  <conditionalFormatting sqref="L38:O38">
    <cfRule type="expression" dxfId="483" priority="37">
      <formula>AND($E38&gt;=$E$8,$E$8&lt;&gt;1)</formula>
    </cfRule>
  </conditionalFormatting>
  <conditionalFormatting sqref="G38:K38">
    <cfRule type="expression" dxfId="482" priority="24">
      <formula>OR($G38="Férias",$G38="Falta Injustificada")</formula>
    </cfRule>
    <cfRule type="expression" dxfId="481" priority="25">
      <formula>$G38="Folga (DSR)"</formula>
    </cfRule>
    <cfRule type="expression" dxfId="480" priority="26">
      <formula>$G38="Feriado"</formula>
    </cfRule>
    <cfRule type="expression" dxfId="479" priority="27">
      <formula>$F38="Dom"</formula>
    </cfRule>
  </conditionalFormatting>
  <conditionalFormatting sqref="H38:K38">
    <cfRule type="expression" dxfId="478" priority="23">
      <formula>OR($G38="Falta Justificada",$G38="Falta Injustificada")</formula>
    </cfRule>
  </conditionalFormatting>
  <conditionalFormatting sqref="Q38">
    <cfRule type="cellIs" dxfId="477" priority="20" operator="greaterThan">
      <formula>0.000001</formula>
    </cfRule>
  </conditionalFormatting>
  <conditionalFormatting sqref="L38:Q38">
    <cfRule type="expression" dxfId="476" priority="36">
      <formula>AND($E38&lt;$E$35,$E$8=1)</formula>
    </cfRule>
  </conditionalFormatting>
  <conditionalFormatting sqref="G38:Q38">
    <cfRule type="expression" dxfId="475" priority="21">
      <formula>AND($E38&lt;$E$35,$E$8=1)</formula>
    </cfRule>
    <cfRule type="expression" dxfId="474" priority="22">
      <formula>AND($E38&gt;=$E$8,$E$8&lt;&gt;1)</formula>
    </cfRule>
  </conditionalFormatting>
  <conditionalFormatting sqref="U10:U11">
    <cfRule type="expression" dxfId="473" priority="8">
      <formula>$V$11="Negativo"</formula>
    </cfRule>
  </conditionalFormatting>
  <conditionalFormatting sqref="U12:U13">
    <cfRule type="expression" dxfId="472" priority="524">
      <formula>$U$14&gt;$F$58</formula>
    </cfRule>
  </conditionalFormatting>
  <conditionalFormatting sqref="F40">
    <cfRule type="expression" dxfId="471" priority="525">
      <formula>$E40="Folga(DSR)"</formula>
    </cfRule>
    <cfRule type="expression" dxfId="470" priority="526">
      <formula>$E40="Feriado"</formula>
    </cfRule>
    <cfRule type="expression" dxfId="469" priority="527">
      <formula>$D40="Dom"</formula>
    </cfRule>
  </conditionalFormatting>
  <dataValidations count="3">
    <dataValidation type="time" allowBlank="1" showInputMessage="1" showErrorMessage="1" sqref="H8:K38">
      <formula1>0</formula1>
      <formula2>0.999988425925926</formula2>
    </dataValidation>
    <dataValidation type="list" allowBlank="1" showInputMessage="1" showErrorMessage="1" sqref="G8:G38">
      <formula1>"Normal,Feriado,Folga (DSR),Falta Justificada,Férias,Falta Injustificada"</formula1>
    </dataValidation>
    <dataValidation type="list" allowBlank="1" showInputMessage="1" showErrorMessage="1" sqref="E9:E35">
      <formula1>"1,5,10,16"</formula1>
    </dataValidation>
  </dataValidations>
  <hyperlinks>
    <hyperlink ref="C8" location="Lanç!A1" display="Lanç!A1"/>
    <hyperlink ref="C9" location="'Lanç (2)'!A1" display="'Lanç (2)'!A1"/>
    <hyperlink ref="C10" location="'Lanç (3)'!A1" display="'Lanç (3)'!A1"/>
    <hyperlink ref="C11" location="'Lanç (4)'!A1" display="'Lanç (4)'!A1"/>
    <hyperlink ref="C12" location="'Lanç (5)'!A1" display="'Lanç (5)'!A1"/>
    <hyperlink ref="C13" location="'Lanç (6)'!A1" display="'Lanç (6)'!A1"/>
    <hyperlink ref="C14" location="'Lanç (7)'!A1" display="'Lanç (7)'!A1"/>
    <hyperlink ref="C15" location="'Lanç (8)'!A1" display="'Lanç (8)'!A1"/>
    <hyperlink ref="C16" location="'Lanç (9)'!A1" display="'Lanç (9)'!A1"/>
    <hyperlink ref="C17" location="'Lanç (10)'!A1" display="'Lanç (10)'!A1"/>
    <hyperlink ref="C18" location="'Lanç (11)'!A1" display="'Lanç (11)'!A1"/>
    <hyperlink ref="C19" location="'Lanç (12)'!A1" display="'Lanç (12)'!A1"/>
    <hyperlink ref="C20" location="'Lanç (13)'!A1" display="'Lanç (13)'!A1"/>
    <hyperlink ref="C21" location="'Lanç (14)'!A1" display="'Lanç (14)'!A1"/>
    <hyperlink ref="C22" location="'Lanç (15)'!A1" display="'Lanç (15)'!A1"/>
    <hyperlink ref="C23" location="'Lanç (16)'!A1" display="'Lanç (16)'!A1"/>
    <hyperlink ref="C24" location="'Lanç (17)'!A1" display="'Lanç (17)'!A1"/>
    <hyperlink ref="C25" location="'Lanç (18)'!A1" display="'Lanç (18)'!A1"/>
    <hyperlink ref="C26" location="'Lanç (19)'!A1" display="'Lanç (19)'!A1"/>
    <hyperlink ref="C27" location="'Lanç (20)'!A1" display="'Lanç (20)'!A1"/>
    <hyperlink ref="C28" location="'Lanç (21)'!A1" display="'Lanç (21)'!A1"/>
    <hyperlink ref="C29" location="'Lanç (22)'!A1" display="'Lanç (22)'!A1"/>
    <hyperlink ref="C30" location="'Lanç (23)'!A1" display="'Lanç (23)'!A1"/>
    <hyperlink ref="C31" location="'Lanç (24)'!A1" display="'Lanç (24)'!A1"/>
    <hyperlink ref="C32" location="'Lanç (25)'!A1" display="'Lanç (25)'!A1"/>
    <hyperlink ref="C33" location="'Lanç (26)'!A1" display="'Lanç (26)'!A1"/>
    <hyperlink ref="C34" location="'Lanç (27)'!A1" display="'Lanç (27)'!A1"/>
    <hyperlink ref="C35" location="'Lanç (28)'!A1" display="'Lanç (28)'!A1"/>
    <hyperlink ref="C36" location="'Lanç (29)'!A1" display="'Lanç (29)'!A1"/>
    <hyperlink ref="C37" location="'Lanç (30)'!A1" display="'Lanç (30)'!A1"/>
  </hyperlinks>
  <printOptions horizontalCentered="1"/>
  <pageMargins left="0.23622047244094502" right="0.23622047244094502" top="0.74803149606299202" bottom="0.74803149606299202" header="0.31496062992126" footer="0.31496062992126"/>
  <pageSetup paperSize="9" scale="53" orientation="portrait" cellComments="atEnd"/>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69" id="{715B1811-D3C7-F44A-9968-CCB2CBCE14F8}">
            <xm:f>'P Gerais'!$I$10:$M$10="Pagas em Dinheiro"</xm:f>
            <x14:dxf>
              <font>
                <color theme="0"/>
              </font>
              <fill>
                <patternFill>
                  <bgColor theme="0"/>
                </patternFill>
              </fill>
              <border>
                <left/>
                <right/>
                <top/>
                <bottom/>
              </border>
            </x14:dxf>
          </x14:cfRule>
          <xm:sqref>S10:T13</xm:sqref>
        </x14:conditionalFormatting>
        <x14:conditionalFormatting xmlns:xm="http://schemas.microsoft.com/office/excel/2006/main">
          <x14:cfRule type="expression" priority="68" id="{3136498F-238B-4C47-9418-12C9A38A94AF}">
            <xm:f>'P Gerais'!$I$10:$M$10="Sistema de banco de horas"</xm:f>
            <x14:dxf>
              <font>
                <color theme="0"/>
              </font>
              <fill>
                <patternFill>
                  <bgColor theme="0"/>
                </patternFill>
              </fill>
              <border>
                <left/>
                <right/>
                <top/>
                <bottom/>
              </border>
            </x14:dxf>
          </x14:cfRule>
          <xm:sqref>S18:T19</xm:sqref>
        </x14:conditionalFormatting>
        <x14:conditionalFormatting xmlns:xm="http://schemas.microsoft.com/office/excel/2006/main">
          <x14:cfRule type="expression" priority="10" id="{833E67FA-C48A-1C4A-B55B-D4E3E627643C}">
            <xm:f>'P Gerais'!$I$10:$M$10="Sistema de banco de horas"</xm:f>
            <x14:dxf>
              <font>
                <color theme="0"/>
              </font>
              <fill>
                <patternFill>
                  <bgColor theme="0"/>
                </patternFill>
              </fill>
              <border>
                <left/>
                <right/>
                <top/>
                <bottom/>
              </border>
            </x14:dxf>
          </x14:cfRule>
          <xm:sqref>U18:U19</xm:sqref>
        </x14:conditionalFormatting>
        <x14:conditionalFormatting xmlns:xm="http://schemas.microsoft.com/office/excel/2006/main">
          <x14:cfRule type="expression" priority="7" id="{72D61950-B3D5-544A-B872-916BB1DB3F99}">
            <xm:f>'P Gerais'!$I$10:$M$10="Pagas em Dinheiro"</xm:f>
            <x14:dxf>
              <font>
                <color theme="0"/>
              </font>
              <fill>
                <patternFill>
                  <bgColor theme="0"/>
                </patternFill>
              </fill>
              <border>
                <left/>
                <right/>
                <top/>
                <bottom/>
              </border>
            </x14:dxf>
          </x14:cfRule>
          <xm:sqref>U10:U13</xm:sqref>
        </x14:conditionalFormatting>
      </x14:conditionalFormattings>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23" enableFormatConditionsCalculation="0"/>
  <dimension ref="A1:BG103"/>
  <sheetViews>
    <sheetView showGridLines="0" zoomScale="90" zoomScaleNormal="90" zoomScalePageLayoutView="90" workbookViewId="0">
      <selection activeCell="I12" sqref="I12"/>
    </sheetView>
  </sheetViews>
  <sheetFormatPr baseColWidth="10" defaultColWidth="0" defaultRowHeight="0" customHeight="1" zeroHeight="1" x14ac:dyDescent="0.2"/>
  <cols>
    <col min="1" max="1" width="27.83203125" style="194" customWidth="1"/>
    <col min="2" max="2" width="3.83203125" style="14" customWidth="1"/>
    <col min="3" max="3" width="33.33203125" style="14" customWidth="1"/>
    <col min="4" max="4" width="2.83203125" style="14" customWidth="1"/>
    <col min="5" max="5" width="5.83203125" style="14" customWidth="1"/>
    <col min="6" max="6" width="11.83203125" style="14" customWidth="1"/>
    <col min="7" max="7" width="14.33203125" style="195" customWidth="1"/>
    <col min="8" max="11" width="9.83203125" style="14" customWidth="1"/>
    <col min="12" max="12" width="1.83203125" style="14" customWidth="1"/>
    <col min="13" max="13" width="13.33203125" style="14" customWidth="1"/>
    <col min="14" max="14" width="1.83203125" style="14" customWidth="1"/>
    <col min="15" max="15" width="13.33203125" style="14" customWidth="1"/>
    <col min="16" max="16" width="1.83203125" style="14" customWidth="1"/>
    <col min="17" max="17" width="13.33203125" style="14" customWidth="1"/>
    <col min="18" max="18" width="4.83203125" style="2" bestFit="1" customWidth="1"/>
    <col min="19" max="21" width="11.83203125" style="14" customWidth="1"/>
    <col min="22" max="23" width="8.83203125" style="2" customWidth="1"/>
    <col min="24" max="24" width="11.33203125" style="2" bestFit="1" customWidth="1"/>
    <col min="25" max="25" width="8.83203125" style="2" customWidth="1"/>
    <col min="26" max="26" width="8.1640625" style="219" bestFit="1" customWidth="1"/>
    <col min="27" max="27" width="8.83203125" style="2" customWidth="1"/>
    <col min="28" max="28" width="11.33203125" style="2" bestFit="1" customWidth="1"/>
    <col min="29" max="43" width="8.83203125" style="2" customWidth="1"/>
    <col min="44" max="50" width="11.33203125" style="2" customWidth="1"/>
    <col min="51" max="57" width="11.33203125" style="14" customWidth="1"/>
    <col min="58" max="16384" width="8.83203125" style="14" hidden="1"/>
  </cols>
  <sheetData>
    <row r="1" spans="1:59" s="15" customFormat="1" ht="33.75" customHeight="1" x14ac:dyDescent="0.3">
      <c r="A1" s="56"/>
      <c r="B1" s="3"/>
      <c r="C1" s="4" t="s">
        <v>30</v>
      </c>
      <c r="D1" s="3"/>
      <c r="E1" s="3"/>
      <c r="F1" s="3"/>
      <c r="G1" s="77"/>
      <c r="H1" s="3"/>
      <c r="I1" s="3"/>
      <c r="J1" s="3"/>
      <c r="K1" s="3"/>
      <c r="L1" s="3"/>
      <c r="M1" s="3"/>
      <c r="N1" s="3"/>
      <c r="O1" s="3"/>
      <c r="Q1" s="3"/>
      <c r="S1" s="3"/>
      <c r="T1" s="3"/>
      <c r="U1" s="3"/>
      <c r="Z1" s="174"/>
    </row>
    <row r="2" spans="1:59" s="15" customFormat="1" ht="21.5" customHeight="1" x14ac:dyDescent="0.2">
      <c r="A2" s="1"/>
      <c r="B2" s="3"/>
      <c r="C2" s="3"/>
      <c r="D2" s="3"/>
      <c r="E2" s="3"/>
      <c r="F2" s="3"/>
      <c r="G2" s="77"/>
      <c r="H2" s="3"/>
      <c r="I2" s="3"/>
      <c r="J2" s="3"/>
      <c r="K2" s="3"/>
      <c r="L2" s="3"/>
      <c r="M2" s="3"/>
      <c r="N2" s="3"/>
      <c r="O2" s="3"/>
      <c r="Q2" s="3"/>
      <c r="S2" s="3"/>
      <c r="T2" s="3"/>
      <c r="U2" s="3"/>
      <c r="Z2" s="174"/>
    </row>
    <row r="3" spans="1:59" s="15" customFormat="1" ht="21.5" customHeight="1" x14ac:dyDescent="0.2">
      <c r="A3" s="1"/>
      <c r="B3" s="3"/>
      <c r="C3" s="3"/>
      <c r="D3" s="3"/>
      <c r="E3" s="3"/>
      <c r="F3" s="3"/>
      <c r="G3" s="77"/>
      <c r="H3" s="3"/>
      <c r="I3" s="3"/>
      <c r="J3" s="3"/>
      <c r="K3" s="3"/>
      <c r="L3" s="3"/>
      <c r="M3" s="3"/>
      <c r="N3" s="3"/>
      <c r="O3" s="3"/>
      <c r="Q3" s="3"/>
      <c r="S3" s="3"/>
      <c r="T3" s="3"/>
      <c r="U3" s="3"/>
      <c r="Z3" s="174"/>
    </row>
    <row r="4" spans="1:59" s="2" customFormat="1" ht="30" customHeight="1" x14ac:dyDescent="0.2">
      <c r="A4" s="1"/>
      <c r="B4"/>
      <c r="C4"/>
      <c r="D4"/>
      <c r="E4"/>
      <c r="F4"/>
      <c r="G4" s="78"/>
      <c r="H4"/>
      <c r="I4"/>
      <c r="J4"/>
      <c r="K4"/>
      <c r="L4"/>
      <c r="M4"/>
      <c r="N4"/>
      <c r="O4" s="13"/>
      <c r="Q4"/>
      <c r="S4"/>
      <c r="T4"/>
      <c r="U4"/>
      <c r="Z4" s="219"/>
      <c r="AN4" s="175"/>
    </row>
    <row r="5" spans="1:59" s="2" customFormat="1" ht="30" customHeight="1" x14ac:dyDescent="0.2">
      <c r="A5" s="1"/>
      <c r="B5"/>
      <c r="C5" s="160" t="s">
        <v>204</v>
      </c>
      <c r="D5"/>
      <c r="E5"/>
      <c r="F5"/>
      <c r="G5"/>
      <c r="H5"/>
      <c r="I5"/>
      <c r="J5"/>
      <c r="K5" s="157">
        <f ca="1">IF(ISERROR(VLOOKUP(INDIRECT($C$5),Jornada!$C$8:$F$37,4,0)),0,VLOOKUP(INDIRECT($C$5),Jornada!$C$8:$F$37,4,0))</f>
        <v>0</v>
      </c>
      <c r="L5" s="158"/>
      <c r="M5" s="157">
        <f ca="1">IF(ISERROR(VLOOKUP(INDIRECT($C$5),Jornada!$C$8:$G$37,5,0)),0,VLOOKUP(INDIRECT($C$5),Jornada!$C$8:$G$37,5,0))</f>
        <v>0</v>
      </c>
      <c r="N5"/>
      <c r="O5" s="69"/>
      <c r="Q5"/>
      <c r="S5"/>
      <c r="T5"/>
      <c r="U5" s="12"/>
      <c r="Z5" s="219"/>
      <c r="AC5" s="12"/>
      <c r="AK5" s="179">
        <v>0.25</v>
      </c>
      <c r="AL5" s="155">
        <v>0.91666666666666663</v>
      </c>
      <c r="AM5" s="155">
        <v>0.20833333333333334</v>
      </c>
      <c r="AN5" s="155">
        <v>1</v>
      </c>
      <c r="AO5" s="155">
        <v>0.70833333333333337</v>
      </c>
    </row>
    <row r="6" spans="1:59" s="2" customFormat="1" ht="8" customHeight="1" thickBot="1" x14ac:dyDescent="0.25">
      <c r="A6" s="1"/>
      <c r="B6"/>
      <c r="C6" s="75"/>
      <c r="D6"/>
      <c r="E6"/>
      <c r="F6"/>
      <c r="G6" s="78"/>
      <c r="H6"/>
      <c r="I6"/>
      <c r="J6"/>
      <c r="M6" s="220">
        <v>1</v>
      </c>
      <c r="N6"/>
      <c r="O6" s="11"/>
      <c r="Q6" s="11"/>
      <c r="S6"/>
      <c r="T6"/>
      <c r="Z6" s="176"/>
    </row>
    <row r="7" spans="1:59" s="2" customFormat="1" ht="30" customHeight="1" thickTop="1" thickBot="1" x14ac:dyDescent="0.25">
      <c r="A7" s="1"/>
      <c r="B7"/>
      <c r="C7" s="76" t="s">
        <v>176</v>
      </c>
      <c r="D7"/>
      <c r="E7" s="281" t="str">
        <f>Lanç!E7</f>
        <v>Janeiro</v>
      </c>
      <c r="F7" s="283"/>
      <c r="G7" s="79" t="s">
        <v>58</v>
      </c>
      <c r="H7" s="82" t="s">
        <v>0</v>
      </c>
      <c r="I7" s="293" t="s">
        <v>59</v>
      </c>
      <c r="J7" s="293"/>
      <c r="K7" s="82" t="s">
        <v>60</v>
      </c>
      <c r="L7"/>
      <c r="M7" s="73" t="s">
        <v>61</v>
      </c>
      <c r="N7"/>
      <c r="O7" s="73" t="s">
        <v>62</v>
      </c>
      <c r="Q7" s="73" t="s">
        <v>63</v>
      </c>
      <c r="R7" s="155">
        <v>8.3333333333333329E-2</v>
      </c>
      <c r="S7" s="293" t="s">
        <v>64</v>
      </c>
      <c r="T7" s="293"/>
      <c r="U7" s="293"/>
      <c r="W7" s="2" t="s">
        <v>90</v>
      </c>
      <c r="X7" s="156">
        <v>1</v>
      </c>
      <c r="AB7" s="2">
        <f>VLOOKUP($E$7,$W$7:$X$18,2,0)</f>
        <v>1</v>
      </c>
      <c r="AG7" s="176" t="s">
        <v>167</v>
      </c>
      <c r="AH7" s="176" t="s">
        <v>168</v>
      </c>
      <c r="AI7" s="155">
        <v>0</v>
      </c>
      <c r="AJ7" s="155">
        <v>1</v>
      </c>
      <c r="AK7" s="155">
        <v>0.45833333333333331</v>
      </c>
      <c r="AL7" s="2" t="s">
        <v>0</v>
      </c>
      <c r="AM7" s="2" t="s">
        <v>162</v>
      </c>
      <c r="AN7" s="2" t="s">
        <v>184</v>
      </c>
      <c r="BE7" s="14"/>
      <c r="BF7" s="14"/>
      <c r="BG7" s="14"/>
    </row>
    <row r="8" spans="1:59" s="2" customFormat="1" ht="30" customHeight="1" thickTop="1" thickBot="1" x14ac:dyDescent="0.25">
      <c r="A8" s="1"/>
      <c r="B8"/>
      <c r="C8" s="172" t="str">
        <f>IF(Funcionários!C7=0,"",Funcionários!C7)</f>
        <v/>
      </c>
      <c r="D8"/>
      <c r="E8" s="115">
        <f>Lanç!E8</f>
        <v>1</v>
      </c>
      <c r="F8" s="189" t="str">
        <f>Lanç!F8</f>
        <v>Dom</v>
      </c>
      <c r="G8" s="80"/>
      <c r="H8" s="93"/>
      <c r="I8" s="93"/>
      <c r="J8" s="93"/>
      <c r="K8" s="93"/>
      <c r="L8" s="10"/>
      <c r="M8" s="95">
        <f>IF(AND(H8=K8,H8&lt;&gt;0),$M$6-IF(J8&lt;I8,$AJ$7+J8-I8,J8-I8),IF(H8&gt;K8,(K8+1-H8)-IF(J8&lt;I8,$AJ$7+J8-I8,J8-I8),(K8-H8)-IF(J8&lt;I8,$AJ$7+J8-I8,J8-I8)))</f>
        <v>0</v>
      </c>
      <c r="N8" s="96"/>
      <c r="O8" s="95">
        <f ca="1">IF(OR(G8=0,G8="Férias",G8="Falta Justificada",G8="Feriado",G8="Folga (DSR)"),0,IF(G8="Falta Injustificada",HLOOKUP($F8,Jornada!$X$7:$AD$37,VLOOKUP(INDIRECT($C$5),Jornada!$C$8:$W$37,21,0),0),IF(HLOOKUP($F8,Jornada!$X$7:$AD$37,VLOOKUP(INDIRECT($C$5),Jornada!$C$8:$W$37,21,0),0)-M8&gt;0,HLOOKUP($F8,Jornada!$X$7:$AD$37,VLOOKUP(INDIRECT($C$5),Jornada!$C$8:$W$37,21,0),0)-M8,0)))</f>
        <v>0</v>
      </c>
      <c r="P8" s="190">
        <f ca="1">IF(HLOOKUP($F8,Jornada!$X$7:$AD$37,VLOOKUP(INDIRECT($C$5),Jornada!$C$8:$W$37,21,0),0)-M8&lt;0,ABS(HLOOKUP($F8,Jornada!$X$7:$AD$37,VLOOKUP(INDIRECT($C$5),Jornada!$C$8:$W$37,21,0),0)-M8),0)</f>
        <v>0</v>
      </c>
      <c r="Q8" s="95">
        <f t="shared" ref="Q8:Q38" si="0">IF(G8="Normal",P8,IF(G8=0,0,IF(OR(G8="Feriado",G8="Férias"),IF(H8&gt;K8,(K8+1-H8)-IF(J8&lt;I8,$AJ$7+J8-I8,J8-I8),(K8-H8)-IF(J8&lt;I8,$AJ$7+J8-I8,J8-I8)),IF(G8="Folga (DSR)",IF(H8&gt;K8,(K8+1-H8)-IF(J8&lt;I8,$AJ$7+J8-I8,J8-I8),(K8-H8)-IF(J8&lt;I8,$AJ$7+J8-I8,J8-I8)),IF(G8="Falta Justificada",IF(H8&gt;K8,(K8+1-H8)-IF(J8&lt;I8,$AJ$7+J8-I8,J8-I8),(K8-H8)-IF(J8&lt;I8,$AJ$7+J8-I8,J8-I8)),0)))))</f>
        <v>0</v>
      </c>
      <c r="R8" s="2">
        <f>IF(Q8&gt;$R$7,1,0)</f>
        <v>0</v>
      </c>
      <c r="S8" s="294" t="s">
        <v>65</v>
      </c>
      <c r="T8" s="294"/>
      <c r="U8" s="295">
        <f>SUM(M8:M38)</f>
        <v>0</v>
      </c>
      <c r="W8" s="2" t="s">
        <v>91</v>
      </c>
      <c r="X8" s="156">
        <v>2</v>
      </c>
      <c r="AB8" s="177">
        <f>DATE('P Gerais'!$D$6,AB7,1)</f>
        <v>1</v>
      </c>
      <c r="AC8" s="2">
        <f>WEEKDAY(AB8)</f>
        <v>1</v>
      </c>
      <c r="AE8" s="2">
        <v>1</v>
      </c>
      <c r="AF8" s="2" t="s">
        <v>51</v>
      </c>
      <c r="AG8" s="220">
        <f>IF(J8&lt;I8,$AJ$7+J8-I8,J8-I8)</f>
        <v>0</v>
      </c>
      <c r="AH8" s="220">
        <f ca="1">IF(HLOOKUP($F8,Jornada!$X$7:$AD$37,VLOOKUP(INDIRECT($C$5),Jornada!$C$8:$W$37,21,0),0)=0,0,VLOOKUP(INDIRECT($C$5),Jornada!$C$8:$H$37,4,0))</f>
        <v>0</v>
      </c>
      <c r="AI8" s="155">
        <f ca="1">IF(AND(I8=0,J8=0,OR(H8&lt;&gt;0,K8&lt;&gt;0),HLOOKUP($F8,Jornada!$X$7:$AD$37,VLOOKUP(INDIRECT($C$5),Jornada!$C$8:$W$37,21,0),0)&gt;$AK$5,M8&gt;$AK$5),VLOOKUP(INDIRECT($C$5),Jornada!$C$8:$H$37,6,0),IF(AG8&gt;VLOOKUP(INDIRECT($C$5),Jornada!$C$8:$H$37,6,0),IF(VLOOKUP(INDIRECT($C$5),Jornada!$C$8:$H$37,6,0)&lt;AG8,0,ABS(VLOOKUP(INDIRECT($C$5),Jornada!$C$8:$H$37,6,0))-AG8),0))</f>
        <v>0</v>
      </c>
      <c r="AJ8" s="155">
        <f>($AJ$7-K8)+H8</f>
        <v>1</v>
      </c>
      <c r="AK8" s="155">
        <f>IF(AJ8&lt;$AK$7,$AK$7-AJ8,$AI$7)</f>
        <v>0</v>
      </c>
      <c r="AL8" s="155">
        <f ca="1">HLOOKUP($F8,Jornada!$I$5:$V$37,VLOOKUP(INDIRECT($C$5),Jornada!$C$8:$W$37,21,0)+2,0)</f>
        <v>0</v>
      </c>
      <c r="AM8" s="155">
        <f ca="1">HLOOKUP($F8,Jornada!$I$4:$V$37,VLOOKUP(INDIRECT($C$5),Jornada!$C$8:$W$37,21,0)+3,0)</f>
        <v>0</v>
      </c>
      <c r="AN8" s="155">
        <f ca="1">IF(AND(AL8&gt;=$AL$5,AL8&lt;$AN$5,H8&gt;=$AL$5,H8&lt;AL8),AL8-H8,IF(AND(AL8&gt;$AI$7,AL8&lt;=$AM$5,H8&gt;=$AL$5,H8&lt;=$AN$5),$AN$5-H8+AL8,IF(AND(AL8&gt;=$AI$7,AL8&lt;=$AM$5,H8&gt;=$AI$7,H8&lt;=$AM$5,H8&lt;AL8),H8-AL8,0)))</f>
        <v>0</v>
      </c>
      <c r="AO8" s="155">
        <f>IF(AP8&gt;Q8,0,AP8)</f>
        <v>0</v>
      </c>
      <c r="AP8" s="155">
        <f>IF(Q8=0,0,IF(AND(AM8&gt;=$AL$5,AM8&lt;$AN$5,K8&gt;=$AL$5,K8&lt;$AM$5,K8&gt;AM8),K8-AM8,IF(AND(AM8&gt;=$AL$5,AM8&lt;$AN$5,K8&lt;$AN$5,K8&gt;AM8),K8-$AL$5,IF(AND(AM8&gt;=$AI$7,AM8&lt;$AM$5,K8&lt;$AM$5),K8-AM8,IF(AND(AM8&lt;&gt;AI7,AM8&gt;=$AI$7,AM8&lt;=$AM$5,K8&gt;$AM$5,K8&gt;AM8),$AM$5-AM8,IF(AND(K8&gt;$AL$5,K8&lt;$AN$5),K8-$AL$5,IF(AND(K8&gt;$AI$7,K8&lt;$AM$5),$AN$5-$AL$5+K8,IF(AND(OR(K8&gt;$AL$5,H8&gt;$AO$5),AM8&gt;=$AI$7,AM8&lt;$AM$5,K8&gt;$AM$5),(1+$AM$5-$AL$5)-AG8,0))))))))</f>
        <v>0</v>
      </c>
      <c r="BE8" s="14"/>
      <c r="BF8" s="14"/>
      <c r="BG8" s="14"/>
    </row>
    <row r="9" spans="1:59" s="2" customFormat="1" ht="30" customHeight="1" thickTop="1" thickBot="1" x14ac:dyDescent="0.25">
      <c r="A9" s="1"/>
      <c r="B9"/>
      <c r="C9" s="172" t="str">
        <f>IF(Funcionários!C8=0,"",Funcionários!C8)</f>
        <v/>
      </c>
      <c r="D9"/>
      <c r="E9" s="115">
        <f>Lanç!E9</f>
        <v>2</v>
      </c>
      <c r="F9" s="189" t="str">
        <f>Lanç!F9</f>
        <v>Seg</v>
      </c>
      <c r="G9" s="81"/>
      <c r="H9" s="94"/>
      <c r="I9" s="94"/>
      <c r="J9" s="94"/>
      <c r="K9" s="94"/>
      <c r="L9" s="10"/>
      <c r="M9" s="95">
        <f t="shared" ref="M9:M38" si="1">IF(AND(H9=K9,H9&lt;&gt;0),$M$6-IF(J9&lt;I9,$AJ$7+J9-I9,J9-I9),IF(H9&gt;K9,(K9+1-H9)-IF(J9&lt;I9,$AJ$7+J9-I9,J9-I9),(K9-H9)-IF(J9&lt;I9,$AJ$7+J9-I9,J9-I9)))</f>
        <v>0</v>
      </c>
      <c r="N9" s="96"/>
      <c r="O9" s="95">
        <f ca="1">IF(OR(G9=0,G9="Férias",G9="Falta Justificada",G9="Feriado",G9="Folga (DSR)"),0,IF(G9="Falta Injustificada",HLOOKUP($F9,Jornada!$X$7:$AD$37,VLOOKUP(INDIRECT($C$5),Jornada!$C$8:$W$37,21,0),0),IF(HLOOKUP($F9,Jornada!$X$7:$AD$37,VLOOKUP(INDIRECT($C$5),Jornada!$C$8:$W$37,21,0),0)-M9&gt;0,HLOOKUP($F9,Jornada!$X$7:$AD$37,VLOOKUP(INDIRECT($C$5),Jornada!$C$8:$W$37,21,0),0)-M9,0)))</f>
        <v>0</v>
      </c>
      <c r="P9" s="190">
        <f ca="1">IF(HLOOKUP($F9,Jornada!$X$7:$AD$37,VLOOKUP(INDIRECT($C$5),Jornada!$C$8:$W$37,21,0),0)-M9&lt;0,ABS(HLOOKUP($F9,Jornada!$X$7:$AD$37,VLOOKUP(INDIRECT($C$5),Jornada!$C$8:$W$37,21,0),0)-M9),0)</f>
        <v>0</v>
      </c>
      <c r="Q9" s="95">
        <f t="shared" si="0"/>
        <v>0</v>
      </c>
      <c r="R9" s="2">
        <f t="shared" ref="R9:R38" si="2">IF(Q9&gt;$R$7,1,0)</f>
        <v>0</v>
      </c>
      <c r="S9" s="294"/>
      <c r="T9" s="294"/>
      <c r="U9" s="295"/>
      <c r="W9" s="2" t="s">
        <v>92</v>
      </c>
      <c r="X9" s="156">
        <v>3</v>
      </c>
      <c r="AB9" s="177">
        <f>AB8+1</f>
        <v>2</v>
      </c>
      <c r="AC9" s="2">
        <f t="shared" ref="AC9:AC35" si="3">WEEKDAY(AB9)</f>
        <v>2</v>
      </c>
      <c r="AE9" s="2">
        <v>2</v>
      </c>
      <c r="AF9" s="2" t="s">
        <v>52</v>
      </c>
      <c r="AG9" s="220">
        <f t="shared" ref="AG9:AG38" si="4">IF(J9&lt;I9,$AJ$7+J9-I9,J9-I9)</f>
        <v>0</v>
      </c>
      <c r="AH9" s="220">
        <f ca="1">IF(HLOOKUP($F9,Jornada!$X$7:$AD$37,VLOOKUP(INDIRECT($C$5),Jornada!$C$8:$W$37,21,0),0)=0,0,VLOOKUP(INDIRECT($C$5),Jornada!$C$8:$H$37,4,0))</f>
        <v>0</v>
      </c>
      <c r="AI9" s="155">
        <f ca="1">IF(AND(I9=0,J9=0,OR(H9&lt;&gt;0,K9&lt;&gt;0),HLOOKUP($F9,Jornada!$X$7:$AD$37,VLOOKUP(INDIRECT($C$5),Jornada!$C$8:$W$37,21,0),0)&gt;$AK$5,M9&gt;$AK$5),VLOOKUP(INDIRECT($C$5),Jornada!$C$8:$H$37,6,0),IF(AG9&gt;VLOOKUP(INDIRECT($C$5),Jornada!$C$8:$H$37,6,0),IF(VLOOKUP(INDIRECT($C$5),Jornada!$C$8:$H$37,6,0)&lt;AG9,0,ABS(VLOOKUP(INDIRECT($C$5),Jornada!$C$8:$H$37,6,0))-AG9),0))</f>
        <v>0</v>
      </c>
      <c r="AJ9" s="155">
        <f t="shared" ref="AJ9:AJ38" si="5">($AJ$7-K9)+H9</f>
        <v>1</v>
      </c>
      <c r="AK9" s="155">
        <f t="shared" ref="AK9:AK38" si="6">IF(AJ9&lt;$AK$7,$AK$7-AJ9,$AI$7)</f>
        <v>0</v>
      </c>
      <c r="AL9" s="155">
        <f ca="1">HLOOKUP($F9,Jornada!$I$5:$V$37,VLOOKUP(INDIRECT($C$5),Jornada!$C$8:$W$37,21,0)+2,0)</f>
        <v>0</v>
      </c>
      <c r="AM9" s="155">
        <f ca="1">HLOOKUP($F9,Jornada!$I$4:$V$37,VLOOKUP(INDIRECT($C$5),Jornada!$C$8:$W$37,21,0)+3,0)</f>
        <v>0</v>
      </c>
      <c r="AN9" s="155">
        <f t="shared" ref="AN9:AN38" ca="1" si="7">IF(AND(AL9&gt;=$AL$5,AL9&lt;$AN$5,H9&gt;=$AL$5,H9&lt;AL9),AL9-H9,IF(AND(AL9&gt;$AI$7,AL9&lt;=$AM$5,H9&gt;=$AL$5,H9&lt;=$AN$5),$AN$5-H9+AL9,IF(AND(AL9&gt;=$AI$7,AL9&lt;=$AM$5,H9&gt;=$AI$7,H9&lt;=$AM$5,H9&lt;AL9),H9-AL9,0)))</f>
        <v>0</v>
      </c>
      <c r="AO9" s="155">
        <f t="shared" ref="AO9:AO38" si="8">IF(AP9&gt;Q9,0,AP9)</f>
        <v>0</v>
      </c>
      <c r="AP9" s="155">
        <f t="shared" ref="AP9:AP38" si="9">IF(Q9=0,0,IF(AND(AM9&gt;=$AL$5,AM9&lt;$AN$5,K9&gt;=$AL$5,K9&lt;$AM$5,K9&gt;AM9),K9-AM9,IF(AND(AM9&gt;=$AL$5,AM9&lt;$AN$5,K9&lt;$AN$5,K9&gt;AM9),K9-$AL$5,IF(AND(AM9&gt;=$AI$7,AM9&lt;$AM$5,K9&lt;$AM$5),K9-AM9,IF(AND(AM9&lt;&gt;AI8,AM9&gt;=$AI$7,AM9&lt;=$AM$5,K9&gt;$AM$5,K9&gt;AM9),$AM$5-AM9,IF(AND(K9&gt;$AL$5,K9&lt;$AN$5),K9-$AL$5,IF(AND(K9&gt;$AI$7,K9&lt;$AM$5),$AN$5-$AL$5+K9,IF(AND(OR(K9&gt;$AL$5,H9&gt;$AO$5),AM9&gt;=$AI$7,AM9&lt;$AM$5,K9&gt;$AM$5),(1+$AM$5-$AL$5)-AG9,0))))))))</f>
        <v>0</v>
      </c>
      <c r="BE9" s="14"/>
      <c r="BF9" s="14"/>
      <c r="BG9" s="14"/>
    </row>
    <row r="10" spans="1:59" s="2" customFormat="1" ht="30" customHeight="1" thickTop="1" thickBot="1" x14ac:dyDescent="0.25">
      <c r="A10" s="1"/>
      <c r="B10"/>
      <c r="C10" s="172" t="str">
        <f>IF(Funcionários!C9=0,"",Funcionários!C9)</f>
        <v/>
      </c>
      <c r="D10"/>
      <c r="E10" s="115">
        <f>Lanç!E10</f>
        <v>3</v>
      </c>
      <c r="F10" s="189" t="str">
        <f>Lanç!F10</f>
        <v>Ter</v>
      </c>
      <c r="G10" s="81"/>
      <c r="H10" s="94"/>
      <c r="I10" s="94"/>
      <c r="J10" s="94"/>
      <c r="K10" s="94"/>
      <c r="L10" s="10"/>
      <c r="M10" s="95">
        <f t="shared" si="1"/>
        <v>0</v>
      </c>
      <c r="N10" s="96"/>
      <c r="O10" s="95">
        <f ca="1">IF(OR(G10=0,G10="Férias",G10="Falta Justificada",G10="Feriado",G10="Folga (DSR)"),0,IF(G10="Falta Injustificada",HLOOKUP($F10,Jornada!$X$7:$AD$37,VLOOKUP(INDIRECT($C$5),Jornada!$C$8:$W$37,21,0),0),IF(HLOOKUP($F10,Jornada!$X$7:$AD$37,VLOOKUP(INDIRECT($C$5),Jornada!$C$8:$W$37,21,0),0)-M10&gt;0,HLOOKUP($F10,Jornada!$X$7:$AD$37,VLOOKUP(INDIRECT($C$5),Jornada!$C$8:$W$37,21,0),0)-M10,0)))</f>
        <v>0</v>
      </c>
      <c r="P10" s="190">
        <f ca="1">IF(HLOOKUP($F10,Jornada!$X$7:$AD$37,VLOOKUP(INDIRECT($C$5),Jornada!$C$8:$W$37,21,0),0)-M10&lt;0,ABS(HLOOKUP($F10,Jornada!$X$7:$AD$37,VLOOKUP(INDIRECT($C$5),Jornada!$C$8:$W$37,21,0),0)-M10),0)</f>
        <v>0</v>
      </c>
      <c r="Q10" s="95">
        <f t="shared" si="0"/>
        <v>0</v>
      </c>
      <c r="R10" s="2">
        <f t="shared" si="2"/>
        <v>0</v>
      </c>
      <c r="S10" s="294" t="s">
        <v>66</v>
      </c>
      <c r="T10" s="294"/>
      <c r="U10" s="295">
        <f ca="1">IF(M5="Horas devidas",ABS(-K5+F58-U14),ABS(K5+F58-U14))</f>
        <v>0</v>
      </c>
      <c r="W10" s="2" t="s">
        <v>93</v>
      </c>
      <c r="X10" s="156">
        <v>4</v>
      </c>
      <c r="AB10" s="177">
        <f t="shared" ref="AB10:AB34" si="10">AB9+1</f>
        <v>3</v>
      </c>
      <c r="AC10" s="2">
        <f t="shared" si="3"/>
        <v>3</v>
      </c>
      <c r="AE10" s="2">
        <v>3</v>
      </c>
      <c r="AF10" s="2" t="s">
        <v>53</v>
      </c>
      <c r="AG10" s="220">
        <f t="shared" si="4"/>
        <v>0</v>
      </c>
      <c r="AH10" s="220">
        <f ca="1">IF(HLOOKUP($F10,Jornada!$X$7:$AD$37,VLOOKUP(INDIRECT($C$5),Jornada!$C$8:$W$37,21,0),0)=0,0,VLOOKUP(INDIRECT($C$5),Jornada!$C$8:$H$37,4,0))</f>
        <v>0</v>
      </c>
      <c r="AI10" s="155">
        <f ca="1">IF(AND(I10=0,J10=0,OR(H10&lt;&gt;0,K10&lt;&gt;0),HLOOKUP($F10,Jornada!$X$7:$AD$37,VLOOKUP(INDIRECT($C$5),Jornada!$C$8:$W$37,21,0),0)&gt;$AK$5,M10&gt;$AK$5),VLOOKUP(INDIRECT($C$5),Jornada!$C$8:$H$37,6,0),IF(AG10&gt;VLOOKUP(INDIRECT($C$5),Jornada!$C$8:$H$37,6,0),IF(VLOOKUP(INDIRECT($C$5),Jornada!$C$8:$H$37,6,0)&lt;AG10,0,ABS(VLOOKUP(INDIRECT($C$5),Jornada!$C$8:$H$37,6,0))-AG10),0))</f>
        <v>0</v>
      </c>
      <c r="AJ10" s="155">
        <f t="shared" si="5"/>
        <v>1</v>
      </c>
      <c r="AK10" s="155">
        <f t="shared" si="6"/>
        <v>0</v>
      </c>
      <c r="AL10" s="155">
        <f ca="1">HLOOKUP($F10,Jornada!$I$5:$V$37,VLOOKUP(INDIRECT($C$5),Jornada!$C$8:$W$37,21,0)+2,0)</f>
        <v>0</v>
      </c>
      <c r="AM10" s="155">
        <f ca="1">HLOOKUP($F10,Jornada!$I$4:$V$37,VLOOKUP(INDIRECT($C$5),Jornada!$C$8:$W$37,21,0)+3,0)</f>
        <v>0</v>
      </c>
      <c r="AN10" s="155">
        <f t="shared" ca="1" si="7"/>
        <v>0</v>
      </c>
      <c r="AO10" s="155">
        <f t="shared" si="8"/>
        <v>0</v>
      </c>
      <c r="AP10" s="155">
        <f t="shared" si="9"/>
        <v>0</v>
      </c>
      <c r="BE10" s="14"/>
      <c r="BF10" s="14"/>
      <c r="BG10" s="14"/>
    </row>
    <row r="11" spans="1:59" s="2" customFormat="1" ht="30" customHeight="1" thickTop="1" thickBot="1" x14ac:dyDescent="0.25">
      <c r="A11" s="1"/>
      <c r="B11"/>
      <c r="C11" s="172" t="str">
        <f>IF(Funcionários!C10=0,"",Funcionários!C10)</f>
        <v/>
      </c>
      <c r="D11"/>
      <c r="E11" s="115">
        <f>Lanç!E11</f>
        <v>4</v>
      </c>
      <c r="F11" s="189" t="str">
        <f>Lanç!F11</f>
        <v>Qua</v>
      </c>
      <c r="G11" s="81"/>
      <c r="H11" s="94"/>
      <c r="I11" s="94"/>
      <c r="J11" s="94"/>
      <c r="K11" s="94"/>
      <c r="L11" s="10"/>
      <c r="M11" s="95">
        <f t="shared" si="1"/>
        <v>0</v>
      </c>
      <c r="N11" s="96"/>
      <c r="O11" s="95">
        <f ca="1">IF(OR(G11=0,G11="Férias",G11="Falta Justificada",G11="Feriado",G11="Folga (DSR)"),0,IF(G11="Falta Injustificada",HLOOKUP($F11,Jornada!$X$7:$AD$37,VLOOKUP(INDIRECT($C$5),Jornada!$C$8:$W$37,21,0),0),IF(HLOOKUP($F11,Jornada!$X$7:$AD$37,VLOOKUP(INDIRECT($C$5),Jornada!$C$8:$W$37,21,0),0)-M11&gt;0,HLOOKUP($F11,Jornada!$X$7:$AD$37,VLOOKUP(INDIRECT($C$5),Jornada!$C$8:$W$37,21,0),0)-M11,0)))</f>
        <v>0</v>
      </c>
      <c r="P11" s="190">
        <f ca="1">IF(HLOOKUP($F11,Jornada!$X$7:$AD$37,VLOOKUP(INDIRECT($C$5),Jornada!$C$8:$W$37,21,0),0)-M11&lt;0,ABS(HLOOKUP($F11,Jornada!$X$7:$AD$37,VLOOKUP(INDIRECT($C$5),Jornada!$C$8:$W$37,21,0),0)-M11),0)</f>
        <v>0</v>
      </c>
      <c r="Q11" s="95">
        <f t="shared" si="0"/>
        <v>0</v>
      </c>
      <c r="R11" s="2">
        <f t="shared" si="2"/>
        <v>0</v>
      </c>
      <c r="S11" s="294"/>
      <c r="T11" s="294"/>
      <c r="U11" s="295"/>
      <c r="V11" s="2">
        <f ca="1">IF(AND(K5&gt;U12,M5="Horas devidas"),"Negativo",IF(AND(U12&gt;K5,U14&gt;F58),"Negativo",0))</f>
        <v>0</v>
      </c>
      <c r="W11" s="2" t="s">
        <v>94</v>
      </c>
      <c r="X11" s="156">
        <v>5</v>
      </c>
      <c r="Z11" s="2" t="str">
        <f ca="1">IF(AND(M5="horas extras",Z13="positivo"),"positivo",IF(AND(M5="horas devidas",Z13="Negativo"),"Negativo",IF(AND(Z13="positivo",M5="horas devidas",U12&gt;K5),"Positivo","Negativo")))</f>
        <v>Negativo</v>
      </c>
      <c r="AB11" s="177">
        <f t="shared" si="10"/>
        <v>4</v>
      </c>
      <c r="AC11" s="2">
        <f t="shared" si="3"/>
        <v>4</v>
      </c>
      <c r="AE11" s="2">
        <v>4</v>
      </c>
      <c r="AF11" s="2" t="s">
        <v>54</v>
      </c>
      <c r="AG11" s="220">
        <f t="shared" si="4"/>
        <v>0</v>
      </c>
      <c r="AH11" s="220">
        <f ca="1">IF(HLOOKUP($F11,Jornada!$X$7:$AD$37,VLOOKUP(INDIRECT($C$5),Jornada!$C$8:$W$37,21,0),0)=0,0,VLOOKUP(INDIRECT($C$5),Jornada!$C$8:$H$37,4,0))</f>
        <v>0</v>
      </c>
      <c r="AI11" s="155">
        <f ca="1">IF(AND(I11=0,J11=0,OR(H11&lt;&gt;0,K11&lt;&gt;0),HLOOKUP($F11,Jornada!$X$7:$AD$37,VLOOKUP(INDIRECT($C$5),Jornada!$C$8:$W$37,21,0),0)&gt;$AK$5,M11&gt;$AK$5),VLOOKUP(INDIRECT($C$5),Jornada!$C$8:$H$37,6,0),IF(AG11&gt;VLOOKUP(INDIRECT($C$5),Jornada!$C$8:$H$37,6,0),IF(VLOOKUP(INDIRECT($C$5),Jornada!$C$8:$H$37,6,0)&lt;AG11,0,ABS(VLOOKUP(INDIRECT($C$5),Jornada!$C$8:$H$37,6,0))-AG11),0))</f>
        <v>0</v>
      </c>
      <c r="AJ11" s="155">
        <f t="shared" si="5"/>
        <v>1</v>
      </c>
      <c r="AK11" s="155">
        <f t="shared" si="6"/>
        <v>0</v>
      </c>
      <c r="AL11" s="155">
        <f ca="1">HLOOKUP($F11,Jornada!$I$5:$V$37,VLOOKUP(INDIRECT($C$5),Jornada!$C$8:$W$37,21,0)+2,0)</f>
        <v>0</v>
      </c>
      <c r="AM11" s="155">
        <f ca="1">HLOOKUP($F11,Jornada!$I$4:$V$37,VLOOKUP(INDIRECT($C$5),Jornada!$C$8:$W$37,21,0)+3,0)</f>
        <v>0</v>
      </c>
      <c r="AN11" s="155">
        <f t="shared" ca="1" si="7"/>
        <v>0</v>
      </c>
      <c r="AO11" s="155">
        <f t="shared" si="8"/>
        <v>0</v>
      </c>
      <c r="AP11" s="155">
        <f t="shared" si="9"/>
        <v>0</v>
      </c>
      <c r="BE11" s="14"/>
      <c r="BF11" s="14"/>
      <c r="BG11" s="14"/>
    </row>
    <row r="12" spans="1:59" s="2" customFormat="1" ht="30" customHeight="1" thickTop="1" thickBot="1" x14ac:dyDescent="0.25">
      <c r="A12" s="1"/>
      <c r="B12"/>
      <c r="C12" s="172" t="str">
        <f>IF(Funcionários!C11=0,"",Funcionários!C11)</f>
        <v/>
      </c>
      <c r="D12"/>
      <c r="E12" s="115">
        <f>Lanç!E12</f>
        <v>5</v>
      </c>
      <c r="F12" s="189" t="str">
        <f>Lanç!F12</f>
        <v>Qui</v>
      </c>
      <c r="G12" s="81"/>
      <c r="H12" s="94"/>
      <c r="I12" s="94"/>
      <c r="J12" s="94"/>
      <c r="K12" s="94"/>
      <c r="L12" s="10"/>
      <c r="M12" s="95">
        <f t="shared" si="1"/>
        <v>0</v>
      </c>
      <c r="N12" s="96"/>
      <c r="O12" s="95">
        <f ca="1">IF(OR(G12=0,G12="Férias",G12="Falta Justificada",G12="Feriado",G12="Folga (DSR)"),0,IF(G12="Falta Injustificada",HLOOKUP($F12,Jornada!$X$7:$AD$37,VLOOKUP(INDIRECT($C$5),Jornada!$C$8:$W$37,21,0),0),IF(HLOOKUP($F12,Jornada!$X$7:$AD$37,VLOOKUP(INDIRECT($C$5),Jornada!$C$8:$W$37,21,0),0)-M12&gt;0,HLOOKUP($F12,Jornada!$X$7:$AD$37,VLOOKUP(INDIRECT($C$5),Jornada!$C$8:$W$37,21,0),0)-M12,0)))</f>
        <v>0</v>
      </c>
      <c r="P12" s="190">
        <f ca="1">IF(HLOOKUP($F12,Jornada!$X$7:$AD$37,VLOOKUP(INDIRECT($C$5),Jornada!$C$8:$W$37,21,0),0)-M12&lt;0,ABS(HLOOKUP($F12,Jornada!$X$7:$AD$37,VLOOKUP(INDIRECT($C$5),Jornada!$C$8:$W$37,21,0),0)-M12),0)</f>
        <v>0</v>
      </c>
      <c r="Q12" s="95">
        <f t="shared" si="0"/>
        <v>0</v>
      </c>
      <c r="R12" s="2">
        <f t="shared" si="2"/>
        <v>0</v>
      </c>
      <c r="S12" s="294" t="s">
        <v>175</v>
      </c>
      <c r="T12" s="294"/>
      <c r="U12" s="295">
        <f ca="1">IF(U14&gt;=F58,(U14)-F58,(F58-U14))</f>
        <v>0</v>
      </c>
      <c r="W12" s="2" t="s">
        <v>95</v>
      </c>
      <c r="X12" s="156">
        <v>6</v>
      </c>
      <c r="AB12" s="177">
        <f t="shared" si="10"/>
        <v>5</v>
      </c>
      <c r="AC12" s="2">
        <f t="shared" si="3"/>
        <v>5</v>
      </c>
      <c r="AE12" s="2">
        <v>5</v>
      </c>
      <c r="AF12" s="2" t="s">
        <v>55</v>
      </c>
      <c r="AG12" s="220">
        <f t="shared" si="4"/>
        <v>0</v>
      </c>
      <c r="AH12" s="220">
        <f ca="1">IF(HLOOKUP($F12,Jornada!$X$7:$AD$37,VLOOKUP(INDIRECT($C$5),Jornada!$C$8:$W$37,21,0),0)=0,0,VLOOKUP(INDIRECT($C$5),Jornada!$C$8:$H$37,4,0))</f>
        <v>0</v>
      </c>
      <c r="AI12" s="155">
        <f ca="1">IF(AND(I12=0,J12=0,OR(H12&lt;&gt;0,K12&lt;&gt;0),HLOOKUP($F12,Jornada!$X$7:$AD$37,VLOOKUP(INDIRECT($C$5),Jornada!$C$8:$W$37,21,0),0)&gt;$AK$5,M12&gt;$AK$5),VLOOKUP(INDIRECT($C$5),Jornada!$C$8:$H$37,6,0),IF(AG12&gt;VLOOKUP(INDIRECT($C$5),Jornada!$C$8:$H$37,6,0),IF(VLOOKUP(INDIRECT($C$5),Jornada!$C$8:$H$37,6,0)&lt;AG12,0,ABS(VLOOKUP(INDIRECT($C$5),Jornada!$C$8:$H$37,6,0))-AG12),0))</f>
        <v>0</v>
      </c>
      <c r="AJ12" s="155">
        <f t="shared" si="5"/>
        <v>1</v>
      </c>
      <c r="AK12" s="155">
        <f t="shared" si="6"/>
        <v>0</v>
      </c>
      <c r="AL12" s="155">
        <f ca="1">HLOOKUP($F12,Jornada!$I$5:$V$37,VLOOKUP(INDIRECT($C$5),Jornada!$C$8:$W$37,21,0)+2,0)</f>
        <v>0</v>
      </c>
      <c r="AM12" s="155">
        <f ca="1">HLOOKUP($F12,Jornada!$I$4:$V$37,VLOOKUP(INDIRECT($C$5),Jornada!$C$8:$W$37,21,0)+3,0)</f>
        <v>0</v>
      </c>
      <c r="AN12" s="155">
        <f t="shared" ca="1" si="7"/>
        <v>0</v>
      </c>
      <c r="AO12" s="155">
        <f t="shared" si="8"/>
        <v>0</v>
      </c>
      <c r="AP12" s="155">
        <f t="shared" si="9"/>
        <v>0</v>
      </c>
      <c r="BE12" s="14"/>
      <c r="BF12" s="14"/>
      <c r="BG12" s="14"/>
    </row>
    <row r="13" spans="1:59" s="2" customFormat="1" ht="30" customHeight="1" thickTop="1" thickBot="1" x14ac:dyDescent="0.25">
      <c r="A13" s="1"/>
      <c r="B13"/>
      <c r="C13" s="172" t="str">
        <f>IF(Funcionários!C12=0,"",Funcionários!C12)</f>
        <v/>
      </c>
      <c r="D13"/>
      <c r="E13" s="115">
        <f>Lanç!E13</f>
        <v>6</v>
      </c>
      <c r="F13" s="189" t="str">
        <f>Lanç!F13</f>
        <v>Sex</v>
      </c>
      <c r="G13" s="81"/>
      <c r="H13" s="94"/>
      <c r="I13" s="94"/>
      <c r="J13" s="94"/>
      <c r="K13" s="94"/>
      <c r="L13" s="10"/>
      <c r="M13" s="95">
        <f t="shared" si="1"/>
        <v>0</v>
      </c>
      <c r="N13" s="96"/>
      <c r="O13" s="95">
        <f ca="1">IF(OR(G13=0,G13="Férias",G13="Falta Justificada",G13="Feriado",G13="Folga (DSR)"),0,IF(G13="Falta Injustificada",HLOOKUP($F13,Jornada!$X$7:$AD$37,VLOOKUP(INDIRECT($C$5),Jornada!$C$8:$W$37,21,0),0),IF(HLOOKUP($F13,Jornada!$X$7:$AD$37,VLOOKUP(INDIRECT($C$5),Jornada!$C$8:$W$37,21,0),0)-M13&gt;0,HLOOKUP($F13,Jornada!$X$7:$AD$37,VLOOKUP(INDIRECT($C$5),Jornada!$C$8:$W$37,21,0),0)-M13,0)))</f>
        <v>0</v>
      </c>
      <c r="P13" s="190">
        <f ca="1">IF(HLOOKUP($F13,Jornada!$X$7:$AD$37,VLOOKUP(INDIRECT($C$5),Jornada!$C$8:$W$37,21,0),0)-M13&lt;0,ABS(HLOOKUP($F13,Jornada!$X$7:$AD$37,VLOOKUP(INDIRECT($C$5),Jornada!$C$8:$W$37,21,0),0)-M13),0)</f>
        <v>0</v>
      </c>
      <c r="Q13" s="95">
        <f t="shared" si="0"/>
        <v>0</v>
      </c>
      <c r="R13" s="2">
        <f t="shared" si="2"/>
        <v>0</v>
      </c>
      <c r="S13" s="294"/>
      <c r="T13" s="294"/>
      <c r="U13" s="295"/>
      <c r="W13" s="2" t="s">
        <v>96</v>
      </c>
      <c r="X13" s="156">
        <v>7</v>
      </c>
      <c r="Z13" s="2" t="str">
        <f ca="1">IF(U14&gt;F58,"Negativo","Positivo")</f>
        <v>Positivo</v>
      </c>
      <c r="AB13" s="177">
        <f t="shared" si="10"/>
        <v>6</v>
      </c>
      <c r="AC13" s="2">
        <f t="shared" si="3"/>
        <v>6</v>
      </c>
      <c r="AE13" s="2">
        <v>6</v>
      </c>
      <c r="AF13" s="2" t="s">
        <v>56</v>
      </c>
      <c r="AG13" s="220">
        <f t="shared" si="4"/>
        <v>0</v>
      </c>
      <c r="AH13" s="220">
        <f ca="1">IF(HLOOKUP($F13,Jornada!$X$7:$AD$37,VLOOKUP(INDIRECT($C$5),Jornada!$C$8:$W$37,21,0),0)=0,0,VLOOKUP(INDIRECT($C$5),Jornada!$C$8:$H$37,4,0))</f>
        <v>0</v>
      </c>
      <c r="AI13" s="155">
        <f ca="1">IF(AND(I13=0,J13=0,OR(H13&lt;&gt;0,K13&lt;&gt;0),HLOOKUP($F13,Jornada!$X$7:$AD$37,VLOOKUP(INDIRECT($C$5),Jornada!$C$8:$W$37,21,0),0)&gt;$AK$5,M13&gt;$AK$5),VLOOKUP(INDIRECT($C$5),Jornada!$C$8:$H$37,6,0),IF(AG13&gt;VLOOKUP(INDIRECT($C$5),Jornada!$C$8:$H$37,6,0),IF(VLOOKUP(INDIRECT($C$5),Jornada!$C$8:$H$37,6,0)&lt;AG13,0,ABS(VLOOKUP(INDIRECT($C$5),Jornada!$C$8:$H$37,6,0))-AG13),0))</f>
        <v>0</v>
      </c>
      <c r="AJ13" s="155">
        <f t="shared" si="5"/>
        <v>1</v>
      </c>
      <c r="AK13" s="155">
        <f t="shared" si="6"/>
        <v>0</v>
      </c>
      <c r="AL13" s="155">
        <f ca="1">HLOOKUP($F13,Jornada!$I$5:$V$37,VLOOKUP(INDIRECT($C$5),Jornada!$C$8:$W$37,21,0)+2,0)</f>
        <v>0</v>
      </c>
      <c r="AM13" s="155">
        <f ca="1">HLOOKUP($F13,Jornada!$I$4:$V$37,VLOOKUP(INDIRECT($C$5),Jornada!$C$8:$W$37,21,0)+3,0)</f>
        <v>0</v>
      </c>
      <c r="AN13" s="155">
        <f t="shared" ca="1" si="7"/>
        <v>0</v>
      </c>
      <c r="AO13" s="155">
        <f t="shared" si="8"/>
        <v>0</v>
      </c>
      <c r="AP13" s="155">
        <f t="shared" si="9"/>
        <v>0</v>
      </c>
      <c r="BE13" s="14"/>
      <c r="BF13" s="14"/>
      <c r="BG13" s="14"/>
    </row>
    <row r="14" spans="1:59" s="2" customFormat="1" ht="30" customHeight="1" thickTop="1" thickBot="1" x14ac:dyDescent="0.25">
      <c r="A14" s="1"/>
      <c r="B14"/>
      <c r="C14" s="172" t="str">
        <f>IF(Funcionários!C13=0,"",Funcionários!C13)</f>
        <v/>
      </c>
      <c r="D14"/>
      <c r="E14" s="115">
        <f>Lanç!E14</f>
        <v>7</v>
      </c>
      <c r="F14" s="189" t="str">
        <f>Lanç!F14</f>
        <v>Sáb</v>
      </c>
      <c r="G14" s="81"/>
      <c r="H14" s="94"/>
      <c r="I14" s="94"/>
      <c r="J14" s="94"/>
      <c r="K14" s="94"/>
      <c r="L14" s="10"/>
      <c r="M14" s="95">
        <f t="shared" si="1"/>
        <v>0</v>
      </c>
      <c r="N14" s="96"/>
      <c r="O14" s="95">
        <f ca="1">IF(OR(G14=0,G14="Férias",G14="Falta Justificada",G14="Feriado",G14="Folga (DSR)"),0,IF(G14="Falta Injustificada",HLOOKUP($F14,Jornada!$X$7:$AD$37,VLOOKUP(INDIRECT($C$5),Jornada!$C$8:$W$37,21,0),0),IF(HLOOKUP($F14,Jornada!$X$7:$AD$37,VLOOKUP(INDIRECT($C$5),Jornada!$C$8:$W$37,21,0),0)-M14&gt;0,HLOOKUP($F14,Jornada!$X$7:$AD$37,VLOOKUP(INDIRECT($C$5),Jornada!$C$8:$W$37,21,0),0)-M14,0)))</f>
        <v>0</v>
      </c>
      <c r="P14" s="190">
        <f ca="1">IF(HLOOKUP($F14,Jornada!$X$7:$AD$37,VLOOKUP(INDIRECT($C$5),Jornada!$C$8:$W$37,21,0),0)-M14&lt;0,ABS(HLOOKUP($F14,Jornada!$X$7:$AD$37,VLOOKUP(INDIRECT($C$5),Jornada!$C$8:$W$37,21,0),0)-M14),0)</f>
        <v>0</v>
      </c>
      <c r="Q14" s="95">
        <f t="shared" si="0"/>
        <v>0</v>
      </c>
      <c r="R14" s="2">
        <f t="shared" si="2"/>
        <v>0</v>
      </c>
      <c r="S14" s="294" t="s">
        <v>68</v>
      </c>
      <c r="T14" s="294"/>
      <c r="U14" s="295">
        <f ca="1">SUM(O8:O38)</f>
        <v>0</v>
      </c>
      <c r="W14" s="2" t="s">
        <v>97</v>
      </c>
      <c r="X14" s="156">
        <v>8</v>
      </c>
      <c r="AB14" s="177">
        <f t="shared" si="10"/>
        <v>7</v>
      </c>
      <c r="AC14" s="2">
        <f t="shared" si="3"/>
        <v>7</v>
      </c>
      <c r="AE14" s="2">
        <v>7</v>
      </c>
      <c r="AF14" s="2" t="s">
        <v>57</v>
      </c>
      <c r="AG14" s="220">
        <f t="shared" si="4"/>
        <v>0</v>
      </c>
      <c r="AH14" s="220">
        <f ca="1">IF(HLOOKUP($F14,Jornada!$X$7:$AD$37,VLOOKUP(INDIRECT($C$5),Jornada!$C$8:$W$37,21,0),0)=0,0,VLOOKUP(INDIRECT($C$5),Jornada!$C$8:$H$37,4,0))</f>
        <v>0</v>
      </c>
      <c r="AI14" s="155">
        <f ca="1">IF(AND(I14=0,J14=0,OR(H14&lt;&gt;0,K14&lt;&gt;0),HLOOKUP($F14,Jornada!$X$7:$AD$37,VLOOKUP(INDIRECT($C$5),Jornada!$C$8:$W$37,21,0),0)&gt;$AK$5,M14&gt;$AK$5),VLOOKUP(INDIRECT($C$5),Jornada!$C$8:$H$37,6,0),IF(AG14&gt;VLOOKUP(INDIRECT($C$5),Jornada!$C$8:$H$37,6,0),IF(VLOOKUP(INDIRECT($C$5),Jornada!$C$8:$H$37,6,0)&lt;AG14,0,ABS(VLOOKUP(INDIRECT($C$5),Jornada!$C$8:$H$37,6,0))-AG14),0))</f>
        <v>0</v>
      </c>
      <c r="AJ14" s="155">
        <f t="shared" si="5"/>
        <v>1</v>
      </c>
      <c r="AK14" s="155">
        <f t="shared" si="6"/>
        <v>0</v>
      </c>
      <c r="AL14" s="155">
        <f ca="1">HLOOKUP($F14,Jornada!$I$5:$V$37,VLOOKUP(INDIRECT($C$5),Jornada!$C$8:$W$37,21,0)+2,0)</f>
        <v>0</v>
      </c>
      <c r="AM14" s="155">
        <f ca="1">HLOOKUP($F14,Jornada!$I$4:$V$37,VLOOKUP(INDIRECT($C$5),Jornada!$C$8:$W$37,21,0)+3,0)</f>
        <v>0</v>
      </c>
      <c r="AN14" s="155">
        <f t="shared" ca="1" si="7"/>
        <v>0</v>
      </c>
      <c r="AO14" s="155">
        <f t="shared" si="8"/>
        <v>0</v>
      </c>
      <c r="AP14" s="155">
        <f t="shared" si="9"/>
        <v>0</v>
      </c>
      <c r="BE14" s="14"/>
      <c r="BF14" s="14"/>
      <c r="BG14" s="14"/>
    </row>
    <row r="15" spans="1:59" s="2" customFormat="1" ht="30" customHeight="1" thickTop="1" thickBot="1" x14ac:dyDescent="0.25">
      <c r="A15" s="1"/>
      <c r="B15"/>
      <c r="C15" s="172" t="str">
        <f>IF(Funcionários!C14=0,"",Funcionários!C14)</f>
        <v/>
      </c>
      <c r="D15"/>
      <c r="E15" s="115">
        <f>Lanç!E15</f>
        <v>8</v>
      </c>
      <c r="F15" s="189" t="str">
        <f>Lanç!F15</f>
        <v>Dom</v>
      </c>
      <c r="G15" s="81"/>
      <c r="H15" s="94"/>
      <c r="I15" s="94"/>
      <c r="J15" s="94"/>
      <c r="K15" s="94"/>
      <c r="L15" s="10"/>
      <c r="M15" s="95">
        <f t="shared" si="1"/>
        <v>0</v>
      </c>
      <c r="N15" s="96"/>
      <c r="O15" s="95">
        <f ca="1">IF(OR(G15=0,G15="Férias",G15="Falta Justificada",G15="Feriado",G15="Folga (DSR)"),0,IF(G15="Falta Injustificada",HLOOKUP($F15,Jornada!$X$7:$AD$37,VLOOKUP(INDIRECT($C$5),Jornada!$C$8:$W$37,21,0),0),IF(HLOOKUP($F15,Jornada!$X$7:$AD$37,VLOOKUP(INDIRECT($C$5),Jornada!$C$8:$W$37,21,0),0)-M15&gt;0,HLOOKUP($F15,Jornada!$X$7:$AD$37,VLOOKUP(INDIRECT($C$5),Jornada!$C$8:$W$37,21,0),0)-M15,0)))</f>
        <v>0</v>
      </c>
      <c r="P15" s="190">
        <f ca="1">IF(HLOOKUP($F15,Jornada!$X$7:$AD$37,VLOOKUP(INDIRECT($C$5),Jornada!$C$8:$W$37,21,0),0)-M15&lt;0,ABS(HLOOKUP($F15,Jornada!$X$7:$AD$37,VLOOKUP(INDIRECT($C$5),Jornada!$C$8:$W$37,21,0),0)-M15),0)</f>
        <v>0</v>
      </c>
      <c r="Q15" s="95">
        <f t="shared" si="0"/>
        <v>0</v>
      </c>
      <c r="R15" s="2">
        <f t="shared" si="2"/>
        <v>0</v>
      </c>
      <c r="S15" s="294"/>
      <c r="T15" s="294"/>
      <c r="U15" s="295"/>
      <c r="W15" s="2" t="s">
        <v>98</v>
      </c>
      <c r="X15" s="156">
        <v>9</v>
      </c>
      <c r="AB15" s="177">
        <f t="shared" si="10"/>
        <v>8</v>
      </c>
      <c r="AC15" s="2">
        <f t="shared" si="3"/>
        <v>1</v>
      </c>
      <c r="AG15" s="220">
        <f t="shared" si="4"/>
        <v>0</v>
      </c>
      <c r="AH15" s="220">
        <f ca="1">IF(HLOOKUP($F15,Jornada!$X$7:$AD$37,VLOOKUP(INDIRECT($C$5),Jornada!$C$8:$W$37,21,0),0)=0,0,VLOOKUP(INDIRECT($C$5),Jornada!$C$8:$H$37,4,0))</f>
        <v>0</v>
      </c>
      <c r="AI15" s="155">
        <f ca="1">IF(AND(I15=0,J15=0,OR(H15&lt;&gt;0,K15&lt;&gt;0),HLOOKUP($F15,Jornada!$X$7:$AD$37,VLOOKUP(INDIRECT($C$5),Jornada!$C$8:$W$37,21,0),0)&gt;$AK$5,M15&gt;$AK$5),VLOOKUP(INDIRECT($C$5),Jornada!$C$8:$H$37,6,0),IF(AG15&gt;VLOOKUP(INDIRECT($C$5),Jornada!$C$8:$H$37,6,0),IF(VLOOKUP(INDIRECT($C$5),Jornada!$C$8:$H$37,6,0)&lt;AG15,0,ABS(VLOOKUP(INDIRECT($C$5),Jornada!$C$8:$H$37,6,0))-AG15),0))</f>
        <v>0</v>
      </c>
      <c r="AJ15" s="155">
        <f t="shared" si="5"/>
        <v>1</v>
      </c>
      <c r="AK15" s="155">
        <f t="shared" si="6"/>
        <v>0</v>
      </c>
      <c r="AL15" s="155">
        <f ca="1">HLOOKUP($F15,Jornada!$I$5:$V$37,VLOOKUP(INDIRECT($C$5),Jornada!$C$8:$W$37,21,0)+2,0)</f>
        <v>0</v>
      </c>
      <c r="AM15" s="155">
        <f ca="1">HLOOKUP($F15,Jornada!$I$4:$V$37,VLOOKUP(INDIRECT($C$5),Jornada!$C$8:$W$37,21,0)+3,0)</f>
        <v>0</v>
      </c>
      <c r="AN15" s="155">
        <f t="shared" ca="1" si="7"/>
        <v>0</v>
      </c>
      <c r="AO15" s="155">
        <f t="shared" si="8"/>
        <v>0</v>
      </c>
      <c r="AP15" s="155">
        <f t="shared" si="9"/>
        <v>0</v>
      </c>
      <c r="BE15" s="14"/>
      <c r="BF15" s="14"/>
      <c r="BG15" s="14"/>
    </row>
    <row r="16" spans="1:59" s="2" customFormat="1" ht="30" customHeight="1" thickTop="1" thickBot="1" x14ac:dyDescent="0.25">
      <c r="A16" s="1"/>
      <c r="B16"/>
      <c r="C16" s="172" t="str">
        <f>IF(Funcionários!C15=0,"",Funcionários!C15)</f>
        <v/>
      </c>
      <c r="D16"/>
      <c r="E16" s="115">
        <f>Lanç!E16</f>
        <v>9</v>
      </c>
      <c r="F16" s="189" t="str">
        <f>Lanç!F16</f>
        <v>Seg</v>
      </c>
      <c r="G16" s="81"/>
      <c r="H16" s="94"/>
      <c r="I16" s="94"/>
      <c r="J16" s="94"/>
      <c r="K16" s="94"/>
      <c r="L16" s="10"/>
      <c r="M16" s="95">
        <f t="shared" si="1"/>
        <v>0</v>
      </c>
      <c r="N16" s="96"/>
      <c r="O16" s="95">
        <f ca="1">IF(OR(G16=0,G16="Férias",G16="Falta Justificada",G16="Feriado",G16="Folga (DSR)"),0,IF(G16="Falta Injustificada",HLOOKUP($F16,Jornada!$X$7:$AD$37,VLOOKUP(INDIRECT($C$5),Jornada!$C$8:$W$37,21,0),0),IF(HLOOKUP($F16,Jornada!$X$7:$AD$37,VLOOKUP(INDIRECT($C$5),Jornada!$C$8:$W$37,21,0),0)-M16&gt;0,HLOOKUP($F16,Jornada!$X$7:$AD$37,VLOOKUP(INDIRECT($C$5),Jornada!$C$8:$W$37,21,0),0)-M16,0)))</f>
        <v>0</v>
      </c>
      <c r="P16" s="190">
        <f ca="1">IF(HLOOKUP($F16,Jornada!$X$7:$AD$37,VLOOKUP(INDIRECT($C$5),Jornada!$C$8:$W$37,21,0),0)-M16&lt;0,ABS(HLOOKUP($F16,Jornada!$X$7:$AD$37,VLOOKUP(INDIRECT($C$5),Jornada!$C$8:$W$37,21,0),0)-M16),0)</f>
        <v>0</v>
      </c>
      <c r="Q16" s="95">
        <f t="shared" si="0"/>
        <v>0</v>
      </c>
      <c r="R16" s="2">
        <f t="shared" si="2"/>
        <v>0</v>
      </c>
      <c r="S16" s="294" t="s">
        <v>67</v>
      </c>
      <c r="T16" s="294"/>
      <c r="U16" s="295">
        <f>SUM(Q8:Q38)</f>
        <v>0</v>
      </c>
      <c r="W16" s="2" t="s">
        <v>99</v>
      </c>
      <c r="X16" s="156">
        <v>10</v>
      </c>
      <c r="AB16" s="177">
        <f t="shared" si="10"/>
        <v>9</v>
      </c>
      <c r="AC16" s="2">
        <f t="shared" si="3"/>
        <v>2</v>
      </c>
      <c r="AG16" s="220">
        <f t="shared" si="4"/>
        <v>0</v>
      </c>
      <c r="AH16" s="220">
        <f ca="1">IF(HLOOKUP($F16,Jornada!$X$7:$AD$37,VLOOKUP(INDIRECT($C$5),Jornada!$C$8:$W$37,21,0),0)=0,0,VLOOKUP(INDIRECT($C$5),Jornada!$C$8:$H$37,4,0))</f>
        <v>0</v>
      </c>
      <c r="AI16" s="155">
        <f ca="1">IF(AND(I16=0,J16=0,OR(H16&lt;&gt;0,K16&lt;&gt;0),HLOOKUP($F16,Jornada!$X$7:$AD$37,VLOOKUP(INDIRECT($C$5),Jornada!$C$8:$W$37,21,0),0)&gt;$AK$5,M16&gt;$AK$5),VLOOKUP(INDIRECT($C$5),Jornada!$C$8:$H$37,6,0),IF(AG16&gt;VLOOKUP(INDIRECT($C$5),Jornada!$C$8:$H$37,6,0),IF(VLOOKUP(INDIRECT($C$5),Jornada!$C$8:$H$37,6,0)&lt;AG16,0,ABS(VLOOKUP(INDIRECT($C$5),Jornada!$C$8:$H$37,6,0))-AG16),0))</f>
        <v>0</v>
      </c>
      <c r="AJ16" s="155">
        <f t="shared" si="5"/>
        <v>1</v>
      </c>
      <c r="AK16" s="155">
        <f t="shared" si="6"/>
        <v>0</v>
      </c>
      <c r="AL16" s="155">
        <f ca="1">HLOOKUP($F16,Jornada!$I$5:$V$37,VLOOKUP(INDIRECT($C$5),Jornada!$C$8:$W$37,21,0)+2,0)</f>
        <v>0</v>
      </c>
      <c r="AM16" s="155">
        <f ca="1">HLOOKUP($F16,Jornada!$I$4:$V$37,VLOOKUP(INDIRECT($C$5),Jornada!$C$8:$W$37,21,0)+3,0)</f>
        <v>0</v>
      </c>
      <c r="AN16" s="155">
        <f t="shared" ca="1" si="7"/>
        <v>0</v>
      </c>
      <c r="AO16" s="155">
        <f t="shared" si="8"/>
        <v>0</v>
      </c>
      <c r="AP16" s="155">
        <f t="shared" si="9"/>
        <v>0</v>
      </c>
      <c r="BE16" s="14"/>
      <c r="BF16" s="14"/>
      <c r="BG16" s="14"/>
    </row>
    <row r="17" spans="1:59" s="2" customFormat="1" ht="30" customHeight="1" thickTop="1" thickBot="1" x14ac:dyDescent="0.25">
      <c r="A17" s="1"/>
      <c r="B17"/>
      <c r="C17" s="172" t="str">
        <f>IF(Funcionários!C16=0,"",Funcionários!C16)</f>
        <v/>
      </c>
      <c r="D17"/>
      <c r="E17" s="115">
        <f>Lanç!E17</f>
        <v>10</v>
      </c>
      <c r="F17" s="189" t="str">
        <f>Lanç!F17</f>
        <v>Ter</v>
      </c>
      <c r="G17" s="81"/>
      <c r="H17" s="94"/>
      <c r="I17" s="94"/>
      <c r="J17" s="94"/>
      <c r="K17" s="94"/>
      <c r="L17" s="10"/>
      <c r="M17" s="95">
        <f t="shared" si="1"/>
        <v>0</v>
      </c>
      <c r="N17" s="96"/>
      <c r="O17" s="95">
        <f ca="1">IF(OR(G17=0,G17="Férias",G17="Falta Justificada",G17="Feriado",G17="Folga (DSR)"),0,IF(G17="Falta Injustificada",HLOOKUP($F17,Jornada!$X$7:$AD$37,VLOOKUP(INDIRECT($C$5),Jornada!$C$8:$W$37,21,0),0),IF(HLOOKUP($F17,Jornada!$X$7:$AD$37,VLOOKUP(INDIRECT($C$5),Jornada!$C$8:$W$37,21,0),0)-M17&gt;0,HLOOKUP($F17,Jornada!$X$7:$AD$37,VLOOKUP(INDIRECT($C$5),Jornada!$C$8:$W$37,21,0),0)-M17,0)))</f>
        <v>0</v>
      </c>
      <c r="P17" s="190">
        <f ca="1">IF(HLOOKUP($F17,Jornada!$X$7:$AD$37,VLOOKUP(INDIRECT($C$5),Jornada!$C$8:$W$37,21,0),0)-M17&lt;0,ABS(HLOOKUP($F17,Jornada!$X$7:$AD$37,VLOOKUP(INDIRECT($C$5),Jornada!$C$8:$W$37,21,0),0)-M17),0)</f>
        <v>0</v>
      </c>
      <c r="Q17" s="95">
        <f t="shared" si="0"/>
        <v>0</v>
      </c>
      <c r="R17" s="2">
        <f t="shared" si="2"/>
        <v>0</v>
      </c>
      <c r="S17" s="294"/>
      <c r="T17" s="294"/>
      <c r="U17" s="295"/>
      <c r="W17" s="2" t="s">
        <v>100</v>
      </c>
      <c r="X17" s="156">
        <v>11</v>
      </c>
      <c r="AB17" s="177">
        <f t="shared" si="10"/>
        <v>10</v>
      </c>
      <c r="AC17" s="2">
        <f t="shared" si="3"/>
        <v>3</v>
      </c>
      <c r="AG17" s="220">
        <f t="shared" si="4"/>
        <v>0</v>
      </c>
      <c r="AH17" s="220">
        <f ca="1">IF(HLOOKUP($F17,Jornada!$X$7:$AD$37,VLOOKUP(INDIRECT($C$5),Jornada!$C$8:$W$37,21,0),0)=0,0,VLOOKUP(INDIRECT($C$5),Jornada!$C$8:$H$37,4,0))</f>
        <v>0</v>
      </c>
      <c r="AI17" s="155">
        <f ca="1">IF(AND(I17=0,J17=0,OR(H17&lt;&gt;0,K17&lt;&gt;0),HLOOKUP($F17,Jornada!$X$7:$AD$37,VLOOKUP(INDIRECT($C$5),Jornada!$C$8:$W$37,21,0),0)&gt;$AK$5,M17&gt;$AK$5),VLOOKUP(INDIRECT($C$5),Jornada!$C$8:$H$37,6,0),IF(AG17&gt;VLOOKUP(INDIRECT($C$5),Jornada!$C$8:$H$37,6,0),IF(VLOOKUP(INDIRECT($C$5),Jornada!$C$8:$H$37,6,0)&lt;AG17,0,ABS(VLOOKUP(INDIRECT($C$5),Jornada!$C$8:$H$37,6,0))-AG17),0))</f>
        <v>0</v>
      </c>
      <c r="AJ17" s="155">
        <f t="shared" si="5"/>
        <v>1</v>
      </c>
      <c r="AK17" s="155">
        <f t="shared" si="6"/>
        <v>0</v>
      </c>
      <c r="AL17" s="155">
        <f ca="1">HLOOKUP($F17,Jornada!$I$5:$V$37,VLOOKUP(INDIRECT($C$5),Jornada!$C$8:$W$37,21,0)+2,0)</f>
        <v>0</v>
      </c>
      <c r="AM17" s="155">
        <f ca="1">HLOOKUP($F17,Jornada!$I$4:$V$37,VLOOKUP(INDIRECT($C$5),Jornada!$C$8:$W$37,21,0)+3,0)</f>
        <v>0</v>
      </c>
      <c r="AN17" s="155">
        <f t="shared" ca="1" si="7"/>
        <v>0</v>
      </c>
      <c r="AO17" s="155">
        <f t="shared" si="8"/>
        <v>0</v>
      </c>
      <c r="AP17" s="155">
        <f t="shared" si="9"/>
        <v>0</v>
      </c>
      <c r="BE17" s="14"/>
      <c r="BF17" s="14"/>
      <c r="BG17" s="14"/>
    </row>
    <row r="18" spans="1:59" s="2" customFormat="1" ht="30" customHeight="1" thickTop="1" thickBot="1" x14ac:dyDescent="0.25">
      <c r="A18" s="1"/>
      <c r="B18"/>
      <c r="C18" s="172" t="str">
        <f>IF(Funcionários!C17=0,"",Funcionários!C17)</f>
        <v/>
      </c>
      <c r="D18"/>
      <c r="E18" s="115">
        <f>Lanç!E18</f>
        <v>11</v>
      </c>
      <c r="F18" s="189" t="str">
        <f>Lanç!F18</f>
        <v>Qua</v>
      </c>
      <c r="G18" s="81"/>
      <c r="H18" s="94"/>
      <c r="I18" s="94"/>
      <c r="J18" s="94"/>
      <c r="K18" s="94"/>
      <c r="L18" s="10"/>
      <c r="M18" s="95">
        <f t="shared" si="1"/>
        <v>0</v>
      </c>
      <c r="N18" s="96"/>
      <c r="O18" s="95">
        <f ca="1">IF(OR(G18=0,G18="Férias",G18="Falta Justificada",G18="Feriado",G18="Folga (DSR)"),0,IF(G18="Falta Injustificada",HLOOKUP($F18,Jornada!$X$7:$AD$37,VLOOKUP(INDIRECT($C$5),Jornada!$C$8:$W$37,21,0),0),IF(HLOOKUP($F18,Jornada!$X$7:$AD$37,VLOOKUP(INDIRECT($C$5),Jornada!$C$8:$W$37,21,0),0)-M18&gt;0,HLOOKUP($F18,Jornada!$X$7:$AD$37,VLOOKUP(INDIRECT($C$5),Jornada!$C$8:$W$37,21,0),0)-M18,0)))</f>
        <v>0</v>
      </c>
      <c r="P18" s="190">
        <f ca="1">IF(HLOOKUP($F18,Jornada!$X$7:$AD$37,VLOOKUP(INDIRECT($C$5),Jornada!$C$8:$W$37,21,0),0)-M18&lt;0,ABS(HLOOKUP($F18,Jornada!$X$7:$AD$37,VLOOKUP(INDIRECT($C$5),Jornada!$C$8:$W$37,21,0),0)-M18),0)</f>
        <v>0</v>
      </c>
      <c r="Q18" s="95">
        <f t="shared" si="0"/>
        <v>0</v>
      </c>
      <c r="R18" s="2">
        <f t="shared" si="2"/>
        <v>0</v>
      </c>
      <c r="S18" s="294" t="s">
        <v>69</v>
      </c>
      <c r="T18" s="294"/>
      <c r="U18" s="299">
        <f ca="1">F54</f>
        <v>0</v>
      </c>
      <c r="W18" s="2" t="s">
        <v>101</v>
      </c>
      <c r="X18" s="156">
        <v>12</v>
      </c>
      <c r="AB18" s="177">
        <f t="shared" si="10"/>
        <v>11</v>
      </c>
      <c r="AC18" s="2">
        <f t="shared" si="3"/>
        <v>4</v>
      </c>
      <c r="AG18" s="220">
        <f t="shared" si="4"/>
        <v>0</v>
      </c>
      <c r="AH18" s="220">
        <f ca="1">IF(HLOOKUP($F18,Jornada!$X$7:$AD$37,VLOOKUP(INDIRECT($C$5),Jornada!$C$8:$W$37,21,0),0)=0,0,VLOOKUP(INDIRECT($C$5),Jornada!$C$8:$H$37,4,0))</f>
        <v>0</v>
      </c>
      <c r="AI18" s="155">
        <f ca="1">IF(AND(I18=0,J18=0,OR(H18&lt;&gt;0,K18&lt;&gt;0),HLOOKUP($F18,Jornada!$X$7:$AD$37,VLOOKUP(INDIRECT($C$5),Jornada!$C$8:$W$37,21,0),0)&gt;$AK$5,M18&gt;$AK$5),VLOOKUP(INDIRECT($C$5),Jornada!$C$8:$H$37,6,0),IF(AG18&gt;VLOOKUP(INDIRECT($C$5),Jornada!$C$8:$H$37,6,0),IF(VLOOKUP(INDIRECT($C$5),Jornada!$C$8:$H$37,6,0)&lt;AG18,0,ABS(VLOOKUP(INDIRECT($C$5),Jornada!$C$8:$H$37,6,0))-AG18),0))</f>
        <v>0</v>
      </c>
      <c r="AJ18" s="155">
        <f t="shared" si="5"/>
        <v>1</v>
      </c>
      <c r="AK18" s="155">
        <f t="shared" si="6"/>
        <v>0</v>
      </c>
      <c r="AL18" s="155">
        <f ca="1">HLOOKUP($F18,Jornada!$I$5:$V$37,VLOOKUP(INDIRECT($C$5),Jornada!$C$8:$W$37,21,0)+2,0)</f>
        <v>0</v>
      </c>
      <c r="AM18" s="155">
        <f ca="1">HLOOKUP($F18,Jornada!$I$4:$V$37,VLOOKUP(INDIRECT($C$5),Jornada!$C$8:$W$37,21,0)+3,0)</f>
        <v>0</v>
      </c>
      <c r="AN18" s="155">
        <f t="shared" ca="1" si="7"/>
        <v>0</v>
      </c>
      <c r="AO18" s="155">
        <f t="shared" si="8"/>
        <v>0</v>
      </c>
      <c r="AP18" s="155">
        <f t="shared" si="9"/>
        <v>0</v>
      </c>
      <c r="BE18" s="14"/>
      <c r="BF18" s="14"/>
      <c r="BG18" s="14"/>
    </row>
    <row r="19" spans="1:59" s="2" customFormat="1" ht="30" customHeight="1" thickTop="1" thickBot="1" x14ac:dyDescent="0.25">
      <c r="A19" s="1"/>
      <c r="B19"/>
      <c r="C19" s="172" t="str">
        <f>IF(Funcionários!C18=0,"",Funcionários!C18)</f>
        <v/>
      </c>
      <c r="D19"/>
      <c r="E19" s="115">
        <f>Lanç!E19</f>
        <v>12</v>
      </c>
      <c r="F19" s="189" t="str">
        <f>Lanç!F19</f>
        <v>Qui</v>
      </c>
      <c r="G19" s="81"/>
      <c r="H19" s="94"/>
      <c r="I19" s="94"/>
      <c r="J19" s="94"/>
      <c r="K19" s="94"/>
      <c r="L19" s="10"/>
      <c r="M19" s="95">
        <f t="shared" si="1"/>
        <v>0</v>
      </c>
      <c r="N19" s="96"/>
      <c r="O19" s="95">
        <f ca="1">IF(OR(G19=0,G19="Férias",G19="Falta Justificada",G19="Feriado",G19="Folga (DSR)"),0,IF(G19="Falta Injustificada",HLOOKUP($F19,Jornada!$X$7:$AD$37,VLOOKUP(INDIRECT($C$5),Jornada!$C$8:$W$37,21,0),0),IF(HLOOKUP($F19,Jornada!$X$7:$AD$37,VLOOKUP(INDIRECT($C$5),Jornada!$C$8:$W$37,21,0),0)-M19&gt;0,HLOOKUP($F19,Jornada!$X$7:$AD$37,VLOOKUP(INDIRECT($C$5),Jornada!$C$8:$W$37,21,0),0)-M19,0)))</f>
        <v>0</v>
      </c>
      <c r="P19" s="190">
        <f ca="1">IF(HLOOKUP($F19,Jornada!$X$7:$AD$37,VLOOKUP(INDIRECT($C$5),Jornada!$C$8:$W$37,21,0),0)-M19&lt;0,ABS(HLOOKUP($F19,Jornada!$X$7:$AD$37,VLOOKUP(INDIRECT($C$5),Jornada!$C$8:$W$37,21,0),0)-M19),0)</f>
        <v>0</v>
      </c>
      <c r="Q19" s="95">
        <f t="shared" si="0"/>
        <v>0</v>
      </c>
      <c r="R19" s="2">
        <f t="shared" si="2"/>
        <v>0</v>
      </c>
      <c r="S19" s="294"/>
      <c r="T19" s="294"/>
      <c r="U19" s="299"/>
      <c r="X19" s="177"/>
      <c r="AB19" s="177">
        <f t="shared" si="10"/>
        <v>12</v>
      </c>
      <c r="AC19" s="2">
        <f t="shared" si="3"/>
        <v>5</v>
      </c>
      <c r="AG19" s="220">
        <f t="shared" si="4"/>
        <v>0</v>
      </c>
      <c r="AH19" s="220">
        <f ca="1">IF(HLOOKUP($F19,Jornada!$X$7:$AD$37,VLOOKUP(INDIRECT($C$5),Jornada!$C$8:$W$37,21,0),0)=0,0,VLOOKUP(INDIRECT($C$5),Jornada!$C$8:$H$37,4,0))</f>
        <v>0</v>
      </c>
      <c r="AI19" s="155">
        <f ca="1">IF(AND(I19=0,J19=0,OR(H19&lt;&gt;0,K19&lt;&gt;0),HLOOKUP($F19,Jornada!$X$7:$AD$37,VLOOKUP(INDIRECT($C$5),Jornada!$C$8:$W$37,21,0),0)&gt;$AK$5,M19&gt;$AK$5),VLOOKUP(INDIRECT($C$5),Jornada!$C$8:$H$37,6,0),IF(AG19&gt;VLOOKUP(INDIRECT($C$5),Jornada!$C$8:$H$37,6,0),IF(VLOOKUP(INDIRECT($C$5),Jornada!$C$8:$H$37,6,0)&lt;AG19,0,ABS(VLOOKUP(INDIRECT($C$5),Jornada!$C$8:$H$37,6,0))-AG19),0))</f>
        <v>0</v>
      </c>
      <c r="AJ19" s="155">
        <f t="shared" si="5"/>
        <v>1</v>
      </c>
      <c r="AK19" s="155">
        <f t="shared" si="6"/>
        <v>0</v>
      </c>
      <c r="AL19" s="155">
        <f ca="1">HLOOKUP($F19,Jornada!$I$5:$V$37,VLOOKUP(INDIRECT($C$5),Jornada!$C$8:$W$37,21,0)+2,0)</f>
        <v>0</v>
      </c>
      <c r="AM19" s="155">
        <f ca="1">HLOOKUP($F19,Jornada!$I$4:$V$37,VLOOKUP(INDIRECT($C$5),Jornada!$C$8:$W$37,21,0)+3,0)</f>
        <v>0</v>
      </c>
      <c r="AN19" s="155">
        <f t="shared" ca="1" si="7"/>
        <v>0</v>
      </c>
      <c r="AO19" s="155">
        <f t="shared" si="8"/>
        <v>0</v>
      </c>
      <c r="AP19" s="155">
        <f t="shared" si="9"/>
        <v>0</v>
      </c>
      <c r="BE19" s="14"/>
      <c r="BF19" s="14"/>
      <c r="BG19" s="14"/>
    </row>
    <row r="20" spans="1:59" s="2" customFormat="1" ht="30" customHeight="1" thickTop="1" thickBot="1" x14ac:dyDescent="0.25">
      <c r="A20" s="1"/>
      <c r="B20"/>
      <c r="C20" s="172" t="str">
        <f>IF(Funcionários!C19=0,"",Funcionários!C19)</f>
        <v/>
      </c>
      <c r="D20"/>
      <c r="E20" s="115">
        <f>Lanç!E20</f>
        <v>13</v>
      </c>
      <c r="F20" s="189" t="str">
        <f>Lanç!F20</f>
        <v>Sex</v>
      </c>
      <c r="G20" s="81"/>
      <c r="H20" s="94"/>
      <c r="I20" s="94"/>
      <c r="J20" s="94"/>
      <c r="K20" s="94"/>
      <c r="L20" s="10"/>
      <c r="M20" s="95">
        <f t="shared" si="1"/>
        <v>0</v>
      </c>
      <c r="N20" s="96"/>
      <c r="O20" s="95">
        <f ca="1">IF(OR(G20=0,G20="Férias",G20="Falta Justificada",G20="Feriado",G20="Folga (DSR)"),0,IF(G20="Falta Injustificada",HLOOKUP($F20,Jornada!$X$7:$AD$37,VLOOKUP(INDIRECT($C$5),Jornada!$C$8:$W$37,21,0),0),IF(HLOOKUP($F20,Jornada!$X$7:$AD$37,VLOOKUP(INDIRECT($C$5),Jornada!$C$8:$W$37,21,0),0)-M20&gt;0,HLOOKUP($F20,Jornada!$X$7:$AD$37,VLOOKUP(INDIRECT($C$5),Jornada!$C$8:$W$37,21,0),0)-M20,0)))</f>
        <v>0</v>
      </c>
      <c r="P20" s="190">
        <f ca="1">IF(HLOOKUP($F20,Jornada!$X$7:$AD$37,VLOOKUP(INDIRECT($C$5),Jornada!$C$8:$W$37,21,0),0)-M20&lt;0,ABS(HLOOKUP($F20,Jornada!$X$7:$AD$37,VLOOKUP(INDIRECT($C$5),Jornada!$C$8:$W$37,21,0),0)-M20),0)</f>
        <v>0</v>
      </c>
      <c r="Q20" s="95">
        <f t="shared" si="0"/>
        <v>0</v>
      </c>
      <c r="R20" s="2">
        <f t="shared" si="2"/>
        <v>0</v>
      </c>
      <c r="S20"/>
      <c r="T20"/>
      <c r="U20"/>
      <c r="X20" s="177"/>
      <c r="AB20" s="177">
        <f t="shared" si="10"/>
        <v>13</v>
      </c>
      <c r="AC20" s="2">
        <f t="shared" si="3"/>
        <v>6</v>
      </c>
      <c r="AG20" s="220">
        <f t="shared" si="4"/>
        <v>0</v>
      </c>
      <c r="AH20" s="220">
        <f ca="1">IF(HLOOKUP($F20,Jornada!$X$7:$AD$37,VLOOKUP(INDIRECT($C$5),Jornada!$C$8:$W$37,21,0),0)=0,0,VLOOKUP(INDIRECT($C$5),Jornada!$C$8:$H$37,4,0))</f>
        <v>0</v>
      </c>
      <c r="AI20" s="155">
        <f ca="1">IF(AND(I20=0,J20=0,OR(H20&lt;&gt;0,K20&lt;&gt;0),HLOOKUP($F20,Jornada!$X$7:$AD$37,VLOOKUP(INDIRECT($C$5),Jornada!$C$8:$W$37,21,0),0)&gt;$AK$5,M20&gt;$AK$5),VLOOKUP(INDIRECT($C$5),Jornada!$C$8:$H$37,6,0),IF(AG20&gt;VLOOKUP(INDIRECT($C$5),Jornada!$C$8:$H$37,6,0),IF(VLOOKUP(INDIRECT($C$5),Jornada!$C$8:$H$37,6,0)&lt;AG20,0,ABS(VLOOKUP(INDIRECT($C$5),Jornada!$C$8:$H$37,6,0))-AG20),0))</f>
        <v>0</v>
      </c>
      <c r="AJ20" s="155">
        <f t="shared" si="5"/>
        <v>1</v>
      </c>
      <c r="AK20" s="155">
        <f t="shared" si="6"/>
        <v>0</v>
      </c>
      <c r="AL20" s="155">
        <f ca="1">HLOOKUP($F20,Jornada!$I$5:$V$37,VLOOKUP(INDIRECT($C$5),Jornada!$C$8:$W$37,21,0)+2,0)</f>
        <v>0</v>
      </c>
      <c r="AM20" s="155">
        <f ca="1">HLOOKUP($F20,Jornada!$I$4:$V$37,VLOOKUP(INDIRECT($C$5),Jornada!$C$8:$W$37,21,0)+3,0)</f>
        <v>0</v>
      </c>
      <c r="AN20" s="155">
        <f t="shared" ca="1" si="7"/>
        <v>0</v>
      </c>
      <c r="AO20" s="155">
        <f t="shared" si="8"/>
        <v>0</v>
      </c>
      <c r="AP20" s="155">
        <f t="shared" si="9"/>
        <v>0</v>
      </c>
      <c r="BE20" s="14"/>
      <c r="BF20" s="14"/>
      <c r="BG20" s="14"/>
    </row>
    <row r="21" spans="1:59" s="2" customFormat="1" ht="30" customHeight="1" thickTop="1" thickBot="1" x14ac:dyDescent="0.25">
      <c r="A21" s="1"/>
      <c r="B21"/>
      <c r="C21" s="172" t="str">
        <f>IF(Funcionários!C20=0,"",Funcionários!C20)</f>
        <v/>
      </c>
      <c r="D21"/>
      <c r="E21" s="115">
        <f>Lanç!E21</f>
        <v>14</v>
      </c>
      <c r="F21" s="189" t="str">
        <f>Lanç!F21</f>
        <v>Sáb</v>
      </c>
      <c r="G21" s="81"/>
      <c r="H21" s="94"/>
      <c r="I21" s="94"/>
      <c r="J21" s="94"/>
      <c r="K21" s="94"/>
      <c r="L21" s="10"/>
      <c r="M21" s="95">
        <f t="shared" si="1"/>
        <v>0</v>
      </c>
      <c r="N21" s="96"/>
      <c r="O21" s="95">
        <f ca="1">IF(OR(G21=0,G21="Férias",G21="Falta Justificada",G21="Feriado",G21="Folga (DSR)"),0,IF(G21="Falta Injustificada",HLOOKUP($F21,Jornada!$X$7:$AD$37,VLOOKUP(INDIRECT($C$5),Jornada!$C$8:$W$37,21,0),0),IF(HLOOKUP($F21,Jornada!$X$7:$AD$37,VLOOKUP(INDIRECT($C$5),Jornada!$C$8:$W$37,21,0),0)-M21&gt;0,HLOOKUP($F21,Jornada!$X$7:$AD$37,VLOOKUP(INDIRECT($C$5),Jornada!$C$8:$W$37,21,0),0)-M21,0)))</f>
        <v>0</v>
      </c>
      <c r="P21" s="190">
        <f ca="1">IF(HLOOKUP($F21,Jornada!$X$7:$AD$37,VLOOKUP(INDIRECT($C$5),Jornada!$C$8:$W$37,21,0),0)-M21&lt;0,ABS(HLOOKUP($F21,Jornada!$X$7:$AD$37,VLOOKUP(INDIRECT($C$5),Jornada!$C$8:$W$37,21,0),0)-M21),0)</f>
        <v>0</v>
      </c>
      <c r="Q21" s="95">
        <f t="shared" si="0"/>
        <v>0</v>
      </c>
      <c r="R21" s="2">
        <f t="shared" si="2"/>
        <v>0</v>
      </c>
      <c r="S21"/>
      <c r="T21"/>
      <c r="U21"/>
      <c r="X21" s="177"/>
      <c r="AB21" s="177">
        <f t="shared" si="10"/>
        <v>14</v>
      </c>
      <c r="AC21" s="2">
        <f t="shared" si="3"/>
        <v>7</v>
      </c>
      <c r="AG21" s="220">
        <f t="shared" si="4"/>
        <v>0</v>
      </c>
      <c r="AH21" s="220">
        <f ca="1">IF(HLOOKUP($F21,Jornada!$X$7:$AD$37,VLOOKUP(INDIRECT($C$5),Jornada!$C$8:$W$37,21,0),0)=0,0,VLOOKUP(INDIRECT($C$5),Jornada!$C$8:$H$37,4,0))</f>
        <v>0</v>
      </c>
      <c r="AI21" s="155">
        <f ca="1">IF(AND(I21=0,J21=0,OR(H21&lt;&gt;0,K21&lt;&gt;0),HLOOKUP($F21,Jornada!$X$7:$AD$37,VLOOKUP(INDIRECT($C$5),Jornada!$C$8:$W$37,21,0),0)&gt;$AK$5,M21&gt;$AK$5),VLOOKUP(INDIRECT($C$5),Jornada!$C$8:$H$37,6,0),IF(AG21&gt;VLOOKUP(INDIRECT($C$5),Jornada!$C$8:$H$37,6,0),IF(VLOOKUP(INDIRECT($C$5),Jornada!$C$8:$H$37,6,0)&lt;AG21,0,ABS(VLOOKUP(INDIRECT($C$5),Jornada!$C$8:$H$37,6,0))-AG21),0))</f>
        <v>0</v>
      </c>
      <c r="AJ21" s="155">
        <f t="shared" si="5"/>
        <v>1</v>
      </c>
      <c r="AK21" s="155">
        <f t="shared" si="6"/>
        <v>0</v>
      </c>
      <c r="AL21" s="155">
        <f ca="1">HLOOKUP($F21,Jornada!$I$5:$V$37,VLOOKUP(INDIRECT($C$5),Jornada!$C$8:$W$37,21,0)+2,0)</f>
        <v>0</v>
      </c>
      <c r="AM21" s="155">
        <f ca="1">HLOOKUP($F21,Jornada!$I$4:$V$37,VLOOKUP(INDIRECT($C$5),Jornada!$C$8:$W$37,21,0)+3,0)</f>
        <v>0</v>
      </c>
      <c r="AN21" s="155">
        <f t="shared" ca="1" si="7"/>
        <v>0</v>
      </c>
      <c r="AO21" s="155">
        <f t="shared" si="8"/>
        <v>0</v>
      </c>
      <c r="AP21" s="155">
        <f t="shared" si="9"/>
        <v>0</v>
      </c>
      <c r="BE21" s="14"/>
      <c r="BF21" s="14"/>
      <c r="BG21" s="14"/>
    </row>
    <row r="22" spans="1:59" s="2" customFormat="1" ht="30" customHeight="1" thickTop="1" thickBot="1" x14ac:dyDescent="0.25">
      <c r="A22" s="1"/>
      <c r="B22"/>
      <c r="C22" s="172" t="str">
        <f>IF(Funcionários!C21=0,"",Funcionários!C21)</f>
        <v/>
      </c>
      <c r="D22"/>
      <c r="E22" s="115">
        <f>Lanç!E22</f>
        <v>15</v>
      </c>
      <c r="F22" s="189" t="str">
        <f>Lanç!F22</f>
        <v>Dom</v>
      </c>
      <c r="G22" s="81"/>
      <c r="H22" s="94"/>
      <c r="I22" s="94"/>
      <c r="J22" s="94"/>
      <c r="K22" s="94"/>
      <c r="L22" s="10"/>
      <c r="M22" s="95">
        <f t="shared" si="1"/>
        <v>0</v>
      </c>
      <c r="N22" s="96"/>
      <c r="O22" s="95">
        <f ca="1">IF(OR(G22=0,G22="Férias",G22="Falta Justificada",G22="Feriado",G22="Folga (DSR)"),0,IF(G22="Falta Injustificada",HLOOKUP($F22,Jornada!$X$7:$AD$37,VLOOKUP(INDIRECT($C$5),Jornada!$C$8:$W$37,21,0),0),IF(HLOOKUP($F22,Jornada!$X$7:$AD$37,VLOOKUP(INDIRECT($C$5),Jornada!$C$8:$W$37,21,0),0)-M22&gt;0,HLOOKUP($F22,Jornada!$X$7:$AD$37,VLOOKUP(INDIRECT($C$5),Jornada!$C$8:$W$37,21,0),0)-M22,0)))</f>
        <v>0</v>
      </c>
      <c r="P22" s="190">
        <f ca="1">IF(HLOOKUP($F22,Jornada!$X$7:$AD$37,VLOOKUP(INDIRECT($C$5),Jornada!$C$8:$W$37,21,0),0)-M22&lt;0,ABS(HLOOKUP($F22,Jornada!$X$7:$AD$37,VLOOKUP(INDIRECT($C$5),Jornada!$C$8:$W$37,21,0),0)-M22),0)</f>
        <v>0</v>
      </c>
      <c r="Q22" s="95">
        <f t="shared" si="0"/>
        <v>0</v>
      </c>
      <c r="R22" s="2">
        <f t="shared" si="2"/>
        <v>0</v>
      </c>
      <c r="S22" s="300" t="s">
        <v>63</v>
      </c>
      <c r="T22" s="301"/>
      <c r="U22" s="302"/>
      <c r="X22" s="177"/>
      <c r="AB22" s="177">
        <f t="shared" si="10"/>
        <v>15</v>
      </c>
      <c r="AC22" s="2">
        <f t="shared" si="3"/>
        <v>1</v>
      </c>
      <c r="AG22" s="220">
        <f t="shared" si="4"/>
        <v>0</v>
      </c>
      <c r="AH22" s="220">
        <f ca="1">IF(HLOOKUP($F22,Jornada!$X$7:$AD$37,VLOOKUP(INDIRECT($C$5),Jornada!$C$8:$W$37,21,0),0)=0,0,VLOOKUP(INDIRECT($C$5),Jornada!$C$8:$H$37,4,0))</f>
        <v>0</v>
      </c>
      <c r="AI22" s="155">
        <f ca="1">IF(AND(I22=0,J22=0,OR(H22&lt;&gt;0,K22&lt;&gt;0),HLOOKUP($F22,Jornada!$X$7:$AD$37,VLOOKUP(INDIRECT($C$5),Jornada!$C$8:$W$37,21,0),0)&gt;$AK$5,M22&gt;$AK$5),VLOOKUP(INDIRECT($C$5),Jornada!$C$8:$H$37,6,0),IF(AG22&gt;VLOOKUP(INDIRECT($C$5),Jornada!$C$8:$H$37,6,0),IF(VLOOKUP(INDIRECT($C$5),Jornada!$C$8:$H$37,6,0)&lt;AG22,0,ABS(VLOOKUP(INDIRECT($C$5),Jornada!$C$8:$H$37,6,0))-AG22),0))</f>
        <v>0</v>
      </c>
      <c r="AJ22" s="155">
        <f t="shared" si="5"/>
        <v>1</v>
      </c>
      <c r="AK22" s="155">
        <f t="shared" si="6"/>
        <v>0</v>
      </c>
      <c r="AL22" s="155">
        <f ca="1">HLOOKUP($F22,Jornada!$I$5:$V$37,VLOOKUP(INDIRECT($C$5),Jornada!$C$8:$W$37,21,0)+2,0)</f>
        <v>0</v>
      </c>
      <c r="AM22" s="155">
        <f ca="1">HLOOKUP($F22,Jornada!$I$4:$V$37,VLOOKUP(INDIRECT($C$5),Jornada!$C$8:$W$37,21,0)+3,0)</f>
        <v>0</v>
      </c>
      <c r="AN22" s="155">
        <f t="shared" ca="1" si="7"/>
        <v>0</v>
      </c>
      <c r="AO22" s="155">
        <f t="shared" si="8"/>
        <v>0</v>
      </c>
      <c r="AP22" s="155">
        <f t="shared" si="9"/>
        <v>0</v>
      </c>
      <c r="BE22" s="14"/>
      <c r="BF22" s="14"/>
      <c r="BG22" s="14"/>
    </row>
    <row r="23" spans="1:59" s="2" customFormat="1" ht="30" customHeight="1" thickTop="1" thickBot="1" x14ac:dyDescent="0.25">
      <c r="A23" s="1"/>
      <c r="B23"/>
      <c r="C23" s="172" t="str">
        <f>IF(Funcionários!C22=0,"",Funcionários!C22)</f>
        <v/>
      </c>
      <c r="D23"/>
      <c r="E23" s="115">
        <f>Lanç!E23</f>
        <v>16</v>
      </c>
      <c r="F23" s="189" t="str">
        <f>Lanç!F23</f>
        <v>Seg</v>
      </c>
      <c r="G23" s="81"/>
      <c r="H23" s="94"/>
      <c r="I23" s="94"/>
      <c r="J23" s="94"/>
      <c r="K23" s="94"/>
      <c r="L23" s="10"/>
      <c r="M23" s="95">
        <f t="shared" si="1"/>
        <v>0</v>
      </c>
      <c r="N23" s="96"/>
      <c r="O23" s="95">
        <f ca="1">IF(OR(G23=0,G23="Férias",G23="Falta Justificada",G23="Feriado",G23="Folga (DSR)"),0,IF(G23="Falta Injustificada",HLOOKUP($F23,Jornada!$X$7:$AD$37,VLOOKUP(INDIRECT($C$5),Jornada!$C$8:$W$37,21,0),0),IF(HLOOKUP($F23,Jornada!$X$7:$AD$37,VLOOKUP(INDIRECT($C$5),Jornada!$C$8:$W$37,21,0),0)-M23&gt;0,HLOOKUP($F23,Jornada!$X$7:$AD$37,VLOOKUP(INDIRECT($C$5),Jornada!$C$8:$W$37,21,0),0)-M23,0)))</f>
        <v>0</v>
      </c>
      <c r="P23" s="190">
        <f ca="1">IF(HLOOKUP($F23,Jornada!$X$7:$AD$37,VLOOKUP(INDIRECT($C$5),Jornada!$C$8:$W$37,21,0),0)-M23&lt;0,ABS(HLOOKUP($F23,Jornada!$X$7:$AD$37,VLOOKUP(INDIRECT($C$5),Jornada!$C$8:$W$37,21,0),0)-M23),0)</f>
        <v>0</v>
      </c>
      <c r="Q23" s="95">
        <f t="shared" si="0"/>
        <v>0</v>
      </c>
      <c r="R23" s="2">
        <f t="shared" si="2"/>
        <v>0</v>
      </c>
      <c r="S23" s="296" t="str">
        <f>IF(SUM(R8:R38)&gt;0,"Segundo o art 59 da CLT, o máximo de horas extras permitidas por dia são 2 horas.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T23" s="297"/>
      <c r="U23" s="298"/>
      <c r="X23" s="177"/>
      <c r="AB23" s="177">
        <f t="shared" si="10"/>
        <v>16</v>
      </c>
      <c r="AC23" s="2">
        <f t="shared" si="3"/>
        <v>2</v>
      </c>
      <c r="AG23" s="220">
        <f t="shared" si="4"/>
        <v>0</v>
      </c>
      <c r="AH23" s="220">
        <f ca="1">IF(HLOOKUP($F23,Jornada!$X$7:$AD$37,VLOOKUP(INDIRECT($C$5),Jornada!$C$8:$W$37,21,0),0)=0,0,VLOOKUP(INDIRECT($C$5),Jornada!$C$8:$H$37,4,0))</f>
        <v>0</v>
      </c>
      <c r="AI23" s="155">
        <f ca="1">IF(AND(I23=0,J23=0,OR(H23&lt;&gt;0,K23&lt;&gt;0),HLOOKUP($F23,Jornada!$X$7:$AD$37,VLOOKUP(INDIRECT($C$5),Jornada!$C$8:$W$37,21,0),0)&gt;$AK$5,M23&gt;$AK$5),VLOOKUP(INDIRECT($C$5),Jornada!$C$8:$H$37,6,0),IF(AG23&gt;VLOOKUP(INDIRECT($C$5),Jornada!$C$8:$H$37,6,0),IF(VLOOKUP(INDIRECT($C$5),Jornada!$C$8:$H$37,6,0)&lt;AG23,0,ABS(VLOOKUP(INDIRECT($C$5),Jornada!$C$8:$H$37,6,0))-AG23),0))</f>
        <v>0</v>
      </c>
      <c r="AJ23" s="155">
        <f t="shared" si="5"/>
        <v>1</v>
      </c>
      <c r="AK23" s="155">
        <f t="shared" si="6"/>
        <v>0</v>
      </c>
      <c r="AL23" s="155">
        <f ca="1">HLOOKUP($F23,Jornada!$I$5:$V$37,VLOOKUP(INDIRECT($C$5),Jornada!$C$8:$W$37,21,0)+2,0)</f>
        <v>0</v>
      </c>
      <c r="AM23" s="155">
        <f ca="1">HLOOKUP($F23,Jornada!$I$4:$V$37,VLOOKUP(INDIRECT($C$5),Jornada!$C$8:$W$37,21,0)+3,0)</f>
        <v>0</v>
      </c>
      <c r="AN23" s="155">
        <f t="shared" ca="1" si="7"/>
        <v>0</v>
      </c>
      <c r="AO23" s="155">
        <f t="shared" si="8"/>
        <v>0</v>
      </c>
      <c r="AP23" s="155">
        <f t="shared" si="9"/>
        <v>0</v>
      </c>
      <c r="BE23" s="14"/>
      <c r="BF23" s="14"/>
      <c r="BG23" s="14"/>
    </row>
    <row r="24" spans="1:59" s="2" customFormat="1" ht="30" customHeight="1" thickTop="1" thickBot="1" x14ac:dyDescent="0.25">
      <c r="A24" s="1"/>
      <c r="B24"/>
      <c r="C24" s="172" t="str">
        <f>IF(Funcionários!C23=0,"",Funcionários!C23)</f>
        <v/>
      </c>
      <c r="D24"/>
      <c r="E24" s="115">
        <f>Lanç!E24</f>
        <v>17</v>
      </c>
      <c r="F24" s="189" t="str">
        <f>Lanç!F24</f>
        <v>Ter</v>
      </c>
      <c r="G24" s="81"/>
      <c r="H24" s="94"/>
      <c r="I24" s="94"/>
      <c r="J24" s="94"/>
      <c r="K24" s="94"/>
      <c r="L24" s="10"/>
      <c r="M24" s="95">
        <f t="shared" si="1"/>
        <v>0</v>
      </c>
      <c r="N24" s="96"/>
      <c r="O24" s="95">
        <f ca="1">IF(OR(G24=0,G24="Férias",G24="Falta Justificada",G24="Feriado",G24="Folga (DSR)"),0,IF(G24="Falta Injustificada",HLOOKUP($F24,Jornada!$X$7:$AD$37,VLOOKUP(INDIRECT($C$5),Jornada!$C$8:$W$37,21,0),0),IF(HLOOKUP($F24,Jornada!$X$7:$AD$37,VLOOKUP(INDIRECT($C$5),Jornada!$C$8:$W$37,21,0),0)-M24&gt;0,HLOOKUP($F24,Jornada!$X$7:$AD$37,VLOOKUP(INDIRECT($C$5),Jornada!$C$8:$W$37,21,0),0)-M24,0)))</f>
        <v>0</v>
      </c>
      <c r="P24" s="190">
        <f ca="1">IF(HLOOKUP($F24,Jornada!$X$7:$AD$37,VLOOKUP(INDIRECT($C$5),Jornada!$C$8:$W$37,21,0),0)-M24&lt;0,ABS(HLOOKUP($F24,Jornada!$X$7:$AD$37,VLOOKUP(INDIRECT($C$5),Jornada!$C$8:$W$37,21,0),0)-M24),0)</f>
        <v>0</v>
      </c>
      <c r="Q24" s="95">
        <f t="shared" si="0"/>
        <v>0</v>
      </c>
      <c r="R24" s="2">
        <f t="shared" si="2"/>
        <v>0</v>
      </c>
      <c r="S24" s="296"/>
      <c r="T24" s="297"/>
      <c r="U24" s="298"/>
      <c r="X24" s="177"/>
      <c r="AB24" s="177">
        <f t="shared" si="10"/>
        <v>17</v>
      </c>
      <c r="AC24" s="2">
        <f t="shared" si="3"/>
        <v>3</v>
      </c>
      <c r="AG24" s="220">
        <f t="shared" si="4"/>
        <v>0</v>
      </c>
      <c r="AH24" s="220">
        <f ca="1">IF(HLOOKUP($F24,Jornada!$X$7:$AD$37,VLOOKUP(INDIRECT($C$5),Jornada!$C$8:$W$37,21,0),0)=0,0,VLOOKUP(INDIRECT($C$5),Jornada!$C$8:$H$37,4,0))</f>
        <v>0</v>
      </c>
      <c r="AI24" s="155">
        <f ca="1">IF(AND(I24=0,J24=0,OR(H24&lt;&gt;0,K24&lt;&gt;0),HLOOKUP($F24,Jornada!$X$7:$AD$37,VLOOKUP(INDIRECT($C$5),Jornada!$C$8:$W$37,21,0),0)&gt;$AK$5,M24&gt;$AK$5),VLOOKUP(INDIRECT($C$5),Jornada!$C$8:$H$37,6,0),IF(AG24&gt;VLOOKUP(INDIRECT($C$5),Jornada!$C$8:$H$37,6,0),IF(VLOOKUP(INDIRECT($C$5),Jornada!$C$8:$H$37,6,0)&lt;AG24,0,ABS(VLOOKUP(INDIRECT($C$5),Jornada!$C$8:$H$37,6,0))-AG24),0))</f>
        <v>0</v>
      </c>
      <c r="AJ24" s="155">
        <f t="shared" si="5"/>
        <v>1</v>
      </c>
      <c r="AK24" s="155">
        <f t="shared" si="6"/>
        <v>0</v>
      </c>
      <c r="AL24" s="155">
        <f ca="1">HLOOKUP($F24,Jornada!$I$5:$V$37,VLOOKUP(INDIRECT($C$5),Jornada!$C$8:$W$37,21,0)+2,0)</f>
        <v>0</v>
      </c>
      <c r="AM24" s="155">
        <f ca="1">HLOOKUP($F24,Jornada!$I$4:$V$37,VLOOKUP(INDIRECT($C$5),Jornada!$C$8:$W$37,21,0)+3,0)</f>
        <v>0</v>
      </c>
      <c r="AN24" s="155">
        <f t="shared" ca="1" si="7"/>
        <v>0</v>
      </c>
      <c r="AO24" s="155">
        <f t="shared" si="8"/>
        <v>0</v>
      </c>
      <c r="AP24" s="155">
        <f t="shared" si="9"/>
        <v>0</v>
      </c>
      <c r="BE24" s="14"/>
      <c r="BF24" s="14"/>
      <c r="BG24" s="14"/>
    </row>
    <row r="25" spans="1:59" s="2" customFormat="1" ht="30" customHeight="1" thickTop="1" thickBot="1" x14ac:dyDescent="0.25">
      <c r="A25" s="1"/>
      <c r="B25"/>
      <c r="C25" s="172" t="str">
        <f>IF(Funcionários!C24=0,"",Funcionários!C24)</f>
        <v/>
      </c>
      <c r="D25"/>
      <c r="E25" s="115">
        <f>Lanç!E25</f>
        <v>18</v>
      </c>
      <c r="F25" s="189" t="str">
        <f>Lanç!F25</f>
        <v>Qua</v>
      </c>
      <c r="G25" s="81"/>
      <c r="H25" s="94"/>
      <c r="I25" s="94"/>
      <c r="J25" s="94"/>
      <c r="K25" s="94"/>
      <c r="L25" s="10"/>
      <c r="M25" s="95">
        <f t="shared" si="1"/>
        <v>0</v>
      </c>
      <c r="N25" s="96"/>
      <c r="O25" s="95">
        <f ca="1">IF(OR(G25=0,G25="Férias",G25="Falta Justificada",G25="Feriado",G25="Folga (DSR)"),0,IF(G25="Falta Injustificada",HLOOKUP($F25,Jornada!$X$7:$AD$37,VLOOKUP(INDIRECT($C$5),Jornada!$C$8:$W$37,21,0),0),IF(HLOOKUP($F25,Jornada!$X$7:$AD$37,VLOOKUP(INDIRECT($C$5),Jornada!$C$8:$W$37,21,0),0)-M25&gt;0,HLOOKUP($F25,Jornada!$X$7:$AD$37,VLOOKUP(INDIRECT($C$5),Jornada!$C$8:$W$37,21,0),0)-M25,0)))</f>
        <v>0</v>
      </c>
      <c r="P25" s="190">
        <f ca="1">IF(HLOOKUP($F25,Jornada!$X$7:$AD$37,VLOOKUP(INDIRECT($C$5),Jornada!$C$8:$W$37,21,0),0)-M25&lt;0,ABS(HLOOKUP($F25,Jornada!$X$7:$AD$37,VLOOKUP(INDIRECT($C$5),Jornada!$C$8:$W$37,21,0),0)-M25),0)</f>
        <v>0</v>
      </c>
      <c r="Q25" s="95">
        <f t="shared" si="0"/>
        <v>0</v>
      </c>
      <c r="R25" s="2">
        <f t="shared" si="2"/>
        <v>0</v>
      </c>
      <c r="S25" s="296"/>
      <c r="T25" s="297"/>
      <c r="U25" s="298"/>
      <c r="X25" s="177"/>
      <c r="Z25" s="2">
        <f>IF(SUM(R8:R38)&gt;0,1,0)</f>
        <v>0</v>
      </c>
      <c r="AB25" s="177">
        <f t="shared" si="10"/>
        <v>18</v>
      </c>
      <c r="AC25" s="2">
        <f t="shared" si="3"/>
        <v>4</v>
      </c>
      <c r="AG25" s="220">
        <f t="shared" si="4"/>
        <v>0</v>
      </c>
      <c r="AH25" s="220">
        <f ca="1">IF(HLOOKUP($F25,Jornada!$X$7:$AD$37,VLOOKUP(INDIRECT($C$5),Jornada!$C$8:$W$37,21,0),0)=0,0,VLOOKUP(INDIRECT($C$5),Jornada!$C$8:$H$37,4,0))</f>
        <v>0</v>
      </c>
      <c r="AI25" s="155">
        <f ca="1">IF(AND(I25=0,J25=0,OR(H25&lt;&gt;0,K25&lt;&gt;0),HLOOKUP($F25,Jornada!$X$7:$AD$37,VLOOKUP(INDIRECT($C$5),Jornada!$C$8:$W$37,21,0),0)&gt;$AK$5,M25&gt;$AK$5),VLOOKUP(INDIRECT($C$5),Jornada!$C$8:$H$37,6,0),IF(AG25&gt;VLOOKUP(INDIRECT($C$5),Jornada!$C$8:$H$37,6,0),IF(VLOOKUP(INDIRECT($C$5),Jornada!$C$8:$H$37,6,0)&lt;AG25,0,ABS(VLOOKUP(INDIRECT($C$5),Jornada!$C$8:$H$37,6,0))-AG25),0))</f>
        <v>0</v>
      </c>
      <c r="AJ25" s="155">
        <f t="shared" si="5"/>
        <v>1</v>
      </c>
      <c r="AK25" s="155">
        <f t="shared" si="6"/>
        <v>0</v>
      </c>
      <c r="AL25" s="155">
        <f ca="1">HLOOKUP($F25,Jornada!$I$5:$V$37,VLOOKUP(INDIRECT($C$5),Jornada!$C$8:$W$37,21,0)+2,0)</f>
        <v>0</v>
      </c>
      <c r="AM25" s="155">
        <f ca="1">HLOOKUP($F25,Jornada!$I$4:$V$37,VLOOKUP(INDIRECT($C$5),Jornada!$C$8:$W$37,21,0)+3,0)</f>
        <v>0</v>
      </c>
      <c r="AN25" s="155">
        <f t="shared" ca="1" si="7"/>
        <v>0</v>
      </c>
      <c r="AO25" s="155">
        <f t="shared" si="8"/>
        <v>0</v>
      </c>
      <c r="AP25" s="155">
        <f t="shared" si="9"/>
        <v>0</v>
      </c>
      <c r="BE25" s="14"/>
      <c r="BF25" s="14"/>
      <c r="BG25" s="14"/>
    </row>
    <row r="26" spans="1:59" s="2" customFormat="1" ht="30" customHeight="1" thickTop="1" thickBot="1" x14ac:dyDescent="0.25">
      <c r="A26" s="1"/>
      <c r="B26"/>
      <c r="C26" s="172" t="str">
        <f>IF(Funcionários!C25=0,"",Funcionários!C25)</f>
        <v/>
      </c>
      <c r="D26"/>
      <c r="E26" s="115">
        <f>Lanç!E26</f>
        <v>19</v>
      </c>
      <c r="F26" s="189" t="str">
        <f>Lanç!F26</f>
        <v>Qui</v>
      </c>
      <c r="G26" s="81"/>
      <c r="H26" s="94"/>
      <c r="I26" s="94"/>
      <c r="J26" s="94"/>
      <c r="K26" s="94"/>
      <c r="L26" s="10"/>
      <c r="M26" s="95">
        <f t="shared" si="1"/>
        <v>0</v>
      </c>
      <c r="N26" s="96"/>
      <c r="O26" s="95">
        <f ca="1">IF(OR(G26=0,G26="Férias",G26="Falta Justificada",G26="Feriado",G26="Folga (DSR)"),0,IF(G26="Falta Injustificada",HLOOKUP($F26,Jornada!$X$7:$AD$37,VLOOKUP(INDIRECT($C$5),Jornada!$C$8:$W$37,21,0),0),IF(HLOOKUP($F26,Jornada!$X$7:$AD$37,VLOOKUP(INDIRECT($C$5),Jornada!$C$8:$W$37,21,0),0)-M26&gt;0,HLOOKUP($F26,Jornada!$X$7:$AD$37,VLOOKUP(INDIRECT($C$5),Jornada!$C$8:$W$37,21,0),0)-M26,0)))</f>
        <v>0</v>
      </c>
      <c r="P26" s="190">
        <f ca="1">IF(HLOOKUP($F26,Jornada!$X$7:$AD$37,VLOOKUP(INDIRECT($C$5),Jornada!$C$8:$W$37,21,0),0)-M26&lt;0,ABS(HLOOKUP($F26,Jornada!$X$7:$AD$37,VLOOKUP(INDIRECT($C$5),Jornada!$C$8:$W$37,21,0),0)-M26),0)</f>
        <v>0</v>
      </c>
      <c r="Q26" s="95">
        <f t="shared" si="0"/>
        <v>0</v>
      </c>
      <c r="R26" s="2">
        <f t="shared" si="2"/>
        <v>0</v>
      </c>
      <c r="S26" s="296" t="str">
        <f>IF(COUNTIF(G8:G38,"Folga (DSR)")&lt;DAY(E39)/8,"O mês não está contemplando um DSR (Descanso Semanal Remunerado) por semana. Isso pode configurar uma irregularidade segundo as leis trabalhistas.","Parabéns!! Sua folha de pagamento contempla uma DSR por semana conforme a lei trabalhista.")</f>
        <v>O mês não está contemplando um DSR (Descanso Semanal Remunerado) por semana. Isso pode configurar uma irregularidade segundo as leis trabalhistas.</v>
      </c>
      <c r="T26" s="297"/>
      <c r="U26" s="298"/>
      <c r="X26" s="177"/>
      <c r="AB26" s="177">
        <f t="shared" si="10"/>
        <v>19</v>
      </c>
      <c r="AC26" s="2">
        <f t="shared" si="3"/>
        <v>5</v>
      </c>
      <c r="AG26" s="220">
        <f t="shared" si="4"/>
        <v>0</v>
      </c>
      <c r="AH26" s="220">
        <f ca="1">IF(HLOOKUP($F26,Jornada!$X$7:$AD$37,VLOOKUP(INDIRECT($C$5),Jornada!$C$8:$W$37,21,0),0)=0,0,VLOOKUP(INDIRECT($C$5),Jornada!$C$8:$H$37,4,0))</f>
        <v>0</v>
      </c>
      <c r="AI26" s="155">
        <f ca="1">IF(AND(I26=0,J26=0,OR(H26&lt;&gt;0,K26&lt;&gt;0),HLOOKUP($F26,Jornada!$X$7:$AD$37,VLOOKUP(INDIRECT($C$5),Jornada!$C$8:$W$37,21,0),0)&gt;$AK$5,M26&gt;$AK$5),VLOOKUP(INDIRECT($C$5),Jornada!$C$8:$H$37,6,0),IF(AG26&gt;VLOOKUP(INDIRECT($C$5),Jornada!$C$8:$H$37,6,0),IF(VLOOKUP(INDIRECT($C$5),Jornada!$C$8:$H$37,6,0)&lt;AG26,0,ABS(VLOOKUP(INDIRECT($C$5),Jornada!$C$8:$H$37,6,0))-AG26),0))</f>
        <v>0</v>
      </c>
      <c r="AJ26" s="155">
        <f t="shared" si="5"/>
        <v>1</v>
      </c>
      <c r="AK26" s="155">
        <f t="shared" si="6"/>
        <v>0</v>
      </c>
      <c r="AL26" s="155">
        <f ca="1">HLOOKUP($F26,Jornada!$I$5:$V$37,VLOOKUP(INDIRECT($C$5),Jornada!$C$8:$W$37,21,0)+2,0)</f>
        <v>0</v>
      </c>
      <c r="AM26" s="155">
        <f ca="1">HLOOKUP($F26,Jornada!$I$4:$V$37,VLOOKUP(INDIRECT($C$5),Jornada!$C$8:$W$37,21,0)+3,0)</f>
        <v>0</v>
      </c>
      <c r="AN26" s="155">
        <f t="shared" ca="1" si="7"/>
        <v>0</v>
      </c>
      <c r="AO26" s="155">
        <f t="shared" si="8"/>
        <v>0</v>
      </c>
      <c r="AP26" s="155">
        <f t="shared" si="9"/>
        <v>0</v>
      </c>
      <c r="BE26" s="14"/>
      <c r="BF26" s="14"/>
      <c r="BG26" s="14"/>
    </row>
    <row r="27" spans="1:59" s="2" customFormat="1" ht="30" customHeight="1" thickTop="1" thickBot="1" x14ac:dyDescent="0.25">
      <c r="A27" s="1"/>
      <c r="B27"/>
      <c r="C27" s="172" t="str">
        <f>IF(Funcionários!C26=0,"",Funcionários!C26)</f>
        <v/>
      </c>
      <c r="D27"/>
      <c r="E27" s="115">
        <f>Lanç!E27</f>
        <v>20</v>
      </c>
      <c r="F27" s="189" t="str">
        <f>Lanç!F27</f>
        <v>Sex</v>
      </c>
      <c r="G27" s="81"/>
      <c r="H27" s="94"/>
      <c r="I27" s="94"/>
      <c r="J27" s="94"/>
      <c r="K27" s="94"/>
      <c r="L27" s="10"/>
      <c r="M27" s="95">
        <f t="shared" si="1"/>
        <v>0</v>
      </c>
      <c r="N27" s="96"/>
      <c r="O27" s="95">
        <f ca="1">IF(OR(G27=0,G27="Férias",G27="Falta Justificada",G27="Feriado",G27="Folga (DSR)"),0,IF(G27="Falta Injustificada",HLOOKUP($F27,Jornada!$X$7:$AD$37,VLOOKUP(INDIRECT($C$5),Jornada!$C$8:$W$37,21,0),0),IF(HLOOKUP($F27,Jornada!$X$7:$AD$37,VLOOKUP(INDIRECT($C$5),Jornada!$C$8:$W$37,21,0),0)-M27&gt;0,HLOOKUP($F27,Jornada!$X$7:$AD$37,VLOOKUP(INDIRECT($C$5),Jornada!$C$8:$W$37,21,0),0)-M27,0)))</f>
        <v>0</v>
      </c>
      <c r="P27" s="190">
        <f ca="1">IF(HLOOKUP($F27,Jornada!$X$7:$AD$37,VLOOKUP(INDIRECT($C$5),Jornada!$C$8:$W$37,21,0),0)-M27&lt;0,ABS(HLOOKUP($F27,Jornada!$X$7:$AD$37,VLOOKUP(INDIRECT($C$5),Jornada!$C$8:$W$37,21,0),0)-M27),0)</f>
        <v>0</v>
      </c>
      <c r="Q27" s="95">
        <f t="shared" si="0"/>
        <v>0</v>
      </c>
      <c r="R27" s="2">
        <f t="shared" si="2"/>
        <v>0</v>
      </c>
      <c r="S27" s="296"/>
      <c r="T27" s="297"/>
      <c r="U27" s="298"/>
      <c r="X27" s="177"/>
      <c r="AB27" s="177">
        <f t="shared" si="10"/>
        <v>20</v>
      </c>
      <c r="AC27" s="2">
        <f t="shared" si="3"/>
        <v>6</v>
      </c>
      <c r="AG27" s="220">
        <f t="shared" si="4"/>
        <v>0</v>
      </c>
      <c r="AH27" s="220">
        <f ca="1">IF(HLOOKUP($F27,Jornada!$X$7:$AD$37,VLOOKUP(INDIRECT($C$5),Jornada!$C$8:$W$37,21,0),0)=0,0,VLOOKUP(INDIRECT($C$5),Jornada!$C$8:$H$37,4,0))</f>
        <v>0</v>
      </c>
      <c r="AI27" s="155">
        <f ca="1">IF(AND(I27=0,J27=0,OR(H27&lt;&gt;0,K27&lt;&gt;0),HLOOKUP($F27,Jornada!$X$7:$AD$37,VLOOKUP(INDIRECT($C$5),Jornada!$C$8:$W$37,21,0),0)&gt;$AK$5,M27&gt;$AK$5),VLOOKUP(INDIRECT($C$5),Jornada!$C$8:$H$37,6,0),IF(AG27&gt;VLOOKUP(INDIRECT($C$5),Jornada!$C$8:$H$37,6,0),IF(VLOOKUP(INDIRECT($C$5),Jornada!$C$8:$H$37,6,0)&lt;AG27,0,ABS(VLOOKUP(INDIRECT($C$5),Jornada!$C$8:$H$37,6,0))-AG27),0))</f>
        <v>0</v>
      </c>
      <c r="AJ27" s="155">
        <f t="shared" si="5"/>
        <v>1</v>
      </c>
      <c r="AK27" s="155">
        <f t="shared" si="6"/>
        <v>0</v>
      </c>
      <c r="AL27" s="155">
        <f ca="1">HLOOKUP($F27,Jornada!$I$5:$V$37,VLOOKUP(INDIRECT($C$5),Jornada!$C$8:$W$37,21,0)+2,0)</f>
        <v>0</v>
      </c>
      <c r="AM27" s="155">
        <f ca="1">HLOOKUP($F27,Jornada!$I$4:$V$37,VLOOKUP(INDIRECT($C$5),Jornada!$C$8:$W$37,21,0)+3,0)</f>
        <v>0</v>
      </c>
      <c r="AN27" s="155">
        <f t="shared" ca="1" si="7"/>
        <v>0</v>
      </c>
      <c r="AO27" s="155">
        <f t="shared" si="8"/>
        <v>0</v>
      </c>
      <c r="AP27" s="155">
        <f t="shared" si="9"/>
        <v>0</v>
      </c>
    </row>
    <row r="28" spans="1:59" s="2" customFormat="1" ht="30" customHeight="1" thickTop="1" thickBot="1" x14ac:dyDescent="0.25">
      <c r="A28" s="1"/>
      <c r="B28"/>
      <c r="C28" s="171" t="str">
        <f>IF(Funcionários!C27=0,"",Funcionários!C27)</f>
        <v/>
      </c>
      <c r="D28"/>
      <c r="E28" s="115">
        <f>Lanç!E28</f>
        <v>21</v>
      </c>
      <c r="F28" s="189" t="str">
        <f>Lanç!F28</f>
        <v>Sáb</v>
      </c>
      <c r="G28" s="81"/>
      <c r="H28" s="94"/>
      <c r="I28" s="94"/>
      <c r="J28" s="94"/>
      <c r="K28" s="94"/>
      <c r="L28" s="10"/>
      <c r="M28" s="95">
        <f t="shared" si="1"/>
        <v>0</v>
      </c>
      <c r="N28" s="96"/>
      <c r="O28" s="95">
        <f ca="1">IF(OR(G28=0,G28="Férias",G28="Falta Justificada",G28="Feriado",G28="Folga (DSR)"),0,IF(G28="Falta Injustificada",HLOOKUP($F28,Jornada!$X$7:$AD$37,VLOOKUP(INDIRECT($C$5),Jornada!$C$8:$W$37,21,0),0),IF(HLOOKUP($F28,Jornada!$X$7:$AD$37,VLOOKUP(INDIRECT($C$5),Jornada!$C$8:$W$37,21,0),0)-M28&gt;0,HLOOKUP($F28,Jornada!$X$7:$AD$37,VLOOKUP(INDIRECT($C$5),Jornada!$C$8:$W$37,21,0),0)-M28,0)))</f>
        <v>0</v>
      </c>
      <c r="P28" s="190">
        <f ca="1">IF(HLOOKUP($F28,Jornada!$X$7:$AD$37,VLOOKUP(INDIRECT($C$5),Jornada!$C$8:$W$37,21,0),0)-M28&lt;0,ABS(HLOOKUP($F28,Jornada!$X$7:$AD$37,VLOOKUP(INDIRECT($C$5),Jornada!$C$8:$W$37,21,0),0)-M28),0)</f>
        <v>0</v>
      </c>
      <c r="Q28" s="95">
        <f t="shared" si="0"/>
        <v>0</v>
      </c>
      <c r="R28" s="2">
        <f t="shared" si="2"/>
        <v>0</v>
      </c>
      <c r="S28" s="296"/>
      <c r="T28" s="297"/>
      <c r="U28" s="298"/>
      <c r="X28" s="177"/>
      <c r="AB28" s="177">
        <f t="shared" si="10"/>
        <v>21</v>
      </c>
      <c r="AC28" s="2">
        <f t="shared" si="3"/>
        <v>7</v>
      </c>
      <c r="AG28" s="220">
        <f t="shared" si="4"/>
        <v>0</v>
      </c>
      <c r="AH28" s="220">
        <f ca="1">IF(HLOOKUP($F28,Jornada!$X$7:$AD$37,VLOOKUP(INDIRECT($C$5),Jornada!$C$8:$W$37,21,0),0)=0,0,VLOOKUP(INDIRECT($C$5),Jornada!$C$8:$H$37,4,0))</f>
        <v>0</v>
      </c>
      <c r="AI28" s="155">
        <f ca="1">IF(AND(I28=0,J28=0,OR(H28&lt;&gt;0,K28&lt;&gt;0),HLOOKUP($F28,Jornada!$X$7:$AD$37,VLOOKUP(INDIRECT($C$5),Jornada!$C$8:$W$37,21,0),0)&gt;$AK$5,M28&gt;$AK$5),VLOOKUP(INDIRECT($C$5),Jornada!$C$8:$H$37,6,0),IF(AG28&gt;VLOOKUP(INDIRECT($C$5),Jornada!$C$8:$H$37,6,0),IF(VLOOKUP(INDIRECT($C$5),Jornada!$C$8:$H$37,6,0)&lt;AG28,0,ABS(VLOOKUP(INDIRECT($C$5),Jornada!$C$8:$H$37,6,0))-AG28),0))</f>
        <v>0</v>
      </c>
      <c r="AJ28" s="155">
        <f t="shared" si="5"/>
        <v>1</v>
      </c>
      <c r="AK28" s="155">
        <f t="shared" si="6"/>
        <v>0</v>
      </c>
      <c r="AL28" s="155">
        <f ca="1">HLOOKUP($F28,Jornada!$I$5:$V$37,VLOOKUP(INDIRECT($C$5),Jornada!$C$8:$W$37,21,0)+2,0)</f>
        <v>0</v>
      </c>
      <c r="AM28" s="155">
        <f ca="1">HLOOKUP($F28,Jornada!$I$4:$V$37,VLOOKUP(INDIRECT($C$5),Jornada!$C$8:$W$37,21,0)+3,0)</f>
        <v>0</v>
      </c>
      <c r="AN28" s="155">
        <f t="shared" ca="1" si="7"/>
        <v>0</v>
      </c>
      <c r="AO28" s="155">
        <f t="shared" si="8"/>
        <v>0</v>
      </c>
      <c r="AP28" s="155">
        <f t="shared" si="9"/>
        <v>0</v>
      </c>
    </row>
    <row r="29" spans="1:59" s="2" customFormat="1" ht="30" customHeight="1" thickTop="1" thickBot="1" x14ac:dyDescent="0.25">
      <c r="A29" s="1"/>
      <c r="B29"/>
      <c r="C29" s="172" t="str">
        <f>IF(Funcionários!C28=0,"",Funcionários!C28)</f>
        <v/>
      </c>
      <c r="D29"/>
      <c r="E29" s="115">
        <f>Lanç!E29</f>
        <v>22</v>
      </c>
      <c r="F29" s="189" t="str">
        <f>Lanç!F29</f>
        <v>Dom</v>
      </c>
      <c r="G29" s="81"/>
      <c r="H29" s="94"/>
      <c r="I29" s="94"/>
      <c r="J29" s="94"/>
      <c r="K29" s="94"/>
      <c r="L29" s="10"/>
      <c r="M29" s="95">
        <f t="shared" si="1"/>
        <v>0</v>
      </c>
      <c r="N29" s="96"/>
      <c r="O29" s="95">
        <f ca="1">IF(OR(G29=0,G29="Férias",G29="Falta Justificada",G29="Feriado",G29="Folga (DSR)"),0,IF(G29="Falta Injustificada",HLOOKUP($F29,Jornada!$X$7:$AD$37,VLOOKUP(INDIRECT($C$5),Jornada!$C$8:$W$37,21,0),0),IF(HLOOKUP($F29,Jornada!$X$7:$AD$37,VLOOKUP(INDIRECT($C$5),Jornada!$C$8:$W$37,21,0),0)-M29&gt;0,HLOOKUP($F29,Jornada!$X$7:$AD$37,VLOOKUP(INDIRECT($C$5),Jornada!$C$8:$W$37,21,0),0)-M29,0)))</f>
        <v>0</v>
      </c>
      <c r="P29" s="190">
        <f ca="1">IF(HLOOKUP($F29,Jornada!$X$7:$AD$37,VLOOKUP(INDIRECT($C$5),Jornada!$C$8:$W$37,21,0),0)-M29&lt;0,ABS(HLOOKUP($F29,Jornada!$X$7:$AD$37,VLOOKUP(INDIRECT($C$5),Jornada!$C$8:$W$37,21,0),0)-M29),0)</f>
        <v>0</v>
      </c>
      <c r="Q29" s="95">
        <f t="shared" si="0"/>
        <v>0</v>
      </c>
      <c r="R29" s="2">
        <f t="shared" si="2"/>
        <v>0</v>
      </c>
      <c r="S29" s="13"/>
      <c r="T29" s="74"/>
      <c r="U29" s="74"/>
      <c r="X29" s="177"/>
      <c r="AB29" s="177">
        <f t="shared" si="10"/>
        <v>22</v>
      </c>
      <c r="AC29" s="2">
        <f t="shared" si="3"/>
        <v>1</v>
      </c>
      <c r="AG29" s="220">
        <f t="shared" si="4"/>
        <v>0</v>
      </c>
      <c r="AH29" s="220">
        <f ca="1">IF(HLOOKUP($F29,Jornada!$X$7:$AD$37,VLOOKUP(INDIRECT($C$5),Jornada!$C$8:$W$37,21,0),0)=0,0,VLOOKUP(INDIRECT($C$5),Jornada!$C$8:$H$37,4,0))</f>
        <v>0</v>
      </c>
      <c r="AI29" s="155">
        <f ca="1">IF(AND(I29=0,J29=0,OR(H29&lt;&gt;0,K29&lt;&gt;0),HLOOKUP($F29,Jornada!$X$7:$AD$37,VLOOKUP(INDIRECT($C$5),Jornada!$C$8:$W$37,21,0),0)&gt;$AK$5,M29&gt;$AK$5),VLOOKUP(INDIRECT($C$5),Jornada!$C$8:$H$37,6,0),IF(AG29&gt;VLOOKUP(INDIRECT($C$5),Jornada!$C$8:$H$37,6,0),IF(VLOOKUP(INDIRECT($C$5),Jornada!$C$8:$H$37,6,0)&lt;AG29,0,ABS(VLOOKUP(INDIRECT($C$5),Jornada!$C$8:$H$37,6,0))-AG29),0))</f>
        <v>0</v>
      </c>
      <c r="AJ29" s="155">
        <f t="shared" si="5"/>
        <v>1</v>
      </c>
      <c r="AK29" s="155">
        <f t="shared" si="6"/>
        <v>0</v>
      </c>
      <c r="AL29" s="155">
        <f ca="1">HLOOKUP($F29,Jornada!$I$5:$V$37,VLOOKUP(INDIRECT($C$5),Jornada!$C$8:$W$37,21,0)+2,0)</f>
        <v>0</v>
      </c>
      <c r="AM29" s="155">
        <f ca="1">HLOOKUP($F29,Jornada!$I$4:$V$37,VLOOKUP(INDIRECT($C$5),Jornada!$C$8:$W$37,21,0)+3,0)</f>
        <v>0</v>
      </c>
      <c r="AN29" s="155">
        <f t="shared" ca="1" si="7"/>
        <v>0</v>
      </c>
      <c r="AO29" s="155">
        <f t="shared" si="8"/>
        <v>0</v>
      </c>
      <c r="AP29" s="155">
        <f t="shared" si="9"/>
        <v>0</v>
      </c>
    </row>
    <row r="30" spans="1:59" s="2" customFormat="1" ht="30" customHeight="1" thickTop="1" thickBot="1" x14ac:dyDescent="0.25">
      <c r="A30" s="1"/>
      <c r="B30"/>
      <c r="C30" s="172" t="str">
        <f>IF(Funcionários!C29=0,"",Funcionários!C29)</f>
        <v/>
      </c>
      <c r="D30"/>
      <c r="E30" s="173">
        <f>Lanç!E30</f>
        <v>23</v>
      </c>
      <c r="F30" s="189" t="str">
        <f>Lanç!F30</f>
        <v>Seg</v>
      </c>
      <c r="G30" s="81"/>
      <c r="H30" s="94"/>
      <c r="I30" s="94"/>
      <c r="J30" s="94"/>
      <c r="K30" s="94"/>
      <c r="L30" s="10"/>
      <c r="M30" s="95">
        <f t="shared" si="1"/>
        <v>0</v>
      </c>
      <c r="N30" s="96"/>
      <c r="O30" s="95">
        <f ca="1">IF(OR(G30=0,G30="Férias",G30="Falta Justificada",G30="Feriado",G30="Folga (DSR)"),0,IF(G30="Falta Injustificada",HLOOKUP($F30,Jornada!$X$7:$AD$37,VLOOKUP(INDIRECT($C$5),Jornada!$C$8:$W$37,21,0),0),IF(HLOOKUP($F30,Jornada!$X$7:$AD$37,VLOOKUP(INDIRECT($C$5),Jornada!$C$8:$W$37,21,0),0)-M30&gt;0,HLOOKUP($F30,Jornada!$X$7:$AD$37,VLOOKUP(INDIRECT($C$5),Jornada!$C$8:$W$37,21,0),0)-M30,0)))</f>
        <v>0</v>
      </c>
      <c r="P30" s="190">
        <f ca="1">IF(HLOOKUP($F30,Jornada!$X$7:$AD$37,VLOOKUP(INDIRECT($C$5),Jornada!$C$8:$W$37,21,0),0)-M30&lt;0,ABS(HLOOKUP($F30,Jornada!$X$7:$AD$37,VLOOKUP(INDIRECT($C$5),Jornada!$C$8:$W$37,21,0),0)-M30),0)</f>
        <v>0</v>
      </c>
      <c r="Q30" s="95">
        <f t="shared" si="0"/>
        <v>0</v>
      </c>
      <c r="R30" s="2">
        <f>IF(Q30&gt;$R$7,1,0)</f>
        <v>0</v>
      </c>
      <c r="S30" s="13"/>
      <c r="T30" s="74"/>
      <c r="U30" s="74"/>
      <c r="X30" s="177"/>
      <c r="AB30" s="177">
        <f t="shared" si="10"/>
        <v>23</v>
      </c>
      <c r="AC30" s="2">
        <f>WEEKDAY(AB30)</f>
        <v>2</v>
      </c>
      <c r="AG30" s="220">
        <f t="shared" si="4"/>
        <v>0</v>
      </c>
      <c r="AH30" s="220">
        <f ca="1">IF(HLOOKUP($F30,Jornada!$X$7:$AD$37,VLOOKUP(INDIRECT($C$5),Jornada!$C$8:$W$37,21,0),0)=0,0,VLOOKUP(INDIRECT($C$5),Jornada!$C$8:$H$37,4,0))</f>
        <v>0</v>
      </c>
      <c r="AI30" s="155">
        <f ca="1">IF(AND(I30=0,J30=0,OR(H30&lt;&gt;0,K30&lt;&gt;0),HLOOKUP($F30,Jornada!$X$7:$AD$37,VLOOKUP(INDIRECT($C$5),Jornada!$C$8:$W$37,21,0),0)&gt;$AK$5,M30&gt;$AK$5),VLOOKUP(INDIRECT($C$5),Jornada!$C$8:$H$37,6,0),IF(AG30&gt;VLOOKUP(INDIRECT($C$5),Jornada!$C$8:$H$37,6,0),IF(VLOOKUP(INDIRECT($C$5),Jornada!$C$8:$H$37,6,0)&lt;AG30,0,ABS(VLOOKUP(INDIRECT($C$5),Jornada!$C$8:$H$37,6,0))-AG30),0))</f>
        <v>0</v>
      </c>
      <c r="AJ30" s="155">
        <f>($AJ$7-K30)+H30</f>
        <v>1</v>
      </c>
      <c r="AK30" s="155">
        <f>IF(AJ30&lt;$AK$7,$AK$7-AJ30,$AI$7)</f>
        <v>0</v>
      </c>
      <c r="AL30" s="155">
        <f ca="1">HLOOKUP($F30,Jornada!$I$5:$V$37,VLOOKUP(INDIRECT($C$5),Jornada!$C$8:$W$37,21,0)+2,0)</f>
        <v>0</v>
      </c>
      <c r="AM30" s="155">
        <f ca="1">HLOOKUP($F30,Jornada!$I$4:$V$37,VLOOKUP(INDIRECT($C$5),Jornada!$C$8:$W$37,21,0)+3,0)</f>
        <v>0</v>
      </c>
      <c r="AN30" s="155">
        <f t="shared" ca="1" si="7"/>
        <v>0</v>
      </c>
      <c r="AO30" s="155">
        <f t="shared" si="8"/>
        <v>0</v>
      </c>
      <c r="AP30" s="155">
        <f t="shared" si="9"/>
        <v>0</v>
      </c>
    </row>
    <row r="31" spans="1:59" s="2" customFormat="1" ht="30" customHeight="1" thickTop="1" thickBot="1" x14ac:dyDescent="0.25">
      <c r="A31" s="1"/>
      <c r="B31"/>
      <c r="C31" s="172" t="str">
        <f>IF(Funcionários!C30=0,"",Funcionários!C30)</f>
        <v/>
      </c>
      <c r="D31"/>
      <c r="E31" s="173">
        <f>Lanç!E31</f>
        <v>24</v>
      </c>
      <c r="F31" s="189" t="str">
        <f>Lanç!F31</f>
        <v>Ter</v>
      </c>
      <c r="G31" s="81"/>
      <c r="H31" s="94"/>
      <c r="I31" s="94"/>
      <c r="J31" s="94"/>
      <c r="K31" s="94"/>
      <c r="L31" s="10"/>
      <c r="M31" s="95">
        <f t="shared" si="1"/>
        <v>0</v>
      </c>
      <c r="N31" s="96"/>
      <c r="O31" s="95">
        <f ca="1">IF(OR(G31=0,G31="Férias",G31="Falta Justificada",G31="Feriado",G31="Folga (DSR)"),0,IF(G31="Falta Injustificada",HLOOKUP($F31,Jornada!$X$7:$AD$37,VLOOKUP(INDIRECT($C$5),Jornada!$C$8:$W$37,21,0),0),IF(HLOOKUP($F31,Jornada!$X$7:$AD$37,VLOOKUP(INDIRECT($C$5),Jornada!$C$8:$W$37,21,0),0)-M31&gt;0,HLOOKUP($F31,Jornada!$X$7:$AD$37,VLOOKUP(INDIRECT($C$5),Jornada!$C$8:$W$37,21,0),0)-M31,0)))</f>
        <v>0</v>
      </c>
      <c r="P31" s="190">
        <f ca="1">IF(HLOOKUP($F31,Jornada!$X$7:$AD$37,VLOOKUP(INDIRECT($C$5),Jornada!$C$8:$W$37,21,0),0)-M31&lt;0,ABS(HLOOKUP($F31,Jornada!$X$7:$AD$37,VLOOKUP(INDIRECT($C$5),Jornada!$C$8:$W$37,21,0),0)-M31),0)</f>
        <v>0</v>
      </c>
      <c r="Q31" s="95">
        <f t="shared" si="0"/>
        <v>0</v>
      </c>
      <c r="R31" s="2">
        <f>IF(Q31&gt;$R$7,1,0)</f>
        <v>0</v>
      </c>
      <c r="S31" s="13"/>
      <c r="T31" s="74"/>
      <c r="U31" s="74"/>
      <c r="X31" s="177"/>
      <c r="AB31" s="177">
        <f t="shared" si="10"/>
        <v>24</v>
      </c>
      <c r="AC31" s="2">
        <f>WEEKDAY(AB31)</f>
        <v>3</v>
      </c>
      <c r="AG31" s="220">
        <f t="shared" si="4"/>
        <v>0</v>
      </c>
      <c r="AH31" s="220">
        <f ca="1">IF(HLOOKUP($F31,Jornada!$X$7:$AD$37,VLOOKUP(INDIRECT($C$5),Jornada!$C$8:$W$37,21,0),0)=0,0,VLOOKUP(INDIRECT($C$5),Jornada!$C$8:$H$37,4,0))</f>
        <v>0</v>
      </c>
      <c r="AI31" s="155">
        <f ca="1">IF(AND(I31=0,J31=0,OR(H31&lt;&gt;0,K31&lt;&gt;0),HLOOKUP($F31,Jornada!$X$7:$AD$37,VLOOKUP(INDIRECT($C$5),Jornada!$C$8:$W$37,21,0),0)&gt;$AK$5,M31&gt;$AK$5),VLOOKUP(INDIRECT($C$5),Jornada!$C$8:$H$37,6,0),IF(AG31&gt;VLOOKUP(INDIRECT($C$5),Jornada!$C$8:$H$37,6,0),IF(VLOOKUP(INDIRECT($C$5),Jornada!$C$8:$H$37,6,0)&lt;AG31,0,ABS(VLOOKUP(INDIRECT($C$5),Jornada!$C$8:$H$37,6,0))-AG31),0))</f>
        <v>0</v>
      </c>
      <c r="AJ31" s="155">
        <f>($AJ$7-K31)+H31</f>
        <v>1</v>
      </c>
      <c r="AK31" s="155">
        <f>IF(AJ31&lt;$AK$7,$AK$7-AJ31,$AI$7)</f>
        <v>0</v>
      </c>
      <c r="AL31" s="155">
        <f ca="1">HLOOKUP($F31,Jornada!$I$5:$V$37,VLOOKUP(INDIRECT($C$5),Jornada!$C$8:$W$37,21,0)+2,0)</f>
        <v>0</v>
      </c>
      <c r="AM31" s="155">
        <f ca="1">HLOOKUP($F31,Jornada!$I$4:$V$37,VLOOKUP(INDIRECT($C$5),Jornada!$C$8:$W$37,21,0)+3,0)</f>
        <v>0</v>
      </c>
      <c r="AN31" s="155">
        <f t="shared" ca="1" si="7"/>
        <v>0</v>
      </c>
      <c r="AO31" s="155">
        <f t="shared" si="8"/>
        <v>0</v>
      </c>
      <c r="AP31" s="155">
        <f t="shared" si="9"/>
        <v>0</v>
      </c>
    </row>
    <row r="32" spans="1:59" s="2" customFormat="1" ht="30" customHeight="1" thickTop="1" thickBot="1" x14ac:dyDescent="0.25">
      <c r="A32" s="1"/>
      <c r="B32"/>
      <c r="C32" s="172" t="str">
        <f>IF(Funcionários!C31=0,"",Funcionários!C31)</f>
        <v/>
      </c>
      <c r="D32"/>
      <c r="E32" s="115">
        <f>Lanç!E32</f>
        <v>25</v>
      </c>
      <c r="F32" s="189" t="str">
        <f>Lanç!F32</f>
        <v>Qua</v>
      </c>
      <c r="G32" s="81"/>
      <c r="H32" s="94"/>
      <c r="I32" s="94"/>
      <c r="J32" s="94"/>
      <c r="K32" s="94"/>
      <c r="L32" s="10"/>
      <c r="M32" s="95">
        <f t="shared" si="1"/>
        <v>0</v>
      </c>
      <c r="N32" s="96"/>
      <c r="O32" s="95">
        <f ca="1">IF(OR(G32=0,G32="Férias",G32="Falta Justificada",G32="Feriado",G32="Folga (DSR)"),0,IF(G32="Falta Injustificada",HLOOKUP($F32,Jornada!$X$7:$AD$37,VLOOKUP(INDIRECT($C$5),Jornada!$C$8:$W$37,21,0),0),IF(HLOOKUP($F32,Jornada!$X$7:$AD$37,VLOOKUP(INDIRECT($C$5),Jornada!$C$8:$W$37,21,0),0)-M32&gt;0,HLOOKUP($F32,Jornada!$X$7:$AD$37,VLOOKUP(INDIRECT($C$5),Jornada!$C$8:$W$37,21,0),0)-M32,0)))</f>
        <v>0</v>
      </c>
      <c r="P32" s="190">
        <f ca="1">IF(HLOOKUP($F32,Jornada!$X$7:$AD$37,VLOOKUP(INDIRECT($C$5),Jornada!$C$8:$W$37,21,0),0)-M32&lt;0,ABS(HLOOKUP($F32,Jornada!$X$7:$AD$37,VLOOKUP(INDIRECT($C$5),Jornada!$C$8:$W$37,21,0),0)-M32),0)</f>
        <v>0</v>
      </c>
      <c r="Q32" s="95">
        <f t="shared" si="0"/>
        <v>0</v>
      </c>
      <c r="R32" s="2">
        <f t="shared" si="2"/>
        <v>0</v>
      </c>
      <c r="S32" s="74"/>
      <c r="T32" s="74"/>
      <c r="U32" s="74"/>
      <c r="X32" s="177"/>
      <c r="AB32" s="177">
        <f t="shared" si="10"/>
        <v>25</v>
      </c>
      <c r="AC32" s="2">
        <f t="shared" si="3"/>
        <v>4</v>
      </c>
      <c r="AG32" s="220">
        <f t="shared" si="4"/>
        <v>0</v>
      </c>
      <c r="AH32" s="220">
        <f ca="1">IF(HLOOKUP($F32,Jornada!$X$7:$AD$37,VLOOKUP(INDIRECT($C$5),Jornada!$C$8:$W$37,21,0),0)=0,0,VLOOKUP(INDIRECT($C$5),Jornada!$C$8:$H$37,4,0))</f>
        <v>0</v>
      </c>
      <c r="AI32" s="155">
        <f ca="1">IF(AND(I32=0,J32=0,OR(H32&lt;&gt;0,K32&lt;&gt;0),HLOOKUP($F32,Jornada!$X$7:$AD$37,VLOOKUP(INDIRECT($C$5),Jornada!$C$8:$W$37,21,0),0)&gt;$AK$5,M32&gt;$AK$5),VLOOKUP(INDIRECT($C$5),Jornada!$C$8:$H$37,6,0),IF(AG32&gt;VLOOKUP(INDIRECT($C$5),Jornada!$C$8:$H$37,6,0),IF(VLOOKUP(INDIRECT($C$5),Jornada!$C$8:$H$37,6,0)&lt;AG32,0,ABS(VLOOKUP(INDIRECT($C$5),Jornada!$C$8:$H$37,6,0))-AG32),0))</f>
        <v>0</v>
      </c>
      <c r="AJ32" s="155">
        <f t="shared" si="5"/>
        <v>1</v>
      </c>
      <c r="AK32" s="155">
        <f t="shared" si="6"/>
        <v>0</v>
      </c>
      <c r="AL32" s="155">
        <f ca="1">HLOOKUP($F32,Jornada!$I$5:$V$37,VLOOKUP(INDIRECT($C$5),Jornada!$C$8:$W$37,21,0)+2,0)</f>
        <v>0</v>
      </c>
      <c r="AM32" s="155">
        <f ca="1">HLOOKUP($F32,Jornada!$I$4:$V$37,VLOOKUP(INDIRECT($C$5),Jornada!$C$8:$W$37,21,0)+3,0)</f>
        <v>0</v>
      </c>
      <c r="AN32" s="155">
        <f t="shared" ca="1" si="7"/>
        <v>0</v>
      </c>
      <c r="AO32" s="155">
        <f t="shared" si="8"/>
        <v>0</v>
      </c>
      <c r="AP32" s="155">
        <f t="shared" si="9"/>
        <v>0</v>
      </c>
    </row>
    <row r="33" spans="1:42" s="2" customFormat="1" ht="30" customHeight="1" thickTop="1" thickBot="1" x14ac:dyDescent="0.25">
      <c r="A33" s="1"/>
      <c r="B33"/>
      <c r="C33" s="172" t="str">
        <f>IF(Funcionários!C32=0,"",Funcionários!C32)</f>
        <v/>
      </c>
      <c r="D33"/>
      <c r="E33" s="115">
        <f>Lanç!E33</f>
        <v>26</v>
      </c>
      <c r="F33" s="189" t="str">
        <f>Lanç!F33</f>
        <v>Qui</v>
      </c>
      <c r="G33" s="81"/>
      <c r="H33" s="94"/>
      <c r="I33" s="94"/>
      <c r="J33" s="94"/>
      <c r="K33" s="94"/>
      <c r="L33" s="10"/>
      <c r="M33" s="95">
        <f t="shared" si="1"/>
        <v>0</v>
      </c>
      <c r="N33" s="96"/>
      <c r="O33" s="95">
        <f ca="1">IF(OR(G33=0,G33="Férias",G33="Falta Justificada",G33="Feriado",G33="Folga (DSR)"),0,IF(G33="Falta Injustificada",HLOOKUP($F33,Jornada!$X$7:$AD$37,VLOOKUP(INDIRECT($C$5),Jornada!$C$8:$W$37,21,0),0),IF(HLOOKUP($F33,Jornada!$X$7:$AD$37,VLOOKUP(INDIRECT($C$5),Jornada!$C$8:$W$37,21,0),0)-M33&gt;0,HLOOKUP($F33,Jornada!$X$7:$AD$37,VLOOKUP(INDIRECT($C$5),Jornada!$C$8:$W$37,21,0),0)-M33,0)))</f>
        <v>0</v>
      </c>
      <c r="P33" s="190">
        <f ca="1">IF(HLOOKUP($F33,Jornada!$X$7:$AD$37,VLOOKUP(INDIRECT($C$5),Jornada!$C$8:$W$37,21,0),0)-M33&lt;0,ABS(HLOOKUP($F33,Jornada!$X$7:$AD$37,VLOOKUP(INDIRECT($C$5),Jornada!$C$8:$W$37,21,0),0)-M33),0)</f>
        <v>0</v>
      </c>
      <c r="Q33" s="95">
        <f t="shared" si="0"/>
        <v>0</v>
      </c>
      <c r="R33" s="2">
        <f t="shared" si="2"/>
        <v>0</v>
      </c>
      <c r="S33" s="74"/>
      <c r="T33" s="74"/>
      <c r="U33" s="74"/>
      <c r="X33" s="177"/>
      <c r="AB33" s="177">
        <f t="shared" si="10"/>
        <v>26</v>
      </c>
      <c r="AC33" s="2">
        <f t="shared" si="3"/>
        <v>5</v>
      </c>
      <c r="AG33" s="220">
        <f t="shared" si="4"/>
        <v>0</v>
      </c>
      <c r="AH33" s="220">
        <f ca="1">IF(HLOOKUP($F33,Jornada!$X$7:$AD$37,VLOOKUP(INDIRECT($C$5),Jornada!$C$8:$W$37,21,0),0)=0,0,VLOOKUP(INDIRECT($C$5),Jornada!$C$8:$H$37,4,0))</f>
        <v>0</v>
      </c>
      <c r="AI33" s="155">
        <f ca="1">IF(AND(I33=0,J33=0,OR(H33&lt;&gt;0,K33&lt;&gt;0),HLOOKUP($F33,Jornada!$X$7:$AD$37,VLOOKUP(INDIRECT($C$5),Jornada!$C$8:$W$37,21,0),0)&gt;$AK$5,M33&gt;$AK$5),VLOOKUP(INDIRECT($C$5),Jornada!$C$8:$H$37,6,0),IF(AG33&gt;VLOOKUP(INDIRECT($C$5),Jornada!$C$8:$H$37,6,0),IF(VLOOKUP(INDIRECT($C$5),Jornada!$C$8:$H$37,6,0)&lt;AG33,0,ABS(VLOOKUP(INDIRECT($C$5),Jornada!$C$8:$H$37,6,0))-AG33),0))</f>
        <v>0</v>
      </c>
      <c r="AJ33" s="155">
        <f t="shared" si="5"/>
        <v>1</v>
      </c>
      <c r="AK33" s="155">
        <f t="shared" si="6"/>
        <v>0</v>
      </c>
      <c r="AL33" s="155">
        <f ca="1">HLOOKUP($F33,Jornada!$I$5:$V$37,VLOOKUP(INDIRECT($C$5),Jornada!$C$8:$W$37,21,0)+2,0)</f>
        <v>0</v>
      </c>
      <c r="AM33" s="155">
        <f ca="1">HLOOKUP($F33,Jornada!$I$4:$V$37,VLOOKUP(INDIRECT($C$5),Jornada!$C$8:$W$37,21,0)+3,0)</f>
        <v>0</v>
      </c>
      <c r="AN33" s="155">
        <f t="shared" ca="1" si="7"/>
        <v>0</v>
      </c>
      <c r="AO33" s="155">
        <f t="shared" si="8"/>
        <v>0</v>
      </c>
      <c r="AP33" s="155">
        <f t="shared" si="9"/>
        <v>0</v>
      </c>
    </row>
    <row r="34" spans="1:42" s="2" customFormat="1" ht="30" customHeight="1" thickTop="1" thickBot="1" x14ac:dyDescent="0.25">
      <c r="A34" s="1"/>
      <c r="B34"/>
      <c r="C34" s="172" t="str">
        <f>IF(Funcionários!C33=0,"",Funcionários!C33)</f>
        <v/>
      </c>
      <c r="D34"/>
      <c r="E34" s="115">
        <f>Lanç!E34</f>
        <v>27</v>
      </c>
      <c r="F34" s="189" t="str">
        <f>Lanç!F34</f>
        <v>Sex</v>
      </c>
      <c r="G34" s="81"/>
      <c r="H34" s="94"/>
      <c r="I34" s="94"/>
      <c r="J34" s="94"/>
      <c r="K34" s="94"/>
      <c r="L34" s="10"/>
      <c r="M34" s="95">
        <f t="shared" si="1"/>
        <v>0</v>
      </c>
      <c r="N34" s="96"/>
      <c r="O34" s="95">
        <f ca="1">IF(OR(G34=0,G34="Férias",G34="Falta Justificada",G34="Feriado",G34="Folga (DSR)"),0,IF(G34="Falta Injustificada",HLOOKUP($F34,Jornada!$X$7:$AD$37,VLOOKUP(INDIRECT($C$5),Jornada!$C$8:$W$37,21,0),0),IF(HLOOKUP($F34,Jornada!$X$7:$AD$37,VLOOKUP(INDIRECT($C$5),Jornada!$C$8:$W$37,21,0),0)-M34&gt;0,HLOOKUP($F34,Jornada!$X$7:$AD$37,VLOOKUP(INDIRECT($C$5),Jornada!$C$8:$W$37,21,0),0)-M34,0)))</f>
        <v>0</v>
      </c>
      <c r="P34" s="190">
        <f ca="1">IF(HLOOKUP($F34,Jornada!$X$7:$AD$37,VLOOKUP(INDIRECT($C$5),Jornada!$C$8:$W$37,21,0),0)-M34&lt;0,ABS(HLOOKUP($F34,Jornada!$X$7:$AD$37,VLOOKUP(INDIRECT($C$5),Jornada!$C$8:$W$37,21,0),0)-M34),0)</f>
        <v>0</v>
      </c>
      <c r="Q34" s="95">
        <f t="shared" si="0"/>
        <v>0</v>
      </c>
      <c r="R34" s="2">
        <f t="shared" si="2"/>
        <v>0</v>
      </c>
      <c r="S34" s="74"/>
      <c r="T34" s="74"/>
      <c r="U34" s="74"/>
      <c r="X34" s="177"/>
      <c r="AB34" s="177">
        <f t="shared" si="10"/>
        <v>27</v>
      </c>
      <c r="AC34" s="2">
        <f t="shared" si="3"/>
        <v>6</v>
      </c>
      <c r="AG34" s="220">
        <f t="shared" si="4"/>
        <v>0</v>
      </c>
      <c r="AH34" s="220">
        <f ca="1">IF(HLOOKUP($F34,Jornada!$X$7:$AD$37,VLOOKUP(INDIRECT($C$5),Jornada!$C$8:$W$37,21,0),0)=0,0,VLOOKUP(INDIRECT($C$5),Jornada!$C$8:$H$37,4,0))</f>
        <v>0</v>
      </c>
      <c r="AI34" s="155">
        <f ca="1">IF(AND(I34=0,J34=0,OR(H34&lt;&gt;0,K34&lt;&gt;0),HLOOKUP($F34,Jornada!$X$7:$AD$37,VLOOKUP(INDIRECT($C$5),Jornada!$C$8:$W$37,21,0),0)&gt;$AK$5,M34&gt;$AK$5),VLOOKUP(INDIRECT($C$5),Jornada!$C$8:$H$37,6,0),IF(AG34&gt;VLOOKUP(INDIRECT($C$5),Jornada!$C$8:$H$37,6,0),IF(VLOOKUP(INDIRECT($C$5),Jornada!$C$8:$H$37,6,0)&lt;AG34,0,ABS(VLOOKUP(INDIRECT($C$5),Jornada!$C$8:$H$37,6,0))-AG34),0))</f>
        <v>0</v>
      </c>
      <c r="AJ34" s="155">
        <f t="shared" si="5"/>
        <v>1</v>
      </c>
      <c r="AK34" s="155">
        <f t="shared" si="6"/>
        <v>0</v>
      </c>
      <c r="AL34" s="155">
        <f ca="1">HLOOKUP($F34,Jornada!$I$5:$V$37,VLOOKUP(INDIRECT($C$5),Jornada!$C$8:$W$37,21,0)+2,0)</f>
        <v>0</v>
      </c>
      <c r="AM34" s="155">
        <f ca="1">HLOOKUP($F34,Jornada!$I$4:$V$37,VLOOKUP(INDIRECT($C$5),Jornada!$C$8:$W$37,21,0)+3,0)</f>
        <v>0</v>
      </c>
      <c r="AN34" s="155">
        <f t="shared" ca="1" si="7"/>
        <v>0</v>
      </c>
      <c r="AO34" s="155">
        <f t="shared" si="8"/>
        <v>0</v>
      </c>
      <c r="AP34" s="155">
        <f t="shared" si="9"/>
        <v>0</v>
      </c>
    </row>
    <row r="35" spans="1:42" s="2" customFormat="1" ht="30" customHeight="1" thickTop="1" thickBot="1" x14ac:dyDescent="0.25">
      <c r="A35" s="1"/>
      <c r="B35"/>
      <c r="C35" s="172" t="str">
        <f>IF(Funcionários!C34=0,"",Funcionários!C34)</f>
        <v/>
      </c>
      <c r="D35"/>
      <c r="E35" s="115">
        <f>Lanç!E35</f>
        <v>28</v>
      </c>
      <c r="F35" s="189" t="str">
        <f>Lanç!F35</f>
        <v>Sáb</v>
      </c>
      <c r="G35" s="81"/>
      <c r="H35" s="94"/>
      <c r="I35" s="94"/>
      <c r="J35" s="94"/>
      <c r="K35" s="94"/>
      <c r="L35" s="10"/>
      <c r="M35" s="95">
        <f t="shared" si="1"/>
        <v>0</v>
      </c>
      <c r="N35" s="96"/>
      <c r="O35" s="95">
        <f ca="1">IF(OR(G35=0,G35="Férias",G35="Falta Justificada",G35="Feriado",G35="Folga (DSR)"),0,IF(G35="Falta Injustificada",HLOOKUP($F35,Jornada!$X$7:$AD$37,VLOOKUP(INDIRECT($C$5),Jornada!$C$8:$W$37,21,0),0),IF(HLOOKUP($F35,Jornada!$X$7:$AD$37,VLOOKUP(INDIRECT($C$5),Jornada!$C$8:$W$37,21,0),0)-M35&gt;0,HLOOKUP($F35,Jornada!$X$7:$AD$37,VLOOKUP(INDIRECT($C$5),Jornada!$C$8:$W$37,21,0),0)-M35,0)))</f>
        <v>0</v>
      </c>
      <c r="P35" s="190">
        <f ca="1">IF(HLOOKUP($F35,Jornada!$X$7:$AD$37,VLOOKUP(INDIRECT($C$5),Jornada!$C$8:$W$37,21,0),0)-M35&lt;0,ABS(HLOOKUP($F35,Jornada!$X$7:$AD$37,VLOOKUP(INDIRECT($C$5),Jornada!$C$8:$W$37,21,0),0)-M35),0)</f>
        <v>0</v>
      </c>
      <c r="Q35" s="95">
        <f t="shared" si="0"/>
        <v>0</v>
      </c>
      <c r="R35" s="2">
        <f t="shared" si="2"/>
        <v>0</v>
      </c>
      <c r="S35"/>
      <c r="T35"/>
      <c r="U35"/>
      <c r="X35" s="177"/>
      <c r="AB35" s="177">
        <f>IF(MONTH(AB34+1)&lt;&gt;MONTH(AB34),"",AB34+1)</f>
        <v>28</v>
      </c>
      <c r="AC35" s="2">
        <f t="shared" si="3"/>
        <v>7</v>
      </c>
      <c r="AG35" s="220">
        <f t="shared" si="4"/>
        <v>0</v>
      </c>
      <c r="AH35" s="220">
        <f ca="1">IF(HLOOKUP($F35,Jornada!$X$7:$AD$37,VLOOKUP(INDIRECT($C$5),Jornada!$C$8:$W$37,21,0),0)=0,0,VLOOKUP(INDIRECT($C$5),Jornada!$C$8:$H$37,4,0))</f>
        <v>0</v>
      </c>
      <c r="AI35" s="155">
        <f ca="1">IF(AND(I35=0,J35=0,OR(H35&lt;&gt;0,K35&lt;&gt;0),HLOOKUP($F35,Jornada!$X$7:$AD$37,VLOOKUP(INDIRECT($C$5),Jornada!$C$8:$W$37,21,0),0)&gt;$AK$5,M35&gt;$AK$5),VLOOKUP(INDIRECT($C$5),Jornada!$C$8:$H$37,6,0),IF(AG35&gt;VLOOKUP(INDIRECT($C$5),Jornada!$C$8:$H$37,6,0),IF(VLOOKUP(INDIRECT($C$5),Jornada!$C$8:$H$37,6,0)&lt;AG35,0,ABS(VLOOKUP(INDIRECT($C$5),Jornada!$C$8:$H$37,6,0))-AG35),0))</f>
        <v>0</v>
      </c>
      <c r="AJ35" s="155">
        <f t="shared" si="5"/>
        <v>1</v>
      </c>
      <c r="AK35" s="155">
        <f t="shared" si="6"/>
        <v>0</v>
      </c>
      <c r="AL35" s="155">
        <f ca="1">HLOOKUP($F35,Jornada!$I$5:$V$37,VLOOKUP(INDIRECT($C$5),Jornada!$C$8:$W$37,21,0)+2,0)</f>
        <v>0</v>
      </c>
      <c r="AM35" s="155">
        <f ca="1">HLOOKUP($F35,Jornada!$I$4:$V$37,VLOOKUP(INDIRECT($C$5),Jornada!$C$8:$W$37,21,0)+3,0)</f>
        <v>0</v>
      </c>
      <c r="AN35" s="155">
        <f t="shared" ca="1" si="7"/>
        <v>0</v>
      </c>
      <c r="AO35" s="155">
        <f t="shared" si="8"/>
        <v>0</v>
      </c>
      <c r="AP35" s="155">
        <f t="shared" si="9"/>
        <v>0</v>
      </c>
    </row>
    <row r="36" spans="1:42" s="2" customFormat="1" ht="30" customHeight="1" thickTop="1" thickBot="1" x14ac:dyDescent="0.25">
      <c r="A36" s="1"/>
      <c r="B36"/>
      <c r="C36" s="172" t="str">
        <f>IF(Funcionários!C35=0,"",Funcionários!C35)</f>
        <v/>
      </c>
      <c r="D36"/>
      <c r="E36" s="115">
        <f>Lanç!E36</f>
        <v>29</v>
      </c>
      <c r="F36" s="189" t="str">
        <f>Lanç!F36</f>
        <v>Dom</v>
      </c>
      <c r="G36" s="81"/>
      <c r="H36" s="94"/>
      <c r="I36" s="94"/>
      <c r="J36" s="94"/>
      <c r="K36" s="94"/>
      <c r="L36" s="10"/>
      <c r="M36" s="95">
        <f t="shared" si="1"/>
        <v>0</v>
      </c>
      <c r="N36" s="96"/>
      <c r="O36" s="95">
        <f ca="1">IF(OR(G36=0,G36="Férias",G36="Falta Justificada",G36="Feriado",G36="Folga (DSR)"),0,IF(G36="Falta Injustificada",HLOOKUP($F36,Jornada!$X$7:$AD$37,VLOOKUP(INDIRECT($C$5),Jornada!$C$8:$W$37,21,0),0),IF(HLOOKUP($F36,Jornada!$X$7:$AD$37,VLOOKUP(INDIRECT($C$5),Jornada!$C$8:$W$37,21,0),0)-M36&gt;0,HLOOKUP($F36,Jornada!$X$7:$AD$37,VLOOKUP(INDIRECT($C$5),Jornada!$C$8:$W$37,21,0),0)-M36,0)))</f>
        <v>0</v>
      </c>
      <c r="P36" s="190">
        <f ca="1">IF(HLOOKUP($F36,Jornada!$X$7:$AD$37,VLOOKUP(INDIRECT($C$5),Jornada!$C$8:$W$37,21,0),0)-M36&lt;0,ABS(HLOOKUP($F36,Jornada!$X$7:$AD$37,VLOOKUP(INDIRECT($C$5),Jornada!$C$8:$W$37,21,0),0)-M36),0)</f>
        <v>0</v>
      </c>
      <c r="Q36" s="95">
        <f t="shared" si="0"/>
        <v>0</v>
      </c>
      <c r="R36" s="2">
        <f t="shared" si="2"/>
        <v>0</v>
      </c>
      <c r="S36"/>
      <c r="T36"/>
      <c r="U36"/>
      <c r="X36" s="177"/>
      <c r="AB36" s="177">
        <f>IF(MONTH(AB35+1)&lt;&gt;MONTH(AB35),"",IF(AB35="","",AB35+1))</f>
        <v>29</v>
      </c>
      <c r="AC36" s="2">
        <f>IF(ISERROR(WEEKDAY(AB36)),"",WEEKDAY(AB36))</f>
        <v>1</v>
      </c>
      <c r="AG36" s="220">
        <f t="shared" si="4"/>
        <v>0</v>
      </c>
      <c r="AH36" s="220">
        <f ca="1">IF(HLOOKUP($F36,Jornada!$X$7:$AD$37,VLOOKUP(INDIRECT($C$5),Jornada!$C$8:$W$37,21,0),0)=0,0,VLOOKUP(INDIRECT($C$5),Jornada!$C$8:$H$37,4,0))</f>
        <v>0</v>
      </c>
      <c r="AI36" s="155">
        <f ca="1">IF(AND(I36=0,J36=0,OR(H36&lt;&gt;0,K36&lt;&gt;0),HLOOKUP($F36,Jornada!$X$7:$AD$37,VLOOKUP(INDIRECT($C$5),Jornada!$C$8:$W$37,21,0),0)&gt;$AK$5,M36&gt;$AK$5),VLOOKUP(INDIRECT($C$5),Jornada!$C$8:$H$37,6,0),IF(AG36&gt;VLOOKUP(INDIRECT($C$5),Jornada!$C$8:$H$37,6,0),IF(VLOOKUP(INDIRECT($C$5),Jornada!$C$8:$H$37,6,0)&lt;AG36,0,ABS(VLOOKUP(INDIRECT($C$5),Jornada!$C$8:$H$37,6,0))-AG36),0))</f>
        <v>0</v>
      </c>
      <c r="AJ36" s="155">
        <f t="shared" si="5"/>
        <v>1</v>
      </c>
      <c r="AK36" s="155">
        <f t="shared" si="6"/>
        <v>0</v>
      </c>
      <c r="AL36" s="155">
        <f ca="1">HLOOKUP($F36,Jornada!$I$5:$V$37,VLOOKUP(INDIRECT($C$5),Jornada!$C$8:$W$37,21,0)+2,0)</f>
        <v>0</v>
      </c>
      <c r="AM36" s="155">
        <f ca="1">HLOOKUP($F36,Jornada!$I$4:$V$37,VLOOKUP(INDIRECT($C$5),Jornada!$C$8:$W$37,21,0)+3,0)</f>
        <v>0</v>
      </c>
      <c r="AN36" s="155">
        <f t="shared" ca="1" si="7"/>
        <v>0</v>
      </c>
      <c r="AO36" s="155">
        <f t="shared" si="8"/>
        <v>0</v>
      </c>
      <c r="AP36" s="155">
        <f t="shared" si="9"/>
        <v>0</v>
      </c>
    </row>
    <row r="37" spans="1:42" s="2" customFormat="1" ht="30" customHeight="1" thickTop="1" thickBot="1" x14ac:dyDescent="0.25">
      <c r="A37" s="1"/>
      <c r="B37"/>
      <c r="C37" s="172" t="str">
        <f>IF(Funcionários!C36=0,"",Funcionários!C36)</f>
        <v/>
      </c>
      <c r="D37"/>
      <c r="E37" s="115">
        <f>Lanç!E37</f>
        <v>30</v>
      </c>
      <c r="F37" s="189" t="str">
        <f>Lanç!F37</f>
        <v>Seg</v>
      </c>
      <c r="G37" s="81"/>
      <c r="H37" s="94"/>
      <c r="I37" s="94"/>
      <c r="J37" s="94"/>
      <c r="K37" s="94"/>
      <c r="L37" s="10"/>
      <c r="M37" s="95">
        <f t="shared" si="1"/>
        <v>0</v>
      </c>
      <c r="N37" s="96"/>
      <c r="O37" s="95">
        <f ca="1">IF(OR(G37=0,G37="Férias",G37="Falta Justificada",G37="Feriado",G37="Folga (DSR)"),0,IF(G37="Falta Injustificada",HLOOKUP($F37,Jornada!$X$7:$AD$37,VLOOKUP(INDIRECT($C$5),Jornada!$C$8:$W$37,21,0),0),IF(HLOOKUP($F37,Jornada!$X$7:$AD$37,VLOOKUP(INDIRECT($C$5),Jornada!$C$8:$W$37,21,0),0)-M37&gt;0,HLOOKUP($F37,Jornada!$X$7:$AD$37,VLOOKUP(INDIRECT($C$5),Jornada!$C$8:$W$37,21,0),0)-M37,0)))</f>
        <v>0</v>
      </c>
      <c r="P37" s="190">
        <f ca="1">IF(HLOOKUP($F37,Jornada!$X$7:$AD$37,VLOOKUP(INDIRECT($C$5),Jornada!$C$8:$W$37,21,0),0)-M37&lt;0,ABS(HLOOKUP($F37,Jornada!$X$7:$AD$37,VLOOKUP(INDIRECT($C$5),Jornada!$C$8:$W$37,21,0),0)-M37),0)</f>
        <v>0</v>
      </c>
      <c r="Q37" s="95">
        <f t="shared" si="0"/>
        <v>0</v>
      </c>
      <c r="R37" s="2">
        <f t="shared" si="2"/>
        <v>0</v>
      </c>
      <c r="S37"/>
      <c r="T37"/>
      <c r="U37"/>
      <c r="X37" s="177"/>
      <c r="AB37" s="177">
        <f>IF(AB36="","",IF(MONTH(AB36+1)&lt;&gt;MONTH(AB36),"",AB36+1))</f>
        <v>30</v>
      </c>
      <c r="AC37" s="2">
        <f>IF(ISERROR(WEEKDAY(AB37)),"",WEEKDAY(AB37))</f>
        <v>2</v>
      </c>
      <c r="AG37" s="220">
        <f t="shared" si="4"/>
        <v>0</v>
      </c>
      <c r="AH37" s="220">
        <f ca="1">IF(HLOOKUP($F37,Jornada!$X$7:$AD$37,VLOOKUP(INDIRECT($C$5),Jornada!$C$8:$W$37,21,0),0)=0,0,VLOOKUP(INDIRECT($C$5),Jornada!$C$8:$H$37,4,0))</f>
        <v>0</v>
      </c>
      <c r="AI37" s="155">
        <f ca="1">IF(AND(I37=0,J37=0,OR(H37&lt;&gt;0,K37&lt;&gt;0),HLOOKUP($F37,Jornada!$X$7:$AD$37,VLOOKUP(INDIRECT($C$5),Jornada!$C$8:$W$37,21,0),0)&gt;$AK$5,M37&gt;$AK$5),VLOOKUP(INDIRECT($C$5),Jornada!$C$8:$H$37,6,0),IF(AG37&gt;VLOOKUP(INDIRECT($C$5),Jornada!$C$8:$H$37,6,0),IF(VLOOKUP(INDIRECT($C$5),Jornada!$C$8:$H$37,6,0)&lt;AG37,0,ABS(VLOOKUP(INDIRECT($C$5),Jornada!$C$8:$H$37,6,0))-AG37),0))</f>
        <v>0</v>
      </c>
      <c r="AJ37" s="155">
        <f t="shared" si="5"/>
        <v>1</v>
      </c>
      <c r="AK37" s="155">
        <f t="shared" si="6"/>
        <v>0</v>
      </c>
      <c r="AL37" s="155">
        <f ca="1">HLOOKUP($F37,Jornada!$I$5:$V$37,VLOOKUP(INDIRECT($C$5),Jornada!$C$8:$W$37,21,0)+2,0)</f>
        <v>0</v>
      </c>
      <c r="AM37" s="155">
        <f ca="1">HLOOKUP($F37,Jornada!$I$4:$V$37,VLOOKUP(INDIRECT($C$5),Jornada!$C$8:$W$37,21,0)+3,0)</f>
        <v>0</v>
      </c>
      <c r="AN37" s="155">
        <f t="shared" ca="1" si="7"/>
        <v>0</v>
      </c>
      <c r="AO37" s="155">
        <f t="shared" si="8"/>
        <v>0</v>
      </c>
      <c r="AP37" s="155">
        <f t="shared" si="9"/>
        <v>0</v>
      </c>
    </row>
    <row r="38" spans="1:42" s="2" customFormat="1" ht="30" customHeight="1" thickTop="1" thickBot="1" x14ac:dyDescent="0.25">
      <c r="A38" s="1"/>
      <c r="B38"/>
      <c r="C38"/>
      <c r="D38" s="2">
        <f t="shared" ref="D38" si="11">IF(D37=7,1,D37+1)</f>
        <v>1</v>
      </c>
      <c r="E38" s="210">
        <f>Lanç!E38</f>
        <v>31</v>
      </c>
      <c r="F38" s="210" t="str">
        <f>Lanç!F38</f>
        <v>Ter</v>
      </c>
      <c r="G38" s="81"/>
      <c r="H38" s="94"/>
      <c r="I38" s="94"/>
      <c r="J38" s="94"/>
      <c r="K38" s="94"/>
      <c r="L38" s="197"/>
      <c r="M38" s="95">
        <f t="shared" si="1"/>
        <v>0</v>
      </c>
      <c r="N38" s="196"/>
      <c r="O38" s="95">
        <f ca="1">IF(OR(G38=0,G38="Férias",G38="Falta Justificada",G38="Feriado",G38="Folga (DSR)"),0,IF(G38="Falta Injustificada",HLOOKUP($F38,Jornada!$X$7:$AD$37,VLOOKUP(INDIRECT($C$5),Jornada!$C$8:$W$37,21,0),0),IF(HLOOKUP($F38,Jornada!$X$7:$AD$37,VLOOKUP(INDIRECT($C$5),Jornada!$C$8:$W$37,21,0),0)-M38&gt;0,HLOOKUP($F38,Jornada!$X$7:$AD$37,VLOOKUP(INDIRECT($C$5),Jornada!$C$8:$W$37,21,0),0)-M38,0)))</f>
        <v>0</v>
      </c>
      <c r="P38" s="201">
        <f ca="1">IF(HLOOKUP($F38,Jornada!$X$7:$AD$37,VLOOKUP(INDIRECT($C$5),Jornada!$C$8:$W$37,21,0),0)-M38&lt;0,ABS(HLOOKUP($F38,Jornada!$X$7:$AD$37,VLOOKUP(INDIRECT($C$5),Jornada!$C$8:$W$37,21,0),0)-M38),0)</f>
        <v>0</v>
      </c>
      <c r="Q38" s="95">
        <f t="shared" si="0"/>
        <v>0</v>
      </c>
      <c r="R38" s="2">
        <f t="shared" si="2"/>
        <v>0</v>
      </c>
      <c r="X38" s="177"/>
      <c r="AB38" s="177">
        <f>IF(AB37="","",IF(MONTH(AB37+1)&lt;&gt;MONTH(AB37),"",AB37+1))</f>
        <v>31</v>
      </c>
      <c r="AC38" s="2">
        <f>IF(ISERROR(WEEKDAY(AB38)),"",WEEKDAY(AB38))</f>
        <v>3</v>
      </c>
      <c r="AG38" s="220">
        <f t="shared" si="4"/>
        <v>0</v>
      </c>
      <c r="AH38" s="220">
        <f ca="1">IF(HLOOKUP($F38,Jornada!$X$7:$AD$37,VLOOKUP(INDIRECT($C$5),Jornada!$C$8:$W$37,21,0),0)=0,0,VLOOKUP(INDIRECT($C$5),Jornada!$C$8:$H$37,4,0))</f>
        <v>0</v>
      </c>
      <c r="AI38" s="155">
        <f ca="1">IF(AND(I38=0,J38=0,OR(H38&lt;&gt;0,K38&lt;&gt;0),HLOOKUP($F38,Jornada!$X$7:$AD$37,VLOOKUP(INDIRECT($C$5),Jornada!$C$8:$W$37,21,0),0)&gt;$AK$5,M38&gt;$AK$5),VLOOKUP(INDIRECT($C$5),Jornada!$C$8:$H$37,6,0),IF(AG38&gt;VLOOKUP(INDIRECT($C$5),Jornada!$C$8:$H$37,6,0),IF(VLOOKUP(INDIRECT($C$5),Jornada!$C$8:$H$37,6,0)&lt;AG38,0,ABS(VLOOKUP(INDIRECT($C$5),Jornada!$C$8:$H$37,6,0))-AG38),0))</f>
        <v>0</v>
      </c>
      <c r="AJ38" s="155">
        <f t="shared" si="5"/>
        <v>1</v>
      </c>
      <c r="AK38" s="155">
        <f t="shared" si="6"/>
        <v>0</v>
      </c>
      <c r="AL38" s="155">
        <f ca="1">HLOOKUP($F38,Jornada!$I$5:$V$37,VLOOKUP(INDIRECT($C$5),Jornada!$C$8:$W$37,21,0)+2,0)</f>
        <v>0</v>
      </c>
      <c r="AM38" s="155">
        <f ca="1">HLOOKUP($F38,Jornada!$I$4:$V$37,VLOOKUP(INDIRECT($C$5),Jornada!$C$8:$W$37,21,0)+3,0)</f>
        <v>0</v>
      </c>
      <c r="AN38" s="155">
        <f t="shared" ca="1" si="7"/>
        <v>0</v>
      </c>
      <c r="AO38" s="155">
        <f t="shared" si="8"/>
        <v>0</v>
      </c>
      <c r="AP38" s="155">
        <f t="shared" si="9"/>
        <v>0</v>
      </c>
    </row>
    <row r="39" spans="1:42" s="2" customFormat="1" ht="30" customHeight="1" thickTop="1" x14ac:dyDescent="0.2">
      <c r="A39" s="9"/>
      <c r="B39" s="234"/>
      <c r="C39" s="234"/>
      <c r="D39" s="234"/>
      <c r="E39" s="236">
        <f>EOMONTH(AB8,0)</f>
        <v>31</v>
      </c>
      <c r="F39" s="234">
        <f>DAY(E39)</f>
        <v>31</v>
      </c>
      <c r="G39" s="237">
        <f>COUNTIF(F8:F38,"Dom")+COUNTIF(G8:G38,"Feriado")</f>
        <v>5</v>
      </c>
      <c r="H39" s="238">
        <f>(SUM(Q8:Q38)/(F39-G39))*G39</f>
        <v>0</v>
      </c>
      <c r="I39" s="234"/>
      <c r="J39" s="234"/>
      <c r="K39" s="234"/>
      <c r="L39" s="234"/>
      <c r="M39" s="234"/>
      <c r="Z39" s="219"/>
    </row>
    <row r="40" spans="1:42" s="2" customFormat="1" ht="30" customHeight="1" x14ac:dyDescent="0.2">
      <c r="A40" s="9"/>
      <c r="B40" s="234"/>
      <c r="C40" s="239"/>
      <c r="D40" s="239"/>
      <c r="E40" s="239"/>
      <c r="F40" s="240"/>
      <c r="G40" s="241"/>
      <c r="H40" s="234">
        <f ca="1">IF(INDIRECT($C$5)="",0,VLOOKUP(INDIRECT($C$5),Funcionários!$C$7:$E$36,3,0)+IF(VLOOKUP(INDIRECT($C$5),Jornada!$C$8:$E$37,2,0)="Sim",IF('P Gerais'!$I$8&lt;&gt;0,VLOOKUP(INDIRECT($C$5),Funcionários!$C$7:$E$36,3,0)*'P Gerais'!$L$14,'P Gerais'!$I$8*'P Gerais'!$L$14),0)+IF(VLOOKUP(INDIRECT($C$5),Jornada!$C$8:$E$37,3,0)="Sim",VLOOKUP(INDIRECT($C$5),Funcionários!$C$7:$E$36,3,0)*'P Gerais'!$K$14,0))</f>
        <v>0</v>
      </c>
      <c r="I40" s="234">
        <f ca="1">VLOOKUP(INDIRECT($C$5),Jornada!$C$8:$AF$37,30,0)</f>
        <v>0</v>
      </c>
      <c r="J40" s="234" t="s">
        <v>298</v>
      </c>
      <c r="K40" s="242">
        <f ca="1">IF(I40=0,0,H40/I40)</f>
        <v>0</v>
      </c>
      <c r="L40" s="234"/>
      <c r="M40" s="234"/>
      <c r="Z40" s="219"/>
    </row>
    <row r="41" spans="1:42" s="2" customFormat="1" ht="30" customHeight="1" x14ac:dyDescent="0.2">
      <c r="A41" s="9"/>
      <c r="B41" s="234" t="s">
        <v>52</v>
      </c>
      <c r="C41" s="292" t="s">
        <v>75</v>
      </c>
      <c r="D41" s="292"/>
      <c r="E41" s="292"/>
      <c r="F41" s="243">
        <f t="shared" ref="F41:F47" si="12">SUMIFS($Q$8:$Q$38,$F$8:$F$38,$B41,$G$8:$G$38,"Normal")</f>
        <v>0</v>
      </c>
      <c r="G41" s="244">
        <f>IF($M$41="Sistema de banco de horas",0,'P Gerais'!$C$14)</f>
        <v>0.5</v>
      </c>
      <c r="H41" s="245">
        <f t="shared" ref="H41:H48" ca="1" si="13">IF($M$41="Sistema de banco de horas",0,$K$40*(1+G41)*(F41*24))</f>
        <v>0</v>
      </c>
      <c r="I41" s="243">
        <f t="shared" ref="I41:I47" ca="1" si="14">IF(SUMIF($F$8:$F$38,$B41,$Q$8:$Q$38)-SUMIFS($M$8:$M$38,$F$8:$F$38,$B41,$G$8:$G$38,"Feriado")-SUMIFS($M$8:$M$38,$F$8:$F$38,$B41,$G$8:$G$38,"Folga (DSR)")-SUMIFS($M$8:$M$38,$F$8:$F$38,$B41,$G$8:$G$38,"Férias")-SUMIF($F$8:$F$38,$B41,$AN$8:$AN$38)-SUMIF($F$8:$F$38,$B41,$AO$8:$AO$38)&lt;0,0,SUMIF($F$8:$F$38,$B41,$Q$8:$Q$38)-SUMIFS($M$8:$M$38,$F$8:$F$38,$B41,$G$8:$G$38,"Feriado")-SUMIFS($M$8:$M$38,$F$8:$F$38,$B41,$G$8:$G$38,"Folga (DSR)")-SUMIFS($M$8:$M$38,$F$8:$F$38,$B41,$G$8:$G$38,"Férias")-SUMIF($F$8:$F$38,$B41,$AN$8:$AN$38)-SUMIF($F$8:$F$38,$B41,$AO$8:$AO$38))</f>
        <v>0</v>
      </c>
      <c r="J41" s="245">
        <f ca="1">H41</f>
        <v>0</v>
      </c>
      <c r="K41" s="234"/>
      <c r="L41" s="234"/>
      <c r="M41" s="234">
        <f>'P Gerais'!I10</f>
        <v>0</v>
      </c>
      <c r="Z41" s="219"/>
    </row>
    <row r="42" spans="1:42" s="2" customFormat="1" ht="30" customHeight="1" x14ac:dyDescent="0.2">
      <c r="A42" s="9"/>
      <c r="B42" s="234" t="s">
        <v>53</v>
      </c>
      <c r="C42" s="292" t="s">
        <v>76</v>
      </c>
      <c r="D42" s="292"/>
      <c r="E42" s="292"/>
      <c r="F42" s="243">
        <f t="shared" si="12"/>
        <v>0</v>
      </c>
      <c r="G42" s="244">
        <f>IF($M$41="Sistema de banco de horas",0,'P Gerais'!$C$14)</f>
        <v>0.5</v>
      </c>
      <c r="H42" s="245">
        <f t="shared" ca="1" si="13"/>
        <v>0</v>
      </c>
      <c r="I42" s="243">
        <f t="shared" ca="1" si="14"/>
        <v>0</v>
      </c>
      <c r="J42" s="245">
        <f t="shared" ref="J42:J51" ca="1" si="15">H42</f>
        <v>0</v>
      </c>
      <c r="K42" s="234"/>
      <c r="L42" s="234"/>
      <c r="M42" s="234"/>
      <c r="Z42" s="219"/>
    </row>
    <row r="43" spans="1:42" s="2" customFormat="1" ht="30" customHeight="1" x14ac:dyDescent="0.2">
      <c r="A43" s="9"/>
      <c r="B43" s="234" t="s">
        <v>54</v>
      </c>
      <c r="C43" s="292" t="s">
        <v>77</v>
      </c>
      <c r="D43" s="292"/>
      <c r="E43" s="292"/>
      <c r="F43" s="243">
        <f t="shared" si="12"/>
        <v>0</v>
      </c>
      <c r="G43" s="244">
        <f>IF($M$41="Sistema de banco de horas",0,'P Gerais'!$C$14)</f>
        <v>0.5</v>
      </c>
      <c r="H43" s="245">
        <f t="shared" ca="1" si="13"/>
        <v>0</v>
      </c>
      <c r="I43" s="243">
        <f t="shared" ca="1" si="14"/>
        <v>0</v>
      </c>
      <c r="J43" s="245">
        <f t="shared" ca="1" si="15"/>
        <v>0</v>
      </c>
      <c r="K43" s="234"/>
      <c r="L43" s="234"/>
      <c r="M43" s="234"/>
      <c r="Z43" s="219"/>
    </row>
    <row r="44" spans="1:42" s="2" customFormat="1" ht="30" customHeight="1" x14ac:dyDescent="0.2">
      <c r="A44" s="9"/>
      <c r="B44" s="234" t="s">
        <v>55</v>
      </c>
      <c r="C44" s="292" t="s">
        <v>78</v>
      </c>
      <c r="D44" s="292"/>
      <c r="E44" s="292"/>
      <c r="F44" s="243">
        <f t="shared" si="12"/>
        <v>0</v>
      </c>
      <c r="G44" s="244">
        <f>IF($M$41="Sistema de banco de horas",0,'P Gerais'!$C$14)</f>
        <v>0.5</v>
      </c>
      <c r="H44" s="245">
        <f t="shared" ca="1" si="13"/>
        <v>0</v>
      </c>
      <c r="I44" s="243">
        <f t="shared" ca="1" si="14"/>
        <v>0</v>
      </c>
      <c r="J44" s="245">
        <f t="shared" ca="1" si="15"/>
        <v>0</v>
      </c>
      <c r="K44" s="234"/>
      <c r="L44" s="234"/>
      <c r="M44" s="234"/>
      <c r="Z44" s="219"/>
    </row>
    <row r="45" spans="1:42" s="2" customFormat="1" ht="30" customHeight="1" x14ac:dyDescent="0.2">
      <c r="A45" s="9"/>
      <c r="B45" s="234" t="s">
        <v>56</v>
      </c>
      <c r="C45" s="292" t="s">
        <v>79</v>
      </c>
      <c r="D45" s="292"/>
      <c r="E45" s="292"/>
      <c r="F45" s="243">
        <f t="shared" si="12"/>
        <v>0</v>
      </c>
      <c r="G45" s="244">
        <f>IF($M$41="Sistema de banco de horas",0,'P Gerais'!$C$14)</f>
        <v>0.5</v>
      </c>
      <c r="H45" s="245">
        <f t="shared" ca="1" si="13"/>
        <v>0</v>
      </c>
      <c r="I45" s="243">
        <f t="shared" ca="1" si="14"/>
        <v>0</v>
      </c>
      <c r="J45" s="245">
        <f t="shared" ca="1" si="15"/>
        <v>0</v>
      </c>
      <c r="K45" s="234"/>
      <c r="L45" s="234"/>
      <c r="M45" s="234"/>
      <c r="Z45" s="219"/>
    </row>
    <row r="46" spans="1:42" s="2" customFormat="1" ht="30" customHeight="1" x14ac:dyDescent="0.2">
      <c r="A46" s="9"/>
      <c r="B46" s="234" t="s">
        <v>57</v>
      </c>
      <c r="C46" s="292" t="s">
        <v>82</v>
      </c>
      <c r="D46" s="292"/>
      <c r="E46" s="292"/>
      <c r="F46" s="243">
        <f t="shared" si="12"/>
        <v>0</v>
      </c>
      <c r="G46" s="244">
        <f>IF($M$41="Sistema de banco de horas",0,'P Gerais'!$E$14)</f>
        <v>0.5</v>
      </c>
      <c r="H46" s="245">
        <f t="shared" ca="1" si="13"/>
        <v>0</v>
      </c>
      <c r="I46" s="243">
        <f t="shared" ca="1" si="14"/>
        <v>0</v>
      </c>
      <c r="J46" s="245">
        <f t="shared" ca="1" si="15"/>
        <v>0</v>
      </c>
      <c r="K46" s="234"/>
      <c r="L46" s="234"/>
      <c r="M46" s="234"/>
      <c r="Z46" s="219"/>
    </row>
    <row r="47" spans="1:42" s="2" customFormat="1" ht="30" customHeight="1" x14ac:dyDescent="0.2">
      <c r="A47" s="9"/>
      <c r="B47" s="234" t="s">
        <v>51</v>
      </c>
      <c r="C47" s="292" t="s">
        <v>81</v>
      </c>
      <c r="D47" s="292"/>
      <c r="E47" s="292"/>
      <c r="F47" s="243">
        <f t="shared" si="12"/>
        <v>0</v>
      </c>
      <c r="G47" s="244">
        <f>IF($M$41="Sistema de banco de horas",0,'P Gerais'!$F$14)</f>
        <v>1</v>
      </c>
      <c r="H47" s="245">
        <f t="shared" ca="1" si="13"/>
        <v>0</v>
      </c>
      <c r="I47" s="243">
        <f t="shared" ca="1" si="14"/>
        <v>0</v>
      </c>
      <c r="J47" s="245">
        <f t="shared" ca="1" si="15"/>
        <v>0</v>
      </c>
      <c r="K47" s="234"/>
      <c r="L47" s="234"/>
      <c r="M47" s="234"/>
      <c r="Z47" s="219"/>
    </row>
    <row r="48" spans="1:42" s="2" customFormat="1" ht="30" customHeight="1" x14ac:dyDescent="0.2">
      <c r="A48" s="9"/>
      <c r="B48" s="234"/>
      <c r="C48" s="292" t="s">
        <v>80</v>
      </c>
      <c r="D48" s="292"/>
      <c r="E48" s="292"/>
      <c r="F48" s="243">
        <f>SUMIFS($Q$8:$Q$38,$G$8:$G$38,"Feriado")</f>
        <v>0</v>
      </c>
      <c r="G48" s="244">
        <f>IF($M$41="Sistema de banco de horas",0,'P Gerais'!$I$14)</f>
        <v>1</v>
      </c>
      <c r="H48" s="245">
        <f t="shared" ca="1" si="13"/>
        <v>0</v>
      </c>
      <c r="I48" s="243"/>
      <c r="J48" s="245">
        <f t="shared" ca="1" si="15"/>
        <v>0</v>
      </c>
      <c r="K48" s="234"/>
      <c r="L48" s="234"/>
      <c r="M48" s="234"/>
      <c r="Z48" s="219"/>
    </row>
    <row r="49" spans="1:26" s="2" customFormat="1" ht="15" x14ac:dyDescent="0.2">
      <c r="A49" s="9"/>
      <c r="B49" s="234"/>
      <c r="C49" s="292" t="s">
        <v>146</v>
      </c>
      <c r="D49" s="292"/>
      <c r="E49" s="292"/>
      <c r="F49" s="243">
        <f>SUMIFS($Q$8:$Q$38,$G$8:$G$38,"Folga (DSR)")</f>
        <v>0</v>
      </c>
      <c r="G49" s="244">
        <f>IF($M$41="Sistema de banco de horas",0,'P Gerais'!H14)</f>
        <v>1</v>
      </c>
      <c r="H49" s="245">
        <f ca="1">((F53/(F39-G39))*G39)</f>
        <v>0</v>
      </c>
      <c r="I49" s="243"/>
      <c r="J49" s="245">
        <f t="shared" ca="1" si="15"/>
        <v>0</v>
      </c>
      <c r="K49" s="234"/>
      <c r="L49" s="234"/>
      <c r="M49" s="234"/>
      <c r="Z49" s="219"/>
    </row>
    <row r="50" spans="1:26" s="2" customFormat="1" ht="15" x14ac:dyDescent="0.2">
      <c r="A50" s="9"/>
      <c r="B50" s="234"/>
      <c r="C50" s="292" t="s">
        <v>84</v>
      </c>
      <c r="D50" s="292"/>
      <c r="E50" s="292"/>
      <c r="F50" s="243">
        <f ca="1">IF($M$41="Sistema de banco de horas",(SUM(AI$8:AI$38)*(1+G50)),SUM(AI$8:AI$38))</f>
        <v>0</v>
      </c>
      <c r="G50" s="244">
        <f>IF($M$41="Sistema de banco de horas",0,'P Gerais'!$I$17)</f>
        <v>0.5</v>
      </c>
      <c r="H50" s="245">
        <f ca="1">IF($M$41="Sistema de banco de horas",0,$K$40*(1+G50)*(F50*24))</f>
        <v>0</v>
      </c>
      <c r="I50" s="243">
        <f ca="1">IF(SUM($AN$8:$AO$38)&gt;SUM(AI$8:AI$38),0,SUM(AI$8:AI$38)-SUM($AN$8:$AO$38))</f>
        <v>0</v>
      </c>
      <c r="J50" s="245">
        <f t="shared" ca="1" si="15"/>
        <v>0</v>
      </c>
      <c r="K50" s="234"/>
      <c r="L50" s="234"/>
      <c r="M50" s="234"/>
      <c r="Z50" s="219"/>
    </row>
    <row r="51" spans="1:26" s="2" customFormat="1" ht="15" x14ac:dyDescent="0.2">
      <c r="A51" s="9"/>
      <c r="B51" s="234"/>
      <c r="C51" s="292" t="s">
        <v>85</v>
      </c>
      <c r="D51" s="292"/>
      <c r="E51" s="292"/>
      <c r="F51" s="243">
        <f>IF($M$41="Sistema de banco de horas",(SUM(AK$8:AK$38)*(1+G51)),SUM(AK$8:AK$38))</f>
        <v>0</v>
      </c>
      <c r="G51" s="244">
        <f>IF($M$41="Sistema de banco de horas",0,'P Gerais'!$C$17)</f>
        <v>1</v>
      </c>
      <c r="H51" s="245">
        <f ca="1">IF($M$41="Sistema de banco de horas",0,$K$40*(1+G51)*(F51*24))</f>
        <v>0</v>
      </c>
      <c r="I51" s="243"/>
      <c r="J51" s="245">
        <f t="shared" ca="1" si="15"/>
        <v>0</v>
      </c>
      <c r="K51" s="234"/>
      <c r="L51" s="234"/>
      <c r="M51" s="234"/>
      <c r="Z51" s="219"/>
    </row>
    <row r="52" spans="1:26" s="2" customFormat="1" ht="15" customHeight="1" x14ac:dyDescent="0.2">
      <c r="A52" s="9"/>
      <c r="B52" s="234"/>
      <c r="C52" s="292" t="s">
        <v>87</v>
      </c>
      <c r="D52" s="292"/>
      <c r="E52" s="292"/>
      <c r="F52" s="243">
        <f ca="1">U12</f>
        <v>0</v>
      </c>
      <c r="G52" s="246"/>
      <c r="H52" s="234"/>
      <c r="I52" s="234"/>
      <c r="J52" s="234"/>
      <c r="K52" s="234"/>
      <c r="L52" s="234"/>
      <c r="M52" s="234"/>
      <c r="Z52" s="219"/>
    </row>
    <row r="53" spans="1:26" s="2" customFormat="1" ht="15" x14ac:dyDescent="0.2">
      <c r="A53" s="9"/>
      <c r="B53" s="234"/>
      <c r="C53" s="292" t="s">
        <v>299</v>
      </c>
      <c r="D53" s="292"/>
      <c r="E53" s="292"/>
      <c r="F53" s="247">
        <f ca="1">SUM(H48)+J50+H51+SUM(J41:J47)</f>
        <v>0</v>
      </c>
      <c r="G53" s="248"/>
      <c r="H53" s="234"/>
      <c r="I53" s="234"/>
      <c r="J53" s="234"/>
      <c r="K53" s="234"/>
      <c r="L53" s="234"/>
      <c r="M53" s="234"/>
      <c r="Z53" s="219"/>
    </row>
    <row r="54" spans="1:26" s="2" customFormat="1" ht="15" x14ac:dyDescent="0.2">
      <c r="A54" s="9"/>
      <c r="B54" s="234"/>
      <c r="C54" s="292" t="s">
        <v>88</v>
      </c>
      <c r="D54" s="292"/>
      <c r="E54" s="292"/>
      <c r="F54" s="247">
        <f ca="1">F53+(H49*(1+G49))</f>
        <v>0</v>
      </c>
      <c r="G54" s="248"/>
      <c r="H54" s="249"/>
      <c r="I54" s="234"/>
      <c r="J54" s="234"/>
      <c r="K54" s="234"/>
      <c r="L54" s="234"/>
      <c r="M54" s="234"/>
      <c r="Z54" s="219"/>
    </row>
    <row r="55" spans="1:26" s="2" customFormat="1" ht="15" x14ac:dyDescent="0.2">
      <c r="A55" s="9"/>
      <c r="B55" s="234"/>
      <c r="C55" s="292" t="s">
        <v>89</v>
      </c>
      <c r="D55" s="292"/>
      <c r="E55" s="292"/>
      <c r="F55" s="247">
        <f ca="1">H40+F54</f>
        <v>0</v>
      </c>
      <c r="G55" s="246"/>
      <c r="H55" s="234"/>
      <c r="I55" s="234"/>
      <c r="J55" s="234"/>
      <c r="K55" s="234"/>
      <c r="L55" s="234"/>
      <c r="M55" s="234"/>
      <c r="Z55" s="219"/>
    </row>
    <row r="56" spans="1:26" s="2" customFormat="1" ht="15" x14ac:dyDescent="0.2">
      <c r="A56" s="9"/>
      <c r="B56" s="234"/>
      <c r="C56" s="292" t="s">
        <v>178</v>
      </c>
      <c r="D56" s="292"/>
      <c r="E56" s="292"/>
      <c r="F56" s="243">
        <f>IF($M$41="Sistema de banco de horas",(SUMIF($G$8:$G$38,"Férias",Q8:Q38))*(1+G48),SUMIF($G$8:$G$38,"Férias",Q8:Q38))</f>
        <v>0</v>
      </c>
      <c r="G56" s="246"/>
      <c r="H56" s="234"/>
      <c r="I56" s="234"/>
      <c r="J56" s="234"/>
      <c r="K56" s="234"/>
      <c r="L56" s="234"/>
      <c r="M56" s="234"/>
      <c r="Z56" s="219"/>
    </row>
    <row r="57" spans="1:26" s="2" customFormat="1" ht="15" x14ac:dyDescent="0.2">
      <c r="A57" s="9"/>
      <c r="B57" s="234"/>
      <c r="C57" s="239"/>
      <c r="D57" s="239"/>
      <c r="E57" s="239"/>
      <c r="F57" s="250">
        <f ca="1">U14</f>
        <v>0</v>
      </c>
      <c r="G57" s="246"/>
      <c r="H57" s="234"/>
      <c r="I57" s="234"/>
      <c r="J57" s="234"/>
      <c r="K57" s="234"/>
      <c r="L57" s="234"/>
      <c r="M57" s="234"/>
      <c r="Z57" s="219"/>
    </row>
    <row r="58" spans="1:26" s="2" customFormat="1" ht="15" x14ac:dyDescent="0.2">
      <c r="A58" s="9"/>
      <c r="B58" s="234"/>
      <c r="C58" s="239"/>
      <c r="D58" s="239"/>
      <c r="E58" s="239"/>
      <c r="F58" s="243">
        <f ca="1">SUM(F41:F51)</f>
        <v>0</v>
      </c>
      <c r="G58" s="246"/>
      <c r="H58" s="234"/>
      <c r="I58" s="234"/>
      <c r="J58" s="234"/>
      <c r="K58" s="234"/>
      <c r="L58" s="234"/>
      <c r="M58" s="234"/>
      <c r="Z58" s="219"/>
    </row>
    <row r="59" spans="1:26" s="2" customFormat="1" ht="15" x14ac:dyDescent="0.2">
      <c r="A59" s="9"/>
      <c r="Z59" s="219"/>
    </row>
    <row r="60" spans="1:26" s="2" customFormat="1" ht="15" x14ac:dyDescent="0.2">
      <c r="A60" s="9"/>
      <c r="G60" s="178"/>
      <c r="Z60" s="219"/>
    </row>
    <row r="61" spans="1:26" ht="15" x14ac:dyDescent="0.2"/>
    <row r="62" spans="1:26" ht="15" x14ac:dyDescent="0.2"/>
    <row r="63" spans="1:26" ht="15" x14ac:dyDescent="0.2"/>
    <row r="64" spans="1:26" ht="15" x14ac:dyDescent="0.2"/>
    <row r="65" ht="15" x14ac:dyDescent="0.2"/>
    <row r="66" ht="15" x14ac:dyDescent="0.2"/>
    <row r="67" ht="15" x14ac:dyDescent="0.2"/>
    <row r="68" ht="15" x14ac:dyDescent="0.2"/>
    <row r="69" ht="15" x14ac:dyDescent="0.2"/>
    <row r="70" ht="15" x14ac:dyDescent="0.2"/>
    <row r="71" ht="15" x14ac:dyDescent="0.2"/>
    <row r="72" ht="15" x14ac:dyDescent="0.2"/>
    <row r="73" ht="15" x14ac:dyDescent="0.2"/>
    <row r="74" ht="15" x14ac:dyDescent="0.2"/>
    <row r="75" ht="15" x14ac:dyDescent="0.2"/>
    <row r="76" ht="15" x14ac:dyDescent="0.2"/>
    <row r="77" ht="15" x14ac:dyDescent="0.2"/>
    <row r="78" ht="15" x14ac:dyDescent="0.2"/>
    <row r="79" ht="15" x14ac:dyDescent="0.2"/>
    <row r="80" ht="15" x14ac:dyDescent="0.2"/>
    <row r="81" ht="15" x14ac:dyDescent="0.2"/>
    <row r="82" ht="15" x14ac:dyDescent="0.2"/>
    <row r="83" ht="15" x14ac:dyDescent="0.2"/>
    <row r="84" ht="15" x14ac:dyDescent="0.2"/>
    <row r="85" ht="15" x14ac:dyDescent="0.2"/>
    <row r="86" ht="15" x14ac:dyDescent="0.2"/>
    <row r="87" ht="15" x14ac:dyDescent="0.2"/>
    <row r="88" ht="15" x14ac:dyDescent="0.2"/>
    <row r="89" ht="15" x14ac:dyDescent="0.2"/>
    <row r="90" ht="15" x14ac:dyDescent="0.2"/>
    <row r="91" ht="15" x14ac:dyDescent="0.2"/>
    <row r="92" ht="15" x14ac:dyDescent="0.2"/>
    <row r="93" ht="15" x14ac:dyDescent="0.2"/>
    <row r="94" ht="15" x14ac:dyDescent="0.2"/>
    <row r="95" ht="15" x14ac:dyDescent="0.2"/>
    <row r="96" ht="15" x14ac:dyDescent="0.2"/>
    <row r="97" ht="15" x14ac:dyDescent="0.2"/>
    <row r="98" ht="15" x14ac:dyDescent="0.2"/>
    <row r="99" ht="15" x14ac:dyDescent="0.2"/>
    <row r="100" ht="15" x14ac:dyDescent="0.2"/>
    <row r="101" ht="15" x14ac:dyDescent="0.2"/>
    <row r="102" ht="15" x14ac:dyDescent="0.2"/>
    <row r="103" ht="15" x14ac:dyDescent="0.2"/>
  </sheetData>
  <sheetProtection sheet="1" objects="1" scenarios="1" selectLockedCells="1"/>
  <mergeCells count="34">
    <mergeCell ref="C56:E56"/>
    <mergeCell ref="C48:E48"/>
    <mergeCell ref="C49:E49"/>
    <mergeCell ref="C50:E50"/>
    <mergeCell ref="C52:E52"/>
    <mergeCell ref="C53:E53"/>
    <mergeCell ref="C54:E54"/>
    <mergeCell ref="C51:E51"/>
    <mergeCell ref="C44:E44"/>
    <mergeCell ref="C55:E55"/>
    <mergeCell ref="C45:E45"/>
    <mergeCell ref="C46:E46"/>
    <mergeCell ref="C47:E47"/>
    <mergeCell ref="S22:U22"/>
    <mergeCell ref="C41:E41"/>
    <mergeCell ref="C42:E42"/>
    <mergeCell ref="C43:E43"/>
    <mergeCell ref="S26:U28"/>
    <mergeCell ref="S23:U25"/>
    <mergeCell ref="E7:F7"/>
    <mergeCell ref="I7:J7"/>
    <mergeCell ref="S7:U7"/>
    <mergeCell ref="S8:T9"/>
    <mergeCell ref="U8:U9"/>
    <mergeCell ref="S16:T17"/>
    <mergeCell ref="U16:U17"/>
    <mergeCell ref="S18:T19"/>
    <mergeCell ref="S10:T11"/>
    <mergeCell ref="U10:U11"/>
    <mergeCell ref="S12:T13"/>
    <mergeCell ref="U12:U13"/>
    <mergeCell ref="S14:T15"/>
    <mergeCell ref="U14:U15"/>
    <mergeCell ref="U18:U19"/>
  </mergeCells>
  <conditionalFormatting sqref="M8:M37">
    <cfRule type="cellIs" dxfId="464" priority="124" operator="greaterThan">
      <formula>0</formula>
    </cfRule>
  </conditionalFormatting>
  <conditionalFormatting sqref="L36:L37 N36:N37">
    <cfRule type="expression" dxfId="463" priority="91">
      <formula>AND($E36&lt;$E$35,$E$8=1)</formula>
    </cfRule>
    <cfRule type="expression" dxfId="462" priority="92">
      <formula>AND($E36&gt;=$E$8,$E$8&lt;&gt;1)</formula>
    </cfRule>
  </conditionalFormatting>
  <conditionalFormatting sqref="E36:E38">
    <cfRule type="expression" dxfId="461" priority="89">
      <formula>AND($E36&lt;$E$35,$E$8=1)</formula>
    </cfRule>
    <cfRule type="expression" dxfId="460" priority="90">
      <formula>AND($E36&gt;=$E$8,$E$8&lt;&gt;1)</formula>
    </cfRule>
  </conditionalFormatting>
  <conditionalFormatting sqref="O8:O37">
    <cfRule type="cellIs" dxfId="459" priority="84" operator="greaterThan">
      <formula>0.000001</formula>
    </cfRule>
  </conditionalFormatting>
  <conditionalFormatting sqref="O36:O37">
    <cfRule type="expression" dxfId="458" priority="82">
      <formula>AND($E36&lt;$E$35,$E$8=1)</formula>
    </cfRule>
    <cfRule type="expression" dxfId="457" priority="83">
      <formula>AND($E36&gt;=$E$8,$E$8&lt;&gt;1)</formula>
    </cfRule>
  </conditionalFormatting>
  <conditionalFormatting sqref="F8:F38">
    <cfRule type="containsText" dxfId="456" priority="80" operator="containsText" text="Dom">
      <formula>NOT(ISERROR(SEARCH("Dom",F8)))</formula>
    </cfRule>
    <cfRule type="containsText" dxfId="455" priority="81" operator="containsText" text="Sáb">
      <formula>NOT(ISERROR(SEARCH("Sáb",F8)))</formula>
    </cfRule>
  </conditionalFormatting>
  <conditionalFormatting sqref="Q8:Q37">
    <cfRule type="cellIs" dxfId="454" priority="78" operator="greaterThan">
      <formula>0.000001</formula>
    </cfRule>
  </conditionalFormatting>
  <conditionalFormatting sqref="G8:K35">
    <cfRule type="expression" dxfId="453" priority="48">
      <formula>OR($G8="Férias",$G8="Falta Injustificada")</formula>
    </cfRule>
    <cfRule type="expression" dxfId="452" priority="49">
      <formula>$G8="Folga (DSR)"</formula>
    </cfRule>
    <cfRule type="expression" dxfId="451" priority="50">
      <formula>$G8="Feriado"</formula>
    </cfRule>
    <cfRule type="expression" dxfId="450" priority="51">
      <formula>$F8="Dom"</formula>
    </cfRule>
  </conditionalFormatting>
  <conditionalFormatting sqref="H8:K35">
    <cfRule type="expression" dxfId="449" priority="47">
      <formula>OR($G8="Falta Justificada",$G8="Falta Injustificada")</formula>
    </cfRule>
  </conditionalFormatting>
  <conditionalFormatting sqref="G36:K37">
    <cfRule type="expression" dxfId="448" priority="43">
      <formula>OR($G36="Férias",$G36="Falta Injustificada")</formula>
    </cfRule>
    <cfRule type="expression" dxfId="447" priority="44">
      <formula>$G36="Folga (DSR)"</formula>
    </cfRule>
    <cfRule type="expression" dxfId="446" priority="45">
      <formula>$G36="Feriado"</formula>
    </cfRule>
    <cfRule type="expression" dxfId="445" priority="46">
      <formula>$F36="Dom"</formula>
    </cfRule>
  </conditionalFormatting>
  <conditionalFormatting sqref="G36:K37">
    <cfRule type="expression" dxfId="444" priority="40">
      <formula>AND($E36&lt;$E$35,$E$8=1)</formula>
    </cfRule>
    <cfRule type="expression" dxfId="443" priority="41">
      <formula>AND($E36&gt;=$E$8,$E$8&lt;&gt;1)</formula>
    </cfRule>
  </conditionalFormatting>
  <conditionalFormatting sqref="H36:K37">
    <cfRule type="expression" dxfId="442" priority="42">
      <formula>OR($G36="Falta Justificada",$G36="Falta Injustificada")</formula>
    </cfRule>
  </conditionalFormatting>
  <conditionalFormatting sqref="O38">
    <cfRule type="cellIs" dxfId="441" priority="38" operator="greaterThan">
      <formula>0.000001</formula>
    </cfRule>
  </conditionalFormatting>
  <conditionalFormatting sqref="M38">
    <cfRule type="cellIs" dxfId="440" priority="39" operator="greaterThan">
      <formula>0</formula>
    </cfRule>
  </conditionalFormatting>
  <conditionalFormatting sqref="L38:O38">
    <cfRule type="expression" dxfId="439" priority="37">
      <formula>AND($E38&gt;=$E$8,$E$8&lt;&gt;1)</formula>
    </cfRule>
  </conditionalFormatting>
  <conditionalFormatting sqref="G38:K38">
    <cfRule type="expression" dxfId="438" priority="24">
      <formula>OR($G38="Férias",$G38="Falta Injustificada")</formula>
    </cfRule>
    <cfRule type="expression" dxfId="437" priority="25">
      <formula>$G38="Folga (DSR)"</formula>
    </cfRule>
    <cfRule type="expression" dxfId="436" priority="26">
      <formula>$G38="Feriado"</formula>
    </cfRule>
    <cfRule type="expression" dxfId="435" priority="27">
      <formula>$F38="Dom"</formula>
    </cfRule>
  </conditionalFormatting>
  <conditionalFormatting sqref="H38:K38">
    <cfRule type="expression" dxfId="434" priority="23">
      <formula>OR($G38="Falta Justificada",$G38="Falta Injustificada")</formula>
    </cfRule>
  </conditionalFormatting>
  <conditionalFormatting sqref="Q38">
    <cfRule type="cellIs" dxfId="433" priority="20" operator="greaterThan">
      <formula>0.000001</formula>
    </cfRule>
  </conditionalFormatting>
  <conditionalFormatting sqref="L38:Q38">
    <cfRule type="expression" dxfId="432" priority="36">
      <formula>AND($E38&lt;$E$35,$E$8=1)</formula>
    </cfRule>
  </conditionalFormatting>
  <conditionalFormatting sqref="G38:Q38">
    <cfRule type="expression" dxfId="431" priority="21">
      <formula>AND($E38&lt;$E$35,$E$8=1)</formula>
    </cfRule>
    <cfRule type="expression" dxfId="430" priority="22">
      <formula>AND($E38&gt;=$E$8,$E$8&lt;&gt;1)</formula>
    </cfRule>
  </conditionalFormatting>
  <conditionalFormatting sqref="U10:U11">
    <cfRule type="expression" dxfId="429" priority="8">
      <formula>$V$11="Negativo"</formula>
    </cfRule>
  </conditionalFormatting>
  <conditionalFormatting sqref="U12:U13">
    <cfRule type="expression" dxfId="428" priority="520">
      <formula>$U$14&gt;$F$58</formula>
    </cfRule>
  </conditionalFormatting>
  <conditionalFormatting sqref="F40">
    <cfRule type="expression" dxfId="427" priority="521">
      <formula>$E40="Folga(DSR)"</formula>
    </cfRule>
    <cfRule type="expression" dxfId="426" priority="522">
      <formula>$E40="Feriado"</formula>
    </cfRule>
    <cfRule type="expression" dxfId="425" priority="523">
      <formula>$D40="Dom"</formula>
    </cfRule>
  </conditionalFormatting>
  <dataValidations count="3">
    <dataValidation type="list" allowBlank="1" showInputMessage="1" showErrorMessage="1" sqref="G8:G38">
      <formula1>"Normal,Feriado,Folga (DSR),Falta Justificada,Férias,Falta Injustificada"</formula1>
    </dataValidation>
    <dataValidation type="time" allowBlank="1" showInputMessage="1" showErrorMessage="1" sqref="H8:K38">
      <formula1>0</formula1>
      <formula2>0.999988425925926</formula2>
    </dataValidation>
    <dataValidation type="list" allowBlank="1" showInputMessage="1" showErrorMessage="1" sqref="E9:E35">
      <formula1>"1,5,10,16"</formula1>
    </dataValidation>
  </dataValidations>
  <hyperlinks>
    <hyperlink ref="C8" location="Lanç!A1" display="Lanç!A1"/>
    <hyperlink ref="C9" location="'Lanç (2)'!A1" display="'Lanç (2)'!A1"/>
    <hyperlink ref="C10" location="'Lanç (3)'!A1" display="'Lanç (3)'!A1"/>
    <hyperlink ref="C11" location="'Lanç (4)'!A1" display="'Lanç (4)'!A1"/>
    <hyperlink ref="C12" location="'Lanç (5)'!A1" display="'Lanç (5)'!A1"/>
    <hyperlink ref="C13" location="'Lanç (6)'!A1" display="'Lanç (6)'!A1"/>
    <hyperlink ref="C14" location="'Lanç (7)'!A1" display="'Lanç (7)'!A1"/>
    <hyperlink ref="C15" location="'Lanç (8)'!A1" display="'Lanç (8)'!A1"/>
    <hyperlink ref="C16" location="'Lanç (9)'!A1" display="'Lanç (9)'!A1"/>
    <hyperlink ref="C17" location="'Lanç (10)'!A1" display="'Lanç (10)'!A1"/>
    <hyperlink ref="C18" location="'Lanç (11)'!A1" display="'Lanç (11)'!A1"/>
    <hyperlink ref="C19" location="'Lanç (12)'!A1" display="'Lanç (12)'!A1"/>
    <hyperlink ref="C20" location="'Lanç (13)'!A1" display="'Lanç (13)'!A1"/>
    <hyperlink ref="C21" location="'Lanç (14)'!A1" display="'Lanç (14)'!A1"/>
    <hyperlink ref="C22" location="'Lanç (15)'!A1" display="'Lanç (15)'!A1"/>
    <hyperlink ref="C23" location="'Lanç (16)'!A1" display="'Lanç (16)'!A1"/>
    <hyperlink ref="C24" location="'Lanç (17)'!A1" display="'Lanç (17)'!A1"/>
    <hyperlink ref="C25" location="'Lanç (18)'!A1" display="'Lanç (18)'!A1"/>
    <hyperlink ref="C26" location="'Lanç (19)'!A1" display="'Lanç (19)'!A1"/>
    <hyperlink ref="C27" location="'Lanç (20)'!A1" display="'Lanç (20)'!A1"/>
    <hyperlink ref="C28" location="'Lanç (21)'!A1" display="'Lanç (21)'!A1"/>
    <hyperlink ref="C29" location="'Lanç (22)'!A1" display="'Lanç (22)'!A1"/>
    <hyperlink ref="C30" location="'Lanç (23)'!A1" display="'Lanç (23)'!A1"/>
    <hyperlink ref="C31" location="'Lanç (24)'!A1" display="'Lanç (24)'!A1"/>
    <hyperlink ref="C32" location="'Lanç (25)'!A1" display="'Lanç (25)'!A1"/>
    <hyperlink ref="C33" location="'Lanç (26)'!A1" display="'Lanç (26)'!A1"/>
    <hyperlink ref="C34" location="'Lanç (27)'!A1" display="'Lanç (27)'!A1"/>
    <hyperlink ref="C35" location="'Lanç (28)'!A1" display="'Lanç (28)'!A1"/>
    <hyperlink ref="C36" location="'Lanç (29)'!A1" display="'Lanç (29)'!A1"/>
    <hyperlink ref="C37" location="'Lanç (30)'!A1" display="'Lanç (30)'!A1"/>
  </hyperlinks>
  <printOptions horizontalCentered="1"/>
  <pageMargins left="0.23622047244094502" right="0.23622047244094502" top="0.74803149606299202" bottom="0.74803149606299202" header="0.31496062992126" footer="0.31496062992126"/>
  <pageSetup paperSize="9" scale="53" orientation="portrait" cellComments="atEnd"/>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69" id="{658C03C2-8C9E-5340-B1D5-0838AA5F157D}">
            <xm:f>'P Gerais'!$I$10:$M$10="Pagas em Dinheiro"</xm:f>
            <x14:dxf>
              <font>
                <color theme="0"/>
              </font>
              <fill>
                <patternFill>
                  <bgColor theme="0"/>
                </patternFill>
              </fill>
              <border>
                <left/>
                <right/>
                <top/>
                <bottom/>
              </border>
            </x14:dxf>
          </x14:cfRule>
          <xm:sqref>S10:T13</xm:sqref>
        </x14:conditionalFormatting>
        <x14:conditionalFormatting xmlns:xm="http://schemas.microsoft.com/office/excel/2006/main">
          <x14:cfRule type="expression" priority="68" id="{B0FDD1D8-5A00-A047-BE03-A22BAE230D26}">
            <xm:f>'P Gerais'!$I$10:$M$10="Sistema de banco de horas"</xm:f>
            <x14:dxf>
              <font>
                <color theme="0"/>
              </font>
              <fill>
                <patternFill>
                  <bgColor theme="0"/>
                </patternFill>
              </fill>
              <border>
                <left/>
                <right/>
                <top/>
                <bottom/>
              </border>
            </x14:dxf>
          </x14:cfRule>
          <xm:sqref>S18:T19</xm:sqref>
        </x14:conditionalFormatting>
        <x14:conditionalFormatting xmlns:xm="http://schemas.microsoft.com/office/excel/2006/main">
          <x14:cfRule type="expression" priority="10" id="{07182531-F3CB-DA4B-ADFF-D250BF4D5704}">
            <xm:f>'P Gerais'!$I$10:$M$10="Sistema de banco de horas"</xm:f>
            <x14:dxf>
              <font>
                <color theme="0"/>
              </font>
              <fill>
                <patternFill>
                  <bgColor theme="0"/>
                </patternFill>
              </fill>
              <border>
                <left/>
                <right/>
                <top/>
                <bottom/>
              </border>
            </x14:dxf>
          </x14:cfRule>
          <xm:sqref>U18:U19</xm:sqref>
        </x14:conditionalFormatting>
        <x14:conditionalFormatting xmlns:xm="http://schemas.microsoft.com/office/excel/2006/main">
          <x14:cfRule type="expression" priority="7" id="{9F0F4CDF-C45E-BD4D-97BC-E72CE4A26791}">
            <xm:f>'P Gerais'!$I$10:$M$10="Pagas em Dinheiro"</xm:f>
            <x14:dxf>
              <font>
                <color theme="0"/>
              </font>
              <fill>
                <patternFill>
                  <bgColor theme="0"/>
                </patternFill>
              </fill>
              <border>
                <left/>
                <right/>
                <top/>
                <bottom/>
              </border>
            </x14:dxf>
          </x14:cfRule>
          <xm:sqref>U10:U13</xm:sqref>
        </x14:conditionalFormatting>
      </x14:conditionalFormattings>
    </ext>
  </extLs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24" enableFormatConditionsCalculation="0"/>
  <dimension ref="A1:BG103"/>
  <sheetViews>
    <sheetView showGridLines="0" zoomScale="90" zoomScaleNormal="90" zoomScalePageLayoutView="90" workbookViewId="0">
      <selection activeCell="I12" sqref="I12"/>
    </sheetView>
  </sheetViews>
  <sheetFormatPr baseColWidth="10" defaultColWidth="0" defaultRowHeight="0" customHeight="1" zeroHeight="1" x14ac:dyDescent="0.2"/>
  <cols>
    <col min="1" max="1" width="27.83203125" style="194" customWidth="1"/>
    <col min="2" max="2" width="3.83203125" style="14" customWidth="1"/>
    <col min="3" max="3" width="33.33203125" style="14" customWidth="1"/>
    <col min="4" max="4" width="2.83203125" style="14" customWidth="1"/>
    <col min="5" max="5" width="5.83203125" style="14" customWidth="1"/>
    <col min="6" max="6" width="11.83203125" style="14" customWidth="1"/>
    <col min="7" max="7" width="14.33203125" style="195" customWidth="1"/>
    <col min="8" max="11" width="9.83203125" style="14" customWidth="1"/>
    <col min="12" max="12" width="1.83203125" style="14" customWidth="1"/>
    <col min="13" max="13" width="13.33203125" style="14" customWidth="1"/>
    <col min="14" max="14" width="1.83203125" style="14" customWidth="1"/>
    <col min="15" max="15" width="13.33203125" style="14" customWidth="1"/>
    <col min="16" max="16" width="1.83203125" style="14" customWidth="1"/>
    <col min="17" max="17" width="13.33203125" style="14" customWidth="1"/>
    <col min="18" max="18" width="4.83203125" style="2" bestFit="1" customWidth="1"/>
    <col min="19" max="21" width="11.83203125" style="14" customWidth="1"/>
    <col min="22" max="23" width="8.83203125" style="2" customWidth="1"/>
    <col min="24" max="24" width="11.33203125" style="2" bestFit="1" customWidth="1"/>
    <col min="25" max="25" width="8.83203125" style="2" customWidth="1"/>
    <col min="26" max="26" width="8.1640625" style="219" bestFit="1" customWidth="1"/>
    <col min="27" max="27" width="8.83203125" style="2" customWidth="1"/>
    <col min="28" max="28" width="11.33203125" style="2" bestFit="1" customWidth="1"/>
    <col min="29" max="43" width="8.83203125" style="2" customWidth="1"/>
    <col min="44" max="50" width="11.33203125" style="2" customWidth="1"/>
    <col min="51" max="57" width="11.33203125" style="14" customWidth="1"/>
    <col min="58" max="16384" width="8.83203125" style="14" hidden="1"/>
  </cols>
  <sheetData>
    <row r="1" spans="1:59" s="15" customFormat="1" ht="33.75" customHeight="1" x14ac:dyDescent="0.3">
      <c r="A1" s="56"/>
      <c r="B1" s="3"/>
      <c r="C1" s="4" t="s">
        <v>30</v>
      </c>
      <c r="D1" s="3"/>
      <c r="E1" s="3"/>
      <c r="F1" s="3"/>
      <c r="G1" s="77"/>
      <c r="H1" s="3"/>
      <c r="I1" s="3"/>
      <c r="J1" s="3"/>
      <c r="K1" s="3"/>
      <c r="L1" s="3"/>
      <c r="M1" s="3"/>
      <c r="N1" s="3"/>
      <c r="O1" s="3"/>
      <c r="Q1" s="3"/>
      <c r="S1" s="3"/>
      <c r="T1" s="3"/>
      <c r="U1" s="3"/>
      <c r="Z1" s="174"/>
    </row>
    <row r="2" spans="1:59" s="15" customFormat="1" ht="21.5" customHeight="1" x14ac:dyDescent="0.2">
      <c r="A2" s="1"/>
      <c r="B2" s="3"/>
      <c r="C2" s="3"/>
      <c r="D2" s="3"/>
      <c r="E2" s="3"/>
      <c r="F2" s="3"/>
      <c r="G2" s="77"/>
      <c r="H2" s="3"/>
      <c r="I2" s="3"/>
      <c r="J2" s="3"/>
      <c r="K2" s="3"/>
      <c r="L2" s="3"/>
      <c r="M2" s="3"/>
      <c r="N2" s="3"/>
      <c r="O2" s="3"/>
      <c r="Q2" s="3"/>
      <c r="S2" s="3"/>
      <c r="T2" s="3"/>
      <c r="U2" s="3"/>
      <c r="Z2" s="174"/>
    </row>
    <row r="3" spans="1:59" s="15" customFormat="1" ht="21.5" customHeight="1" x14ac:dyDescent="0.2">
      <c r="A3" s="1"/>
      <c r="B3" s="3"/>
      <c r="C3" s="3"/>
      <c r="D3" s="3"/>
      <c r="E3" s="3"/>
      <c r="F3" s="3"/>
      <c r="G3" s="77"/>
      <c r="H3" s="3"/>
      <c r="I3" s="3"/>
      <c r="J3" s="3"/>
      <c r="K3" s="3"/>
      <c r="L3" s="3"/>
      <c r="M3" s="3"/>
      <c r="N3" s="3"/>
      <c r="O3" s="3"/>
      <c r="Q3" s="3"/>
      <c r="S3" s="3"/>
      <c r="T3" s="3"/>
      <c r="U3" s="3"/>
      <c r="Z3" s="174"/>
    </row>
    <row r="4" spans="1:59" s="2" customFormat="1" ht="30" customHeight="1" x14ac:dyDescent="0.2">
      <c r="A4" s="1"/>
      <c r="B4"/>
      <c r="C4"/>
      <c r="D4"/>
      <c r="E4"/>
      <c r="F4"/>
      <c r="G4" s="78"/>
      <c r="H4"/>
      <c r="I4"/>
      <c r="J4"/>
      <c r="K4"/>
      <c r="L4"/>
      <c r="M4"/>
      <c r="N4"/>
      <c r="O4" s="13"/>
      <c r="Q4"/>
      <c r="S4"/>
      <c r="T4"/>
      <c r="U4"/>
      <c r="Z4" s="219"/>
      <c r="AN4" s="175"/>
    </row>
    <row r="5" spans="1:59" s="2" customFormat="1" ht="30" customHeight="1" x14ac:dyDescent="0.2">
      <c r="A5" s="1"/>
      <c r="B5"/>
      <c r="C5" s="160" t="s">
        <v>205</v>
      </c>
      <c r="D5"/>
      <c r="E5"/>
      <c r="F5"/>
      <c r="G5"/>
      <c r="H5"/>
      <c r="I5"/>
      <c r="J5"/>
      <c r="K5" s="157">
        <f ca="1">IF(ISERROR(VLOOKUP(INDIRECT($C$5),Jornada!$C$8:$F$37,4,0)),0,VLOOKUP(INDIRECT($C$5),Jornada!$C$8:$F$37,4,0))</f>
        <v>0</v>
      </c>
      <c r="L5" s="158"/>
      <c r="M5" s="157">
        <f ca="1">IF(ISERROR(VLOOKUP(INDIRECT($C$5),Jornada!$C$8:$G$37,5,0)),0,VLOOKUP(INDIRECT($C$5),Jornada!$C$8:$G$37,5,0))</f>
        <v>0</v>
      </c>
      <c r="N5"/>
      <c r="O5" s="69"/>
      <c r="Q5"/>
      <c r="S5"/>
      <c r="T5"/>
      <c r="U5" s="12"/>
      <c r="Z5" s="219"/>
      <c r="AC5" s="12"/>
      <c r="AK5" s="179">
        <v>0.25</v>
      </c>
      <c r="AL5" s="155">
        <v>0.91666666666666663</v>
      </c>
      <c r="AM5" s="155">
        <v>0.20833333333333334</v>
      </c>
      <c r="AN5" s="155">
        <v>1</v>
      </c>
      <c r="AO5" s="155">
        <v>0.70833333333333337</v>
      </c>
    </row>
    <row r="6" spans="1:59" s="2" customFormat="1" ht="8" customHeight="1" thickBot="1" x14ac:dyDescent="0.25">
      <c r="A6" s="1"/>
      <c r="B6"/>
      <c r="C6" s="75"/>
      <c r="D6"/>
      <c r="E6"/>
      <c r="F6"/>
      <c r="G6" s="78"/>
      <c r="H6"/>
      <c r="I6"/>
      <c r="J6"/>
      <c r="M6" s="220">
        <v>1</v>
      </c>
      <c r="N6"/>
      <c r="O6" s="11"/>
      <c r="Q6" s="11"/>
      <c r="S6"/>
      <c r="T6"/>
      <c r="Z6" s="176"/>
    </row>
    <row r="7" spans="1:59" s="2" customFormat="1" ht="30" customHeight="1" thickTop="1" thickBot="1" x14ac:dyDescent="0.25">
      <c r="A7" s="1"/>
      <c r="B7"/>
      <c r="C7" s="76" t="s">
        <v>176</v>
      </c>
      <c r="D7"/>
      <c r="E7" s="281" t="str">
        <f>Lanç!E7</f>
        <v>Janeiro</v>
      </c>
      <c r="F7" s="283"/>
      <c r="G7" s="79" t="s">
        <v>58</v>
      </c>
      <c r="H7" s="82" t="s">
        <v>0</v>
      </c>
      <c r="I7" s="293" t="s">
        <v>59</v>
      </c>
      <c r="J7" s="293"/>
      <c r="K7" s="82" t="s">
        <v>60</v>
      </c>
      <c r="L7"/>
      <c r="M7" s="73" t="s">
        <v>61</v>
      </c>
      <c r="N7"/>
      <c r="O7" s="73" t="s">
        <v>62</v>
      </c>
      <c r="Q7" s="73" t="s">
        <v>63</v>
      </c>
      <c r="R7" s="155">
        <v>8.3333333333333329E-2</v>
      </c>
      <c r="S7" s="293" t="s">
        <v>64</v>
      </c>
      <c r="T7" s="293"/>
      <c r="U7" s="293"/>
      <c r="W7" s="2" t="s">
        <v>90</v>
      </c>
      <c r="X7" s="156">
        <v>1</v>
      </c>
      <c r="AB7" s="2">
        <f>VLOOKUP($E$7,$W$7:$X$18,2,0)</f>
        <v>1</v>
      </c>
      <c r="AG7" s="176" t="s">
        <v>167</v>
      </c>
      <c r="AH7" s="176" t="s">
        <v>168</v>
      </c>
      <c r="AI7" s="155">
        <v>0</v>
      </c>
      <c r="AJ7" s="155">
        <v>1</v>
      </c>
      <c r="AK7" s="155">
        <v>0.45833333333333331</v>
      </c>
      <c r="AL7" s="2" t="s">
        <v>0</v>
      </c>
      <c r="AM7" s="2" t="s">
        <v>162</v>
      </c>
      <c r="AN7" s="2" t="s">
        <v>184</v>
      </c>
      <c r="BE7" s="14"/>
      <c r="BF7" s="14"/>
      <c r="BG7" s="14"/>
    </row>
    <row r="8" spans="1:59" s="2" customFormat="1" ht="30" customHeight="1" thickTop="1" thickBot="1" x14ac:dyDescent="0.25">
      <c r="A8" s="1"/>
      <c r="B8"/>
      <c r="C8" s="172" t="str">
        <f>IF(Funcionários!C7=0,"",Funcionários!C7)</f>
        <v/>
      </c>
      <c r="D8"/>
      <c r="E8" s="115">
        <f>Lanç!E8</f>
        <v>1</v>
      </c>
      <c r="F8" s="189" t="str">
        <f>Lanç!F8</f>
        <v>Dom</v>
      </c>
      <c r="G8" s="80"/>
      <c r="H8" s="93"/>
      <c r="I8" s="93"/>
      <c r="J8" s="93"/>
      <c r="K8" s="93"/>
      <c r="L8" s="10"/>
      <c r="M8" s="95">
        <f>IF(AND(H8=K8,H8&lt;&gt;0),$M$6-IF(J8&lt;I8,$AJ$7+J8-I8,J8-I8),IF(H8&gt;K8,(K8+1-H8)-IF(J8&lt;I8,$AJ$7+J8-I8,J8-I8),(K8-H8)-IF(J8&lt;I8,$AJ$7+J8-I8,J8-I8)))</f>
        <v>0</v>
      </c>
      <c r="N8" s="96"/>
      <c r="O8" s="95">
        <f ca="1">IF(OR(G8=0,G8="Férias",G8="Falta Justificada",G8="Feriado",G8="Folga (DSR)"),0,IF(G8="Falta Injustificada",HLOOKUP($F8,Jornada!$X$7:$AD$37,VLOOKUP(INDIRECT($C$5),Jornada!$C$8:$W$37,21,0),0),IF(HLOOKUP($F8,Jornada!$X$7:$AD$37,VLOOKUP(INDIRECT($C$5),Jornada!$C$8:$W$37,21,0),0)-M8&gt;0,HLOOKUP($F8,Jornada!$X$7:$AD$37,VLOOKUP(INDIRECT($C$5),Jornada!$C$8:$W$37,21,0),0)-M8,0)))</f>
        <v>0</v>
      </c>
      <c r="P8" s="190">
        <f ca="1">IF(HLOOKUP($F8,Jornada!$X$7:$AD$37,VLOOKUP(INDIRECT($C$5),Jornada!$C$8:$W$37,21,0),0)-M8&lt;0,ABS(HLOOKUP($F8,Jornada!$X$7:$AD$37,VLOOKUP(INDIRECT($C$5),Jornada!$C$8:$W$37,21,0),0)-M8),0)</f>
        <v>0</v>
      </c>
      <c r="Q8" s="95">
        <f t="shared" ref="Q8:Q38" si="0">IF(G8="Normal",P8,IF(G8=0,0,IF(OR(G8="Feriado",G8="Férias"),IF(H8&gt;K8,(K8+1-H8)-IF(J8&lt;I8,$AJ$7+J8-I8,J8-I8),(K8-H8)-IF(J8&lt;I8,$AJ$7+J8-I8,J8-I8)),IF(G8="Folga (DSR)",IF(H8&gt;K8,(K8+1-H8)-IF(J8&lt;I8,$AJ$7+J8-I8,J8-I8),(K8-H8)-IF(J8&lt;I8,$AJ$7+J8-I8,J8-I8)),IF(G8="Falta Justificada",IF(H8&gt;K8,(K8+1-H8)-IF(J8&lt;I8,$AJ$7+J8-I8,J8-I8),(K8-H8)-IF(J8&lt;I8,$AJ$7+J8-I8,J8-I8)),0)))))</f>
        <v>0</v>
      </c>
      <c r="R8" s="2">
        <f>IF(Q8&gt;$R$7,1,0)</f>
        <v>0</v>
      </c>
      <c r="S8" s="294" t="s">
        <v>65</v>
      </c>
      <c r="T8" s="294"/>
      <c r="U8" s="295">
        <f>SUM(M8:M38)</f>
        <v>0</v>
      </c>
      <c r="W8" s="2" t="s">
        <v>91</v>
      </c>
      <c r="X8" s="156">
        <v>2</v>
      </c>
      <c r="AB8" s="177">
        <f>DATE('P Gerais'!$D$6,AB7,1)</f>
        <v>1</v>
      </c>
      <c r="AC8" s="2">
        <f>WEEKDAY(AB8)</f>
        <v>1</v>
      </c>
      <c r="AE8" s="2">
        <v>1</v>
      </c>
      <c r="AF8" s="2" t="s">
        <v>51</v>
      </c>
      <c r="AG8" s="220">
        <f>IF(J8&lt;I8,$AJ$7+J8-I8,J8-I8)</f>
        <v>0</v>
      </c>
      <c r="AH8" s="220">
        <f ca="1">IF(HLOOKUP($F8,Jornada!$X$7:$AD$37,VLOOKUP(INDIRECT($C$5),Jornada!$C$8:$W$37,21,0),0)=0,0,VLOOKUP(INDIRECT($C$5),Jornada!$C$8:$H$37,4,0))</f>
        <v>0</v>
      </c>
      <c r="AI8" s="155">
        <f ca="1">IF(AND(I8=0,J8=0,OR(H8&lt;&gt;0,K8&lt;&gt;0),HLOOKUP($F8,Jornada!$X$7:$AD$37,VLOOKUP(INDIRECT($C$5),Jornada!$C$8:$W$37,21,0),0)&gt;$AK$5,M8&gt;$AK$5),VLOOKUP(INDIRECT($C$5),Jornada!$C$8:$H$37,6,0),IF(AG8&gt;VLOOKUP(INDIRECT($C$5),Jornada!$C$8:$H$37,6,0),IF(VLOOKUP(INDIRECT($C$5),Jornada!$C$8:$H$37,6,0)&lt;AG8,0,ABS(VLOOKUP(INDIRECT($C$5),Jornada!$C$8:$H$37,6,0))-AG8),0))</f>
        <v>0</v>
      </c>
      <c r="AJ8" s="155">
        <f>($AJ$7-K8)+H8</f>
        <v>1</v>
      </c>
      <c r="AK8" s="155">
        <f>IF(AJ8&lt;$AK$7,$AK$7-AJ8,$AI$7)</f>
        <v>0</v>
      </c>
      <c r="AL8" s="155">
        <f ca="1">HLOOKUP($F8,Jornada!$I$5:$V$37,VLOOKUP(INDIRECT($C$5),Jornada!$C$8:$W$37,21,0)+2,0)</f>
        <v>0</v>
      </c>
      <c r="AM8" s="155">
        <f ca="1">HLOOKUP($F8,Jornada!$I$4:$V$37,VLOOKUP(INDIRECT($C$5),Jornada!$C$8:$W$37,21,0)+3,0)</f>
        <v>0</v>
      </c>
      <c r="AN8" s="155">
        <f ca="1">IF(AND(AL8&gt;=$AL$5,AL8&lt;$AN$5,H8&gt;=$AL$5,H8&lt;AL8),AL8-H8,IF(AND(AL8&gt;$AI$7,AL8&lt;=$AM$5,H8&gt;=$AL$5,H8&lt;=$AN$5),$AN$5-H8+AL8,IF(AND(AL8&gt;=$AI$7,AL8&lt;=$AM$5,H8&gt;=$AI$7,H8&lt;=$AM$5,H8&lt;AL8),H8-AL8,0)))</f>
        <v>0</v>
      </c>
      <c r="AO8" s="155">
        <f>IF(AP8&gt;Q8,0,AP8)</f>
        <v>0</v>
      </c>
      <c r="AP8" s="155">
        <f>IF(Q8=0,0,IF(AND(AM8&gt;=$AL$5,AM8&lt;$AN$5,K8&gt;=$AL$5,K8&lt;$AM$5,K8&gt;AM8),K8-AM8,IF(AND(AM8&gt;=$AL$5,AM8&lt;$AN$5,K8&lt;$AN$5,K8&gt;AM8),K8-$AL$5,IF(AND(AM8&gt;=$AI$7,AM8&lt;$AM$5,K8&lt;$AM$5),K8-AM8,IF(AND(AM8&lt;&gt;AI7,AM8&gt;=$AI$7,AM8&lt;=$AM$5,K8&gt;$AM$5,K8&gt;AM8),$AM$5-AM8,IF(AND(K8&gt;$AL$5,K8&lt;$AN$5),K8-$AL$5,IF(AND(K8&gt;$AI$7,K8&lt;$AM$5),$AN$5-$AL$5+K8,IF(AND(OR(K8&gt;$AL$5,H8&gt;$AO$5),AM8&gt;=$AI$7,AM8&lt;$AM$5,K8&gt;$AM$5),(1+$AM$5-$AL$5)-AG8,0))))))))</f>
        <v>0</v>
      </c>
      <c r="BE8" s="14"/>
      <c r="BF8" s="14"/>
      <c r="BG8" s="14"/>
    </row>
    <row r="9" spans="1:59" s="2" customFormat="1" ht="30" customHeight="1" thickTop="1" thickBot="1" x14ac:dyDescent="0.25">
      <c r="A9" s="1"/>
      <c r="B9"/>
      <c r="C9" s="172" t="str">
        <f>IF(Funcionários!C8=0,"",Funcionários!C8)</f>
        <v/>
      </c>
      <c r="D9"/>
      <c r="E9" s="115">
        <f>Lanç!E9</f>
        <v>2</v>
      </c>
      <c r="F9" s="189" t="str">
        <f>Lanç!F9</f>
        <v>Seg</v>
      </c>
      <c r="G9" s="81"/>
      <c r="H9" s="94"/>
      <c r="I9" s="94"/>
      <c r="J9" s="94"/>
      <c r="K9" s="94"/>
      <c r="L9" s="10"/>
      <c r="M9" s="95">
        <f t="shared" ref="M9:M38" si="1">IF(AND(H9=K9,H9&lt;&gt;0),$M$6-IF(J9&lt;I9,$AJ$7+J9-I9,J9-I9),IF(H9&gt;K9,(K9+1-H9)-IF(J9&lt;I9,$AJ$7+J9-I9,J9-I9),(K9-H9)-IF(J9&lt;I9,$AJ$7+J9-I9,J9-I9)))</f>
        <v>0</v>
      </c>
      <c r="N9" s="96"/>
      <c r="O9" s="95">
        <f ca="1">IF(OR(G9=0,G9="Férias",G9="Falta Justificada",G9="Feriado",G9="Folga (DSR)"),0,IF(G9="Falta Injustificada",HLOOKUP($F9,Jornada!$X$7:$AD$37,VLOOKUP(INDIRECT($C$5),Jornada!$C$8:$W$37,21,0),0),IF(HLOOKUP($F9,Jornada!$X$7:$AD$37,VLOOKUP(INDIRECT($C$5),Jornada!$C$8:$W$37,21,0),0)-M9&gt;0,HLOOKUP($F9,Jornada!$X$7:$AD$37,VLOOKUP(INDIRECT($C$5),Jornada!$C$8:$W$37,21,0),0)-M9,0)))</f>
        <v>0</v>
      </c>
      <c r="P9" s="190">
        <f ca="1">IF(HLOOKUP($F9,Jornada!$X$7:$AD$37,VLOOKUP(INDIRECT($C$5),Jornada!$C$8:$W$37,21,0),0)-M9&lt;0,ABS(HLOOKUP($F9,Jornada!$X$7:$AD$37,VLOOKUP(INDIRECT($C$5),Jornada!$C$8:$W$37,21,0),0)-M9),0)</f>
        <v>0</v>
      </c>
      <c r="Q9" s="95">
        <f t="shared" si="0"/>
        <v>0</v>
      </c>
      <c r="R9" s="2">
        <f t="shared" ref="R9:R38" si="2">IF(Q9&gt;$R$7,1,0)</f>
        <v>0</v>
      </c>
      <c r="S9" s="294"/>
      <c r="T9" s="294"/>
      <c r="U9" s="295"/>
      <c r="W9" s="2" t="s">
        <v>92</v>
      </c>
      <c r="X9" s="156">
        <v>3</v>
      </c>
      <c r="AB9" s="177">
        <f>AB8+1</f>
        <v>2</v>
      </c>
      <c r="AC9" s="2">
        <f t="shared" ref="AC9:AC35" si="3">WEEKDAY(AB9)</f>
        <v>2</v>
      </c>
      <c r="AE9" s="2">
        <v>2</v>
      </c>
      <c r="AF9" s="2" t="s">
        <v>52</v>
      </c>
      <c r="AG9" s="220">
        <f t="shared" ref="AG9:AG38" si="4">IF(J9&lt;I9,$AJ$7+J9-I9,J9-I9)</f>
        <v>0</v>
      </c>
      <c r="AH9" s="220">
        <f ca="1">IF(HLOOKUP($F9,Jornada!$X$7:$AD$37,VLOOKUP(INDIRECT($C$5),Jornada!$C$8:$W$37,21,0),0)=0,0,VLOOKUP(INDIRECT($C$5),Jornada!$C$8:$H$37,4,0))</f>
        <v>0</v>
      </c>
      <c r="AI9" s="155">
        <f ca="1">IF(AND(I9=0,J9=0,OR(H9&lt;&gt;0,K9&lt;&gt;0),HLOOKUP($F9,Jornada!$X$7:$AD$37,VLOOKUP(INDIRECT($C$5),Jornada!$C$8:$W$37,21,0),0)&gt;$AK$5,M9&gt;$AK$5),VLOOKUP(INDIRECT($C$5),Jornada!$C$8:$H$37,6,0),IF(AG9&gt;VLOOKUP(INDIRECT($C$5),Jornada!$C$8:$H$37,6,0),IF(VLOOKUP(INDIRECT($C$5),Jornada!$C$8:$H$37,6,0)&lt;AG9,0,ABS(VLOOKUP(INDIRECT($C$5),Jornada!$C$8:$H$37,6,0))-AG9),0))</f>
        <v>0</v>
      </c>
      <c r="AJ9" s="155">
        <f t="shared" ref="AJ9:AJ38" si="5">($AJ$7-K9)+H9</f>
        <v>1</v>
      </c>
      <c r="AK9" s="155">
        <f t="shared" ref="AK9:AK38" si="6">IF(AJ9&lt;$AK$7,$AK$7-AJ9,$AI$7)</f>
        <v>0</v>
      </c>
      <c r="AL9" s="155">
        <f ca="1">HLOOKUP($F9,Jornada!$I$5:$V$37,VLOOKUP(INDIRECT($C$5),Jornada!$C$8:$W$37,21,0)+2,0)</f>
        <v>0</v>
      </c>
      <c r="AM9" s="155">
        <f ca="1">HLOOKUP($F9,Jornada!$I$4:$V$37,VLOOKUP(INDIRECT($C$5),Jornada!$C$8:$W$37,21,0)+3,0)</f>
        <v>0</v>
      </c>
      <c r="AN9" s="155">
        <f t="shared" ref="AN9:AN38" ca="1" si="7">IF(AND(AL9&gt;=$AL$5,AL9&lt;$AN$5,H9&gt;=$AL$5,H9&lt;AL9),AL9-H9,IF(AND(AL9&gt;$AI$7,AL9&lt;=$AM$5,H9&gt;=$AL$5,H9&lt;=$AN$5),$AN$5-H9+AL9,IF(AND(AL9&gt;=$AI$7,AL9&lt;=$AM$5,H9&gt;=$AI$7,H9&lt;=$AM$5,H9&lt;AL9),H9-AL9,0)))</f>
        <v>0</v>
      </c>
      <c r="AO9" s="155">
        <f t="shared" ref="AO9:AO38" si="8">IF(AP9&gt;Q9,0,AP9)</f>
        <v>0</v>
      </c>
      <c r="AP9" s="155">
        <f t="shared" ref="AP9:AP38" si="9">IF(Q9=0,0,IF(AND(AM9&gt;=$AL$5,AM9&lt;$AN$5,K9&gt;=$AL$5,K9&lt;$AM$5,K9&gt;AM9),K9-AM9,IF(AND(AM9&gt;=$AL$5,AM9&lt;$AN$5,K9&lt;$AN$5,K9&gt;AM9),K9-$AL$5,IF(AND(AM9&gt;=$AI$7,AM9&lt;$AM$5,K9&lt;$AM$5),K9-AM9,IF(AND(AM9&lt;&gt;AI8,AM9&gt;=$AI$7,AM9&lt;=$AM$5,K9&gt;$AM$5,K9&gt;AM9),$AM$5-AM9,IF(AND(K9&gt;$AL$5,K9&lt;$AN$5),K9-$AL$5,IF(AND(K9&gt;$AI$7,K9&lt;$AM$5),$AN$5-$AL$5+K9,IF(AND(OR(K9&gt;$AL$5,H9&gt;$AO$5),AM9&gt;=$AI$7,AM9&lt;$AM$5,K9&gt;$AM$5),(1+$AM$5-$AL$5)-AG9,0))))))))</f>
        <v>0</v>
      </c>
      <c r="BE9" s="14"/>
      <c r="BF9" s="14"/>
      <c r="BG9" s="14"/>
    </row>
    <row r="10" spans="1:59" s="2" customFormat="1" ht="30" customHeight="1" thickTop="1" thickBot="1" x14ac:dyDescent="0.25">
      <c r="A10" s="1"/>
      <c r="B10"/>
      <c r="C10" s="172" t="str">
        <f>IF(Funcionários!C9=0,"",Funcionários!C9)</f>
        <v/>
      </c>
      <c r="D10"/>
      <c r="E10" s="115">
        <f>Lanç!E10</f>
        <v>3</v>
      </c>
      <c r="F10" s="189" t="str">
        <f>Lanç!F10</f>
        <v>Ter</v>
      </c>
      <c r="G10" s="81"/>
      <c r="H10" s="94"/>
      <c r="I10" s="94"/>
      <c r="J10" s="94"/>
      <c r="K10" s="94"/>
      <c r="L10" s="10"/>
      <c r="M10" s="95">
        <f t="shared" si="1"/>
        <v>0</v>
      </c>
      <c r="N10" s="96"/>
      <c r="O10" s="95">
        <f ca="1">IF(OR(G10=0,G10="Férias",G10="Falta Justificada",G10="Feriado",G10="Folga (DSR)"),0,IF(G10="Falta Injustificada",HLOOKUP($F10,Jornada!$X$7:$AD$37,VLOOKUP(INDIRECT($C$5),Jornada!$C$8:$W$37,21,0),0),IF(HLOOKUP($F10,Jornada!$X$7:$AD$37,VLOOKUP(INDIRECT($C$5),Jornada!$C$8:$W$37,21,0),0)-M10&gt;0,HLOOKUP($F10,Jornada!$X$7:$AD$37,VLOOKUP(INDIRECT($C$5),Jornada!$C$8:$W$37,21,0),0)-M10,0)))</f>
        <v>0</v>
      </c>
      <c r="P10" s="190">
        <f ca="1">IF(HLOOKUP($F10,Jornada!$X$7:$AD$37,VLOOKUP(INDIRECT($C$5),Jornada!$C$8:$W$37,21,0),0)-M10&lt;0,ABS(HLOOKUP($F10,Jornada!$X$7:$AD$37,VLOOKUP(INDIRECT($C$5),Jornada!$C$8:$W$37,21,0),0)-M10),0)</f>
        <v>0</v>
      </c>
      <c r="Q10" s="95">
        <f t="shared" si="0"/>
        <v>0</v>
      </c>
      <c r="R10" s="2">
        <f t="shared" si="2"/>
        <v>0</v>
      </c>
      <c r="S10" s="294" t="s">
        <v>66</v>
      </c>
      <c r="T10" s="294"/>
      <c r="U10" s="295">
        <f ca="1">IF(M5="Horas devidas",ABS(-K5+F58-U14),ABS(K5+F58-U14))</f>
        <v>0</v>
      </c>
      <c r="W10" s="2" t="s">
        <v>93</v>
      </c>
      <c r="X10" s="156">
        <v>4</v>
      </c>
      <c r="AB10" s="177">
        <f t="shared" ref="AB10:AB34" si="10">AB9+1</f>
        <v>3</v>
      </c>
      <c r="AC10" s="2">
        <f t="shared" si="3"/>
        <v>3</v>
      </c>
      <c r="AE10" s="2">
        <v>3</v>
      </c>
      <c r="AF10" s="2" t="s">
        <v>53</v>
      </c>
      <c r="AG10" s="220">
        <f t="shared" si="4"/>
        <v>0</v>
      </c>
      <c r="AH10" s="220">
        <f ca="1">IF(HLOOKUP($F10,Jornada!$X$7:$AD$37,VLOOKUP(INDIRECT($C$5),Jornada!$C$8:$W$37,21,0),0)=0,0,VLOOKUP(INDIRECT($C$5),Jornada!$C$8:$H$37,4,0))</f>
        <v>0</v>
      </c>
      <c r="AI10" s="155">
        <f ca="1">IF(AND(I10=0,J10=0,OR(H10&lt;&gt;0,K10&lt;&gt;0),HLOOKUP($F10,Jornada!$X$7:$AD$37,VLOOKUP(INDIRECT($C$5),Jornada!$C$8:$W$37,21,0),0)&gt;$AK$5,M10&gt;$AK$5),VLOOKUP(INDIRECT($C$5),Jornada!$C$8:$H$37,6,0),IF(AG10&gt;VLOOKUP(INDIRECT($C$5),Jornada!$C$8:$H$37,6,0),IF(VLOOKUP(INDIRECT($C$5),Jornada!$C$8:$H$37,6,0)&lt;AG10,0,ABS(VLOOKUP(INDIRECT($C$5),Jornada!$C$8:$H$37,6,0))-AG10),0))</f>
        <v>0</v>
      </c>
      <c r="AJ10" s="155">
        <f t="shared" si="5"/>
        <v>1</v>
      </c>
      <c r="AK10" s="155">
        <f t="shared" si="6"/>
        <v>0</v>
      </c>
      <c r="AL10" s="155">
        <f ca="1">HLOOKUP($F10,Jornada!$I$5:$V$37,VLOOKUP(INDIRECT($C$5),Jornada!$C$8:$W$37,21,0)+2,0)</f>
        <v>0</v>
      </c>
      <c r="AM10" s="155">
        <f ca="1">HLOOKUP($F10,Jornada!$I$4:$V$37,VLOOKUP(INDIRECT($C$5),Jornada!$C$8:$W$37,21,0)+3,0)</f>
        <v>0</v>
      </c>
      <c r="AN10" s="155">
        <f t="shared" ca="1" si="7"/>
        <v>0</v>
      </c>
      <c r="AO10" s="155">
        <f t="shared" si="8"/>
        <v>0</v>
      </c>
      <c r="AP10" s="155">
        <f t="shared" si="9"/>
        <v>0</v>
      </c>
      <c r="BE10" s="14"/>
      <c r="BF10" s="14"/>
      <c r="BG10" s="14"/>
    </row>
    <row r="11" spans="1:59" s="2" customFormat="1" ht="30" customHeight="1" thickTop="1" thickBot="1" x14ac:dyDescent="0.25">
      <c r="A11" s="1"/>
      <c r="B11"/>
      <c r="C11" s="172" t="str">
        <f>IF(Funcionários!C10=0,"",Funcionários!C10)</f>
        <v/>
      </c>
      <c r="D11"/>
      <c r="E11" s="115">
        <f>Lanç!E11</f>
        <v>4</v>
      </c>
      <c r="F11" s="189" t="str">
        <f>Lanç!F11</f>
        <v>Qua</v>
      </c>
      <c r="G11" s="81"/>
      <c r="H11" s="94"/>
      <c r="I11" s="94"/>
      <c r="J11" s="94"/>
      <c r="K11" s="94"/>
      <c r="L11" s="10"/>
      <c r="M11" s="95">
        <f t="shared" si="1"/>
        <v>0</v>
      </c>
      <c r="N11" s="96"/>
      <c r="O11" s="95">
        <f ca="1">IF(OR(G11=0,G11="Férias",G11="Falta Justificada",G11="Feriado",G11="Folga (DSR)"),0,IF(G11="Falta Injustificada",HLOOKUP($F11,Jornada!$X$7:$AD$37,VLOOKUP(INDIRECT($C$5),Jornada!$C$8:$W$37,21,0),0),IF(HLOOKUP($F11,Jornada!$X$7:$AD$37,VLOOKUP(INDIRECT($C$5),Jornada!$C$8:$W$37,21,0),0)-M11&gt;0,HLOOKUP($F11,Jornada!$X$7:$AD$37,VLOOKUP(INDIRECT($C$5),Jornada!$C$8:$W$37,21,0),0)-M11,0)))</f>
        <v>0</v>
      </c>
      <c r="P11" s="190">
        <f ca="1">IF(HLOOKUP($F11,Jornada!$X$7:$AD$37,VLOOKUP(INDIRECT($C$5),Jornada!$C$8:$W$37,21,0),0)-M11&lt;0,ABS(HLOOKUP($F11,Jornada!$X$7:$AD$37,VLOOKUP(INDIRECT($C$5),Jornada!$C$8:$W$37,21,0),0)-M11),0)</f>
        <v>0</v>
      </c>
      <c r="Q11" s="95">
        <f t="shared" si="0"/>
        <v>0</v>
      </c>
      <c r="R11" s="2">
        <f t="shared" si="2"/>
        <v>0</v>
      </c>
      <c r="S11" s="294"/>
      <c r="T11" s="294"/>
      <c r="U11" s="295"/>
      <c r="V11" s="2">
        <f ca="1">IF(AND(K5&gt;U12,M5="Horas devidas"),"Negativo",IF(AND(U12&gt;K5,U14&gt;F58),"Negativo",0))</f>
        <v>0</v>
      </c>
      <c r="W11" s="2" t="s">
        <v>94</v>
      </c>
      <c r="X11" s="156">
        <v>5</v>
      </c>
      <c r="Z11" s="2" t="str">
        <f ca="1">IF(AND(M5="horas extras",Z13="positivo"),"positivo",IF(AND(M5="horas devidas",Z13="Negativo"),"Negativo",IF(AND(Z13="positivo",M5="horas devidas",U12&gt;K5),"Positivo","Negativo")))</f>
        <v>Negativo</v>
      </c>
      <c r="AB11" s="177">
        <f t="shared" si="10"/>
        <v>4</v>
      </c>
      <c r="AC11" s="2">
        <f t="shared" si="3"/>
        <v>4</v>
      </c>
      <c r="AE11" s="2">
        <v>4</v>
      </c>
      <c r="AF11" s="2" t="s">
        <v>54</v>
      </c>
      <c r="AG11" s="220">
        <f t="shared" si="4"/>
        <v>0</v>
      </c>
      <c r="AH11" s="220">
        <f ca="1">IF(HLOOKUP($F11,Jornada!$X$7:$AD$37,VLOOKUP(INDIRECT($C$5),Jornada!$C$8:$W$37,21,0),0)=0,0,VLOOKUP(INDIRECT($C$5),Jornada!$C$8:$H$37,4,0))</f>
        <v>0</v>
      </c>
      <c r="AI11" s="155">
        <f ca="1">IF(AND(I11=0,J11=0,OR(H11&lt;&gt;0,K11&lt;&gt;0),HLOOKUP($F11,Jornada!$X$7:$AD$37,VLOOKUP(INDIRECT($C$5),Jornada!$C$8:$W$37,21,0),0)&gt;$AK$5,M11&gt;$AK$5),VLOOKUP(INDIRECT($C$5),Jornada!$C$8:$H$37,6,0),IF(AG11&gt;VLOOKUP(INDIRECT($C$5),Jornada!$C$8:$H$37,6,0),IF(VLOOKUP(INDIRECT($C$5),Jornada!$C$8:$H$37,6,0)&lt;AG11,0,ABS(VLOOKUP(INDIRECT($C$5),Jornada!$C$8:$H$37,6,0))-AG11),0))</f>
        <v>0</v>
      </c>
      <c r="AJ11" s="155">
        <f t="shared" si="5"/>
        <v>1</v>
      </c>
      <c r="AK11" s="155">
        <f t="shared" si="6"/>
        <v>0</v>
      </c>
      <c r="AL11" s="155">
        <f ca="1">HLOOKUP($F11,Jornada!$I$5:$V$37,VLOOKUP(INDIRECT($C$5),Jornada!$C$8:$W$37,21,0)+2,0)</f>
        <v>0</v>
      </c>
      <c r="AM11" s="155">
        <f ca="1">HLOOKUP($F11,Jornada!$I$4:$V$37,VLOOKUP(INDIRECT($C$5),Jornada!$C$8:$W$37,21,0)+3,0)</f>
        <v>0</v>
      </c>
      <c r="AN11" s="155">
        <f t="shared" ca="1" si="7"/>
        <v>0</v>
      </c>
      <c r="AO11" s="155">
        <f t="shared" si="8"/>
        <v>0</v>
      </c>
      <c r="AP11" s="155">
        <f t="shared" si="9"/>
        <v>0</v>
      </c>
      <c r="BE11" s="14"/>
      <c r="BF11" s="14"/>
      <c r="BG11" s="14"/>
    </row>
    <row r="12" spans="1:59" s="2" customFormat="1" ht="30" customHeight="1" thickTop="1" thickBot="1" x14ac:dyDescent="0.25">
      <c r="A12" s="1"/>
      <c r="B12"/>
      <c r="C12" s="172" t="str">
        <f>IF(Funcionários!C11=0,"",Funcionários!C11)</f>
        <v/>
      </c>
      <c r="D12"/>
      <c r="E12" s="115">
        <f>Lanç!E12</f>
        <v>5</v>
      </c>
      <c r="F12" s="189" t="str">
        <f>Lanç!F12</f>
        <v>Qui</v>
      </c>
      <c r="G12" s="81"/>
      <c r="H12" s="94"/>
      <c r="I12" s="94"/>
      <c r="J12" s="94"/>
      <c r="K12" s="94"/>
      <c r="L12" s="10"/>
      <c r="M12" s="95">
        <f t="shared" si="1"/>
        <v>0</v>
      </c>
      <c r="N12" s="96"/>
      <c r="O12" s="95">
        <f ca="1">IF(OR(G12=0,G12="Férias",G12="Falta Justificada",G12="Feriado",G12="Folga (DSR)"),0,IF(G12="Falta Injustificada",HLOOKUP($F12,Jornada!$X$7:$AD$37,VLOOKUP(INDIRECT($C$5),Jornada!$C$8:$W$37,21,0),0),IF(HLOOKUP($F12,Jornada!$X$7:$AD$37,VLOOKUP(INDIRECT($C$5),Jornada!$C$8:$W$37,21,0),0)-M12&gt;0,HLOOKUP($F12,Jornada!$X$7:$AD$37,VLOOKUP(INDIRECT($C$5),Jornada!$C$8:$W$37,21,0),0)-M12,0)))</f>
        <v>0</v>
      </c>
      <c r="P12" s="190">
        <f ca="1">IF(HLOOKUP($F12,Jornada!$X$7:$AD$37,VLOOKUP(INDIRECT($C$5),Jornada!$C$8:$W$37,21,0),0)-M12&lt;0,ABS(HLOOKUP($F12,Jornada!$X$7:$AD$37,VLOOKUP(INDIRECT($C$5),Jornada!$C$8:$W$37,21,0),0)-M12),0)</f>
        <v>0</v>
      </c>
      <c r="Q12" s="95">
        <f t="shared" si="0"/>
        <v>0</v>
      </c>
      <c r="R12" s="2">
        <f t="shared" si="2"/>
        <v>0</v>
      </c>
      <c r="S12" s="294" t="s">
        <v>175</v>
      </c>
      <c r="T12" s="294"/>
      <c r="U12" s="295">
        <f ca="1">IF(U14&gt;=F58,(U14)-F58,(F58-U14))</f>
        <v>0</v>
      </c>
      <c r="W12" s="2" t="s">
        <v>95</v>
      </c>
      <c r="X12" s="156">
        <v>6</v>
      </c>
      <c r="AB12" s="177">
        <f t="shared" si="10"/>
        <v>5</v>
      </c>
      <c r="AC12" s="2">
        <f t="shared" si="3"/>
        <v>5</v>
      </c>
      <c r="AE12" s="2">
        <v>5</v>
      </c>
      <c r="AF12" s="2" t="s">
        <v>55</v>
      </c>
      <c r="AG12" s="220">
        <f t="shared" si="4"/>
        <v>0</v>
      </c>
      <c r="AH12" s="220">
        <f ca="1">IF(HLOOKUP($F12,Jornada!$X$7:$AD$37,VLOOKUP(INDIRECT($C$5),Jornada!$C$8:$W$37,21,0),0)=0,0,VLOOKUP(INDIRECT($C$5),Jornada!$C$8:$H$37,4,0))</f>
        <v>0</v>
      </c>
      <c r="AI12" s="155">
        <f ca="1">IF(AND(I12=0,J12=0,OR(H12&lt;&gt;0,K12&lt;&gt;0),HLOOKUP($F12,Jornada!$X$7:$AD$37,VLOOKUP(INDIRECT($C$5),Jornada!$C$8:$W$37,21,0),0)&gt;$AK$5,M12&gt;$AK$5),VLOOKUP(INDIRECT($C$5),Jornada!$C$8:$H$37,6,0),IF(AG12&gt;VLOOKUP(INDIRECT($C$5),Jornada!$C$8:$H$37,6,0),IF(VLOOKUP(INDIRECT($C$5),Jornada!$C$8:$H$37,6,0)&lt;AG12,0,ABS(VLOOKUP(INDIRECT($C$5),Jornada!$C$8:$H$37,6,0))-AG12),0))</f>
        <v>0</v>
      </c>
      <c r="AJ12" s="155">
        <f t="shared" si="5"/>
        <v>1</v>
      </c>
      <c r="AK12" s="155">
        <f t="shared" si="6"/>
        <v>0</v>
      </c>
      <c r="AL12" s="155">
        <f ca="1">HLOOKUP($F12,Jornada!$I$5:$V$37,VLOOKUP(INDIRECT($C$5),Jornada!$C$8:$W$37,21,0)+2,0)</f>
        <v>0</v>
      </c>
      <c r="AM12" s="155">
        <f ca="1">HLOOKUP($F12,Jornada!$I$4:$V$37,VLOOKUP(INDIRECT($C$5),Jornada!$C$8:$W$37,21,0)+3,0)</f>
        <v>0</v>
      </c>
      <c r="AN12" s="155">
        <f t="shared" ca="1" si="7"/>
        <v>0</v>
      </c>
      <c r="AO12" s="155">
        <f t="shared" si="8"/>
        <v>0</v>
      </c>
      <c r="AP12" s="155">
        <f t="shared" si="9"/>
        <v>0</v>
      </c>
      <c r="BE12" s="14"/>
      <c r="BF12" s="14"/>
      <c r="BG12" s="14"/>
    </row>
    <row r="13" spans="1:59" s="2" customFormat="1" ht="30" customHeight="1" thickTop="1" thickBot="1" x14ac:dyDescent="0.25">
      <c r="A13" s="1"/>
      <c r="B13"/>
      <c r="C13" s="172" t="str">
        <f>IF(Funcionários!C12=0,"",Funcionários!C12)</f>
        <v/>
      </c>
      <c r="D13"/>
      <c r="E13" s="115">
        <f>Lanç!E13</f>
        <v>6</v>
      </c>
      <c r="F13" s="189" t="str">
        <f>Lanç!F13</f>
        <v>Sex</v>
      </c>
      <c r="G13" s="81"/>
      <c r="H13" s="94"/>
      <c r="I13" s="94"/>
      <c r="J13" s="94"/>
      <c r="K13" s="94"/>
      <c r="L13" s="10"/>
      <c r="M13" s="95">
        <f t="shared" si="1"/>
        <v>0</v>
      </c>
      <c r="N13" s="96"/>
      <c r="O13" s="95">
        <f ca="1">IF(OR(G13=0,G13="Férias",G13="Falta Justificada",G13="Feriado",G13="Folga (DSR)"),0,IF(G13="Falta Injustificada",HLOOKUP($F13,Jornada!$X$7:$AD$37,VLOOKUP(INDIRECT($C$5),Jornada!$C$8:$W$37,21,0),0),IF(HLOOKUP($F13,Jornada!$X$7:$AD$37,VLOOKUP(INDIRECT($C$5),Jornada!$C$8:$W$37,21,0),0)-M13&gt;0,HLOOKUP($F13,Jornada!$X$7:$AD$37,VLOOKUP(INDIRECT($C$5),Jornada!$C$8:$W$37,21,0),0)-M13,0)))</f>
        <v>0</v>
      </c>
      <c r="P13" s="190">
        <f ca="1">IF(HLOOKUP($F13,Jornada!$X$7:$AD$37,VLOOKUP(INDIRECT($C$5),Jornada!$C$8:$W$37,21,0),0)-M13&lt;0,ABS(HLOOKUP($F13,Jornada!$X$7:$AD$37,VLOOKUP(INDIRECT($C$5),Jornada!$C$8:$W$37,21,0),0)-M13),0)</f>
        <v>0</v>
      </c>
      <c r="Q13" s="95">
        <f t="shared" si="0"/>
        <v>0</v>
      </c>
      <c r="R13" s="2">
        <f t="shared" si="2"/>
        <v>0</v>
      </c>
      <c r="S13" s="294"/>
      <c r="T13" s="294"/>
      <c r="U13" s="295"/>
      <c r="W13" s="2" t="s">
        <v>96</v>
      </c>
      <c r="X13" s="156">
        <v>7</v>
      </c>
      <c r="Z13" s="2" t="str">
        <f ca="1">IF(U14&gt;F58,"Negativo","Positivo")</f>
        <v>Positivo</v>
      </c>
      <c r="AB13" s="177">
        <f t="shared" si="10"/>
        <v>6</v>
      </c>
      <c r="AC13" s="2">
        <f t="shared" si="3"/>
        <v>6</v>
      </c>
      <c r="AE13" s="2">
        <v>6</v>
      </c>
      <c r="AF13" s="2" t="s">
        <v>56</v>
      </c>
      <c r="AG13" s="220">
        <f t="shared" si="4"/>
        <v>0</v>
      </c>
      <c r="AH13" s="220">
        <f ca="1">IF(HLOOKUP($F13,Jornada!$X$7:$AD$37,VLOOKUP(INDIRECT($C$5),Jornada!$C$8:$W$37,21,0),0)=0,0,VLOOKUP(INDIRECT($C$5),Jornada!$C$8:$H$37,4,0))</f>
        <v>0</v>
      </c>
      <c r="AI13" s="155">
        <f ca="1">IF(AND(I13=0,J13=0,OR(H13&lt;&gt;0,K13&lt;&gt;0),HLOOKUP($F13,Jornada!$X$7:$AD$37,VLOOKUP(INDIRECT($C$5),Jornada!$C$8:$W$37,21,0),0)&gt;$AK$5,M13&gt;$AK$5),VLOOKUP(INDIRECT($C$5),Jornada!$C$8:$H$37,6,0),IF(AG13&gt;VLOOKUP(INDIRECT($C$5),Jornada!$C$8:$H$37,6,0),IF(VLOOKUP(INDIRECT($C$5),Jornada!$C$8:$H$37,6,0)&lt;AG13,0,ABS(VLOOKUP(INDIRECT($C$5),Jornada!$C$8:$H$37,6,0))-AG13),0))</f>
        <v>0</v>
      </c>
      <c r="AJ13" s="155">
        <f t="shared" si="5"/>
        <v>1</v>
      </c>
      <c r="AK13" s="155">
        <f t="shared" si="6"/>
        <v>0</v>
      </c>
      <c r="AL13" s="155">
        <f ca="1">HLOOKUP($F13,Jornada!$I$5:$V$37,VLOOKUP(INDIRECT($C$5),Jornada!$C$8:$W$37,21,0)+2,0)</f>
        <v>0</v>
      </c>
      <c r="AM13" s="155">
        <f ca="1">HLOOKUP($F13,Jornada!$I$4:$V$37,VLOOKUP(INDIRECT($C$5),Jornada!$C$8:$W$37,21,0)+3,0)</f>
        <v>0</v>
      </c>
      <c r="AN13" s="155">
        <f t="shared" ca="1" si="7"/>
        <v>0</v>
      </c>
      <c r="AO13" s="155">
        <f t="shared" si="8"/>
        <v>0</v>
      </c>
      <c r="AP13" s="155">
        <f t="shared" si="9"/>
        <v>0</v>
      </c>
      <c r="BE13" s="14"/>
      <c r="BF13" s="14"/>
      <c r="BG13" s="14"/>
    </row>
    <row r="14" spans="1:59" s="2" customFormat="1" ht="30" customHeight="1" thickTop="1" thickBot="1" x14ac:dyDescent="0.25">
      <c r="A14" s="1"/>
      <c r="B14"/>
      <c r="C14" s="172" t="str">
        <f>IF(Funcionários!C13=0,"",Funcionários!C13)</f>
        <v/>
      </c>
      <c r="D14"/>
      <c r="E14" s="115">
        <f>Lanç!E14</f>
        <v>7</v>
      </c>
      <c r="F14" s="189" t="str">
        <f>Lanç!F14</f>
        <v>Sáb</v>
      </c>
      <c r="G14" s="81"/>
      <c r="H14" s="94"/>
      <c r="I14" s="94"/>
      <c r="J14" s="94"/>
      <c r="K14" s="94"/>
      <c r="L14" s="10"/>
      <c r="M14" s="95">
        <f t="shared" si="1"/>
        <v>0</v>
      </c>
      <c r="N14" s="96"/>
      <c r="O14" s="95">
        <f ca="1">IF(OR(G14=0,G14="Férias",G14="Falta Justificada",G14="Feriado",G14="Folga (DSR)"),0,IF(G14="Falta Injustificada",HLOOKUP($F14,Jornada!$X$7:$AD$37,VLOOKUP(INDIRECT($C$5),Jornada!$C$8:$W$37,21,0),0),IF(HLOOKUP($F14,Jornada!$X$7:$AD$37,VLOOKUP(INDIRECT($C$5),Jornada!$C$8:$W$37,21,0),0)-M14&gt;0,HLOOKUP($F14,Jornada!$X$7:$AD$37,VLOOKUP(INDIRECT($C$5),Jornada!$C$8:$W$37,21,0),0)-M14,0)))</f>
        <v>0</v>
      </c>
      <c r="P14" s="190">
        <f ca="1">IF(HLOOKUP($F14,Jornada!$X$7:$AD$37,VLOOKUP(INDIRECT($C$5),Jornada!$C$8:$W$37,21,0),0)-M14&lt;0,ABS(HLOOKUP($F14,Jornada!$X$7:$AD$37,VLOOKUP(INDIRECT($C$5),Jornada!$C$8:$W$37,21,0),0)-M14),0)</f>
        <v>0</v>
      </c>
      <c r="Q14" s="95">
        <f t="shared" si="0"/>
        <v>0</v>
      </c>
      <c r="R14" s="2">
        <f t="shared" si="2"/>
        <v>0</v>
      </c>
      <c r="S14" s="294" t="s">
        <v>68</v>
      </c>
      <c r="T14" s="294"/>
      <c r="U14" s="295">
        <f ca="1">SUM(O8:O38)</f>
        <v>0</v>
      </c>
      <c r="W14" s="2" t="s">
        <v>97</v>
      </c>
      <c r="X14" s="156">
        <v>8</v>
      </c>
      <c r="AB14" s="177">
        <f t="shared" si="10"/>
        <v>7</v>
      </c>
      <c r="AC14" s="2">
        <f t="shared" si="3"/>
        <v>7</v>
      </c>
      <c r="AE14" s="2">
        <v>7</v>
      </c>
      <c r="AF14" s="2" t="s">
        <v>57</v>
      </c>
      <c r="AG14" s="220">
        <f t="shared" si="4"/>
        <v>0</v>
      </c>
      <c r="AH14" s="220">
        <f ca="1">IF(HLOOKUP($F14,Jornada!$X$7:$AD$37,VLOOKUP(INDIRECT($C$5),Jornada!$C$8:$W$37,21,0),0)=0,0,VLOOKUP(INDIRECT($C$5),Jornada!$C$8:$H$37,4,0))</f>
        <v>0</v>
      </c>
      <c r="AI14" s="155">
        <f ca="1">IF(AND(I14=0,J14=0,OR(H14&lt;&gt;0,K14&lt;&gt;0),HLOOKUP($F14,Jornada!$X$7:$AD$37,VLOOKUP(INDIRECT($C$5),Jornada!$C$8:$W$37,21,0),0)&gt;$AK$5,M14&gt;$AK$5),VLOOKUP(INDIRECT($C$5),Jornada!$C$8:$H$37,6,0),IF(AG14&gt;VLOOKUP(INDIRECT($C$5),Jornada!$C$8:$H$37,6,0),IF(VLOOKUP(INDIRECT($C$5),Jornada!$C$8:$H$37,6,0)&lt;AG14,0,ABS(VLOOKUP(INDIRECT($C$5),Jornada!$C$8:$H$37,6,0))-AG14),0))</f>
        <v>0</v>
      </c>
      <c r="AJ14" s="155">
        <f t="shared" si="5"/>
        <v>1</v>
      </c>
      <c r="AK14" s="155">
        <f t="shared" si="6"/>
        <v>0</v>
      </c>
      <c r="AL14" s="155">
        <f ca="1">HLOOKUP($F14,Jornada!$I$5:$V$37,VLOOKUP(INDIRECT($C$5),Jornada!$C$8:$W$37,21,0)+2,0)</f>
        <v>0</v>
      </c>
      <c r="AM14" s="155">
        <f ca="1">HLOOKUP($F14,Jornada!$I$4:$V$37,VLOOKUP(INDIRECT($C$5),Jornada!$C$8:$W$37,21,0)+3,0)</f>
        <v>0</v>
      </c>
      <c r="AN14" s="155">
        <f t="shared" ca="1" si="7"/>
        <v>0</v>
      </c>
      <c r="AO14" s="155">
        <f t="shared" si="8"/>
        <v>0</v>
      </c>
      <c r="AP14" s="155">
        <f t="shared" si="9"/>
        <v>0</v>
      </c>
      <c r="BE14" s="14"/>
      <c r="BF14" s="14"/>
      <c r="BG14" s="14"/>
    </row>
    <row r="15" spans="1:59" s="2" customFormat="1" ht="30" customHeight="1" thickTop="1" thickBot="1" x14ac:dyDescent="0.25">
      <c r="A15" s="1"/>
      <c r="B15"/>
      <c r="C15" s="172" t="str">
        <f>IF(Funcionários!C14=0,"",Funcionários!C14)</f>
        <v/>
      </c>
      <c r="D15"/>
      <c r="E15" s="115">
        <f>Lanç!E15</f>
        <v>8</v>
      </c>
      <c r="F15" s="189" t="str">
        <f>Lanç!F15</f>
        <v>Dom</v>
      </c>
      <c r="G15" s="81"/>
      <c r="H15" s="94"/>
      <c r="I15" s="94"/>
      <c r="J15" s="94"/>
      <c r="K15" s="94"/>
      <c r="L15" s="10"/>
      <c r="M15" s="95">
        <f t="shared" si="1"/>
        <v>0</v>
      </c>
      <c r="N15" s="96"/>
      <c r="O15" s="95">
        <f ca="1">IF(OR(G15=0,G15="Férias",G15="Falta Justificada",G15="Feriado",G15="Folga (DSR)"),0,IF(G15="Falta Injustificada",HLOOKUP($F15,Jornada!$X$7:$AD$37,VLOOKUP(INDIRECT($C$5),Jornada!$C$8:$W$37,21,0),0),IF(HLOOKUP($F15,Jornada!$X$7:$AD$37,VLOOKUP(INDIRECT($C$5),Jornada!$C$8:$W$37,21,0),0)-M15&gt;0,HLOOKUP($F15,Jornada!$X$7:$AD$37,VLOOKUP(INDIRECT($C$5),Jornada!$C$8:$W$37,21,0),0)-M15,0)))</f>
        <v>0</v>
      </c>
      <c r="P15" s="190">
        <f ca="1">IF(HLOOKUP($F15,Jornada!$X$7:$AD$37,VLOOKUP(INDIRECT($C$5),Jornada!$C$8:$W$37,21,0),0)-M15&lt;0,ABS(HLOOKUP($F15,Jornada!$X$7:$AD$37,VLOOKUP(INDIRECT($C$5),Jornada!$C$8:$W$37,21,0),0)-M15),0)</f>
        <v>0</v>
      </c>
      <c r="Q15" s="95">
        <f t="shared" si="0"/>
        <v>0</v>
      </c>
      <c r="R15" s="2">
        <f t="shared" si="2"/>
        <v>0</v>
      </c>
      <c r="S15" s="294"/>
      <c r="T15" s="294"/>
      <c r="U15" s="295"/>
      <c r="W15" s="2" t="s">
        <v>98</v>
      </c>
      <c r="X15" s="156">
        <v>9</v>
      </c>
      <c r="AB15" s="177">
        <f t="shared" si="10"/>
        <v>8</v>
      </c>
      <c r="AC15" s="2">
        <f t="shared" si="3"/>
        <v>1</v>
      </c>
      <c r="AG15" s="220">
        <f t="shared" si="4"/>
        <v>0</v>
      </c>
      <c r="AH15" s="220">
        <f ca="1">IF(HLOOKUP($F15,Jornada!$X$7:$AD$37,VLOOKUP(INDIRECT($C$5),Jornada!$C$8:$W$37,21,0),0)=0,0,VLOOKUP(INDIRECT($C$5),Jornada!$C$8:$H$37,4,0))</f>
        <v>0</v>
      </c>
      <c r="AI15" s="155">
        <f ca="1">IF(AND(I15=0,J15=0,OR(H15&lt;&gt;0,K15&lt;&gt;0),HLOOKUP($F15,Jornada!$X$7:$AD$37,VLOOKUP(INDIRECT($C$5),Jornada!$C$8:$W$37,21,0),0)&gt;$AK$5,M15&gt;$AK$5),VLOOKUP(INDIRECT($C$5),Jornada!$C$8:$H$37,6,0),IF(AG15&gt;VLOOKUP(INDIRECT($C$5),Jornada!$C$8:$H$37,6,0),IF(VLOOKUP(INDIRECT($C$5),Jornada!$C$8:$H$37,6,0)&lt;AG15,0,ABS(VLOOKUP(INDIRECT($C$5),Jornada!$C$8:$H$37,6,0))-AG15),0))</f>
        <v>0</v>
      </c>
      <c r="AJ15" s="155">
        <f t="shared" si="5"/>
        <v>1</v>
      </c>
      <c r="AK15" s="155">
        <f t="shared" si="6"/>
        <v>0</v>
      </c>
      <c r="AL15" s="155">
        <f ca="1">HLOOKUP($F15,Jornada!$I$5:$V$37,VLOOKUP(INDIRECT($C$5),Jornada!$C$8:$W$37,21,0)+2,0)</f>
        <v>0</v>
      </c>
      <c r="AM15" s="155">
        <f ca="1">HLOOKUP($F15,Jornada!$I$4:$V$37,VLOOKUP(INDIRECT($C$5),Jornada!$C$8:$W$37,21,0)+3,0)</f>
        <v>0</v>
      </c>
      <c r="AN15" s="155">
        <f t="shared" ca="1" si="7"/>
        <v>0</v>
      </c>
      <c r="AO15" s="155">
        <f t="shared" si="8"/>
        <v>0</v>
      </c>
      <c r="AP15" s="155">
        <f t="shared" si="9"/>
        <v>0</v>
      </c>
      <c r="BE15" s="14"/>
      <c r="BF15" s="14"/>
      <c r="BG15" s="14"/>
    </row>
    <row r="16" spans="1:59" s="2" customFormat="1" ht="30" customHeight="1" thickTop="1" thickBot="1" x14ac:dyDescent="0.25">
      <c r="A16" s="1"/>
      <c r="B16"/>
      <c r="C16" s="172" t="str">
        <f>IF(Funcionários!C15=0,"",Funcionários!C15)</f>
        <v/>
      </c>
      <c r="D16"/>
      <c r="E16" s="115">
        <f>Lanç!E16</f>
        <v>9</v>
      </c>
      <c r="F16" s="189" t="str">
        <f>Lanç!F16</f>
        <v>Seg</v>
      </c>
      <c r="G16" s="81"/>
      <c r="H16" s="94"/>
      <c r="I16" s="94"/>
      <c r="J16" s="94"/>
      <c r="K16" s="94"/>
      <c r="L16" s="10"/>
      <c r="M16" s="95">
        <f t="shared" si="1"/>
        <v>0</v>
      </c>
      <c r="N16" s="96"/>
      <c r="O16" s="95">
        <f ca="1">IF(OR(G16=0,G16="Férias",G16="Falta Justificada",G16="Feriado",G16="Folga (DSR)"),0,IF(G16="Falta Injustificada",HLOOKUP($F16,Jornada!$X$7:$AD$37,VLOOKUP(INDIRECT($C$5),Jornada!$C$8:$W$37,21,0),0),IF(HLOOKUP($F16,Jornada!$X$7:$AD$37,VLOOKUP(INDIRECT($C$5),Jornada!$C$8:$W$37,21,0),0)-M16&gt;0,HLOOKUP($F16,Jornada!$X$7:$AD$37,VLOOKUP(INDIRECT($C$5),Jornada!$C$8:$W$37,21,0),0)-M16,0)))</f>
        <v>0</v>
      </c>
      <c r="P16" s="190">
        <f ca="1">IF(HLOOKUP($F16,Jornada!$X$7:$AD$37,VLOOKUP(INDIRECT($C$5),Jornada!$C$8:$W$37,21,0),0)-M16&lt;0,ABS(HLOOKUP($F16,Jornada!$X$7:$AD$37,VLOOKUP(INDIRECT($C$5),Jornada!$C$8:$W$37,21,0),0)-M16),0)</f>
        <v>0</v>
      </c>
      <c r="Q16" s="95">
        <f t="shared" si="0"/>
        <v>0</v>
      </c>
      <c r="R16" s="2">
        <f t="shared" si="2"/>
        <v>0</v>
      </c>
      <c r="S16" s="294" t="s">
        <v>67</v>
      </c>
      <c r="T16" s="294"/>
      <c r="U16" s="295">
        <f>SUM(Q8:Q38)</f>
        <v>0</v>
      </c>
      <c r="W16" s="2" t="s">
        <v>99</v>
      </c>
      <c r="X16" s="156">
        <v>10</v>
      </c>
      <c r="AB16" s="177">
        <f t="shared" si="10"/>
        <v>9</v>
      </c>
      <c r="AC16" s="2">
        <f t="shared" si="3"/>
        <v>2</v>
      </c>
      <c r="AG16" s="220">
        <f t="shared" si="4"/>
        <v>0</v>
      </c>
      <c r="AH16" s="220">
        <f ca="1">IF(HLOOKUP($F16,Jornada!$X$7:$AD$37,VLOOKUP(INDIRECT($C$5),Jornada!$C$8:$W$37,21,0),0)=0,0,VLOOKUP(INDIRECT($C$5),Jornada!$C$8:$H$37,4,0))</f>
        <v>0</v>
      </c>
      <c r="AI16" s="155">
        <f ca="1">IF(AND(I16=0,J16=0,OR(H16&lt;&gt;0,K16&lt;&gt;0),HLOOKUP($F16,Jornada!$X$7:$AD$37,VLOOKUP(INDIRECT($C$5),Jornada!$C$8:$W$37,21,0),0)&gt;$AK$5,M16&gt;$AK$5),VLOOKUP(INDIRECT($C$5),Jornada!$C$8:$H$37,6,0),IF(AG16&gt;VLOOKUP(INDIRECT($C$5),Jornada!$C$8:$H$37,6,0),IF(VLOOKUP(INDIRECT($C$5),Jornada!$C$8:$H$37,6,0)&lt;AG16,0,ABS(VLOOKUP(INDIRECT($C$5),Jornada!$C$8:$H$37,6,0))-AG16),0))</f>
        <v>0</v>
      </c>
      <c r="AJ16" s="155">
        <f t="shared" si="5"/>
        <v>1</v>
      </c>
      <c r="AK16" s="155">
        <f t="shared" si="6"/>
        <v>0</v>
      </c>
      <c r="AL16" s="155">
        <f ca="1">HLOOKUP($F16,Jornada!$I$5:$V$37,VLOOKUP(INDIRECT($C$5),Jornada!$C$8:$W$37,21,0)+2,0)</f>
        <v>0</v>
      </c>
      <c r="AM16" s="155">
        <f ca="1">HLOOKUP($F16,Jornada!$I$4:$V$37,VLOOKUP(INDIRECT($C$5),Jornada!$C$8:$W$37,21,0)+3,0)</f>
        <v>0</v>
      </c>
      <c r="AN16" s="155">
        <f t="shared" ca="1" si="7"/>
        <v>0</v>
      </c>
      <c r="AO16" s="155">
        <f t="shared" si="8"/>
        <v>0</v>
      </c>
      <c r="AP16" s="155">
        <f t="shared" si="9"/>
        <v>0</v>
      </c>
      <c r="BE16" s="14"/>
      <c r="BF16" s="14"/>
      <c r="BG16" s="14"/>
    </row>
    <row r="17" spans="1:59" s="2" customFormat="1" ht="30" customHeight="1" thickTop="1" thickBot="1" x14ac:dyDescent="0.25">
      <c r="A17" s="1"/>
      <c r="B17"/>
      <c r="C17" s="172" t="str">
        <f>IF(Funcionários!C16=0,"",Funcionários!C16)</f>
        <v/>
      </c>
      <c r="D17"/>
      <c r="E17" s="115">
        <f>Lanç!E17</f>
        <v>10</v>
      </c>
      <c r="F17" s="189" t="str">
        <f>Lanç!F17</f>
        <v>Ter</v>
      </c>
      <c r="G17" s="81"/>
      <c r="H17" s="94"/>
      <c r="I17" s="94"/>
      <c r="J17" s="94"/>
      <c r="K17" s="94"/>
      <c r="L17" s="10"/>
      <c r="M17" s="95">
        <f t="shared" si="1"/>
        <v>0</v>
      </c>
      <c r="N17" s="96"/>
      <c r="O17" s="95">
        <f ca="1">IF(OR(G17=0,G17="Férias",G17="Falta Justificada",G17="Feriado",G17="Folga (DSR)"),0,IF(G17="Falta Injustificada",HLOOKUP($F17,Jornada!$X$7:$AD$37,VLOOKUP(INDIRECT($C$5),Jornada!$C$8:$W$37,21,0),0),IF(HLOOKUP($F17,Jornada!$X$7:$AD$37,VLOOKUP(INDIRECT($C$5),Jornada!$C$8:$W$37,21,0),0)-M17&gt;0,HLOOKUP($F17,Jornada!$X$7:$AD$37,VLOOKUP(INDIRECT($C$5),Jornada!$C$8:$W$37,21,0),0)-M17,0)))</f>
        <v>0</v>
      </c>
      <c r="P17" s="190">
        <f ca="1">IF(HLOOKUP($F17,Jornada!$X$7:$AD$37,VLOOKUP(INDIRECT($C$5),Jornada!$C$8:$W$37,21,0),0)-M17&lt;0,ABS(HLOOKUP($F17,Jornada!$X$7:$AD$37,VLOOKUP(INDIRECT($C$5),Jornada!$C$8:$W$37,21,0),0)-M17),0)</f>
        <v>0</v>
      </c>
      <c r="Q17" s="95">
        <f t="shared" si="0"/>
        <v>0</v>
      </c>
      <c r="R17" s="2">
        <f t="shared" si="2"/>
        <v>0</v>
      </c>
      <c r="S17" s="294"/>
      <c r="T17" s="294"/>
      <c r="U17" s="295"/>
      <c r="W17" s="2" t="s">
        <v>100</v>
      </c>
      <c r="X17" s="156">
        <v>11</v>
      </c>
      <c r="AB17" s="177">
        <f t="shared" si="10"/>
        <v>10</v>
      </c>
      <c r="AC17" s="2">
        <f t="shared" si="3"/>
        <v>3</v>
      </c>
      <c r="AG17" s="220">
        <f t="shared" si="4"/>
        <v>0</v>
      </c>
      <c r="AH17" s="220">
        <f ca="1">IF(HLOOKUP($F17,Jornada!$X$7:$AD$37,VLOOKUP(INDIRECT($C$5),Jornada!$C$8:$W$37,21,0),0)=0,0,VLOOKUP(INDIRECT($C$5),Jornada!$C$8:$H$37,4,0))</f>
        <v>0</v>
      </c>
      <c r="AI17" s="155">
        <f ca="1">IF(AND(I17=0,J17=0,OR(H17&lt;&gt;0,K17&lt;&gt;0),HLOOKUP($F17,Jornada!$X$7:$AD$37,VLOOKUP(INDIRECT($C$5),Jornada!$C$8:$W$37,21,0),0)&gt;$AK$5,M17&gt;$AK$5),VLOOKUP(INDIRECT($C$5),Jornada!$C$8:$H$37,6,0),IF(AG17&gt;VLOOKUP(INDIRECT($C$5),Jornada!$C$8:$H$37,6,0),IF(VLOOKUP(INDIRECT($C$5),Jornada!$C$8:$H$37,6,0)&lt;AG17,0,ABS(VLOOKUP(INDIRECT($C$5),Jornada!$C$8:$H$37,6,0))-AG17),0))</f>
        <v>0</v>
      </c>
      <c r="AJ17" s="155">
        <f t="shared" si="5"/>
        <v>1</v>
      </c>
      <c r="AK17" s="155">
        <f t="shared" si="6"/>
        <v>0</v>
      </c>
      <c r="AL17" s="155">
        <f ca="1">HLOOKUP($F17,Jornada!$I$5:$V$37,VLOOKUP(INDIRECT($C$5),Jornada!$C$8:$W$37,21,0)+2,0)</f>
        <v>0</v>
      </c>
      <c r="AM17" s="155">
        <f ca="1">HLOOKUP($F17,Jornada!$I$4:$V$37,VLOOKUP(INDIRECT($C$5),Jornada!$C$8:$W$37,21,0)+3,0)</f>
        <v>0</v>
      </c>
      <c r="AN17" s="155">
        <f t="shared" ca="1" si="7"/>
        <v>0</v>
      </c>
      <c r="AO17" s="155">
        <f t="shared" si="8"/>
        <v>0</v>
      </c>
      <c r="AP17" s="155">
        <f t="shared" si="9"/>
        <v>0</v>
      </c>
      <c r="BE17" s="14"/>
      <c r="BF17" s="14"/>
      <c r="BG17" s="14"/>
    </row>
    <row r="18" spans="1:59" s="2" customFormat="1" ht="30" customHeight="1" thickTop="1" thickBot="1" x14ac:dyDescent="0.25">
      <c r="A18" s="1"/>
      <c r="B18"/>
      <c r="C18" s="172" t="str">
        <f>IF(Funcionários!C17=0,"",Funcionários!C17)</f>
        <v/>
      </c>
      <c r="D18"/>
      <c r="E18" s="115">
        <f>Lanç!E18</f>
        <v>11</v>
      </c>
      <c r="F18" s="189" t="str">
        <f>Lanç!F18</f>
        <v>Qua</v>
      </c>
      <c r="G18" s="81"/>
      <c r="H18" s="94"/>
      <c r="I18" s="94"/>
      <c r="J18" s="94"/>
      <c r="K18" s="94"/>
      <c r="L18" s="10"/>
      <c r="M18" s="95">
        <f t="shared" si="1"/>
        <v>0</v>
      </c>
      <c r="N18" s="96"/>
      <c r="O18" s="95">
        <f ca="1">IF(OR(G18=0,G18="Férias",G18="Falta Justificada",G18="Feriado",G18="Folga (DSR)"),0,IF(G18="Falta Injustificada",HLOOKUP($F18,Jornada!$X$7:$AD$37,VLOOKUP(INDIRECT($C$5),Jornada!$C$8:$W$37,21,0),0),IF(HLOOKUP($F18,Jornada!$X$7:$AD$37,VLOOKUP(INDIRECT($C$5),Jornada!$C$8:$W$37,21,0),0)-M18&gt;0,HLOOKUP($F18,Jornada!$X$7:$AD$37,VLOOKUP(INDIRECT($C$5),Jornada!$C$8:$W$37,21,0),0)-M18,0)))</f>
        <v>0</v>
      </c>
      <c r="P18" s="190">
        <f ca="1">IF(HLOOKUP($F18,Jornada!$X$7:$AD$37,VLOOKUP(INDIRECT($C$5),Jornada!$C$8:$W$37,21,0),0)-M18&lt;0,ABS(HLOOKUP($F18,Jornada!$X$7:$AD$37,VLOOKUP(INDIRECT($C$5),Jornada!$C$8:$W$37,21,0),0)-M18),0)</f>
        <v>0</v>
      </c>
      <c r="Q18" s="95">
        <f t="shared" si="0"/>
        <v>0</v>
      </c>
      <c r="R18" s="2">
        <f t="shared" si="2"/>
        <v>0</v>
      </c>
      <c r="S18" s="294" t="s">
        <v>69</v>
      </c>
      <c r="T18" s="294"/>
      <c r="U18" s="299">
        <f ca="1">F54</f>
        <v>0</v>
      </c>
      <c r="W18" s="2" t="s">
        <v>101</v>
      </c>
      <c r="X18" s="156">
        <v>12</v>
      </c>
      <c r="AB18" s="177">
        <f t="shared" si="10"/>
        <v>11</v>
      </c>
      <c r="AC18" s="2">
        <f t="shared" si="3"/>
        <v>4</v>
      </c>
      <c r="AG18" s="220">
        <f t="shared" si="4"/>
        <v>0</v>
      </c>
      <c r="AH18" s="220">
        <f ca="1">IF(HLOOKUP($F18,Jornada!$X$7:$AD$37,VLOOKUP(INDIRECT($C$5),Jornada!$C$8:$W$37,21,0),0)=0,0,VLOOKUP(INDIRECT($C$5),Jornada!$C$8:$H$37,4,0))</f>
        <v>0</v>
      </c>
      <c r="AI18" s="155">
        <f ca="1">IF(AND(I18=0,J18=0,OR(H18&lt;&gt;0,K18&lt;&gt;0),HLOOKUP($F18,Jornada!$X$7:$AD$37,VLOOKUP(INDIRECT($C$5),Jornada!$C$8:$W$37,21,0),0)&gt;$AK$5,M18&gt;$AK$5),VLOOKUP(INDIRECT($C$5),Jornada!$C$8:$H$37,6,0),IF(AG18&gt;VLOOKUP(INDIRECT($C$5),Jornada!$C$8:$H$37,6,0),IF(VLOOKUP(INDIRECT($C$5),Jornada!$C$8:$H$37,6,0)&lt;AG18,0,ABS(VLOOKUP(INDIRECT($C$5),Jornada!$C$8:$H$37,6,0))-AG18),0))</f>
        <v>0</v>
      </c>
      <c r="AJ18" s="155">
        <f t="shared" si="5"/>
        <v>1</v>
      </c>
      <c r="AK18" s="155">
        <f t="shared" si="6"/>
        <v>0</v>
      </c>
      <c r="AL18" s="155">
        <f ca="1">HLOOKUP($F18,Jornada!$I$5:$V$37,VLOOKUP(INDIRECT($C$5),Jornada!$C$8:$W$37,21,0)+2,0)</f>
        <v>0</v>
      </c>
      <c r="AM18" s="155">
        <f ca="1">HLOOKUP($F18,Jornada!$I$4:$V$37,VLOOKUP(INDIRECT($C$5),Jornada!$C$8:$W$37,21,0)+3,0)</f>
        <v>0</v>
      </c>
      <c r="AN18" s="155">
        <f t="shared" ca="1" si="7"/>
        <v>0</v>
      </c>
      <c r="AO18" s="155">
        <f t="shared" si="8"/>
        <v>0</v>
      </c>
      <c r="AP18" s="155">
        <f t="shared" si="9"/>
        <v>0</v>
      </c>
      <c r="BE18" s="14"/>
      <c r="BF18" s="14"/>
      <c r="BG18" s="14"/>
    </row>
    <row r="19" spans="1:59" s="2" customFormat="1" ht="30" customHeight="1" thickTop="1" thickBot="1" x14ac:dyDescent="0.25">
      <c r="A19" s="1"/>
      <c r="B19"/>
      <c r="C19" s="172" t="str">
        <f>IF(Funcionários!C18=0,"",Funcionários!C18)</f>
        <v/>
      </c>
      <c r="D19"/>
      <c r="E19" s="115">
        <f>Lanç!E19</f>
        <v>12</v>
      </c>
      <c r="F19" s="189" t="str">
        <f>Lanç!F19</f>
        <v>Qui</v>
      </c>
      <c r="G19" s="81"/>
      <c r="H19" s="94"/>
      <c r="I19" s="94"/>
      <c r="J19" s="94"/>
      <c r="K19" s="94"/>
      <c r="L19" s="10"/>
      <c r="M19" s="95">
        <f t="shared" si="1"/>
        <v>0</v>
      </c>
      <c r="N19" s="96"/>
      <c r="O19" s="95">
        <f ca="1">IF(OR(G19=0,G19="Férias",G19="Falta Justificada",G19="Feriado",G19="Folga (DSR)"),0,IF(G19="Falta Injustificada",HLOOKUP($F19,Jornada!$X$7:$AD$37,VLOOKUP(INDIRECT($C$5),Jornada!$C$8:$W$37,21,0),0),IF(HLOOKUP($F19,Jornada!$X$7:$AD$37,VLOOKUP(INDIRECT($C$5),Jornada!$C$8:$W$37,21,0),0)-M19&gt;0,HLOOKUP($F19,Jornada!$X$7:$AD$37,VLOOKUP(INDIRECT($C$5),Jornada!$C$8:$W$37,21,0),0)-M19,0)))</f>
        <v>0</v>
      </c>
      <c r="P19" s="190">
        <f ca="1">IF(HLOOKUP($F19,Jornada!$X$7:$AD$37,VLOOKUP(INDIRECT($C$5),Jornada!$C$8:$W$37,21,0),0)-M19&lt;0,ABS(HLOOKUP($F19,Jornada!$X$7:$AD$37,VLOOKUP(INDIRECT($C$5),Jornada!$C$8:$W$37,21,0),0)-M19),0)</f>
        <v>0</v>
      </c>
      <c r="Q19" s="95">
        <f t="shared" si="0"/>
        <v>0</v>
      </c>
      <c r="R19" s="2">
        <f t="shared" si="2"/>
        <v>0</v>
      </c>
      <c r="S19" s="294"/>
      <c r="T19" s="294"/>
      <c r="U19" s="299"/>
      <c r="X19" s="177"/>
      <c r="AB19" s="177">
        <f t="shared" si="10"/>
        <v>12</v>
      </c>
      <c r="AC19" s="2">
        <f t="shared" si="3"/>
        <v>5</v>
      </c>
      <c r="AG19" s="220">
        <f t="shared" si="4"/>
        <v>0</v>
      </c>
      <c r="AH19" s="220">
        <f ca="1">IF(HLOOKUP($F19,Jornada!$X$7:$AD$37,VLOOKUP(INDIRECT($C$5),Jornada!$C$8:$W$37,21,0),0)=0,0,VLOOKUP(INDIRECT($C$5),Jornada!$C$8:$H$37,4,0))</f>
        <v>0</v>
      </c>
      <c r="AI19" s="155">
        <f ca="1">IF(AND(I19=0,J19=0,OR(H19&lt;&gt;0,K19&lt;&gt;0),HLOOKUP($F19,Jornada!$X$7:$AD$37,VLOOKUP(INDIRECT($C$5),Jornada!$C$8:$W$37,21,0),0)&gt;$AK$5,M19&gt;$AK$5),VLOOKUP(INDIRECT($C$5),Jornada!$C$8:$H$37,6,0),IF(AG19&gt;VLOOKUP(INDIRECT($C$5),Jornada!$C$8:$H$37,6,0),IF(VLOOKUP(INDIRECT($C$5),Jornada!$C$8:$H$37,6,0)&lt;AG19,0,ABS(VLOOKUP(INDIRECT($C$5),Jornada!$C$8:$H$37,6,0))-AG19),0))</f>
        <v>0</v>
      </c>
      <c r="AJ19" s="155">
        <f t="shared" si="5"/>
        <v>1</v>
      </c>
      <c r="AK19" s="155">
        <f t="shared" si="6"/>
        <v>0</v>
      </c>
      <c r="AL19" s="155">
        <f ca="1">HLOOKUP($F19,Jornada!$I$5:$V$37,VLOOKUP(INDIRECT($C$5),Jornada!$C$8:$W$37,21,0)+2,0)</f>
        <v>0</v>
      </c>
      <c r="AM19" s="155">
        <f ca="1">HLOOKUP($F19,Jornada!$I$4:$V$37,VLOOKUP(INDIRECT($C$5),Jornada!$C$8:$W$37,21,0)+3,0)</f>
        <v>0</v>
      </c>
      <c r="AN19" s="155">
        <f t="shared" ca="1" si="7"/>
        <v>0</v>
      </c>
      <c r="AO19" s="155">
        <f t="shared" si="8"/>
        <v>0</v>
      </c>
      <c r="AP19" s="155">
        <f t="shared" si="9"/>
        <v>0</v>
      </c>
      <c r="BE19" s="14"/>
      <c r="BF19" s="14"/>
      <c r="BG19" s="14"/>
    </row>
    <row r="20" spans="1:59" s="2" customFormat="1" ht="30" customHeight="1" thickTop="1" thickBot="1" x14ac:dyDescent="0.25">
      <c r="A20" s="1"/>
      <c r="B20"/>
      <c r="C20" s="172" t="str">
        <f>IF(Funcionários!C19=0,"",Funcionários!C19)</f>
        <v/>
      </c>
      <c r="D20"/>
      <c r="E20" s="115">
        <f>Lanç!E20</f>
        <v>13</v>
      </c>
      <c r="F20" s="189" t="str">
        <f>Lanç!F20</f>
        <v>Sex</v>
      </c>
      <c r="G20" s="81"/>
      <c r="H20" s="94"/>
      <c r="I20" s="94"/>
      <c r="J20" s="94"/>
      <c r="K20" s="94"/>
      <c r="L20" s="10"/>
      <c r="M20" s="95">
        <f t="shared" si="1"/>
        <v>0</v>
      </c>
      <c r="N20" s="96"/>
      <c r="O20" s="95">
        <f ca="1">IF(OR(G20=0,G20="Férias",G20="Falta Justificada",G20="Feriado",G20="Folga (DSR)"),0,IF(G20="Falta Injustificada",HLOOKUP($F20,Jornada!$X$7:$AD$37,VLOOKUP(INDIRECT($C$5),Jornada!$C$8:$W$37,21,0),0),IF(HLOOKUP($F20,Jornada!$X$7:$AD$37,VLOOKUP(INDIRECT($C$5),Jornada!$C$8:$W$37,21,0),0)-M20&gt;0,HLOOKUP($F20,Jornada!$X$7:$AD$37,VLOOKUP(INDIRECT($C$5),Jornada!$C$8:$W$37,21,0),0)-M20,0)))</f>
        <v>0</v>
      </c>
      <c r="P20" s="190">
        <f ca="1">IF(HLOOKUP($F20,Jornada!$X$7:$AD$37,VLOOKUP(INDIRECT($C$5),Jornada!$C$8:$W$37,21,0),0)-M20&lt;0,ABS(HLOOKUP($F20,Jornada!$X$7:$AD$37,VLOOKUP(INDIRECT($C$5),Jornada!$C$8:$W$37,21,0),0)-M20),0)</f>
        <v>0</v>
      </c>
      <c r="Q20" s="95">
        <f t="shared" si="0"/>
        <v>0</v>
      </c>
      <c r="R20" s="2">
        <f t="shared" si="2"/>
        <v>0</v>
      </c>
      <c r="S20"/>
      <c r="T20"/>
      <c r="U20"/>
      <c r="X20" s="177"/>
      <c r="AB20" s="177">
        <f t="shared" si="10"/>
        <v>13</v>
      </c>
      <c r="AC20" s="2">
        <f t="shared" si="3"/>
        <v>6</v>
      </c>
      <c r="AG20" s="220">
        <f t="shared" si="4"/>
        <v>0</v>
      </c>
      <c r="AH20" s="220">
        <f ca="1">IF(HLOOKUP($F20,Jornada!$X$7:$AD$37,VLOOKUP(INDIRECT($C$5),Jornada!$C$8:$W$37,21,0),0)=0,0,VLOOKUP(INDIRECT($C$5),Jornada!$C$8:$H$37,4,0))</f>
        <v>0</v>
      </c>
      <c r="AI20" s="155">
        <f ca="1">IF(AND(I20=0,J20=0,OR(H20&lt;&gt;0,K20&lt;&gt;0),HLOOKUP($F20,Jornada!$X$7:$AD$37,VLOOKUP(INDIRECT($C$5),Jornada!$C$8:$W$37,21,0),0)&gt;$AK$5,M20&gt;$AK$5),VLOOKUP(INDIRECT($C$5),Jornada!$C$8:$H$37,6,0),IF(AG20&gt;VLOOKUP(INDIRECT($C$5),Jornada!$C$8:$H$37,6,0),IF(VLOOKUP(INDIRECT($C$5),Jornada!$C$8:$H$37,6,0)&lt;AG20,0,ABS(VLOOKUP(INDIRECT($C$5),Jornada!$C$8:$H$37,6,0))-AG20),0))</f>
        <v>0</v>
      </c>
      <c r="AJ20" s="155">
        <f t="shared" si="5"/>
        <v>1</v>
      </c>
      <c r="AK20" s="155">
        <f t="shared" si="6"/>
        <v>0</v>
      </c>
      <c r="AL20" s="155">
        <f ca="1">HLOOKUP($F20,Jornada!$I$5:$V$37,VLOOKUP(INDIRECT($C$5),Jornada!$C$8:$W$37,21,0)+2,0)</f>
        <v>0</v>
      </c>
      <c r="AM20" s="155">
        <f ca="1">HLOOKUP($F20,Jornada!$I$4:$V$37,VLOOKUP(INDIRECT($C$5),Jornada!$C$8:$W$37,21,0)+3,0)</f>
        <v>0</v>
      </c>
      <c r="AN20" s="155">
        <f t="shared" ca="1" si="7"/>
        <v>0</v>
      </c>
      <c r="AO20" s="155">
        <f t="shared" si="8"/>
        <v>0</v>
      </c>
      <c r="AP20" s="155">
        <f t="shared" si="9"/>
        <v>0</v>
      </c>
      <c r="BE20" s="14"/>
      <c r="BF20" s="14"/>
      <c r="BG20" s="14"/>
    </row>
    <row r="21" spans="1:59" s="2" customFormat="1" ht="30" customHeight="1" thickTop="1" thickBot="1" x14ac:dyDescent="0.25">
      <c r="A21" s="1"/>
      <c r="B21"/>
      <c r="C21" s="172" t="str">
        <f>IF(Funcionários!C20=0,"",Funcionários!C20)</f>
        <v/>
      </c>
      <c r="D21"/>
      <c r="E21" s="115">
        <f>Lanç!E21</f>
        <v>14</v>
      </c>
      <c r="F21" s="189" t="str">
        <f>Lanç!F21</f>
        <v>Sáb</v>
      </c>
      <c r="G21" s="81"/>
      <c r="H21" s="94"/>
      <c r="I21" s="94"/>
      <c r="J21" s="94"/>
      <c r="K21" s="94"/>
      <c r="L21" s="10"/>
      <c r="M21" s="95">
        <f t="shared" si="1"/>
        <v>0</v>
      </c>
      <c r="N21" s="96"/>
      <c r="O21" s="95">
        <f ca="1">IF(OR(G21=0,G21="Férias",G21="Falta Justificada",G21="Feriado",G21="Folga (DSR)"),0,IF(G21="Falta Injustificada",HLOOKUP($F21,Jornada!$X$7:$AD$37,VLOOKUP(INDIRECT($C$5),Jornada!$C$8:$W$37,21,0),0),IF(HLOOKUP($F21,Jornada!$X$7:$AD$37,VLOOKUP(INDIRECT($C$5),Jornada!$C$8:$W$37,21,0),0)-M21&gt;0,HLOOKUP($F21,Jornada!$X$7:$AD$37,VLOOKUP(INDIRECT($C$5),Jornada!$C$8:$W$37,21,0),0)-M21,0)))</f>
        <v>0</v>
      </c>
      <c r="P21" s="190">
        <f ca="1">IF(HLOOKUP($F21,Jornada!$X$7:$AD$37,VLOOKUP(INDIRECT($C$5),Jornada!$C$8:$W$37,21,0),0)-M21&lt;0,ABS(HLOOKUP($F21,Jornada!$X$7:$AD$37,VLOOKUP(INDIRECT($C$5),Jornada!$C$8:$W$37,21,0),0)-M21),0)</f>
        <v>0</v>
      </c>
      <c r="Q21" s="95">
        <f t="shared" si="0"/>
        <v>0</v>
      </c>
      <c r="R21" s="2">
        <f t="shared" si="2"/>
        <v>0</v>
      </c>
      <c r="S21"/>
      <c r="T21"/>
      <c r="U21"/>
      <c r="X21" s="177"/>
      <c r="AB21" s="177">
        <f t="shared" si="10"/>
        <v>14</v>
      </c>
      <c r="AC21" s="2">
        <f t="shared" si="3"/>
        <v>7</v>
      </c>
      <c r="AG21" s="220">
        <f t="shared" si="4"/>
        <v>0</v>
      </c>
      <c r="AH21" s="220">
        <f ca="1">IF(HLOOKUP($F21,Jornada!$X$7:$AD$37,VLOOKUP(INDIRECT($C$5),Jornada!$C$8:$W$37,21,0),0)=0,0,VLOOKUP(INDIRECT($C$5),Jornada!$C$8:$H$37,4,0))</f>
        <v>0</v>
      </c>
      <c r="AI21" s="155">
        <f ca="1">IF(AND(I21=0,J21=0,OR(H21&lt;&gt;0,K21&lt;&gt;0),HLOOKUP($F21,Jornada!$X$7:$AD$37,VLOOKUP(INDIRECT($C$5),Jornada!$C$8:$W$37,21,0),0)&gt;$AK$5,M21&gt;$AK$5),VLOOKUP(INDIRECT($C$5),Jornada!$C$8:$H$37,6,0),IF(AG21&gt;VLOOKUP(INDIRECT($C$5),Jornada!$C$8:$H$37,6,0),IF(VLOOKUP(INDIRECT($C$5),Jornada!$C$8:$H$37,6,0)&lt;AG21,0,ABS(VLOOKUP(INDIRECT($C$5),Jornada!$C$8:$H$37,6,0))-AG21),0))</f>
        <v>0</v>
      </c>
      <c r="AJ21" s="155">
        <f t="shared" si="5"/>
        <v>1</v>
      </c>
      <c r="AK21" s="155">
        <f t="shared" si="6"/>
        <v>0</v>
      </c>
      <c r="AL21" s="155">
        <f ca="1">HLOOKUP($F21,Jornada!$I$5:$V$37,VLOOKUP(INDIRECT($C$5),Jornada!$C$8:$W$37,21,0)+2,0)</f>
        <v>0</v>
      </c>
      <c r="AM21" s="155">
        <f ca="1">HLOOKUP($F21,Jornada!$I$4:$V$37,VLOOKUP(INDIRECT($C$5),Jornada!$C$8:$W$37,21,0)+3,0)</f>
        <v>0</v>
      </c>
      <c r="AN21" s="155">
        <f t="shared" ca="1" si="7"/>
        <v>0</v>
      </c>
      <c r="AO21" s="155">
        <f t="shared" si="8"/>
        <v>0</v>
      </c>
      <c r="AP21" s="155">
        <f t="shared" si="9"/>
        <v>0</v>
      </c>
      <c r="BE21" s="14"/>
      <c r="BF21" s="14"/>
      <c r="BG21" s="14"/>
    </row>
    <row r="22" spans="1:59" s="2" customFormat="1" ht="30" customHeight="1" thickTop="1" thickBot="1" x14ac:dyDescent="0.25">
      <c r="A22" s="1"/>
      <c r="B22"/>
      <c r="C22" s="172" t="str">
        <f>IF(Funcionários!C21=0,"",Funcionários!C21)</f>
        <v/>
      </c>
      <c r="D22"/>
      <c r="E22" s="115">
        <f>Lanç!E22</f>
        <v>15</v>
      </c>
      <c r="F22" s="189" t="str">
        <f>Lanç!F22</f>
        <v>Dom</v>
      </c>
      <c r="G22" s="81"/>
      <c r="H22" s="94"/>
      <c r="I22" s="94"/>
      <c r="J22" s="94"/>
      <c r="K22" s="94"/>
      <c r="L22" s="10"/>
      <c r="M22" s="95">
        <f t="shared" si="1"/>
        <v>0</v>
      </c>
      <c r="N22" s="96"/>
      <c r="O22" s="95">
        <f ca="1">IF(OR(G22=0,G22="Férias",G22="Falta Justificada",G22="Feriado",G22="Folga (DSR)"),0,IF(G22="Falta Injustificada",HLOOKUP($F22,Jornada!$X$7:$AD$37,VLOOKUP(INDIRECT($C$5),Jornada!$C$8:$W$37,21,0),0),IF(HLOOKUP($F22,Jornada!$X$7:$AD$37,VLOOKUP(INDIRECT($C$5),Jornada!$C$8:$W$37,21,0),0)-M22&gt;0,HLOOKUP($F22,Jornada!$X$7:$AD$37,VLOOKUP(INDIRECT($C$5),Jornada!$C$8:$W$37,21,0),0)-M22,0)))</f>
        <v>0</v>
      </c>
      <c r="P22" s="190">
        <f ca="1">IF(HLOOKUP($F22,Jornada!$X$7:$AD$37,VLOOKUP(INDIRECT($C$5),Jornada!$C$8:$W$37,21,0),0)-M22&lt;0,ABS(HLOOKUP($F22,Jornada!$X$7:$AD$37,VLOOKUP(INDIRECT($C$5),Jornada!$C$8:$W$37,21,0),0)-M22),0)</f>
        <v>0</v>
      </c>
      <c r="Q22" s="95">
        <f t="shared" si="0"/>
        <v>0</v>
      </c>
      <c r="R22" s="2">
        <f t="shared" si="2"/>
        <v>0</v>
      </c>
      <c r="S22" s="300" t="s">
        <v>63</v>
      </c>
      <c r="T22" s="301"/>
      <c r="U22" s="302"/>
      <c r="X22" s="177"/>
      <c r="AB22" s="177">
        <f t="shared" si="10"/>
        <v>15</v>
      </c>
      <c r="AC22" s="2">
        <f t="shared" si="3"/>
        <v>1</v>
      </c>
      <c r="AG22" s="220">
        <f t="shared" si="4"/>
        <v>0</v>
      </c>
      <c r="AH22" s="220">
        <f ca="1">IF(HLOOKUP($F22,Jornada!$X$7:$AD$37,VLOOKUP(INDIRECT($C$5),Jornada!$C$8:$W$37,21,0),0)=0,0,VLOOKUP(INDIRECT($C$5),Jornada!$C$8:$H$37,4,0))</f>
        <v>0</v>
      </c>
      <c r="AI22" s="155">
        <f ca="1">IF(AND(I22=0,J22=0,OR(H22&lt;&gt;0,K22&lt;&gt;0),HLOOKUP($F22,Jornada!$X$7:$AD$37,VLOOKUP(INDIRECT($C$5),Jornada!$C$8:$W$37,21,0),0)&gt;$AK$5,M22&gt;$AK$5),VLOOKUP(INDIRECT($C$5),Jornada!$C$8:$H$37,6,0),IF(AG22&gt;VLOOKUP(INDIRECT($C$5),Jornada!$C$8:$H$37,6,0),IF(VLOOKUP(INDIRECT($C$5),Jornada!$C$8:$H$37,6,0)&lt;AG22,0,ABS(VLOOKUP(INDIRECT($C$5),Jornada!$C$8:$H$37,6,0))-AG22),0))</f>
        <v>0</v>
      </c>
      <c r="AJ22" s="155">
        <f t="shared" si="5"/>
        <v>1</v>
      </c>
      <c r="AK22" s="155">
        <f t="shared" si="6"/>
        <v>0</v>
      </c>
      <c r="AL22" s="155">
        <f ca="1">HLOOKUP($F22,Jornada!$I$5:$V$37,VLOOKUP(INDIRECT($C$5),Jornada!$C$8:$W$37,21,0)+2,0)</f>
        <v>0</v>
      </c>
      <c r="AM22" s="155">
        <f ca="1">HLOOKUP($F22,Jornada!$I$4:$V$37,VLOOKUP(INDIRECT($C$5),Jornada!$C$8:$W$37,21,0)+3,0)</f>
        <v>0</v>
      </c>
      <c r="AN22" s="155">
        <f t="shared" ca="1" si="7"/>
        <v>0</v>
      </c>
      <c r="AO22" s="155">
        <f t="shared" si="8"/>
        <v>0</v>
      </c>
      <c r="AP22" s="155">
        <f t="shared" si="9"/>
        <v>0</v>
      </c>
      <c r="BE22" s="14"/>
      <c r="BF22" s="14"/>
      <c r="BG22" s="14"/>
    </row>
    <row r="23" spans="1:59" s="2" customFormat="1" ht="30" customHeight="1" thickTop="1" thickBot="1" x14ac:dyDescent="0.25">
      <c r="A23" s="1"/>
      <c r="B23"/>
      <c r="C23" s="172" t="str">
        <f>IF(Funcionários!C22=0,"",Funcionários!C22)</f>
        <v/>
      </c>
      <c r="D23"/>
      <c r="E23" s="115">
        <f>Lanç!E23</f>
        <v>16</v>
      </c>
      <c r="F23" s="189" t="str">
        <f>Lanç!F23</f>
        <v>Seg</v>
      </c>
      <c r="G23" s="81"/>
      <c r="H23" s="94"/>
      <c r="I23" s="94"/>
      <c r="J23" s="94"/>
      <c r="K23" s="94"/>
      <c r="L23" s="10"/>
      <c r="M23" s="95">
        <f t="shared" si="1"/>
        <v>0</v>
      </c>
      <c r="N23" s="96"/>
      <c r="O23" s="95">
        <f ca="1">IF(OR(G23=0,G23="Férias",G23="Falta Justificada",G23="Feriado",G23="Folga (DSR)"),0,IF(G23="Falta Injustificada",HLOOKUP($F23,Jornada!$X$7:$AD$37,VLOOKUP(INDIRECT($C$5),Jornada!$C$8:$W$37,21,0),0),IF(HLOOKUP($F23,Jornada!$X$7:$AD$37,VLOOKUP(INDIRECT($C$5),Jornada!$C$8:$W$37,21,0),0)-M23&gt;0,HLOOKUP($F23,Jornada!$X$7:$AD$37,VLOOKUP(INDIRECT($C$5),Jornada!$C$8:$W$37,21,0),0)-M23,0)))</f>
        <v>0</v>
      </c>
      <c r="P23" s="190">
        <f ca="1">IF(HLOOKUP($F23,Jornada!$X$7:$AD$37,VLOOKUP(INDIRECT($C$5),Jornada!$C$8:$W$37,21,0),0)-M23&lt;0,ABS(HLOOKUP($F23,Jornada!$X$7:$AD$37,VLOOKUP(INDIRECT($C$5),Jornada!$C$8:$W$37,21,0),0)-M23),0)</f>
        <v>0</v>
      </c>
      <c r="Q23" s="95">
        <f t="shared" si="0"/>
        <v>0</v>
      </c>
      <c r="R23" s="2">
        <f t="shared" si="2"/>
        <v>0</v>
      </c>
      <c r="S23" s="296" t="str">
        <f>IF(SUM(R8:R38)&gt;0,"Segundo o art 59 da CLT, o máximo de horas extras permitidas por dia são 2 horas.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T23" s="297"/>
      <c r="U23" s="298"/>
      <c r="X23" s="177"/>
      <c r="AB23" s="177">
        <f t="shared" si="10"/>
        <v>16</v>
      </c>
      <c r="AC23" s="2">
        <f t="shared" si="3"/>
        <v>2</v>
      </c>
      <c r="AG23" s="220">
        <f t="shared" si="4"/>
        <v>0</v>
      </c>
      <c r="AH23" s="220">
        <f ca="1">IF(HLOOKUP($F23,Jornada!$X$7:$AD$37,VLOOKUP(INDIRECT($C$5),Jornada!$C$8:$W$37,21,0),0)=0,0,VLOOKUP(INDIRECT($C$5),Jornada!$C$8:$H$37,4,0))</f>
        <v>0</v>
      </c>
      <c r="AI23" s="155">
        <f ca="1">IF(AND(I23=0,J23=0,OR(H23&lt;&gt;0,K23&lt;&gt;0),HLOOKUP($F23,Jornada!$X$7:$AD$37,VLOOKUP(INDIRECT($C$5),Jornada!$C$8:$W$37,21,0),0)&gt;$AK$5,M23&gt;$AK$5),VLOOKUP(INDIRECT($C$5),Jornada!$C$8:$H$37,6,0),IF(AG23&gt;VLOOKUP(INDIRECT($C$5),Jornada!$C$8:$H$37,6,0),IF(VLOOKUP(INDIRECT($C$5),Jornada!$C$8:$H$37,6,0)&lt;AG23,0,ABS(VLOOKUP(INDIRECT($C$5),Jornada!$C$8:$H$37,6,0))-AG23),0))</f>
        <v>0</v>
      </c>
      <c r="AJ23" s="155">
        <f t="shared" si="5"/>
        <v>1</v>
      </c>
      <c r="AK23" s="155">
        <f t="shared" si="6"/>
        <v>0</v>
      </c>
      <c r="AL23" s="155">
        <f ca="1">HLOOKUP($F23,Jornada!$I$5:$V$37,VLOOKUP(INDIRECT($C$5),Jornada!$C$8:$W$37,21,0)+2,0)</f>
        <v>0</v>
      </c>
      <c r="AM23" s="155">
        <f ca="1">HLOOKUP($F23,Jornada!$I$4:$V$37,VLOOKUP(INDIRECT($C$5),Jornada!$C$8:$W$37,21,0)+3,0)</f>
        <v>0</v>
      </c>
      <c r="AN23" s="155">
        <f t="shared" ca="1" si="7"/>
        <v>0</v>
      </c>
      <c r="AO23" s="155">
        <f t="shared" si="8"/>
        <v>0</v>
      </c>
      <c r="AP23" s="155">
        <f t="shared" si="9"/>
        <v>0</v>
      </c>
      <c r="BE23" s="14"/>
      <c r="BF23" s="14"/>
      <c r="BG23" s="14"/>
    </row>
    <row r="24" spans="1:59" s="2" customFormat="1" ht="30" customHeight="1" thickTop="1" thickBot="1" x14ac:dyDescent="0.25">
      <c r="A24" s="1"/>
      <c r="B24"/>
      <c r="C24" s="172" t="str">
        <f>IF(Funcionários!C23=0,"",Funcionários!C23)</f>
        <v/>
      </c>
      <c r="D24"/>
      <c r="E24" s="115">
        <f>Lanç!E24</f>
        <v>17</v>
      </c>
      <c r="F24" s="189" t="str">
        <f>Lanç!F24</f>
        <v>Ter</v>
      </c>
      <c r="G24" s="81"/>
      <c r="H24" s="94"/>
      <c r="I24" s="94"/>
      <c r="J24" s="94"/>
      <c r="K24" s="94"/>
      <c r="L24" s="10"/>
      <c r="M24" s="95">
        <f t="shared" si="1"/>
        <v>0</v>
      </c>
      <c r="N24" s="96"/>
      <c r="O24" s="95">
        <f ca="1">IF(OR(G24=0,G24="Férias",G24="Falta Justificada",G24="Feriado",G24="Folga (DSR)"),0,IF(G24="Falta Injustificada",HLOOKUP($F24,Jornada!$X$7:$AD$37,VLOOKUP(INDIRECT($C$5),Jornada!$C$8:$W$37,21,0),0),IF(HLOOKUP($F24,Jornada!$X$7:$AD$37,VLOOKUP(INDIRECT($C$5),Jornada!$C$8:$W$37,21,0),0)-M24&gt;0,HLOOKUP($F24,Jornada!$X$7:$AD$37,VLOOKUP(INDIRECT($C$5),Jornada!$C$8:$W$37,21,0),0)-M24,0)))</f>
        <v>0</v>
      </c>
      <c r="P24" s="190">
        <f ca="1">IF(HLOOKUP($F24,Jornada!$X$7:$AD$37,VLOOKUP(INDIRECT($C$5),Jornada!$C$8:$W$37,21,0),0)-M24&lt;0,ABS(HLOOKUP($F24,Jornada!$X$7:$AD$37,VLOOKUP(INDIRECT($C$5),Jornada!$C$8:$W$37,21,0),0)-M24),0)</f>
        <v>0</v>
      </c>
      <c r="Q24" s="95">
        <f t="shared" si="0"/>
        <v>0</v>
      </c>
      <c r="R24" s="2">
        <f t="shared" si="2"/>
        <v>0</v>
      </c>
      <c r="S24" s="296"/>
      <c r="T24" s="297"/>
      <c r="U24" s="298"/>
      <c r="X24" s="177"/>
      <c r="AB24" s="177">
        <f t="shared" si="10"/>
        <v>17</v>
      </c>
      <c r="AC24" s="2">
        <f t="shared" si="3"/>
        <v>3</v>
      </c>
      <c r="AG24" s="220">
        <f t="shared" si="4"/>
        <v>0</v>
      </c>
      <c r="AH24" s="220">
        <f ca="1">IF(HLOOKUP($F24,Jornada!$X$7:$AD$37,VLOOKUP(INDIRECT($C$5),Jornada!$C$8:$W$37,21,0),0)=0,0,VLOOKUP(INDIRECT($C$5),Jornada!$C$8:$H$37,4,0))</f>
        <v>0</v>
      </c>
      <c r="AI24" s="155">
        <f ca="1">IF(AND(I24=0,J24=0,OR(H24&lt;&gt;0,K24&lt;&gt;0),HLOOKUP($F24,Jornada!$X$7:$AD$37,VLOOKUP(INDIRECT($C$5),Jornada!$C$8:$W$37,21,0),0)&gt;$AK$5,M24&gt;$AK$5),VLOOKUP(INDIRECT($C$5),Jornada!$C$8:$H$37,6,0),IF(AG24&gt;VLOOKUP(INDIRECT($C$5),Jornada!$C$8:$H$37,6,0),IF(VLOOKUP(INDIRECT($C$5),Jornada!$C$8:$H$37,6,0)&lt;AG24,0,ABS(VLOOKUP(INDIRECT($C$5),Jornada!$C$8:$H$37,6,0))-AG24),0))</f>
        <v>0</v>
      </c>
      <c r="AJ24" s="155">
        <f t="shared" si="5"/>
        <v>1</v>
      </c>
      <c r="AK24" s="155">
        <f t="shared" si="6"/>
        <v>0</v>
      </c>
      <c r="AL24" s="155">
        <f ca="1">HLOOKUP($F24,Jornada!$I$5:$V$37,VLOOKUP(INDIRECT($C$5),Jornada!$C$8:$W$37,21,0)+2,0)</f>
        <v>0</v>
      </c>
      <c r="AM24" s="155">
        <f ca="1">HLOOKUP($F24,Jornada!$I$4:$V$37,VLOOKUP(INDIRECT($C$5),Jornada!$C$8:$W$37,21,0)+3,0)</f>
        <v>0</v>
      </c>
      <c r="AN24" s="155">
        <f t="shared" ca="1" si="7"/>
        <v>0</v>
      </c>
      <c r="AO24" s="155">
        <f t="shared" si="8"/>
        <v>0</v>
      </c>
      <c r="AP24" s="155">
        <f t="shared" si="9"/>
        <v>0</v>
      </c>
      <c r="BE24" s="14"/>
      <c r="BF24" s="14"/>
      <c r="BG24" s="14"/>
    </row>
    <row r="25" spans="1:59" s="2" customFormat="1" ht="30" customHeight="1" thickTop="1" thickBot="1" x14ac:dyDescent="0.25">
      <c r="A25" s="1"/>
      <c r="B25"/>
      <c r="C25" s="172" t="str">
        <f>IF(Funcionários!C24=0,"",Funcionários!C24)</f>
        <v/>
      </c>
      <c r="D25"/>
      <c r="E25" s="115">
        <f>Lanç!E25</f>
        <v>18</v>
      </c>
      <c r="F25" s="189" t="str">
        <f>Lanç!F25</f>
        <v>Qua</v>
      </c>
      <c r="G25" s="81"/>
      <c r="H25" s="94"/>
      <c r="I25" s="94"/>
      <c r="J25" s="94"/>
      <c r="K25" s="94"/>
      <c r="L25" s="10"/>
      <c r="M25" s="95">
        <f t="shared" si="1"/>
        <v>0</v>
      </c>
      <c r="N25" s="96"/>
      <c r="O25" s="95">
        <f ca="1">IF(OR(G25=0,G25="Férias",G25="Falta Justificada",G25="Feriado",G25="Folga (DSR)"),0,IF(G25="Falta Injustificada",HLOOKUP($F25,Jornada!$X$7:$AD$37,VLOOKUP(INDIRECT($C$5),Jornada!$C$8:$W$37,21,0),0),IF(HLOOKUP($F25,Jornada!$X$7:$AD$37,VLOOKUP(INDIRECT($C$5),Jornada!$C$8:$W$37,21,0),0)-M25&gt;0,HLOOKUP($F25,Jornada!$X$7:$AD$37,VLOOKUP(INDIRECT($C$5),Jornada!$C$8:$W$37,21,0),0)-M25,0)))</f>
        <v>0</v>
      </c>
      <c r="P25" s="190">
        <f ca="1">IF(HLOOKUP($F25,Jornada!$X$7:$AD$37,VLOOKUP(INDIRECT($C$5),Jornada!$C$8:$W$37,21,0),0)-M25&lt;0,ABS(HLOOKUP($F25,Jornada!$X$7:$AD$37,VLOOKUP(INDIRECT($C$5),Jornada!$C$8:$W$37,21,0),0)-M25),0)</f>
        <v>0</v>
      </c>
      <c r="Q25" s="95">
        <f t="shared" si="0"/>
        <v>0</v>
      </c>
      <c r="R25" s="2">
        <f t="shared" si="2"/>
        <v>0</v>
      </c>
      <c r="S25" s="296"/>
      <c r="T25" s="297"/>
      <c r="U25" s="298"/>
      <c r="X25" s="177"/>
      <c r="Z25" s="2">
        <f>IF(SUM(R8:R38)&gt;0,1,0)</f>
        <v>0</v>
      </c>
      <c r="AB25" s="177">
        <f t="shared" si="10"/>
        <v>18</v>
      </c>
      <c r="AC25" s="2">
        <f t="shared" si="3"/>
        <v>4</v>
      </c>
      <c r="AG25" s="220">
        <f t="shared" si="4"/>
        <v>0</v>
      </c>
      <c r="AH25" s="220">
        <f ca="1">IF(HLOOKUP($F25,Jornada!$X$7:$AD$37,VLOOKUP(INDIRECT($C$5),Jornada!$C$8:$W$37,21,0),0)=0,0,VLOOKUP(INDIRECT($C$5),Jornada!$C$8:$H$37,4,0))</f>
        <v>0</v>
      </c>
      <c r="AI25" s="155">
        <f ca="1">IF(AND(I25=0,J25=0,OR(H25&lt;&gt;0,K25&lt;&gt;0),HLOOKUP($F25,Jornada!$X$7:$AD$37,VLOOKUP(INDIRECT($C$5),Jornada!$C$8:$W$37,21,0),0)&gt;$AK$5,M25&gt;$AK$5),VLOOKUP(INDIRECT($C$5),Jornada!$C$8:$H$37,6,0),IF(AG25&gt;VLOOKUP(INDIRECT($C$5),Jornada!$C$8:$H$37,6,0),IF(VLOOKUP(INDIRECT($C$5),Jornada!$C$8:$H$37,6,0)&lt;AG25,0,ABS(VLOOKUP(INDIRECT($C$5),Jornada!$C$8:$H$37,6,0))-AG25),0))</f>
        <v>0</v>
      </c>
      <c r="AJ25" s="155">
        <f t="shared" si="5"/>
        <v>1</v>
      </c>
      <c r="AK25" s="155">
        <f t="shared" si="6"/>
        <v>0</v>
      </c>
      <c r="AL25" s="155">
        <f ca="1">HLOOKUP($F25,Jornada!$I$5:$V$37,VLOOKUP(INDIRECT($C$5),Jornada!$C$8:$W$37,21,0)+2,0)</f>
        <v>0</v>
      </c>
      <c r="AM25" s="155">
        <f ca="1">HLOOKUP($F25,Jornada!$I$4:$V$37,VLOOKUP(INDIRECT($C$5),Jornada!$C$8:$W$37,21,0)+3,0)</f>
        <v>0</v>
      </c>
      <c r="AN25" s="155">
        <f t="shared" ca="1" si="7"/>
        <v>0</v>
      </c>
      <c r="AO25" s="155">
        <f t="shared" si="8"/>
        <v>0</v>
      </c>
      <c r="AP25" s="155">
        <f t="shared" si="9"/>
        <v>0</v>
      </c>
      <c r="BE25" s="14"/>
      <c r="BF25" s="14"/>
      <c r="BG25" s="14"/>
    </row>
    <row r="26" spans="1:59" s="2" customFormat="1" ht="30" customHeight="1" thickTop="1" thickBot="1" x14ac:dyDescent="0.25">
      <c r="A26" s="1"/>
      <c r="B26"/>
      <c r="C26" s="172" t="str">
        <f>IF(Funcionários!C25=0,"",Funcionários!C25)</f>
        <v/>
      </c>
      <c r="D26"/>
      <c r="E26" s="115">
        <f>Lanç!E26</f>
        <v>19</v>
      </c>
      <c r="F26" s="189" t="str">
        <f>Lanç!F26</f>
        <v>Qui</v>
      </c>
      <c r="G26" s="81"/>
      <c r="H26" s="94"/>
      <c r="I26" s="94"/>
      <c r="J26" s="94"/>
      <c r="K26" s="94"/>
      <c r="L26" s="10"/>
      <c r="M26" s="95">
        <f t="shared" si="1"/>
        <v>0</v>
      </c>
      <c r="N26" s="96"/>
      <c r="O26" s="95">
        <f ca="1">IF(OR(G26=0,G26="Férias",G26="Falta Justificada",G26="Feriado",G26="Folga (DSR)"),0,IF(G26="Falta Injustificada",HLOOKUP($F26,Jornada!$X$7:$AD$37,VLOOKUP(INDIRECT($C$5),Jornada!$C$8:$W$37,21,0),0),IF(HLOOKUP($F26,Jornada!$X$7:$AD$37,VLOOKUP(INDIRECT($C$5),Jornada!$C$8:$W$37,21,0),0)-M26&gt;0,HLOOKUP($F26,Jornada!$X$7:$AD$37,VLOOKUP(INDIRECT($C$5),Jornada!$C$8:$W$37,21,0),0)-M26,0)))</f>
        <v>0</v>
      </c>
      <c r="P26" s="190">
        <f ca="1">IF(HLOOKUP($F26,Jornada!$X$7:$AD$37,VLOOKUP(INDIRECT($C$5),Jornada!$C$8:$W$37,21,0),0)-M26&lt;0,ABS(HLOOKUP($F26,Jornada!$X$7:$AD$37,VLOOKUP(INDIRECT($C$5),Jornada!$C$8:$W$37,21,0),0)-M26),0)</f>
        <v>0</v>
      </c>
      <c r="Q26" s="95">
        <f t="shared" si="0"/>
        <v>0</v>
      </c>
      <c r="R26" s="2">
        <f t="shared" si="2"/>
        <v>0</v>
      </c>
      <c r="S26" s="296" t="str">
        <f>IF(COUNTIF(G8:G38,"Folga (DSR)")&lt;DAY(E39)/8,"O mês não está contemplando um DSR (Descanso Semanal Remunerado) por semana. Isso pode configurar uma irregularidade segundo as leis trabalhistas.","Parabéns!! Sua folha de pagamento contempla uma DSR por semana conforme a lei trabalhista.")</f>
        <v>O mês não está contemplando um DSR (Descanso Semanal Remunerado) por semana. Isso pode configurar uma irregularidade segundo as leis trabalhistas.</v>
      </c>
      <c r="T26" s="297"/>
      <c r="U26" s="298"/>
      <c r="X26" s="177"/>
      <c r="AB26" s="177">
        <f t="shared" si="10"/>
        <v>19</v>
      </c>
      <c r="AC26" s="2">
        <f t="shared" si="3"/>
        <v>5</v>
      </c>
      <c r="AG26" s="220">
        <f t="shared" si="4"/>
        <v>0</v>
      </c>
      <c r="AH26" s="220">
        <f ca="1">IF(HLOOKUP($F26,Jornada!$X$7:$AD$37,VLOOKUP(INDIRECT($C$5),Jornada!$C$8:$W$37,21,0),0)=0,0,VLOOKUP(INDIRECT($C$5),Jornada!$C$8:$H$37,4,0))</f>
        <v>0</v>
      </c>
      <c r="AI26" s="155">
        <f ca="1">IF(AND(I26=0,J26=0,OR(H26&lt;&gt;0,K26&lt;&gt;0),HLOOKUP($F26,Jornada!$X$7:$AD$37,VLOOKUP(INDIRECT($C$5),Jornada!$C$8:$W$37,21,0),0)&gt;$AK$5,M26&gt;$AK$5),VLOOKUP(INDIRECT($C$5),Jornada!$C$8:$H$37,6,0),IF(AG26&gt;VLOOKUP(INDIRECT($C$5),Jornada!$C$8:$H$37,6,0),IF(VLOOKUP(INDIRECT($C$5),Jornada!$C$8:$H$37,6,0)&lt;AG26,0,ABS(VLOOKUP(INDIRECT($C$5),Jornada!$C$8:$H$37,6,0))-AG26),0))</f>
        <v>0</v>
      </c>
      <c r="AJ26" s="155">
        <f t="shared" si="5"/>
        <v>1</v>
      </c>
      <c r="AK26" s="155">
        <f t="shared" si="6"/>
        <v>0</v>
      </c>
      <c r="AL26" s="155">
        <f ca="1">HLOOKUP($F26,Jornada!$I$5:$V$37,VLOOKUP(INDIRECT($C$5),Jornada!$C$8:$W$37,21,0)+2,0)</f>
        <v>0</v>
      </c>
      <c r="AM26" s="155">
        <f ca="1">HLOOKUP($F26,Jornada!$I$4:$V$37,VLOOKUP(INDIRECT($C$5),Jornada!$C$8:$W$37,21,0)+3,0)</f>
        <v>0</v>
      </c>
      <c r="AN26" s="155">
        <f t="shared" ca="1" si="7"/>
        <v>0</v>
      </c>
      <c r="AO26" s="155">
        <f t="shared" si="8"/>
        <v>0</v>
      </c>
      <c r="AP26" s="155">
        <f t="shared" si="9"/>
        <v>0</v>
      </c>
      <c r="BE26" s="14"/>
      <c r="BF26" s="14"/>
      <c r="BG26" s="14"/>
    </row>
    <row r="27" spans="1:59" s="2" customFormat="1" ht="30" customHeight="1" thickTop="1" thickBot="1" x14ac:dyDescent="0.25">
      <c r="A27" s="1"/>
      <c r="B27"/>
      <c r="C27" s="172" t="str">
        <f>IF(Funcionários!C26=0,"",Funcionários!C26)</f>
        <v/>
      </c>
      <c r="D27"/>
      <c r="E27" s="115">
        <f>Lanç!E27</f>
        <v>20</v>
      </c>
      <c r="F27" s="189" t="str">
        <f>Lanç!F27</f>
        <v>Sex</v>
      </c>
      <c r="G27" s="81"/>
      <c r="H27" s="94"/>
      <c r="I27" s="94"/>
      <c r="J27" s="94"/>
      <c r="K27" s="94"/>
      <c r="L27" s="10"/>
      <c r="M27" s="95">
        <f t="shared" si="1"/>
        <v>0</v>
      </c>
      <c r="N27" s="96"/>
      <c r="O27" s="95">
        <f ca="1">IF(OR(G27=0,G27="Férias",G27="Falta Justificada",G27="Feriado",G27="Folga (DSR)"),0,IF(G27="Falta Injustificada",HLOOKUP($F27,Jornada!$X$7:$AD$37,VLOOKUP(INDIRECT($C$5),Jornada!$C$8:$W$37,21,0),0),IF(HLOOKUP($F27,Jornada!$X$7:$AD$37,VLOOKUP(INDIRECT($C$5),Jornada!$C$8:$W$37,21,0),0)-M27&gt;0,HLOOKUP($F27,Jornada!$X$7:$AD$37,VLOOKUP(INDIRECT($C$5),Jornada!$C$8:$W$37,21,0),0)-M27,0)))</f>
        <v>0</v>
      </c>
      <c r="P27" s="190">
        <f ca="1">IF(HLOOKUP($F27,Jornada!$X$7:$AD$37,VLOOKUP(INDIRECT($C$5),Jornada!$C$8:$W$37,21,0),0)-M27&lt;0,ABS(HLOOKUP($F27,Jornada!$X$7:$AD$37,VLOOKUP(INDIRECT($C$5),Jornada!$C$8:$W$37,21,0),0)-M27),0)</f>
        <v>0</v>
      </c>
      <c r="Q27" s="95">
        <f t="shared" si="0"/>
        <v>0</v>
      </c>
      <c r="R27" s="2">
        <f t="shared" si="2"/>
        <v>0</v>
      </c>
      <c r="S27" s="296"/>
      <c r="T27" s="297"/>
      <c r="U27" s="298"/>
      <c r="X27" s="177"/>
      <c r="AB27" s="177">
        <f t="shared" si="10"/>
        <v>20</v>
      </c>
      <c r="AC27" s="2">
        <f t="shared" si="3"/>
        <v>6</v>
      </c>
      <c r="AG27" s="220">
        <f t="shared" si="4"/>
        <v>0</v>
      </c>
      <c r="AH27" s="220">
        <f ca="1">IF(HLOOKUP($F27,Jornada!$X$7:$AD$37,VLOOKUP(INDIRECT($C$5),Jornada!$C$8:$W$37,21,0),0)=0,0,VLOOKUP(INDIRECT($C$5),Jornada!$C$8:$H$37,4,0))</f>
        <v>0</v>
      </c>
      <c r="AI27" s="155">
        <f ca="1">IF(AND(I27=0,J27=0,OR(H27&lt;&gt;0,K27&lt;&gt;0),HLOOKUP($F27,Jornada!$X$7:$AD$37,VLOOKUP(INDIRECT($C$5),Jornada!$C$8:$W$37,21,0),0)&gt;$AK$5,M27&gt;$AK$5),VLOOKUP(INDIRECT($C$5),Jornada!$C$8:$H$37,6,0),IF(AG27&gt;VLOOKUP(INDIRECT($C$5),Jornada!$C$8:$H$37,6,0),IF(VLOOKUP(INDIRECT($C$5),Jornada!$C$8:$H$37,6,0)&lt;AG27,0,ABS(VLOOKUP(INDIRECT($C$5),Jornada!$C$8:$H$37,6,0))-AG27),0))</f>
        <v>0</v>
      </c>
      <c r="AJ27" s="155">
        <f t="shared" si="5"/>
        <v>1</v>
      </c>
      <c r="AK27" s="155">
        <f t="shared" si="6"/>
        <v>0</v>
      </c>
      <c r="AL27" s="155">
        <f ca="1">HLOOKUP($F27,Jornada!$I$5:$V$37,VLOOKUP(INDIRECT($C$5),Jornada!$C$8:$W$37,21,0)+2,0)</f>
        <v>0</v>
      </c>
      <c r="AM27" s="155">
        <f ca="1">HLOOKUP($F27,Jornada!$I$4:$V$37,VLOOKUP(INDIRECT($C$5),Jornada!$C$8:$W$37,21,0)+3,0)</f>
        <v>0</v>
      </c>
      <c r="AN27" s="155">
        <f t="shared" ca="1" si="7"/>
        <v>0</v>
      </c>
      <c r="AO27" s="155">
        <f t="shared" si="8"/>
        <v>0</v>
      </c>
      <c r="AP27" s="155">
        <f t="shared" si="9"/>
        <v>0</v>
      </c>
    </row>
    <row r="28" spans="1:59" s="2" customFormat="1" ht="30" customHeight="1" thickTop="1" thickBot="1" x14ac:dyDescent="0.25">
      <c r="A28" s="1"/>
      <c r="B28"/>
      <c r="C28" s="172" t="str">
        <f>IF(Funcionários!C27=0,"",Funcionários!C27)</f>
        <v/>
      </c>
      <c r="D28"/>
      <c r="E28" s="115">
        <f>Lanç!E28</f>
        <v>21</v>
      </c>
      <c r="F28" s="189" t="str">
        <f>Lanç!F28</f>
        <v>Sáb</v>
      </c>
      <c r="G28" s="81"/>
      <c r="H28" s="94"/>
      <c r="I28" s="94"/>
      <c r="J28" s="94"/>
      <c r="K28" s="94"/>
      <c r="L28" s="10"/>
      <c r="M28" s="95">
        <f t="shared" si="1"/>
        <v>0</v>
      </c>
      <c r="N28" s="96"/>
      <c r="O28" s="95">
        <f ca="1">IF(OR(G28=0,G28="Férias",G28="Falta Justificada",G28="Feriado",G28="Folga (DSR)"),0,IF(G28="Falta Injustificada",HLOOKUP($F28,Jornada!$X$7:$AD$37,VLOOKUP(INDIRECT($C$5),Jornada!$C$8:$W$37,21,0),0),IF(HLOOKUP($F28,Jornada!$X$7:$AD$37,VLOOKUP(INDIRECT($C$5),Jornada!$C$8:$W$37,21,0),0)-M28&gt;0,HLOOKUP($F28,Jornada!$X$7:$AD$37,VLOOKUP(INDIRECT($C$5),Jornada!$C$8:$W$37,21,0),0)-M28,0)))</f>
        <v>0</v>
      </c>
      <c r="P28" s="190">
        <f ca="1">IF(HLOOKUP($F28,Jornada!$X$7:$AD$37,VLOOKUP(INDIRECT($C$5),Jornada!$C$8:$W$37,21,0),0)-M28&lt;0,ABS(HLOOKUP($F28,Jornada!$X$7:$AD$37,VLOOKUP(INDIRECT($C$5),Jornada!$C$8:$W$37,21,0),0)-M28),0)</f>
        <v>0</v>
      </c>
      <c r="Q28" s="95">
        <f t="shared" si="0"/>
        <v>0</v>
      </c>
      <c r="R28" s="2">
        <f t="shared" si="2"/>
        <v>0</v>
      </c>
      <c r="S28" s="296"/>
      <c r="T28" s="297"/>
      <c r="U28" s="298"/>
      <c r="X28" s="177"/>
      <c r="AB28" s="177">
        <f t="shared" si="10"/>
        <v>21</v>
      </c>
      <c r="AC28" s="2">
        <f t="shared" si="3"/>
        <v>7</v>
      </c>
      <c r="AG28" s="220">
        <f t="shared" si="4"/>
        <v>0</v>
      </c>
      <c r="AH28" s="220">
        <f ca="1">IF(HLOOKUP($F28,Jornada!$X$7:$AD$37,VLOOKUP(INDIRECT($C$5),Jornada!$C$8:$W$37,21,0),0)=0,0,VLOOKUP(INDIRECT($C$5),Jornada!$C$8:$H$37,4,0))</f>
        <v>0</v>
      </c>
      <c r="AI28" s="155">
        <f ca="1">IF(AND(I28=0,J28=0,OR(H28&lt;&gt;0,K28&lt;&gt;0),HLOOKUP($F28,Jornada!$X$7:$AD$37,VLOOKUP(INDIRECT($C$5),Jornada!$C$8:$W$37,21,0),0)&gt;$AK$5,M28&gt;$AK$5),VLOOKUP(INDIRECT($C$5),Jornada!$C$8:$H$37,6,0),IF(AG28&gt;VLOOKUP(INDIRECT($C$5),Jornada!$C$8:$H$37,6,0),IF(VLOOKUP(INDIRECT($C$5),Jornada!$C$8:$H$37,6,0)&lt;AG28,0,ABS(VLOOKUP(INDIRECT($C$5),Jornada!$C$8:$H$37,6,0))-AG28),0))</f>
        <v>0</v>
      </c>
      <c r="AJ28" s="155">
        <f t="shared" si="5"/>
        <v>1</v>
      </c>
      <c r="AK28" s="155">
        <f t="shared" si="6"/>
        <v>0</v>
      </c>
      <c r="AL28" s="155">
        <f ca="1">HLOOKUP($F28,Jornada!$I$5:$V$37,VLOOKUP(INDIRECT($C$5),Jornada!$C$8:$W$37,21,0)+2,0)</f>
        <v>0</v>
      </c>
      <c r="AM28" s="155">
        <f ca="1">HLOOKUP($F28,Jornada!$I$4:$V$37,VLOOKUP(INDIRECT($C$5),Jornada!$C$8:$W$37,21,0)+3,0)</f>
        <v>0</v>
      </c>
      <c r="AN28" s="155">
        <f t="shared" ca="1" si="7"/>
        <v>0</v>
      </c>
      <c r="AO28" s="155">
        <f t="shared" si="8"/>
        <v>0</v>
      </c>
      <c r="AP28" s="155">
        <f t="shared" si="9"/>
        <v>0</v>
      </c>
    </row>
    <row r="29" spans="1:59" s="2" customFormat="1" ht="30" customHeight="1" thickTop="1" thickBot="1" x14ac:dyDescent="0.25">
      <c r="A29" s="1"/>
      <c r="B29"/>
      <c r="C29" s="171" t="str">
        <f>IF(Funcionários!C28=0,"",Funcionários!C28)</f>
        <v/>
      </c>
      <c r="D29"/>
      <c r="E29" s="115">
        <f>Lanç!E29</f>
        <v>22</v>
      </c>
      <c r="F29" s="189" t="str">
        <f>Lanç!F29</f>
        <v>Dom</v>
      </c>
      <c r="G29" s="81"/>
      <c r="H29" s="94"/>
      <c r="I29" s="94"/>
      <c r="J29" s="94"/>
      <c r="K29" s="94"/>
      <c r="L29" s="10"/>
      <c r="M29" s="95">
        <f t="shared" si="1"/>
        <v>0</v>
      </c>
      <c r="N29" s="96"/>
      <c r="O29" s="95">
        <f ca="1">IF(OR(G29=0,G29="Férias",G29="Falta Justificada",G29="Feriado",G29="Folga (DSR)"),0,IF(G29="Falta Injustificada",HLOOKUP($F29,Jornada!$X$7:$AD$37,VLOOKUP(INDIRECT($C$5),Jornada!$C$8:$W$37,21,0),0),IF(HLOOKUP($F29,Jornada!$X$7:$AD$37,VLOOKUP(INDIRECT($C$5),Jornada!$C$8:$W$37,21,0),0)-M29&gt;0,HLOOKUP($F29,Jornada!$X$7:$AD$37,VLOOKUP(INDIRECT($C$5),Jornada!$C$8:$W$37,21,0),0)-M29,0)))</f>
        <v>0</v>
      </c>
      <c r="P29" s="190">
        <f ca="1">IF(HLOOKUP($F29,Jornada!$X$7:$AD$37,VLOOKUP(INDIRECT($C$5),Jornada!$C$8:$W$37,21,0),0)-M29&lt;0,ABS(HLOOKUP($F29,Jornada!$X$7:$AD$37,VLOOKUP(INDIRECT($C$5),Jornada!$C$8:$W$37,21,0),0)-M29),0)</f>
        <v>0</v>
      </c>
      <c r="Q29" s="95">
        <f t="shared" si="0"/>
        <v>0</v>
      </c>
      <c r="R29" s="2">
        <f t="shared" si="2"/>
        <v>0</v>
      </c>
      <c r="S29" s="13"/>
      <c r="T29" s="74"/>
      <c r="U29" s="74"/>
      <c r="X29" s="177"/>
      <c r="AB29" s="177">
        <f t="shared" si="10"/>
        <v>22</v>
      </c>
      <c r="AC29" s="2">
        <f t="shared" si="3"/>
        <v>1</v>
      </c>
      <c r="AG29" s="220">
        <f t="shared" si="4"/>
        <v>0</v>
      </c>
      <c r="AH29" s="220">
        <f ca="1">IF(HLOOKUP($F29,Jornada!$X$7:$AD$37,VLOOKUP(INDIRECT($C$5),Jornada!$C$8:$W$37,21,0),0)=0,0,VLOOKUP(INDIRECT($C$5),Jornada!$C$8:$H$37,4,0))</f>
        <v>0</v>
      </c>
      <c r="AI29" s="155">
        <f ca="1">IF(AND(I29=0,J29=0,OR(H29&lt;&gt;0,K29&lt;&gt;0),HLOOKUP($F29,Jornada!$X$7:$AD$37,VLOOKUP(INDIRECT($C$5),Jornada!$C$8:$W$37,21,0),0)&gt;$AK$5,M29&gt;$AK$5),VLOOKUP(INDIRECT($C$5),Jornada!$C$8:$H$37,6,0),IF(AG29&gt;VLOOKUP(INDIRECT($C$5),Jornada!$C$8:$H$37,6,0),IF(VLOOKUP(INDIRECT($C$5),Jornada!$C$8:$H$37,6,0)&lt;AG29,0,ABS(VLOOKUP(INDIRECT($C$5),Jornada!$C$8:$H$37,6,0))-AG29),0))</f>
        <v>0</v>
      </c>
      <c r="AJ29" s="155">
        <f t="shared" si="5"/>
        <v>1</v>
      </c>
      <c r="AK29" s="155">
        <f t="shared" si="6"/>
        <v>0</v>
      </c>
      <c r="AL29" s="155">
        <f ca="1">HLOOKUP($F29,Jornada!$I$5:$V$37,VLOOKUP(INDIRECT($C$5),Jornada!$C$8:$W$37,21,0)+2,0)</f>
        <v>0</v>
      </c>
      <c r="AM29" s="155">
        <f ca="1">HLOOKUP($F29,Jornada!$I$4:$V$37,VLOOKUP(INDIRECT($C$5),Jornada!$C$8:$W$37,21,0)+3,0)</f>
        <v>0</v>
      </c>
      <c r="AN29" s="155">
        <f t="shared" ca="1" si="7"/>
        <v>0</v>
      </c>
      <c r="AO29" s="155">
        <f t="shared" si="8"/>
        <v>0</v>
      </c>
      <c r="AP29" s="155">
        <f t="shared" si="9"/>
        <v>0</v>
      </c>
    </row>
    <row r="30" spans="1:59" s="2" customFormat="1" ht="30" customHeight="1" thickTop="1" thickBot="1" x14ac:dyDescent="0.25">
      <c r="A30" s="1"/>
      <c r="B30"/>
      <c r="C30" s="172" t="str">
        <f>IF(Funcionários!C29=0,"",Funcionários!C29)</f>
        <v/>
      </c>
      <c r="D30"/>
      <c r="E30" s="173">
        <f>Lanç!E30</f>
        <v>23</v>
      </c>
      <c r="F30" s="189" t="str">
        <f>Lanç!F30</f>
        <v>Seg</v>
      </c>
      <c r="G30" s="81"/>
      <c r="H30" s="94"/>
      <c r="I30" s="94"/>
      <c r="J30" s="94"/>
      <c r="K30" s="94"/>
      <c r="L30" s="10"/>
      <c r="M30" s="95">
        <f t="shared" si="1"/>
        <v>0</v>
      </c>
      <c r="N30" s="96"/>
      <c r="O30" s="95">
        <f ca="1">IF(OR(G30=0,G30="Férias",G30="Falta Justificada",G30="Feriado",G30="Folga (DSR)"),0,IF(G30="Falta Injustificada",HLOOKUP($F30,Jornada!$X$7:$AD$37,VLOOKUP(INDIRECT($C$5),Jornada!$C$8:$W$37,21,0),0),IF(HLOOKUP($F30,Jornada!$X$7:$AD$37,VLOOKUP(INDIRECT($C$5),Jornada!$C$8:$W$37,21,0),0)-M30&gt;0,HLOOKUP($F30,Jornada!$X$7:$AD$37,VLOOKUP(INDIRECT($C$5),Jornada!$C$8:$W$37,21,0),0)-M30,0)))</f>
        <v>0</v>
      </c>
      <c r="P30" s="190">
        <f ca="1">IF(HLOOKUP($F30,Jornada!$X$7:$AD$37,VLOOKUP(INDIRECT($C$5),Jornada!$C$8:$W$37,21,0),0)-M30&lt;0,ABS(HLOOKUP($F30,Jornada!$X$7:$AD$37,VLOOKUP(INDIRECT($C$5),Jornada!$C$8:$W$37,21,0),0)-M30),0)</f>
        <v>0</v>
      </c>
      <c r="Q30" s="95">
        <f t="shared" si="0"/>
        <v>0</v>
      </c>
      <c r="R30" s="2">
        <f>IF(Q30&gt;$R$7,1,0)</f>
        <v>0</v>
      </c>
      <c r="S30" s="13"/>
      <c r="T30" s="74"/>
      <c r="U30" s="74"/>
      <c r="X30" s="177"/>
      <c r="AB30" s="177">
        <f t="shared" si="10"/>
        <v>23</v>
      </c>
      <c r="AC30" s="2">
        <f>WEEKDAY(AB30)</f>
        <v>2</v>
      </c>
      <c r="AG30" s="220">
        <f t="shared" si="4"/>
        <v>0</v>
      </c>
      <c r="AH30" s="220">
        <f ca="1">IF(HLOOKUP($F30,Jornada!$X$7:$AD$37,VLOOKUP(INDIRECT($C$5),Jornada!$C$8:$W$37,21,0),0)=0,0,VLOOKUP(INDIRECT($C$5),Jornada!$C$8:$H$37,4,0))</f>
        <v>0</v>
      </c>
      <c r="AI30" s="155">
        <f ca="1">IF(AND(I30=0,J30=0,OR(H30&lt;&gt;0,K30&lt;&gt;0),HLOOKUP($F30,Jornada!$X$7:$AD$37,VLOOKUP(INDIRECT($C$5),Jornada!$C$8:$W$37,21,0),0)&gt;$AK$5,M30&gt;$AK$5),VLOOKUP(INDIRECT($C$5),Jornada!$C$8:$H$37,6,0),IF(AG30&gt;VLOOKUP(INDIRECT($C$5),Jornada!$C$8:$H$37,6,0),IF(VLOOKUP(INDIRECT($C$5),Jornada!$C$8:$H$37,6,0)&lt;AG30,0,ABS(VLOOKUP(INDIRECT($C$5),Jornada!$C$8:$H$37,6,0))-AG30),0))</f>
        <v>0</v>
      </c>
      <c r="AJ30" s="155">
        <f>($AJ$7-K30)+H30</f>
        <v>1</v>
      </c>
      <c r="AK30" s="155">
        <f>IF(AJ30&lt;$AK$7,$AK$7-AJ30,$AI$7)</f>
        <v>0</v>
      </c>
      <c r="AL30" s="155">
        <f ca="1">HLOOKUP($F30,Jornada!$I$5:$V$37,VLOOKUP(INDIRECT($C$5),Jornada!$C$8:$W$37,21,0)+2,0)</f>
        <v>0</v>
      </c>
      <c r="AM30" s="155">
        <f ca="1">HLOOKUP($F30,Jornada!$I$4:$V$37,VLOOKUP(INDIRECT($C$5),Jornada!$C$8:$W$37,21,0)+3,0)</f>
        <v>0</v>
      </c>
      <c r="AN30" s="155">
        <f t="shared" ca="1" si="7"/>
        <v>0</v>
      </c>
      <c r="AO30" s="155">
        <f t="shared" si="8"/>
        <v>0</v>
      </c>
      <c r="AP30" s="155">
        <f t="shared" si="9"/>
        <v>0</v>
      </c>
    </row>
    <row r="31" spans="1:59" s="2" customFormat="1" ht="30" customHeight="1" thickTop="1" thickBot="1" x14ac:dyDescent="0.25">
      <c r="A31" s="1"/>
      <c r="B31"/>
      <c r="C31" s="172" t="str">
        <f>IF(Funcionários!C30=0,"",Funcionários!C30)</f>
        <v/>
      </c>
      <c r="D31"/>
      <c r="E31" s="173">
        <f>Lanç!E31</f>
        <v>24</v>
      </c>
      <c r="F31" s="189" t="str">
        <f>Lanç!F31</f>
        <v>Ter</v>
      </c>
      <c r="G31" s="81"/>
      <c r="H31" s="94"/>
      <c r="I31" s="94"/>
      <c r="J31" s="94"/>
      <c r="K31" s="94"/>
      <c r="L31" s="10"/>
      <c r="M31" s="95">
        <f t="shared" si="1"/>
        <v>0</v>
      </c>
      <c r="N31" s="96"/>
      <c r="O31" s="95">
        <f ca="1">IF(OR(G31=0,G31="Férias",G31="Falta Justificada",G31="Feriado",G31="Folga (DSR)"),0,IF(G31="Falta Injustificada",HLOOKUP($F31,Jornada!$X$7:$AD$37,VLOOKUP(INDIRECT($C$5),Jornada!$C$8:$W$37,21,0),0),IF(HLOOKUP($F31,Jornada!$X$7:$AD$37,VLOOKUP(INDIRECT($C$5),Jornada!$C$8:$W$37,21,0),0)-M31&gt;0,HLOOKUP($F31,Jornada!$X$7:$AD$37,VLOOKUP(INDIRECT($C$5),Jornada!$C$8:$W$37,21,0),0)-M31,0)))</f>
        <v>0</v>
      </c>
      <c r="P31" s="190">
        <f ca="1">IF(HLOOKUP($F31,Jornada!$X$7:$AD$37,VLOOKUP(INDIRECT($C$5),Jornada!$C$8:$W$37,21,0),0)-M31&lt;0,ABS(HLOOKUP($F31,Jornada!$X$7:$AD$37,VLOOKUP(INDIRECT($C$5),Jornada!$C$8:$W$37,21,0),0)-M31),0)</f>
        <v>0</v>
      </c>
      <c r="Q31" s="95">
        <f t="shared" si="0"/>
        <v>0</v>
      </c>
      <c r="R31" s="2">
        <f>IF(Q31&gt;$R$7,1,0)</f>
        <v>0</v>
      </c>
      <c r="S31" s="13"/>
      <c r="T31" s="74"/>
      <c r="U31" s="74"/>
      <c r="X31" s="177"/>
      <c r="AB31" s="177">
        <f t="shared" si="10"/>
        <v>24</v>
      </c>
      <c r="AC31" s="2">
        <f>WEEKDAY(AB31)</f>
        <v>3</v>
      </c>
      <c r="AG31" s="220">
        <f t="shared" si="4"/>
        <v>0</v>
      </c>
      <c r="AH31" s="220">
        <f ca="1">IF(HLOOKUP($F31,Jornada!$X$7:$AD$37,VLOOKUP(INDIRECT($C$5),Jornada!$C$8:$W$37,21,0),0)=0,0,VLOOKUP(INDIRECT($C$5),Jornada!$C$8:$H$37,4,0))</f>
        <v>0</v>
      </c>
      <c r="AI31" s="155">
        <f ca="1">IF(AND(I31=0,J31=0,OR(H31&lt;&gt;0,K31&lt;&gt;0),HLOOKUP($F31,Jornada!$X$7:$AD$37,VLOOKUP(INDIRECT($C$5),Jornada!$C$8:$W$37,21,0),0)&gt;$AK$5,M31&gt;$AK$5),VLOOKUP(INDIRECT($C$5),Jornada!$C$8:$H$37,6,0),IF(AG31&gt;VLOOKUP(INDIRECT($C$5),Jornada!$C$8:$H$37,6,0),IF(VLOOKUP(INDIRECT($C$5),Jornada!$C$8:$H$37,6,0)&lt;AG31,0,ABS(VLOOKUP(INDIRECT($C$5),Jornada!$C$8:$H$37,6,0))-AG31),0))</f>
        <v>0</v>
      </c>
      <c r="AJ31" s="155">
        <f>($AJ$7-K31)+H31</f>
        <v>1</v>
      </c>
      <c r="AK31" s="155">
        <f>IF(AJ31&lt;$AK$7,$AK$7-AJ31,$AI$7)</f>
        <v>0</v>
      </c>
      <c r="AL31" s="155">
        <f ca="1">HLOOKUP($F31,Jornada!$I$5:$V$37,VLOOKUP(INDIRECT($C$5),Jornada!$C$8:$W$37,21,0)+2,0)</f>
        <v>0</v>
      </c>
      <c r="AM31" s="155">
        <f ca="1">HLOOKUP($F31,Jornada!$I$4:$V$37,VLOOKUP(INDIRECT($C$5),Jornada!$C$8:$W$37,21,0)+3,0)</f>
        <v>0</v>
      </c>
      <c r="AN31" s="155">
        <f t="shared" ca="1" si="7"/>
        <v>0</v>
      </c>
      <c r="AO31" s="155">
        <f t="shared" si="8"/>
        <v>0</v>
      </c>
      <c r="AP31" s="155">
        <f t="shared" si="9"/>
        <v>0</v>
      </c>
    </row>
    <row r="32" spans="1:59" s="2" customFormat="1" ht="30" customHeight="1" thickTop="1" thickBot="1" x14ac:dyDescent="0.25">
      <c r="A32" s="1"/>
      <c r="B32"/>
      <c r="C32" s="172" t="str">
        <f>IF(Funcionários!C31=0,"",Funcionários!C31)</f>
        <v/>
      </c>
      <c r="D32"/>
      <c r="E32" s="115">
        <f>Lanç!E32</f>
        <v>25</v>
      </c>
      <c r="F32" s="189" t="str">
        <f>Lanç!F32</f>
        <v>Qua</v>
      </c>
      <c r="G32" s="81"/>
      <c r="H32" s="94"/>
      <c r="I32" s="94"/>
      <c r="J32" s="94"/>
      <c r="K32" s="94"/>
      <c r="L32" s="10"/>
      <c r="M32" s="95">
        <f t="shared" si="1"/>
        <v>0</v>
      </c>
      <c r="N32" s="96"/>
      <c r="O32" s="95">
        <f ca="1">IF(OR(G32=0,G32="Férias",G32="Falta Justificada",G32="Feriado",G32="Folga (DSR)"),0,IF(G32="Falta Injustificada",HLOOKUP($F32,Jornada!$X$7:$AD$37,VLOOKUP(INDIRECT($C$5),Jornada!$C$8:$W$37,21,0),0),IF(HLOOKUP($F32,Jornada!$X$7:$AD$37,VLOOKUP(INDIRECT($C$5),Jornada!$C$8:$W$37,21,0),0)-M32&gt;0,HLOOKUP($F32,Jornada!$X$7:$AD$37,VLOOKUP(INDIRECT($C$5),Jornada!$C$8:$W$37,21,0),0)-M32,0)))</f>
        <v>0</v>
      </c>
      <c r="P32" s="190">
        <f ca="1">IF(HLOOKUP($F32,Jornada!$X$7:$AD$37,VLOOKUP(INDIRECT($C$5),Jornada!$C$8:$W$37,21,0),0)-M32&lt;0,ABS(HLOOKUP($F32,Jornada!$X$7:$AD$37,VLOOKUP(INDIRECT($C$5),Jornada!$C$8:$W$37,21,0),0)-M32),0)</f>
        <v>0</v>
      </c>
      <c r="Q32" s="95">
        <f t="shared" si="0"/>
        <v>0</v>
      </c>
      <c r="R32" s="2">
        <f t="shared" si="2"/>
        <v>0</v>
      </c>
      <c r="S32" s="74"/>
      <c r="T32" s="74"/>
      <c r="U32" s="74"/>
      <c r="X32" s="177"/>
      <c r="AB32" s="177">
        <f t="shared" si="10"/>
        <v>25</v>
      </c>
      <c r="AC32" s="2">
        <f t="shared" si="3"/>
        <v>4</v>
      </c>
      <c r="AG32" s="220">
        <f t="shared" si="4"/>
        <v>0</v>
      </c>
      <c r="AH32" s="220">
        <f ca="1">IF(HLOOKUP($F32,Jornada!$X$7:$AD$37,VLOOKUP(INDIRECT($C$5),Jornada!$C$8:$W$37,21,0),0)=0,0,VLOOKUP(INDIRECT($C$5),Jornada!$C$8:$H$37,4,0))</f>
        <v>0</v>
      </c>
      <c r="AI32" s="155">
        <f ca="1">IF(AND(I32=0,J32=0,OR(H32&lt;&gt;0,K32&lt;&gt;0),HLOOKUP($F32,Jornada!$X$7:$AD$37,VLOOKUP(INDIRECT($C$5),Jornada!$C$8:$W$37,21,0),0)&gt;$AK$5,M32&gt;$AK$5),VLOOKUP(INDIRECT($C$5),Jornada!$C$8:$H$37,6,0),IF(AG32&gt;VLOOKUP(INDIRECT($C$5),Jornada!$C$8:$H$37,6,0),IF(VLOOKUP(INDIRECT($C$5),Jornada!$C$8:$H$37,6,0)&lt;AG32,0,ABS(VLOOKUP(INDIRECT($C$5),Jornada!$C$8:$H$37,6,0))-AG32),0))</f>
        <v>0</v>
      </c>
      <c r="AJ32" s="155">
        <f t="shared" si="5"/>
        <v>1</v>
      </c>
      <c r="AK32" s="155">
        <f t="shared" si="6"/>
        <v>0</v>
      </c>
      <c r="AL32" s="155">
        <f ca="1">HLOOKUP($F32,Jornada!$I$5:$V$37,VLOOKUP(INDIRECT($C$5),Jornada!$C$8:$W$37,21,0)+2,0)</f>
        <v>0</v>
      </c>
      <c r="AM32" s="155">
        <f ca="1">HLOOKUP($F32,Jornada!$I$4:$V$37,VLOOKUP(INDIRECT($C$5),Jornada!$C$8:$W$37,21,0)+3,0)</f>
        <v>0</v>
      </c>
      <c r="AN32" s="155">
        <f t="shared" ca="1" si="7"/>
        <v>0</v>
      </c>
      <c r="AO32" s="155">
        <f t="shared" si="8"/>
        <v>0</v>
      </c>
      <c r="AP32" s="155">
        <f t="shared" si="9"/>
        <v>0</v>
      </c>
    </row>
    <row r="33" spans="1:42" s="2" customFormat="1" ht="30" customHeight="1" thickTop="1" thickBot="1" x14ac:dyDescent="0.25">
      <c r="A33" s="1"/>
      <c r="B33"/>
      <c r="C33" s="172" t="str">
        <f>IF(Funcionários!C32=0,"",Funcionários!C32)</f>
        <v/>
      </c>
      <c r="D33"/>
      <c r="E33" s="115">
        <f>Lanç!E33</f>
        <v>26</v>
      </c>
      <c r="F33" s="189" t="str">
        <f>Lanç!F33</f>
        <v>Qui</v>
      </c>
      <c r="G33" s="81"/>
      <c r="H33" s="94"/>
      <c r="I33" s="94"/>
      <c r="J33" s="94"/>
      <c r="K33" s="94"/>
      <c r="L33" s="10"/>
      <c r="M33" s="95">
        <f t="shared" si="1"/>
        <v>0</v>
      </c>
      <c r="N33" s="96"/>
      <c r="O33" s="95">
        <f ca="1">IF(OR(G33=0,G33="Férias",G33="Falta Justificada",G33="Feriado",G33="Folga (DSR)"),0,IF(G33="Falta Injustificada",HLOOKUP($F33,Jornada!$X$7:$AD$37,VLOOKUP(INDIRECT($C$5),Jornada!$C$8:$W$37,21,0),0),IF(HLOOKUP($F33,Jornada!$X$7:$AD$37,VLOOKUP(INDIRECT($C$5),Jornada!$C$8:$W$37,21,0),0)-M33&gt;0,HLOOKUP($F33,Jornada!$X$7:$AD$37,VLOOKUP(INDIRECT($C$5),Jornada!$C$8:$W$37,21,0),0)-M33,0)))</f>
        <v>0</v>
      </c>
      <c r="P33" s="190">
        <f ca="1">IF(HLOOKUP($F33,Jornada!$X$7:$AD$37,VLOOKUP(INDIRECT($C$5),Jornada!$C$8:$W$37,21,0),0)-M33&lt;0,ABS(HLOOKUP($F33,Jornada!$X$7:$AD$37,VLOOKUP(INDIRECT($C$5),Jornada!$C$8:$W$37,21,0),0)-M33),0)</f>
        <v>0</v>
      </c>
      <c r="Q33" s="95">
        <f t="shared" si="0"/>
        <v>0</v>
      </c>
      <c r="R33" s="2">
        <f t="shared" si="2"/>
        <v>0</v>
      </c>
      <c r="S33" s="74"/>
      <c r="T33" s="74"/>
      <c r="U33" s="74"/>
      <c r="X33" s="177"/>
      <c r="AB33" s="177">
        <f t="shared" si="10"/>
        <v>26</v>
      </c>
      <c r="AC33" s="2">
        <f t="shared" si="3"/>
        <v>5</v>
      </c>
      <c r="AG33" s="220">
        <f t="shared" si="4"/>
        <v>0</v>
      </c>
      <c r="AH33" s="220">
        <f ca="1">IF(HLOOKUP($F33,Jornada!$X$7:$AD$37,VLOOKUP(INDIRECT($C$5),Jornada!$C$8:$W$37,21,0),0)=0,0,VLOOKUP(INDIRECT($C$5),Jornada!$C$8:$H$37,4,0))</f>
        <v>0</v>
      </c>
      <c r="AI33" s="155">
        <f ca="1">IF(AND(I33=0,J33=0,OR(H33&lt;&gt;0,K33&lt;&gt;0),HLOOKUP($F33,Jornada!$X$7:$AD$37,VLOOKUP(INDIRECT($C$5),Jornada!$C$8:$W$37,21,0),0)&gt;$AK$5,M33&gt;$AK$5),VLOOKUP(INDIRECT($C$5),Jornada!$C$8:$H$37,6,0),IF(AG33&gt;VLOOKUP(INDIRECT($C$5),Jornada!$C$8:$H$37,6,0),IF(VLOOKUP(INDIRECT($C$5),Jornada!$C$8:$H$37,6,0)&lt;AG33,0,ABS(VLOOKUP(INDIRECT($C$5),Jornada!$C$8:$H$37,6,0))-AG33),0))</f>
        <v>0</v>
      </c>
      <c r="AJ33" s="155">
        <f t="shared" si="5"/>
        <v>1</v>
      </c>
      <c r="AK33" s="155">
        <f t="shared" si="6"/>
        <v>0</v>
      </c>
      <c r="AL33" s="155">
        <f ca="1">HLOOKUP($F33,Jornada!$I$5:$V$37,VLOOKUP(INDIRECT($C$5),Jornada!$C$8:$W$37,21,0)+2,0)</f>
        <v>0</v>
      </c>
      <c r="AM33" s="155">
        <f ca="1">HLOOKUP($F33,Jornada!$I$4:$V$37,VLOOKUP(INDIRECT($C$5),Jornada!$C$8:$W$37,21,0)+3,0)</f>
        <v>0</v>
      </c>
      <c r="AN33" s="155">
        <f t="shared" ca="1" si="7"/>
        <v>0</v>
      </c>
      <c r="AO33" s="155">
        <f t="shared" si="8"/>
        <v>0</v>
      </c>
      <c r="AP33" s="155">
        <f t="shared" si="9"/>
        <v>0</v>
      </c>
    </row>
    <row r="34" spans="1:42" s="2" customFormat="1" ht="30" customHeight="1" thickTop="1" thickBot="1" x14ac:dyDescent="0.25">
      <c r="A34" s="1"/>
      <c r="B34"/>
      <c r="C34" s="172" t="str">
        <f>IF(Funcionários!C33=0,"",Funcionários!C33)</f>
        <v/>
      </c>
      <c r="D34"/>
      <c r="E34" s="115">
        <f>Lanç!E34</f>
        <v>27</v>
      </c>
      <c r="F34" s="189" t="str">
        <f>Lanç!F34</f>
        <v>Sex</v>
      </c>
      <c r="G34" s="81"/>
      <c r="H34" s="94"/>
      <c r="I34" s="94"/>
      <c r="J34" s="94"/>
      <c r="K34" s="94"/>
      <c r="L34" s="10"/>
      <c r="M34" s="95">
        <f t="shared" si="1"/>
        <v>0</v>
      </c>
      <c r="N34" s="96"/>
      <c r="O34" s="95">
        <f ca="1">IF(OR(G34=0,G34="Férias",G34="Falta Justificada",G34="Feriado",G34="Folga (DSR)"),0,IF(G34="Falta Injustificada",HLOOKUP($F34,Jornada!$X$7:$AD$37,VLOOKUP(INDIRECT($C$5),Jornada!$C$8:$W$37,21,0),0),IF(HLOOKUP($F34,Jornada!$X$7:$AD$37,VLOOKUP(INDIRECT($C$5),Jornada!$C$8:$W$37,21,0),0)-M34&gt;0,HLOOKUP($F34,Jornada!$X$7:$AD$37,VLOOKUP(INDIRECT($C$5),Jornada!$C$8:$W$37,21,0),0)-M34,0)))</f>
        <v>0</v>
      </c>
      <c r="P34" s="190">
        <f ca="1">IF(HLOOKUP($F34,Jornada!$X$7:$AD$37,VLOOKUP(INDIRECT($C$5),Jornada!$C$8:$W$37,21,0),0)-M34&lt;0,ABS(HLOOKUP($F34,Jornada!$X$7:$AD$37,VLOOKUP(INDIRECT($C$5),Jornada!$C$8:$W$37,21,0),0)-M34),0)</f>
        <v>0</v>
      </c>
      <c r="Q34" s="95">
        <f t="shared" si="0"/>
        <v>0</v>
      </c>
      <c r="R34" s="2">
        <f t="shared" si="2"/>
        <v>0</v>
      </c>
      <c r="S34" s="74"/>
      <c r="T34" s="74"/>
      <c r="U34" s="74"/>
      <c r="X34" s="177"/>
      <c r="AB34" s="177">
        <f t="shared" si="10"/>
        <v>27</v>
      </c>
      <c r="AC34" s="2">
        <f t="shared" si="3"/>
        <v>6</v>
      </c>
      <c r="AG34" s="220">
        <f t="shared" si="4"/>
        <v>0</v>
      </c>
      <c r="AH34" s="220">
        <f ca="1">IF(HLOOKUP($F34,Jornada!$X$7:$AD$37,VLOOKUP(INDIRECT($C$5),Jornada!$C$8:$W$37,21,0),0)=0,0,VLOOKUP(INDIRECT($C$5),Jornada!$C$8:$H$37,4,0))</f>
        <v>0</v>
      </c>
      <c r="AI34" s="155">
        <f ca="1">IF(AND(I34=0,J34=0,OR(H34&lt;&gt;0,K34&lt;&gt;0),HLOOKUP($F34,Jornada!$X$7:$AD$37,VLOOKUP(INDIRECT($C$5),Jornada!$C$8:$W$37,21,0),0)&gt;$AK$5,M34&gt;$AK$5),VLOOKUP(INDIRECT($C$5),Jornada!$C$8:$H$37,6,0),IF(AG34&gt;VLOOKUP(INDIRECT($C$5),Jornada!$C$8:$H$37,6,0),IF(VLOOKUP(INDIRECT($C$5),Jornada!$C$8:$H$37,6,0)&lt;AG34,0,ABS(VLOOKUP(INDIRECT($C$5),Jornada!$C$8:$H$37,6,0))-AG34),0))</f>
        <v>0</v>
      </c>
      <c r="AJ34" s="155">
        <f t="shared" si="5"/>
        <v>1</v>
      </c>
      <c r="AK34" s="155">
        <f t="shared" si="6"/>
        <v>0</v>
      </c>
      <c r="AL34" s="155">
        <f ca="1">HLOOKUP($F34,Jornada!$I$5:$V$37,VLOOKUP(INDIRECT($C$5),Jornada!$C$8:$W$37,21,0)+2,0)</f>
        <v>0</v>
      </c>
      <c r="AM34" s="155">
        <f ca="1">HLOOKUP($F34,Jornada!$I$4:$V$37,VLOOKUP(INDIRECT($C$5),Jornada!$C$8:$W$37,21,0)+3,0)</f>
        <v>0</v>
      </c>
      <c r="AN34" s="155">
        <f t="shared" ca="1" si="7"/>
        <v>0</v>
      </c>
      <c r="AO34" s="155">
        <f t="shared" si="8"/>
        <v>0</v>
      </c>
      <c r="AP34" s="155">
        <f t="shared" si="9"/>
        <v>0</v>
      </c>
    </row>
    <row r="35" spans="1:42" s="2" customFormat="1" ht="30" customHeight="1" thickTop="1" thickBot="1" x14ac:dyDescent="0.25">
      <c r="A35" s="1"/>
      <c r="B35"/>
      <c r="C35" s="172" t="str">
        <f>IF(Funcionários!C34=0,"",Funcionários!C34)</f>
        <v/>
      </c>
      <c r="D35"/>
      <c r="E35" s="115">
        <f>Lanç!E35</f>
        <v>28</v>
      </c>
      <c r="F35" s="189" t="str">
        <f>Lanç!F35</f>
        <v>Sáb</v>
      </c>
      <c r="G35" s="81"/>
      <c r="H35" s="94"/>
      <c r="I35" s="94"/>
      <c r="J35" s="94"/>
      <c r="K35" s="94"/>
      <c r="L35" s="10"/>
      <c r="M35" s="95">
        <f t="shared" si="1"/>
        <v>0</v>
      </c>
      <c r="N35" s="96"/>
      <c r="O35" s="95">
        <f ca="1">IF(OR(G35=0,G35="Férias",G35="Falta Justificada",G35="Feriado",G35="Folga (DSR)"),0,IF(G35="Falta Injustificada",HLOOKUP($F35,Jornada!$X$7:$AD$37,VLOOKUP(INDIRECT($C$5),Jornada!$C$8:$W$37,21,0),0),IF(HLOOKUP($F35,Jornada!$X$7:$AD$37,VLOOKUP(INDIRECT($C$5),Jornada!$C$8:$W$37,21,0),0)-M35&gt;0,HLOOKUP($F35,Jornada!$X$7:$AD$37,VLOOKUP(INDIRECT($C$5),Jornada!$C$8:$W$37,21,0),0)-M35,0)))</f>
        <v>0</v>
      </c>
      <c r="P35" s="190">
        <f ca="1">IF(HLOOKUP($F35,Jornada!$X$7:$AD$37,VLOOKUP(INDIRECT($C$5),Jornada!$C$8:$W$37,21,0),0)-M35&lt;0,ABS(HLOOKUP($F35,Jornada!$X$7:$AD$37,VLOOKUP(INDIRECT($C$5),Jornada!$C$8:$W$37,21,0),0)-M35),0)</f>
        <v>0</v>
      </c>
      <c r="Q35" s="95">
        <f t="shared" si="0"/>
        <v>0</v>
      </c>
      <c r="R35" s="2">
        <f t="shared" si="2"/>
        <v>0</v>
      </c>
      <c r="S35"/>
      <c r="T35"/>
      <c r="U35"/>
      <c r="X35" s="177"/>
      <c r="AB35" s="177">
        <f>IF(MONTH(AB34+1)&lt;&gt;MONTH(AB34),"",AB34+1)</f>
        <v>28</v>
      </c>
      <c r="AC35" s="2">
        <f t="shared" si="3"/>
        <v>7</v>
      </c>
      <c r="AG35" s="220">
        <f t="shared" si="4"/>
        <v>0</v>
      </c>
      <c r="AH35" s="220">
        <f ca="1">IF(HLOOKUP($F35,Jornada!$X$7:$AD$37,VLOOKUP(INDIRECT($C$5),Jornada!$C$8:$W$37,21,0),0)=0,0,VLOOKUP(INDIRECT($C$5),Jornada!$C$8:$H$37,4,0))</f>
        <v>0</v>
      </c>
      <c r="AI35" s="155">
        <f ca="1">IF(AND(I35=0,J35=0,OR(H35&lt;&gt;0,K35&lt;&gt;0),HLOOKUP($F35,Jornada!$X$7:$AD$37,VLOOKUP(INDIRECT($C$5),Jornada!$C$8:$W$37,21,0),0)&gt;$AK$5,M35&gt;$AK$5),VLOOKUP(INDIRECT($C$5),Jornada!$C$8:$H$37,6,0),IF(AG35&gt;VLOOKUP(INDIRECT($C$5),Jornada!$C$8:$H$37,6,0),IF(VLOOKUP(INDIRECT($C$5),Jornada!$C$8:$H$37,6,0)&lt;AG35,0,ABS(VLOOKUP(INDIRECT($C$5),Jornada!$C$8:$H$37,6,0))-AG35),0))</f>
        <v>0</v>
      </c>
      <c r="AJ35" s="155">
        <f t="shared" si="5"/>
        <v>1</v>
      </c>
      <c r="AK35" s="155">
        <f t="shared" si="6"/>
        <v>0</v>
      </c>
      <c r="AL35" s="155">
        <f ca="1">HLOOKUP($F35,Jornada!$I$5:$V$37,VLOOKUP(INDIRECT($C$5),Jornada!$C$8:$W$37,21,0)+2,0)</f>
        <v>0</v>
      </c>
      <c r="AM35" s="155">
        <f ca="1">HLOOKUP($F35,Jornada!$I$4:$V$37,VLOOKUP(INDIRECT($C$5),Jornada!$C$8:$W$37,21,0)+3,0)</f>
        <v>0</v>
      </c>
      <c r="AN35" s="155">
        <f t="shared" ca="1" si="7"/>
        <v>0</v>
      </c>
      <c r="AO35" s="155">
        <f t="shared" si="8"/>
        <v>0</v>
      </c>
      <c r="AP35" s="155">
        <f t="shared" si="9"/>
        <v>0</v>
      </c>
    </row>
    <row r="36" spans="1:42" s="2" customFormat="1" ht="30" customHeight="1" thickTop="1" thickBot="1" x14ac:dyDescent="0.25">
      <c r="A36" s="1"/>
      <c r="B36"/>
      <c r="C36" s="172" t="str">
        <f>IF(Funcionários!C35=0,"",Funcionários!C35)</f>
        <v/>
      </c>
      <c r="D36"/>
      <c r="E36" s="115">
        <f>Lanç!E36</f>
        <v>29</v>
      </c>
      <c r="F36" s="189" t="str">
        <f>Lanç!F36</f>
        <v>Dom</v>
      </c>
      <c r="G36" s="81"/>
      <c r="H36" s="94"/>
      <c r="I36" s="94"/>
      <c r="J36" s="94"/>
      <c r="K36" s="94"/>
      <c r="L36" s="10"/>
      <c r="M36" s="95">
        <f t="shared" si="1"/>
        <v>0</v>
      </c>
      <c r="N36" s="96"/>
      <c r="O36" s="95">
        <f ca="1">IF(OR(G36=0,G36="Férias",G36="Falta Justificada",G36="Feriado",G36="Folga (DSR)"),0,IF(G36="Falta Injustificada",HLOOKUP($F36,Jornada!$X$7:$AD$37,VLOOKUP(INDIRECT($C$5),Jornada!$C$8:$W$37,21,0),0),IF(HLOOKUP($F36,Jornada!$X$7:$AD$37,VLOOKUP(INDIRECT($C$5),Jornada!$C$8:$W$37,21,0),0)-M36&gt;0,HLOOKUP($F36,Jornada!$X$7:$AD$37,VLOOKUP(INDIRECT($C$5),Jornada!$C$8:$W$37,21,0),0)-M36,0)))</f>
        <v>0</v>
      </c>
      <c r="P36" s="190">
        <f ca="1">IF(HLOOKUP($F36,Jornada!$X$7:$AD$37,VLOOKUP(INDIRECT($C$5),Jornada!$C$8:$W$37,21,0),0)-M36&lt;0,ABS(HLOOKUP($F36,Jornada!$X$7:$AD$37,VLOOKUP(INDIRECT($C$5),Jornada!$C$8:$W$37,21,0),0)-M36),0)</f>
        <v>0</v>
      </c>
      <c r="Q36" s="95">
        <f t="shared" si="0"/>
        <v>0</v>
      </c>
      <c r="R36" s="2">
        <f t="shared" si="2"/>
        <v>0</v>
      </c>
      <c r="S36"/>
      <c r="T36"/>
      <c r="U36"/>
      <c r="X36" s="177"/>
      <c r="AB36" s="177">
        <f>IF(MONTH(AB35+1)&lt;&gt;MONTH(AB35),"",IF(AB35="","",AB35+1))</f>
        <v>29</v>
      </c>
      <c r="AC36" s="2">
        <f>IF(ISERROR(WEEKDAY(AB36)),"",WEEKDAY(AB36))</f>
        <v>1</v>
      </c>
      <c r="AG36" s="220">
        <f t="shared" si="4"/>
        <v>0</v>
      </c>
      <c r="AH36" s="220">
        <f ca="1">IF(HLOOKUP($F36,Jornada!$X$7:$AD$37,VLOOKUP(INDIRECT($C$5),Jornada!$C$8:$W$37,21,0),0)=0,0,VLOOKUP(INDIRECT($C$5),Jornada!$C$8:$H$37,4,0))</f>
        <v>0</v>
      </c>
      <c r="AI36" s="155">
        <f ca="1">IF(AND(I36=0,J36=0,OR(H36&lt;&gt;0,K36&lt;&gt;0),HLOOKUP($F36,Jornada!$X$7:$AD$37,VLOOKUP(INDIRECT($C$5),Jornada!$C$8:$W$37,21,0),0)&gt;$AK$5,M36&gt;$AK$5),VLOOKUP(INDIRECT($C$5),Jornada!$C$8:$H$37,6,0),IF(AG36&gt;VLOOKUP(INDIRECT($C$5),Jornada!$C$8:$H$37,6,0),IF(VLOOKUP(INDIRECT($C$5),Jornada!$C$8:$H$37,6,0)&lt;AG36,0,ABS(VLOOKUP(INDIRECT($C$5),Jornada!$C$8:$H$37,6,0))-AG36),0))</f>
        <v>0</v>
      </c>
      <c r="AJ36" s="155">
        <f t="shared" si="5"/>
        <v>1</v>
      </c>
      <c r="AK36" s="155">
        <f t="shared" si="6"/>
        <v>0</v>
      </c>
      <c r="AL36" s="155">
        <f ca="1">HLOOKUP($F36,Jornada!$I$5:$V$37,VLOOKUP(INDIRECT($C$5),Jornada!$C$8:$W$37,21,0)+2,0)</f>
        <v>0</v>
      </c>
      <c r="AM36" s="155">
        <f ca="1">HLOOKUP($F36,Jornada!$I$4:$V$37,VLOOKUP(INDIRECT($C$5),Jornada!$C$8:$W$37,21,0)+3,0)</f>
        <v>0</v>
      </c>
      <c r="AN36" s="155">
        <f t="shared" ca="1" si="7"/>
        <v>0</v>
      </c>
      <c r="AO36" s="155">
        <f t="shared" si="8"/>
        <v>0</v>
      </c>
      <c r="AP36" s="155">
        <f t="shared" si="9"/>
        <v>0</v>
      </c>
    </row>
    <row r="37" spans="1:42" s="2" customFormat="1" ht="30" customHeight="1" thickTop="1" thickBot="1" x14ac:dyDescent="0.25">
      <c r="A37" s="1"/>
      <c r="B37"/>
      <c r="C37" s="172" t="str">
        <f>IF(Funcionários!C36=0,"",Funcionários!C36)</f>
        <v/>
      </c>
      <c r="D37"/>
      <c r="E37" s="115">
        <f>Lanç!E37</f>
        <v>30</v>
      </c>
      <c r="F37" s="189" t="str">
        <f>Lanç!F37</f>
        <v>Seg</v>
      </c>
      <c r="G37" s="81"/>
      <c r="H37" s="94"/>
      <c r="I37" s="94"/>
      <c r="J37" s="94"/>
      <c r="K37" s="94"/>
      <c r="L37" s="10"/>
      <c r="M37" s="95">
        <f t="shared" si="1"/>
        <v>0</v>
      </c>
      <c r="N37" s="96"/>
      <c r="O37" s="95">
        <f ca="1">IF(OR(G37=0,G37="Férias",G37="Falta Justificada",G37="Feriado",G37="Folga (DSR)"),0,IF(G37="Falta Injustificada",HLOOKUP($F37,Jornada!$X$7:$AD$37,VLOOKUP(INDIRECT($C$5),Jornada!$C$8:$W$37,21,0),0),IF(HLOOKUP($F37,Jornada!$X$7:$AD$37,VLOOKUP(INDIRECT($C$5),Jornada!$C$8:$W$37,21,0),0)-M37&gt;0,HLOOKUP($F37,Jornada!$X$7:$AD$37,VLOOKUP(INDIRECT($C$5),Jornada!$C$8:$W$37,21,0),0)-M37,0)))</f>
        <v>0</v>
      </c>
      <c r="P37" s="190">
        <f ca="1">IF(HLOOKUP($F37,Jornada!$X$7:$AD$37,VLOOKUP(INDIRECT($C$5),Jornada!$C$8:$W$37,21,0),0)-M37&lt;0,ABS(HLOOKUP($F37,Jornada!$X$7:$AD$37,VLOOKUP(INDIRECT($C$5),Jornada!$C$8:$W$37,21,0),0)-M37),0)</f>
        <v>0</v>
      </c>
      <c r="Q37" s="95">
        <f t="shared" si="0"/>
        <v>0</v>
      </c>
      <c r="R37" s="2">
        <f t="shared" si="2"/>
        <v>0</v>
      </c>
      <c r="S37"/>
      <c r="T37"/>
      <c r="U37"/>
      <c r="X37" s="177"/>
      <c r="AB37" s="177">
        <f>IF(AB36="","",IF(MONTH(AB36+1)&lt;&gt;MONTH(AB36),"",AB36+1))</f>
        <v>30</v>
      </c>
      <c r="AC37" s="2">
        <f>IF(ISERROR(WEEKDAY(AB37)),"",WEEKDAY(AB37))</f>
        <v>2</v>
      </c>
      <c r="AG37" s="220">
        <f t="shared" si="4"/>
        <v>0</v>
      </c>
      <c r="AH37" s="220">
        <f ca="1">IF(HLOOKUP($F37,Jornada!$X$7:$AD$37,VLOOKUP(INDIRECT($C$5),Jornada!$C$8:$W$37,21,0),0)=0,0,VLOOKUP(INDIRECT($C$5),Jornada!$C$8:$H$37,4,0))</f>
        <v>0</v>
      </c>
      <c r="AI37" s="155">
        <f ca="1">IF(AND(I37=0,J37=0,OR(H37&lt;&gt;0,K37&lt;&gt;0),HLOOKUP($F37,Jornada!$X$7:$AD$37,VLOOKUP(INDIRECT($C$5),Jornada!$C$8:$W$37,21,0),0)&gt;$AK$5,M37&gt;$AK$5),VLOOKUP(INDIRECT($C$5),Jornada!$C$8:$H$37,6,0),IF(AG37&gt;VLOOKUP(INDIRECT($C$5),Jornada!$C$8:$H$37,6,0),IF(VLOOKUP(INDIRECT($C$5),Jornada!$C$8:$H$37,6,0)&lt;AG37,0,ABS(VLOOKUP(INDIRECT($C$5),Jornada!$C$8:$H$37,6,0))-AG37),0))</f>
        <v>0</v>
      </c>
      <c r="AJ37" s="155">
        <f t="shared" si="5"/>
        <v>1</v>
      </c>
      <c r="AK37" s="155">
        <f t="shared" si="6"/>
        <v>0</v>
      </c>
      <c r="AL37" s="155">
        <f ca="1">HLOOKUP($F37,Jornada!$I$5:$V$37,VLOOKUP(INDIRECT($C$5),Jornada!$C$8:$W$37,21,0)+2,0)</f>
        <v>0</v>
      </c>
      <c r="AM37" s="155">
        <f ca="1">HLOOKUP($F37,Jornada!$I$4:$V$37,VLOOKUP(INDIRECT($C$5),Jornada!$C$8:$W$37,21,0)+3,0)</f>
        <v>0</v>
      </c>
      <c r="AN37" s="155">
        <f t="shared" ca="1" si="7"/>
        <v>0</v>
      </c>
      <c r="AO37" s="155">
        <f t="shared" si="8"/>
        <v>0</v>
      </c>
      <c r="AP37" s="155">
        <f t="shared" si="9"/>
        <v>0</v>
      </c>
    </row>
    <row r="38" spans="1:42" s="2" customFormat="1" ht="30" customHeight="1" thickTop="1" thickBot="1" x14ac:dyDescent="0.25">
      <c r="A38" s="1"/>
      <c r="B38"/>
      <c r="C38"/>
      <c r="D38" s="2">
        <f t="shared" ref="D38" si="11">IF(D37=7,1,D37+1)</f>
        <v>1</v>
      </c>
      <c r="E38" s="210">
        <f>Lanç!E38</f>
        <v>31</v>
      </c>
      <c r="F38" s="210" t="str">
        <f>Lanç!F38</f>
        <v>Ter</v>
      </c>
      <c r="G38" s="81"/>
      <c r="H38" s="94"/>
      <c r="I38" s="94"/>
      <c r="J38" s="94"/>
      <c r="K38" s="94"/>
      <c r="L38" s="197"/>
      <c r="M38" s="95">
        <f t="shared" si="1"/>
        <v>0</v>
      </c>
      <c r="N38" s="196"/>
      <c r="O38" s="95">
        <f ca="1">IF(OR(G38=0,G38="Férias",G38="Falta Justificada",G38="Feriado",G38="Folga (DSR)"),0,IF(G38="Falta Injustificada",HLOOKUP($F38,Jornada!$X$7:$AD$37,VLOOKUP(INDIRECT($C$5),Jornada!$C$8:$W$37,21,0),0),IF(HLOOKUP($F38,Jornada!$X$7:$AD$37,VLOOKUP(INDIRECT($C$5),Jornada!$C$8:$W$37,21,0),0)-M38&gt;0,HLOOKUP($F38,Jornada!$X$7:$AD$37,VLOOKUP(INDIRECT($C$5),Jornada!$C$8:$W$37,21,0),0)-M38,0)))</f>
        <v>0</v>
      </c>
      <c r="P38" s="201">
        <f ca="1">IF(HLOOKUP($F38,Jornada!$X$7:$AD$37,VLOOKUP(INDIRECT($C$5),Jornada!$C$8:$W$37,21,0),0)-M38&lt;0,ABS(HLOOKUP($F38,Jornada!$X$7:$AD$37,VLOOKUP(INDIRECT($C$5),Jornada!$C$8:$W$37,21,0),0)-M38),0)</f>
        <v>0</v>
      </c>
      <c r="Q38" s="95">
        <f t="shared" si="0"/>
        <v>0</v>
      </c>
      <c r="R38" s="2">
        <f t="shared" si="2"/>
        <v>0</v>
      </c>
      <c r="X38" s="177"/>
      <c r="AB38" s="177">
        <f>IF(AB37="","",IF(MONTH(AB37+1)&lt;&gt;MONTH(AB37),"",AB37+1))</f>
        <v>31</v>
      </c>
      <c r="AC38" s="2">
        <f>IF(ISERROR(WEEKDAY(AB38)),"",WEEKDAY(AB38))</f>
        <v>3</v>
      </c>
      <c r="AG38" s="220">
        <f t="shared" si="4"/>
        <v>0</v>
      </c>
      <c r="AH38" s="220">
        <f ca="1">IF(HLOOKUP($F38,Jornada!$X$7:$AD$37,VLOOKUP(INDIRECT($C$5),Jornada!$C$8:$W$37,21,0),0)=0,0,VLOOKUP(INDIRECT($C$5),Jornada!$C$8:$H$37,4,0))</f>
        <v>0</v>
      </c>
      <c r="AI38" s="155">
        <f ca="1">IF(AND(I38=0,J38=0,OR(H38&lt;&gt;0,K38&lt;&gt;0),HLOOKUP($F38,Jornada!$X$7:$AD$37,VLOOKUP(INDIRECT($C$5),Jornada!$C$8:$W$37,21,0),0)&gt;$AK$5,M38&gt;$AK$5),VLOOKUP(INDIRECT($C$5),Jornada!$C$8:$H$37,6,0),IF(AG38&gt;VLOOKUP(INDIRECT($C$5),Jornada!$C$8:$H$37,6,0),IF(VLOOKUP(INDIRECT($C$5),Jornada!$C$8:$H$37,6,0)&lt;AG38,0,ABS(VLOOKUP(INDIRECT($C$5),Jornada!$C$8:$H$37,6,0))-AG38),0))</f>
        <v>0</v>
      </c>
      <c r="AJ38" s="155">
        <f t="shared" si="5"/>
        <v>1</v>
      </c>
      <c r="AK38" s="155">
        <f t="shared" si="6"/>
        <v>0</v>
      </c>
      <c r="AL38" s="155">
        <f ca="1">HLOOKUP($F38,Jornada!$I$5:$V$37,VLOOKUP(INDIRECT($C$5),Jornada!$C$8:$W$37,21,0)+2,0)</f>
        <v>0</v>
      </c>
      <c r="AM38" s="155">
        <f ca="1">HLOOKUP($F38,Jornada!$I$4:$V$37,VLOOKUP(INDIRECT($C$5),Jornada!$C$8:$W$37,21,0)+3,0)</f>
        <v>0</v>
      </c>
      <c r="AN38" s="155">
        <f t="shared" ca="1" si="7"/>
        <v>0</v>
      </c>
      <c r="AO38" s="155">
        <f t="shared" si="8"/>
        <v>0</v>
      </c>
      <c r="AP38" s="155">
        <f t="shared" si="9"/>
        <v>0</v>
      </c>
    </row>
    <row r="39" spans="1:42" s="2" customFormat="1" ht="30" customHeight="1" thickTop="1" x14ac:dyDescent="0.2">
      <c r="A39" s="9"/>
      <c r="B39" s="234"/>
      <c r="C39" s="234"/>
      <c r="D39" s="234"/>
      <c r="E39" s="236">
        <f>EOMONTH(AB8,0)</f>
        <v>31</v>
      </c>
      <c r="F39" s="234">
        <f>DAY(E39)</f>
        <v>31</v>
      </c>
      <c r="G39" s="237">
        <f>COUNTIF(F8:F38,"Dom")+COUNTIF(G8:G38,"Feriado")</f>
        <v>5</v>
      </c>
      <c r="H39" s="238">
        <f>(SUM(Q8:Q38)/(F39-G39))*G39</f>
        <v>0</v>
      </c>
      <c r="I39" s="234"/>
      <c r="J39" s="234"/>
      <c r="K39" s="234"/>
      <c r="L39" s="234"/>
      <c r="M39" s="234"/>
      <c r="Z39" s="219"/>
    </row>
    <row r="40" spans="1:42" s="2" customFormat="1" ht="30" customHeight="1" x14ac:dyDescent="0.2">
      <c r="A40" s="9"/>
      <c r="B40" s="234"/>
      <c r="C40" s="239"/>
      <c r="D40" s="239"/>
      <c r="E40" s="239"/>
      <c r="F40" s="240"/>
      <c r="G40" s="241"/>
      <c r="H40" s="234">
        <f ca="1">IF(INDIRECT($C$5)="",0,VLOOKUP(INDIRECT($C$5),Funcionários!$C$7:$E$36,3,0)+IF(VLOOKUP(INDIRECT($C$5),Jornada!$C$8:$E$37,2,0)="Sim",IF('P Gerais'!$I$8&lt;&gt;0,VLOOKUP(INDIRECT($C$5),Funcionários!$C$7:$E$36,3,0)*'P Gerais'!$L$14,'P Gerais'!$I$8*'P Gerais'!$L$14),0)+IF(VLOOKUP(INDIRECT($C$5),Jornada!$C$8:$E$37,3,0)="Sim",VLOOKUP(INDIRECT($C$5),Funcionários!$C$7:$E$36,3,0)*'P Gerais'!$K$14,0))</f>
        <v>0</v>
      </c>
      <c r="I40" s="234">
        <f ca="1">VLOOKUP(INDIRECT($C$5),Jornada!$C$8:$AF$37,30,0)</f>
        <v>0</v>
      </c>
      <c r="J40" s="234" t="s">
        <v>298</v>
      </c>
      <c r="K40" s="242">
        <f ca="1">IF(I40=0,0,H40/I40)</f>
        <v>0</v>
      </c>
      <c r="L40" s="234"/>
      <c r="M40" s="234"/>
      <c r="Z40" s="219"/>
    </row>
    <row r="41" spans="1:42" s="2" customFormat="1" ht="30" customHeight="1" x14ac:dyDescent="0.2">
      <c r="A41" s="9"/>
      <c r="B41" s="234" t="s">
        <v>52</v>
      </c>
      <c r="C41" s="292" t="s">
        <v>75</v>
      </c>
      <c r="D41" s="292"/>
      <c r="E41" s="292"/>
      <c r="F41" s="243">
        <f t="shared" ref="F41:F47" si="12">SUMIFS($Q$8:$Q$38,$F$8:$F$38,$B41,$G$8:$G$38,"Normal")</f>
        <v>0</v>
      </c>
      <c r="G41" s="244">
        <f>IF($M$41="Sistema de banco de horas",0,'P Gerais'!$C$14)</f>
        <v>0.5</v>
      </c>
      <c r="H41" s="245">
        <f t="shared" ref="H41:H48" ca="1" si="13">IF($M$41="Sistema de banco de horas",0,$K$40*(1+G41)*(F41*24))</f>
        <v>0</v>
      </c>
      <c r="I41" s="243">
        <f t="shared" ref="I41:I47" ca="1" si="14">IF(SUMIF($F$8:$F$38,$B41,$Q$8:$Q$38)-SUMIFS($M$8:$M$38,$F$8:$F$38,$B41,$G$8:$G$38,"Feriado")-SUMIFS($M$8:$M$38,$F$8:$F$38,$B41,$G$8:$G$38,"Folga (DSR)")-SUMIFS($M$8:$M$38,$F$8:$F$38,$B41,$G$8:$G$38,"Férias")-SUMIF($F$8:$F$38,$B41,$AN$8:$AN$38)-SUMIF($F$8:$F$38,$B41,$AO$8:$AO$38)&lt;0,0,SUMIF($F$8:$F$38,$B41,$Q$8:$Q$38)-SUMIFS($M$8:$M$38,$F$8:$F$38,$B41,$G$8:$G$38,"Feriado")-SUMIFS($M$8:$M$38,$F$8:$F$38,$B41,$G$8:$G$38,"Folga (DSR)")-SUMIFS($M$8:$M$38,$F$8:$F$38,$B41,$G$8:$G$38,"Férias")-SUMIF($F$8:$F$38,$B41,$AN$8:$AN$38)-SUMIF($F$8:$F$38,$B41,$AO$8:$AO$38))</f>
        <v>0</v>
      </c>
      <c r="J41" s="245">
        <f ca="1">H41</f>
        <v>0</v>
      </c>
      <c r="K41" s="234"/>
      <c r="L41" s="234"/>
      <c r="M41" s="234">
        <f>'P Gerais'!I10</f>
        <v>0</v>
      </c>
      <c r="Z41" s="219"/>
    </row>
    <row r="42" spans="1:42" s="2" customFormat="1" ht="30" customHeight="1" x14ac:dyDescent="0.2">
      <c r="A42" s="9"/>
      <c r="B42" s="234" t="s">
        <v>53</v>
      </c>
      <c r="C42" s="292" t="s">
        <v>76</v>
      </c>
      <c r="D42" s="292"/>
      <c r="E42" s="292"/>
      <c r="F42" s="243">
        <f t="shared" si="12"/>
        <v>0</v>
      </c>
      <c r="G42" s="244">
        <f>IF($M$41="Sistema de banco de horas",0,'P Gerais'!$C$14)</f>
        <v>0.5</v>
      </c>
      <c r="H42" s="245">
        <f t="shared" ca="1" si="13"/>
        <v>0</v>
      </c>
      <c r="I42" s="243">
        <f t="shared" ca="1" si="14"/>
        <v>0</v>
      </c>
      <c r="J42" s="245">
        <f t="shared" ref="J42:J51" ca="1" si="15">H42</f>
        <v>0</v>
      </c>
      <c r="K42" s="234"/>
      <c r="L42" s="234"/>
      <c r="M42" s="234"/>
      <c r="Z42" s="219"/>
    </row>
    <row r="43" spans="1:42" s="2" customFormat="1" ht="30" customHeight="1" x14ac:dyDescent="0.2">
      <c r="A43" s="9"/>
      <c r="B43" s="234" t="s">
        <v>54</v>
      </c>
      <c r="C43" s="292" t="s">
        <v>77</v>
      </c>
      <c r="D43" s="292"/>
      <c r="E43" s="292"/>
      <c r="F43" s="243">
        <f t="shared" si="12"/>
        <v>0</v>
      </c>
      <c r="G43" s="244">
        <f>IF($M$41="Sistema de banco de horas",0,'P Gerais'!$C$14)</f>
        <v>0.5</v>
      </c>
      <c r="H43" s="245">
        <f t="shared" ca="1" si="13"/>
        <v>0</v>
      </c>
      <c r="I43" s="243">
        <f t="shared" ca="1" si="14"/>
        <v>0</v>
      </c>
      <c r="J43" s="245">
        <f t="shared" ca="1" si="15"/>
        <v>0</v>
      </c>
      <c r="K43" s="234"/>
      <c r="L43" s="234"/>
      <c r="M43" s="234"/>
      <c r="Z43" s="219"/>
    </row>
    <row r="44" spans="1:42" s="2" customFormat="1" ht="30" customHeight="1" x14ac:dyDescent="0.2">
      <c r="A44" s="9"/>
      <c r="B44" s="234" t="s">
        <v>55</v>
      </c>
      <c r="C44" s="292" t="s">
        <v>78</v>
      </c>
      <c r="D44" s="292"/>
      <c r="E44" s="292"/>
      <c r="F44" s="243">
        <f t="shared" si="12"/>
        <v>0</v>
      </c>
      <c r="G44" s="244">
        <f>IF($M$41="Sistema de banco de horas",0,'P Gerais'!$C$14)</f>
        <v>0.5</v>
      </c>
      <c r="H44" s="245">
        <f t="shared" ca="1" si="13"/>
        <v>0</v>
      </c>
      <c r="I44" s="243">
        <f t="shared" ca="1" si="14"/>
        <v>0</v>
      </c>
      <c r="J44" s="245">
        <f t="shared" ca="1" si="15"/>
        <v>0</v>
      </c>
      <c r="K44" s="234"/>
      <c r="L44" s="234"/>
      <c r="M44" s="234"/>
      <c r="Z44" s="219"/>
    </row>
    <row r="45" spans="1:42" s="2" customFormat="1" ht="30" customHeight="1" x14ac:dyDescent="0.2">
      <c r="A45" s="9"/>
      <c r="B45" s="234" t="s">
        <v>56</v>
      </c>
      <c r="C45" s="292" t="s">
        <v>79</v>
      </c>
      <c r="D45" s="292"/>
      <c r="E45" s="292"/>
      <c r="F45" s="243">
        <f t="shared" si="12"/>
        <v>0</v>
      </c>
      <c r="G45" s="244">
        <f>IF($M$41="Sistema de banco de horas",0,'P Gerais'!$C$14)</f>
        <v>0.5</v>
      </c>
      <c r="H45" s="245">
        <f t="shared" ca="1" si="13"/>
        <v>0</v>
      </c>
      <c r="I45" s="243">
        <f t="shared" ca="1" si="14"/>
        <v>0</v>
      </c>
      <c r="J45" s="245">
        <f t="shared" ca="1" si="15"/>
        <v>0</v>
      </c>
      <c r="K45" s="234"/>
      <c r="L45" s="234"/>
      <c r="M45" s="234"/>
      <c r="Z45" s="219"/>
    </row>
    <row r="46" spans="1:42" s="2" customFormat="1" ht="30" customHeight="1" x14ac:dyDescent="0.2">
      <c r="A46" s="9"/>
      <c r="B46" s="234" t="s">
        <v>57</v>
      </c>
      <c r="C46" s="292" t="s">
        <v>82</v>
      </c>
      <c r="D46" s="292"/>
      <c r="E46" s="292"/>
      <c r="F46" s="243">
        <f t="shared" si="12"/>
        <v>0</v>
      </c>
      <c r="G46" s="244">
        <f>IF($M$41="Sistema de banco de horas",0,'P Gerais'!$E$14)</f>
        <v>0.5</v>
      </c>
      <c r="H46" s="245">
        <f t="shared" ca="1" si="13"/>
        <v>0</v>
      </c>
      <c r="I46" s="243">
        <f t="shared" ca="1" si="14"/>
        <v>0</v>
      </c>
      <c r="J46" s="245">
        <f t="shared" ca="1" si="15"/>
        <v>0</v>
      </c>
      <c r="K46" s="234"/>
      <c r="L46" s="234"/>
      <c r="M46" s="234"/>
      <c r="Z46" s="219"/>
    </row>
    <row r="47" spans="1:42" s="2" customFormat="1" ht="30" customHeight="1" x14ac:dyDescent="0.2">
      <c r="A47" s="9"/>
      <c r="B47" s="234" t="s">
        <v>51</v>
      </c>
      <c r="C47" s="292" t="s">
        <v>81</v>
      </c>
      <c r="D47" s="292"/>
      <c r="E47" s="292"/>
      <c r="F47" s="243">
        <f t="shared" si="12"/>
        <v>0</v>
      </c>
      <c r="G47" s="244">
        <f>IF($M$41="Sistema de banco de horas",0,'P Gerais'!$F$14)</f>
        <v>1</v>
      </c>
      <c r="H47" s="245">
        <f t="shared" ca="1" si="13"/>
        <v>0</v>
      </c>
      <c r="I47" s="243">
        <f t="shared" ca="1" si="14"/>
        <v>0</v>
      </c>
      <c r="J47" s="245">
        <f t="shared" ca="1" si="15"/>
        <v>0</v>
      </c>
      <c r="K47" s="234"/>
      <c r="L47" s="234"/>
      <c r="M47" s="234"/>
      <c r="Z47" s="219"/>
    </row>
    <row r="48" spans="1:42" s="2" customFormat="1" ht="30" customHeight="1" x14ac:dyDescent="0.2">
      <c r="A48" s="9"/>
      <c r="B48" s="234"/>
      <c r="C48" s="292" t="s">
        <v>80</v>
      </c>
      <c r="D48" s="292"/>
      <c r="E48" s="292"/>
      <c r="F48" s="243">
        <f>SUMIFS($Q$8:$Q$38,$G$8:$G$38,"Feriado")</f>
        <v>0</v>
      </c>
      <c r="G48" s="244">
        <f>IF($M$41="Sistema de banco de horas",0,'P Gerais'!$I$14)</f>
        <v>1</v>
      </c>
      <c r="H48" s="245">
        <f t="shared" ca="1" si="13"/>
        <v>0</v>
      </c>
      <c r="I48" s="243"/>
      <c r="J48" s="245">
        <f t="shared" ca="1" si="15"/>
        <v>0</v>
      </c>
      <c r="K48" s="234"/>
      <c r="L48" s="234"/>
      <c r="M48" s="234"/>
      <c r="Z48" s="219"/>
    </row>
    <row r="49" spans="1:26" s="2" customFormat="1" ht="15" x14ac:dyDescent="0.2">
      <c r="A49" s="9"/>
      <c r="B49" s="234"/>
      <c r="C49" s="292" t="s">
        <v>146</v>
      </c>
      <c r="D49" s="292"/>
      <c r="E49" s="292"/>
      <c r="F49" s="243">
        <f>SUMIFS($Q$8:$Q$38,$G$8:$G$38,"Folga (DSR)")</f>
        <v>0</v>
      </c>
      <c r="G49" s="244">
        <f>IF($M$41="Sistema de banco de horas",0,'P Gerais'!H14)</f>
        <v>1</v>
      </c>
      <c r="H49" s="245">
        <f ca="1">((F53/(F39-G39))*G39)</f>
        <v>0</v>
      </c>
      <c r="I49" s="243"/>
      <c r="J49" s="245">
        <f t="shared" ca="1" si="15"/>
        <v>0</v>
      </c>
      <c r="K49" s="234"/>
      <c r="L49" s="234"/>
      <c r="M49" s="234"/>
      <c r="Z49" s="219"/>
    </row>
    <row r="50" spans="1:26" s="2" customFormat="1" ht="15" x14ac:dyDescent="0.2">
      <c r="A50" s="9"/>
      <c r="B50" s="234"/>
      <c r="C50" s="292" t="s">
        <v>84</v>
      </c>
      <c r="D50" s="292"/>
      <c r="E50" s="292"/>
      <c r="F50" s="243">
        <f ca="1">IF($M$41="Sistema de banco de horas",(SUM(AI$8:AI$38)*(1+G50)),SUM(AI$8:AI$38))</f>
        <v>0</v>
      </c>
      <c r="G50" s="244">
        <f>IF($M$41="Sistema de banco de horas",0,'P Gerais'!$I$17)</f>
        <v>0.5</v>
      </c>
      <c r="H50" s="245">
        <f ca="1">IF($M$41="Sistema de banco de horas",0,$K$40*(1+G50)*(F50*24))</f>
        <v>0</v>
      </c>
      <c r="I50" s="243">
        <f ca="1">IF(SUM($AN$8:$AO$38)&gt;SUM(AI$8:AI$38),0,SUM(AI$8:AI$38)-SUM($AN$8:$AO$38))</f>
        <v>0</v>
      </c>
      <c r="J50" s="245">
        <f t="shared" ca="1" si="15"/>
        <v>0</v>
      </c>
      <c r="K50" s="234"/>
      <c r="L50" s="234"/>
      <c r="M50" s="234"/>
      <c r="Z50" s="219"/>
    </row>
    <row r="51" spans="1:26" s="2" customFormat="1" ht="15" x14ac:dyDescent="0.2">
      <c r="A51" s="9"/>
      <c r="B51" s="234"/>
      <c r="C51" s="292" t="s">
        <v>85</v>
      </c>
      <c r="D51" s="292"/>
      <c r="E51" s="292"/>
      <c r="F51" s="243">
        <f>IF($M$41="Sistema de banco de horas",(SUM(AK$8:AK$38)*(1+G51)),SUM(AK$8:AK$38))</f>
        <v>0</v>
      </c>
      <c r="G51" s="244">
        <f>IF($M$41="Sistema de banco de horas",0,'P Gerais'!$C$17)</f>
        <v>1</v>
      </c>
      <c r="H51" s="245">
        <f ca="1">IF($M$41="Sistema de banco de horas",0,$K$40*(1+G51)*(F51*24))</f>
        <v>0</v>
      </c>
      <c r="I51" s="243"/>
      <c r="J51" s="245">
        <f t="shared" ca="1" si="15"/>
        <v>0</v>
      </c>
      <c r="K51" s="234"/>
      <c r="L51" s="234"/>
      <c r="M51" s="234"/>
      <c r="Z51" s="219"/>
    </row>
    <row r="52" spans="1:26" s="2" customFormat="1" ht="15" customHeight="1" x14ac:dyDescent="0.2">
      <c r="A52" s="9"/>
      <c r="B52" s="234"/>
      <c r="C52" s="292" t="s">
        <v>87</v>
      </c>
      <c r="D52" s="292"/>
      <c r="E52" s="292"/>
      <c r="F52" s="243">
        <f ca="1">U12</f>
        <v>0</v>
      </c>
      <c r="G52" s="246"/>
      <c r="H52" s="234"/>
      <c r="I52" s="234"/>
      <c r="J52" s="234"/>
      <c r="K52" s="234"/>
      <c r="L52" s="234"/>
      <c r="M52" s="234"/>
      <c r="Z52" s="219"/>
    </row>
    <row r="53" spans="1:26" s="2" customFormat="1" ht="15" x14ac:dyDescent="0.2">
      <c r="A53" s="9"/>
      <c r="B53" s="234"/>
      <c r="C53" s="292" t="s">
        <v>299</v>
      </c>
      <c r="D53" s="292"/>
      <c r="E53" s="292"/>
      <c r="F53" s="247">
        <f ca="1">SUM(H48)+J50+H51+SUM(J41:J47)</f>
        <v>0</v>
      </c>
      <c r="G53" s="248"/>
      <c r="H53" s="234"/>
      <c r="I53" s="234"/>
      <c r="J53" s="234"/>
      <c r="K53" s="234"/>
      <c r="L53" s="234"/>
      <c r="M53" s="234"/>
      <c r="Z53" s="219"/>
    </row>
    <row r="54" spans="1:26" s="2" customFormat="1" ht="15" x14ac:dyDescent="0.2">
      <c r="A54" s="9"/>
      <c r="B54" s="234"/>
      <c r="C54" s="292" t="s">
        <v>88</v>
      </c>
      <c r="D54" s="292"/>
      <c r="E54" s="292"/>
      <c r="F54" s="247">
        <f ca="1">F53+(H49*(1+G49))</f>
        <v>0</v>
      </c>
      <c r="G54" s="248"/>
      <c r="H54" s="249"/>
      <c r="I54" s="234"/>
      <c r="J54" s="234"/>
      <c r="K54" s="234"/>
      <c r="L54" s="234"/>
      <c r="M54" s="234"/>
      <c r="Z54" s="219"/>
    </row>
    <row r="55" spans="1:26" s="2" customFormat="1" ht="15" x14ac:dyDescent="0.2">
      <c r="A55" s="9"/>
      <c r="B55" s="234"/>
      <c r="C55" s="292" t="s">
        <v>89</v>
      </c>
      <c r="D55" s="292"/>
      <c r="E55" s="292"/>
      <c r="F55" s="247">
        <f ca="1">H40+F54</f>
        <v>0</v>
      </c>
      <c r="G55" s="246"/>
      <c r="H55" s="234"/>
      <c r="I55" s="234"/>
      <c r="J55" s="234"/>
      <c r="K55" s="234"/>
      <c r="L55" s="234"/>
      <c r="M55" s="234"/>
      <c r="Z55" s="219"/>
    </row>
    <row r="56" spans="1:26" s="2" customFormat="1" ht="15" x14ac:dyDescent="0.2">
      <c r="A56" s="9"/>
      <c r="B56" s="234"/>
      <c r="C56" s="292" t="s">
        <v>178</v>
      </c>
      <c r="D56" s="292"/>
      <c r="E56" s="292"/>
      <c r="F56" s="243">
        <f>IF($M$41="Sistema de banco de horas",(SUMIF($G$8:$G$38,"Férias",Q8:Q38))*(1+G48),SUMIF($G$8:$G$38,"Férias",Q8:Q38))</f>
        <v>0</v>
      </c>
      <c r="G56" s="246"/>
      <c r="H56" s="234"/>
      <c r="I56" s="234"/>
      <c r="J56" s="234"/>
      <c r="K56" s="234"/>
      <c r="L56" s="234"/>
      <c r="M56" s="234"/>
      <c r="Z56" s="219"/>
    </row>
    <row r="57" spans="1:26" s="2" customFormat="1" ht="15" x14ac:dyDescent="0.2">
      <c r="A57" s="9"/>
      <c r="B57" s="234"/>
      <c r="C57" s="239"/>
      <c r="D57" s="239"/>
      <c r="E57" s="239"/>
      <c r="F57" s="250">
        <f ca="1">U14</f>
        <v>0</v>
      </c>
      <c r="G57" s="246"/>
      <c r="H57" s="234"/>
      <c r="I57" s="234"/>
      <c r="J57" s="234"/>
      <c r="K57" s="234"/>
      <c r="L57" s="234"/>
      <c r="M57" s="234"/>
      <c r="Z57" s="219"/>
    </row>
    <row r="58" spans="1:26" s="2" customFormat="1" ht="15" x14ac:dyDescent="0.2">
      <c r="A58" s="9"/>
      <c r="B58" s="234"/>
      <c r="C58" s="239"/>
      <c r="D58" s="239"/>
      <c r="E58" s="239"/>
      <c r="F58" s="243">
        <f ca="1">SUM(F41:F51)</f>
        <v>0</v>
      </c>
      <c r="G58" s="246"/>
      <c r="H58" s="234"/>
      <c r="I58" s="234"/>
      <c r="J58" s="234"/>
      <c r="K58" s="234"/>
      <c r="L58" s="234"/>
      <c r="M58" s="234"/>
      <c r="Z58" s="219"/>
    </row>
    <row r="59" spans="1:26" s="2" customFormat="1" ht="15" x14ac:dyDescent="0.2">
      <c r="A59" s="9"/>
      <c r="Z59" s="219"/>
    </row>
    <row r="60" spans="1:26" s="2" customFormat="1" ht="15" x14ac:dyDescent="0.2">
      <c r="A60" s="9"/>
      <c r="G60" s="178"/>
      <c r="Z60" s="219"/>
    </row>
    <row r="61" spans="1:26" ht="15" x14ac:dyDescent="0.2"/>
    <row r="62" spans="1:26" ht="15" x14ac:dyDescent="0.2"/>
    <row r="63" spans="1:26" ht="15" x14ac:dyDescent="0.2"/>
    <row r="64" spans="1:26" ht="15" x14ac:dyDescent="0.2"/>
    <row r="65" ht="15" x14ac:dyDescent="0.2"/>
    <row r="66" ht="15" x14ac:dyDescent="0.2"/>
    <row r="67" ht="15" x14ac:dyDescent="0.2"/>
    <row r="68" ht="15" x14ac:dyDescent="0.2"/>
    <row r="69" ht="15" x14ac:dyDescent="0.2"/>
    <row r="70" ht="15" x14ac:dyDescent="0.2"/>
    <row r="71" ht="15" x14ac:dyDescent="0.2"/>
    <row r="72" ht="15" x14ac:dyDescent="0.2"/>
    <row r="73" ht="15" x14ac:dyDescent="0.2"/>
    <row r="74" ht="15" x14ac:dyDescent="0.2"/>
    <row r="75" ht="15" x14ac:dyDescent="0.2"/>
    <row r="76" ht="15" x14ac:dyDescent="0.2"/>
    <row r="77" ht="15" x14ac:dyDescent="0.2"/>
    <row r="78" ht="15" x14ac:dyDescent="0.2"/>
    <row r="79" ht="15" x14ac:dyDescent="0.2"/>
    <row r="80" ht="15" x14ac:dyDescent="0.2"/>
    <row r="81" ht="15" x14ac:dyDescent="0.2"/>
    <row r="82" ht="15" x14ac:dyDescent="0.2"/>
    <row r="83" ht="15" x14ac:dyDescent="0.2"/>
    <row r="84" ht="15" x14ac:dyDescent="0.2"/>
    <row r="85" ht="15" x14ac:dyDescent="0.2"/>
    <row r="86" ht="15" x14ac:dyDescent="0.2"/>
    <row r="87" ht="15" x14ac:dyDescent="0.2"/>
    <row r="88" ht="15" x14ac:dyDescent="0.2"/>
    <row r="89" ht="15" x14ac:dyDescent="0.2"/>
    <row r="90" ht="15" x14ac:dyDescent="0.2"/>
    <row r="91" ht="15" x14ac:dyDescent="0.2"/>
    <row r="92" ht="15" x14ac:dyDescent="0.2"/>
    <row r="93" ht="15" x14ac:dyDescent="0.2"/>
    <row r="94" ht="15" x14ac:dyDescent="0.2"/>
    <row r="95" ht="15" x14ac:dyDescent="0.2"/>
    <row r="96" ht="15" x14ac:dyDescent="0.2"/>
    <row r="97" ht="15" x14ac:dyDescent="0.2"/>
    <row r="98" ht="15" x14ac:dyDescent="0.2"/>
    <row r="99" ht="15" x14ac:dyDescent="0.2"/>
    <row r="100" ht="15" x14ac:dyDescent="0.2"/>
    <row r="101" ht="15" x14ac:dyDescent="0.2"/>
    <row r="102" ht="15" x14ac:dyDescent="0.2"/>
    <row r="103" ht="15" x14ac:dyDescent="0.2"/>
  </sheetData>
  <sheetProtection sheet="1" objects="1" scenarios="1" selectLockedCells="1"/>
  <mergeCells count="34">
    <mergeCell ref="C56:E56"/>
    <mergeCell ref="C48:E48"/>
    <mergeCell ref="C49:E49"/>
    <mergeCell ref="C50:E50"/>
    <mergeCell ref="C52:E52"/>
    <mergeCell ref="C53:E53"/>
    <mergeCell ref="C54:E54"/>
    <mergeCell ref="C51:E51"/>
    <mergeCell ref="C44:E44"/>
    <mergeCell ref="C55:E55"/>
    <mergeCell ref="C45:E45"/>
    <mergeCell ref="C46:E46"/>
    <mergeCell ref="C47:E47"/>
    <mergeCell ref="S22:U22"/>
    <mergeCell ref="C41:E41"/>
    <mergeCell ref="C42:E42"/>
    <mergeCell ref="C43:E43"/>
    <mergeCell ref="S26:U28"/>
    <mergeCell ref="S23:U25"/>
    <mergeCell ref="E7:F7"/>
    <mergeCell ref="I7:J7"/>
    <mergeCell ref="S7:U7"/>
    <mergeCell ref="S8:T9"/>
    <mergeCell ref="U8:U9"/>
    <mergeCell ref="S16:T17"/>
    <mergeCell ref="U16:U17"/>
    <mergeCell ref="S18:T19"/>
    <mergeCell ref="S10:T11"/>
    <mergeCell ref="U10:U11"/>
    <mergeCell ref="S12:T13"/>
    <mergeCell ref="U12:U13"/>
    <mergeCell ref="S14:T15"/>
    <mergeCell ref="U14:U15"/>
    <mergeCell ref="U18:U19"/>
  </mergeCells>
  <conditionalFormatting sqref="M8:M37">
    <cfRule type="cellIs" dxfId="420" priority="124" operator="greaterThan">
      <formula>0</formula>
    </cfRule>
  </conditionalFormatting>
  <conditionalFormatting sqref="L36:L37 N36:N37">
    <cfRule type="expression" dxfId="419" priority="91">
      <formula>AND($E36&lt;$E$35,$E$8=1)</formula>
    </cfRule>
    <cfRule type="expression" dxfId="418" priority="92">
      <formula>AND($E36&gt;=$E$8,$E$8&lt;&gt;1)</formula>
    </cfRule>
  </conditionalFormatting>
  <conditionalFormatting sqref="E36:E38">
    <cfRule type="expression" dxfId="417" priority="89">
      <formula>AND($E36&lt;$E$35,$E$8=1)</formula>
    </cfRule>
    <cfRule type="expression" dxfId="416" priority="90">
      <formula>AND($E36&gt;=$E$8,$E$8&lt;&gt;1)</formula>
    </cfRule>
  </conditionalFormatting>
  <conditionalFormatting sqref="O8:O37">
    <cfRule type="cellIs" dxfId="415" priority="84" operator="greaterThan">
      <formula>0.000001</formula>
    </cfRule>
  </conditionalFormatting>
  <conditionalFormatting sqref="O36:O37">
    <cfRule type="expression" dxfId="414" priority="82">
      <formula>AND($E36&lt;$E$35,$E$8=1)</formula>
    </cfRule>
    <cfRule type="expression" dxfId="413" priority="83">
      <formula>AND($E36&gt;=$E$8,$E$8&lt;&gt;1)</formula>
    </cfRule>
  </conditionalFormatting>
  <conditionalFormatting sqref="F8:F38">
    <cfRule type="containsText" dxfId="412" priority="80" operator="containsText" text="Dom">
      <formula>NOT(ISERROR(SEARCH("Dom",F8)))</formula>
    </cfRule>
    <cfRule type="containsText" dxfId="411" priority="81" operator="containsText" text="Sáb">
      <formula>NOT(ISERROR(SEARCH("Sáb",F8)))</formula>
    </cfRule>
  </conditionalFormatting>
  <conditionalFormatting sqref="Q8:Q37">
    <cfRule type="cellIs" dxfId="410" priority="78" operator="greaterThan">
      <formula>0.000001</formula>
    </cfRule>
  </conditionalFormatting>
  <conditionalFormatting sqref="G8:K35">
    <cfRule type="expression" dxfId="409" priority="48">
      <formula>OR($G8="Férias",$G8="Falta Injustificada")</formula>
    </cfRule>
    <cfRule type="expression" dxfId="408" priority="49">
      <formula>$G8="Folga (DSR)"</formula>
    </cfRule>
    <cfRule type="expression" dxfId="407" priority="50">
      <formula>$G8="Feriado"</formula>
    </cfRule>
    <cfRule type="expression" dxfId="406" priority="51">
      <formula>$F8="Dom"</formula>
    </cfRule>
  </conditionalFormatting>
  <conditionalFormatting sqref="H8:K35">
    <cfRule type="expression" dxfId="405" priority="47">
      <formula>OR($G8="Falta Justificada",$G8="Falta Injustificada")</formula>
    </cfRule>
  </conditionalFormatting>
  <conditionalFormatting sqref="G36:K37">
    <cfRule type="expression" dxfId="404" priority="43">
      <formula>OR($G36="Férias",$G36="Falta Injustificada")</formula>
    </cfRule>
    <cfRule type="expression" dxfId="403" priority="44">
      <formula>$G36="Folga (DSR)"</formula>
    </cfRule>
    <cfRule type="expression" dxfId="402" priority="45">
      <formula>$G36="Feriado"</formula>
    </cfRule>
    <cfRule type="expression" dxfId="401" priority="46">
      <formula>$F36="Dom"</formula>
    </cfRule>
  </conditionalFormatting>
  <conditionalFormatting sqref="G36:K37">
    <cfRule type="expression" dxfId="400" priority="40">
      <formula>AND($E36&lt;$E$35,$E$8=1)</formula>
    </cfRule>
    <cfRule type="expression" dxfId="399" priority="41">
      <formula>AND($E36&gt;=$E$8,$E$8&lt;&gt;1)</formula>
    </cfRule>
  </conditionalFormatting>
  <conditionalFormatting sqref="H36:K37">
    <cfRule type="expression" dxfId="398" priority="42">
      <formula>OR($G36="Falta Justificada",$G36="Falta Injustificada")</formula>
    </cfRule>
  </conditionalFormatting>
  <conditionalFormatting sqref="O38">
    <cfRule type="cellIs" dxfId="397" priority="38" operator="greaterThan">
      <formula>0.000001</formula>
    </cfRule>
  </conditionalFormatting>
  <conditionalFormatting sqref="M38">
    <cfRule type="cellIs" dxfId="396" priority="39" operator="greaterThan">
      <formula>0</formula>
    </cfRule>
  </conditionalFormatting>
  <conditionalFormatting sqref="L38:O38">
    <cfRule type="expression" dxfId="395" priority="37">
      <formula>AND($E38&gt;=$E$8,$E$8&lt;&gt;1)</formula>
    </cfRule>
  </conditionalFormatting>
  <conditionalFormatting sqref="G38:K38">
    <cfRule type="expression" dxfId="394" priority="24">
      <formula>OR($G38="Férias",$G38="Falta Injustificada")</formula>
    </cfRule>
    <cfRule type="expression" dxfId="393" priority="25">
      <formula>$G38="Folga (DSR)"</formula>
    </cfRule>
    <cfRule type="expression" dxfId="392" priority="26">
      <formula>$G38="Feriado"</formula>
    </cfRule>
    <cfRule type="expression" dxfId="391" priority="27">
      <formula>$F38="Dom"</formula>
    </cfRule>
  </conditionalFormatting>
  <conditionalFormatting sqref="H38:K38">
    <cfRule type="expression" dxfId="390" priority="23">
      <formula>OR($G38="Falta Justificada",$G38="Falta Injustificada")</formula>
    </cfRule>
  </conditionalFormatting>
  <conditionalFormatting sqref="Q38">
    <cfRule type="cellIs" dxfId="389" priority="20" operator="greaterThan">
      <formula>0.000001</formula>
    </cfRule>
  </conditionalFormatting>
  <conditionalFormatting sqref="L38:Q38">
    <cfRule type="expression" dxfId="388" priority="36">
      <formula>AND($E38&lt;$E$35,$E$8=1)</formula>
    </cfRule>
  </conditionalFormatting>
  <conditionalFormatting sqref="G38:Q38">
    <cfRule type="expression" dxfId="387" priority="21">
      <formula>AND($E38&lt;$E$35,$E$8=1)</formula>
    </cfRule>
    <cfRule type="expression" dxfId="386" priority="22">
      <formula>AND($E38&gt;=$E$8,$E$8&lt;&gt;1)</formula>
    </cfRule>
  </conditionalFormatting>
  <conditionalFormatting sqref="U10:U11">
    <cfRule type="expression" dxfId="385" priority="8">
      <formula>$V$11="Negativo"</formula>
    </cfRule>
  </conditionalFormatting>
  <conditionalFormatting sqref="U12:U13">
    <cfRule type="expression" dxfId="384" priority="516">
      <formula>$U$14&gt;$F$58</formula>
    </cfRule>
  </conditionalFormatting>
  <conditionalFormatting sqref="F40">
    <cfRule type="expression" dxfId="383" priority="517">
      <formula>$E40="Folga(DSR)"</formula>
    </cfRule>
    <cfRule type="expression" dxfId="382" priority="518">
      <formula>$E40="Feriado"</formula>
    </cfRule>
    <cfRule type="expression" dxfId="381" priority="519">
      <formula>$D40="Dom"</formula>
    </cfRule>
  </conditionalFormatting>
  <dataValidations count="3">
    <dataValidation type="time" allowBlank="1" showInputMessage="1" showErrorMessage="1" sqref="H8:K38">
      <formula1>0</formula1>
      <formula2>0.999988425925926</formula2>
    </dataValidation>
    <dataValidation type="list" allowBlank="1" showInputMessage="1" showErrorMessage="1" sqref="G8:G38">
      <formula1>"Normal,Feriado,Folga (DSR),Falta Justificada,Férias,Falta Injustificada"</formula1>
    </dataValidation>
    <dataValidation type="list" allowBlank="1" showInputMessage="1" showErrorMessage="1" sqref="E9:E35">
      <formula1>"1,5,10,16"</formula1>
    </dataValidation>
  </dataValidations>
  <hyperlinks>
    <hyperlink ref="C8" location="Lanç!A1" display="Lanç!A1"/>
    <hyperlink ref="C9" location="'Lanç (2)'!A1" display="'Lanç (2)'!A1"/>
    <hyperlink ref="C10" location="'Lanç (3)'!A1" display="'Lanç (3)'!A1"/>
    <hyperlink ref="C11" location="'Lanç (4)'!A1" display="'Lanç (4)'!A1"/>
    <hyperlink ref="C12" location="'Lanç (5)'!A1" display="'Lanç (5)'!A1"/>
    <hyperlink ref="C13" location="'Lanç (6)'!A1" display="'Lanç (6)'!A1"/>
    <hyperlink ref="C14" location="'Lanç (7)'!A1" display="'Lanç (7)'!A1"/>
    <hyperlink ref="C15" location="'Lanç (8)'!A1" display="'Lanç (8)'!A1"/>
    <hyperlink ref="C16" location="'Lanç (9)'!A1" display="'Lanç (9)'!A1"/>
    <hyperlink ref="C17" location="'Lanç (10)'!A1" display="'Lanç (10)'!A1"/>
    <hyperlink ref="C18" location="'Lanç (11)'!A1" display="'Lanç (11)'!A1"/>
    <hyperlink ref="C19" location="'Lanç (12)'!A1" display="'Lanç (12)'!A1"/>
    <hyperlink ref="C20" location="'Lanç (13)'!A1" display="'Lanç (13)'!A1"/>
    <hyperlink ref="C21" location="'Lanç (14)'!A1" display="'Lanç (14)'!A1"/>
    <hyperlink ref="C22" location="'Lanç (15)'!A1" display="'Lanç (15)'!A1"/>
    <hyperlink ref="C23" location="'Lanç (16)'!A1" display="'Lanç (16)'!A1"/>
    <hyperlink ref="C24" location="'Lanç (17)'!A1" display="'Lanç (17)'!A1"/>
    <hyperlink ref="C25" location="'Lanç (18)'!A1" display="'Lanç (18)'!A1"/>
    <hyperlink ref="C26" location="'Lanç (19)'!A1" display="'Lanç (19)'!A1"/>
    <hyperlink ref="C27" location="'Lanç (20)'!A1" display="'Lanç (20)'!A1"/>
    <hyperlink ref="C28" location="'Lanç (21)'!A1" display="'Lanç (21)'!A1"/>
    <hyperlink ref="C29" location="'Lanç (22)'!A1" display="'Lanç (22)'!A1"/>
    <hyperlink ref="C30" location="'Lanç (23)'!A1" display="'Lanç (23)'!A1"/>
    <hyperlink ref="C31" location="'Lanç (24)'!A1" display="'Lanç (24)'!A1"/>
    <hyperlink ref="C32" location="'Lanç (25)'!A1" display="'Lanç (25)'!A1"/>
    <hyperlink ref="C33" location="'Lanç (26)'!A1" display="'Lanç (26)'!A1"/>
    <hyperlink ref="C34" location="'Lanç (27)'!A1" display="'Lanç (27)'!A1"/>
    <hyperlink ref="C35" location="'Lanç (28)'!A1" display="'Lanç (28)'!A1"/>
    <hyperlink ref="C36" location="'Lanç (29)'!A1" display="'Lanç (29)'!A1"/>
    <hyperlink ref="C37" location="'Lanç (30)'!A1" display="'Lanç (30)'!A1"/>
  </hyperlinks>
  <printOptions horizontalCentered="1"/>
  <pageMargins left="0.23622047244094502" right="0.23622047244094502" top="0.74803149606299202" bottom="0.74803149606299202" header="0.31496062992126" footer="0.31496062992126"/>
  <pageSetup paperSize="9" scale="53" orientation="portrait" cellComments="atEnd"/>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69" id="{6FB99A3A-C5C3-BC49-9003-35EEE4EE40D1}">
            <xm:f>'P Gerais'!$I$10:$M$10="Pagas em Dinheiro"</xm:f>
            <x14:dxf>
              <font>
                <color theme="0"/>
              </font>
              <fill>
                <patternFill>
                  <bgColor theme="0"/>
                </patternFill>
              </fill>
              <border>
                <left/>
                <right/>
                <top/>
                <bottom/>
              </border>
            </x14:dxf>
          </x14:cfRule>
          <xm:sqref>S10:T13</xm:sqref>
        </x14:conditionalFormatting>
        <x14:conditionalFormatting xmlns:xm="http://schemas.microsoft.com/office/excel/2006/main">
          <x14:cfRule type="expression" priority="68" id="{BECA7366-5F6A-CD4C-A565-62D5E1287143}">
            <xm:f>'P Gerais'!$I$10:$M$10="Sistema de banco de horas"</xm:f>
            <x14:dxf>
              <font>
                <color theme="0"/>
              </font>
              <fill>
                <patternFill>
                  <bgColor theme="0"/>
                </patternFill>
              </fill>
              <border>
                <left/>
                <right/>
                <top/>
                <bottom/>
              </border>
            </x14:dxf>
          </x14:cfRule>
          <xm:sqref>S18:T19</xm:sqref>
        </x14:conditionalFormatting>
        <x14:conditionalFormatting xmlns:xm="http://schemas.microsoft.com/office/excel/2006/main">
          <x14:cfRule type="expression" priority="10" id="{C5F650C2-F247-FA43-BA69-154EFFBF3612}">
            <xm:f>'P Gerais'!$I$10:$M$10="Sistema de banco de horas"</xm:f>
            <x14:dxf>
              <font>
                <color theme="0"/>
              </font>
              <fill>
                <patternFill>
                  <bgColor theme="0"/>
                </patternFill>
              </fill>
              <border>
                <left/>
                <right/>
                <top/>
                <bottom/>
              </border>
            </x14:dxf>
          </x14:cfRule>
          <xm:sqref>U18:U19</xm:sqref>
        </x14:conditionalFormatting>
        <x14:conditionalFormatting xmlns:xm="http://schemas.microsoft.com/office/excel/2006/main">
          <x14:cfRule type="expression" priority="7" id="{18BADEC8-AAFC-C149-964C-B44BA7E20905}">
            <xm:f>'P Gerais'!$I$10:$M$10="Pagas em Dinheiro"</xm:f>
            <x14:dxf>
              <font>
                <color theme="0"/>
              </font>
              <fill>
                <patternFill>
                  <bgColor theme="0"/>
                </patternFill>
              </fill>
              <border>
                <left/>
                <right/>
                <top/>
                <bottom/>
              </border>
            </x14:dxf>
          </x14:cfRule>
          <xm:sqref>U10:U13</xm:sqref>
        </x14:conditionalFormatting>
      </x14:conditionalFormattings>
    </ext>
  </extLs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25" enableFormatConditionsCalculation="0"/>
  <dimension ref="A1:BG103"/>
  <sheetViews>
    <sheetView showGridLines="0" zoomScale="90" zoomScaleNormal="90" zoomScalePageLayoutView="90" workbookViewId="0">
      <selection activeCell="I12" sqref="I12"/>
    </sheetView>
  </sheetViews>
  <sheetFormatPr baseColWidth="10" defaultColWidth="0" defaultRowHeight="0" customHeight="1" zeroHeight="1" x14ac:dyDescent="0.2"/>
  <cols>
    <col min="1" max="1" width="27.83203125" style="194" customWidth="1"/>
    <col min="2" max="2" width="3.83203125" style="14" customWidth="1"/>
    <col min="3" max="3" width="33.33203125" style="14" customWidth="1"/>
    <col min="4" max="4" width="2.83203125" style="14" customWidth="1"/>
    <col min="5" max="5" width="5.83203125" style="14" customWidth="1"/>
    <col min="6" max="6" width="11.83203125" style="14" customWidth="1"/>
    <col min="7" max="7" width="14.33203125" style="195" customWidth="1"/>
    <col min="8" max="11" width="9.83203125" style="14" customWidth="1"/>
    <col min="12" max="12" width="1.83203125" style="14" customWidth="1"/>
    <col min="13" max="13" width="13.33203125" style="14" customWidth="1"/>
    <col min="14" max="14" width="1.83203125" style="14" customWidth="1"/>
    <col min="15" max="15" width="13.33203125" style="14" customWidth="1"/>
    <col min="16" max="16" width="1.83203125" style="14" customWidth="1"/>
    <col min="17" max="17" width="13.33203125" style="14" customWidth="1"/>
    <col min="18" max="18" width="4.83203125" style="2" bestFit="1" customWidth="1"/>
    <col min="19" max="21" width="11.83203125" style="14" customWidth="1"/>
    <col min="22" max="23" width="8.83203125" style="2" customWidth="1"/>
    <col min="24" max="24" width="11.33203125" style="2" bestFit="1" customWidth="1"/>
    <col min="25" max="25" width="8.83203125" style="2" customWidth="1"/>
    <col min="26" max="26" width="8.1640625" style="219" bestFit="1" customWidth="1"/>
    <col min="27" max="27" width="8.83203125" style="2" customWidth="1"/>
    <col min="28" max="28" width="11.33203125" style="2" bestFit="1" customWidth="1"/>
    <col min="29" max="43" width="8.83203125" style="2" customWidth="1"/>
    <col min="44" max="50" width="11.33203125" style="2" customWidth="1"/>
    <col min="51" max="57" width="11.33203125" style="14" customWidth="1"/>
    <col min="58" max="16384" width="8.83203125" style="14" hidden="1"/>
  </cols>
  <sheetData>
    <row r="1" spans="1:59" s="15" customFormat="1" ht="33.75" customHeight="1" x14ac:dyDescent="0.3">
      <c r="A1" s="56"/>
      <c r="B1" s="3"/>
      <c r="C1" s="4" t="s">
        <v>30</v>
      </c>
      <c r="D1" s="3"/>
      <c r="E1" s="3"/>
      <c r="F1" s="3"/>
      <c r="G1" s="77"/>
      <c r="H1" s="3"/>
      <c r="I1" s="3"/>
      <c r="J1" s="3"/>
      <c r="K1" s="3"/>
      <c r="L1" s="3"/>
      <c r="M1" s="3"/>
      <c r="N1" s="3"/>
      <c r="O1" s="3"/>
      <c r="Q1" s="3"/>
      <c r="S1" s="3"/>
      <c r="T1" s="3"/>
      <c r="U1" s="3"/>
      <c r="Z1" s="174"/>
    </row>
    <row r="2" spans="1:59" s="15" customFormat="1" ht="21.5" customHeight="1" x14ac:dyDescent="0.2">
      <c r="A2" s="1"/>
      <c r="B2" s="3"/>
      <c r="C2" s="3"/>
      <c r="D2" s="3"/>
      <c r="E2" s="3"/>
      <c r="F2" s="3"/>
      <c r="G2" s="77"/>
      <c r="H2" s="3"/>
      <c r="I2" s="3"/>
      <c r="J2" s="3"/>
      <c r="K2" s="3"/>
      <c r="L2" s="3"/>
      <c r="M2" s="3"/>
      <c r="N2" s="3"/>
      <c r="O2" s="3"/>
      <c r="Q2" s="3"/>
      <c r="S2" s="3"/>
      <c r="T2" s="3"/>
      <c r="U2" s="3"/>
      <c r="Z2" s="174"/>
    </row>
    <row r="3" spans="1:59" s="15" customFormat="1" ht="21.5" customHeight="1" x14ac:dyDescent="0.2">
      <c r="A3" s="1"/>
      <c r="B3" s="3"/>
      <c r="C3" s="3"/>
      <c r="D3" s="3"/>
      <c r="E3" s="3"/>
      <c r="F3" s="3"/>
      <c r="G3" s="77"/>
      <c r="H3" s="3"/>
      <c r="I3" s="3"/>
      <c r="J3" s="3"/>
      <c r="K3" s="3"/>
      <c r="L3" s="3"/>
      <c r="M3" s="3"/>
      <c r="N3" s="3"/>
      <c r="O3" s="3"/>
      <c r="Q3" s="3"/>
      <c r="S3" s="3"/>
      <c r="T3" s="3"/>
      <c r="U3" s="3"/>
      <c r="Z3" s="174"/>
    </row>
    <row r="4" spans="1:59" s="2" customFormat="1" ht="30" customHeight="1" x14ac:dyDescent="0.2">
      <c r="A4" s="1"/>
      <c r="B4"/>
      <c r="C4"/>
      <c r="D4"/>
      <c r="E4"/>
      <c r="F4"/>
      <c r="G4" s="78"/>
      <c r="H4"/>
      <c r="I4"/>
      <c r="J4"/>
      <c r="K4"/>
      <c r="L4"/>
      <c r="M4"/>
      <c r="N4"/>
      <c r="O4" s="13"/>
      <c r="Q4"/>
      <c r="S4"/>
      <c r="T4"/>
      <c r="U4"/>
      <c r="Z4" s="219"/>
      <c r="AN4" s="175"/>
    </row>
    <row r="5" spans="1:59" s="2" customFormat="1" ht="30" customHeight="1" x14ac:dyDescent="0.2">
      <c r="A5" s="1"/>
      <c r="B5"/>
      <c r="C5" s="160" t="s">
        <v>206</v>
      </c>
      <c r="D5"/>
      <c r="E5"/>
      <c r="F5"/>
      <c r="G5"/>
      <c r="H5"/>
      <c r="I5"/>
      <c r="J5"/>
      <c r="K5" s="157">
        <f ca="1">IF(ISERROR(VLOOKUP(INDIRECT($C$5),Jornada!$C$8:$F$37,4,0)),0,VLOOKUP(INDIRECT($C$5),Jornada!$C$8:$F$37,4,0))</f>
        <v>0</v>
      </c>
      <c r="L5" s="158"/>
      <c r="M5" s="157">
        <f ca="1">IF(ISERROR(VLOOKUP(INDIRECT($C$5),Jornada!$C$8:$G$37,5,0)),0,VLOOKUP(INDIRECT($C$5),Jornada!$C$8:$G$37,5,0))</f>
        <v>0</v>
      </c>
      <c r="N5"/>
      <c r="O5" s="69"/>
      <c r="Q5"/>
      <c r="S5"/>
      <c r="T5"/>
      <c r="U5" s="12"/>
      <c r="Z5" s="219"/>
      <c r="AC5" s="12"/>
      <c r="AK5" s="179">
        <v>0.25</v>
      </c>
      <c r="AL5" s="155">
        <v>0.91666666666666663</v>
      </c>
      <c r="AM5" s="155">
        <v>0.20833333333333334</v>
      </c>
      <c r="AN5" s="155">
        <v>1</v>
      </c>
      <c r="AO5" s="155">
        <v>0.70833333333333337</v>
      </c>
    </row>
    <row r="6" spans="1:59" s="2" customFormat="1" ht="8" customHeight="1" thickBot="1" x14ac:dyDescent="0.25">
      <c r="A6" s="1"/>
      <c r="B6"/>
      <c r="C6" s="75"/>
      <c r="D6"/>
      <c r="E6"/>
      <c r="F6"/>
      <c r="G6" s="78"/>
      <c r="H6"/>
      <c r="I6"/>
      <c r="J6"/>
      <c r="M6" s="220">
        <v>1</v>
      </c>
      <c r="N6"/>
      <c r="O6" s="11"/>
      <c r="Q6" s="11"/>
      <c r="S6"/>
      <c r="T6"/>
      <c r="Z6" s="176"/>
    </row>
    <row r="7" spans="1:59" s="2" customFormat="1" ht="30" customHeight="1" thickTop="1" thickBot="1" x14ac:dyDescent="0.25">
      <c r="A7" s="1"/>
      <c r="B7"/>
      <c r="C7" s="76" t="s">
        <v>176</v>
      </c>
      <c r="D7"/>
      <c r="E7" s="281" t="str">
        <f>Lanç!E7</f>
        <v>Janeiro</v>
      </c>
      <c r="F7" s="283"/>
      <c r="G7" s="79" t="s">
        <v>58</v>
      </c>
      <c r="H7" s="82" t="s">
        <v>0</v>
      </c>
      <c r="I7" s="293" t="s">
        <v>59</v>
      </c>
      <c r="J7" s="293"/>
      <c r="K7" s="82" t="s">
        <v>60</v>
      </c>
      <c r="L7"/>
      <c r="M7" s="73" t="s">
        <v>61</v>
      </c>
      <c r="N7"/>
      <c r="O7" s="73" t="s">
        <v>62</v>
      </c>
      <c r="Q7" s="73" t="s">
        <v>63</v>
      </c>
      <c r="R7" s="155">
        <v>8.3333333333333329E-2</v>
      </c>
      <c r="S7" s="293" t="s">
        <v>64</v>
      </c>
      <c r="T7" s="293"/>
      <c r="U7" s="293"/>
      <c r="W7" s="2" t="s">
        <v>90</v>
      </c>
      <c r="X7" s="156">
        <v>1</v>
      </c>
      <c r="AB7" s="2">
        <f>VLOOKUP($E$7,$W$7:$X$18,2,0)</f>
        <v>1</v>
      </c>
      <c r="AG7" s="176" t="s">
        <v>167</v>
      </c>
      <c r="AH7" s="176" t="s">
        <v>168</v>
      </c>
      <c r="AI7" s="155">
        <v>0</v>
      </c>
      <c r="AJ7" s="155">
        <v>1</v>
      </c>
      <c r="AK7" s="155">
        <v>0.45833333333333331</v>
      </c>
      <c r="AL7" s="2" t="s">
        <v>0</v>
      </c>
      <c r="AM7" s="2" t="s">
        <v>162</v>
      </c>
      <c r="AN7" s="2" t="s">
        <v>184</v>
      </c>
      <c r="BE7" s="14"/>
      <c r="BF7" s="14"/>
      <c r="BG7" s="14"/>
    </row>
    <row r="8" spans="1:59" s="2" customFormat="1" ht="30" customHeight="1" thickTop="1" thickBot="1" x14ac:dyDescent="0.25">
      <c r="A8" s="1"/>
      <c r="B8"/>
      <c r="C8" s="172" t="str">
        <f>IF(Funcionários!C7=0,"",Funcionários!C7)</f>
        <v/>
      </c>
      <c r="D8"/>
      <c r="E8" s="115">
        <f>Lanç!E8</f>
        <v>1</v>
      </c>
      <c r="F8" s="189" t="str">
        <f>Lanç!F8</f>
        <v>Dom</v>
      </c>
      <c r="G8" s="80"/>
      <c r="H8" s="93"/>
      <c r="I8" s="93"/>
      <c r="J8" s="93"/>
      <c r="K8" s="93"/>
      <c r="L8" s="10"/>
      <c r="M8" s="95">
        <f>IF(AND(H8=K8,H8&lt;&gt;0),$M$6-IF(J8&lt;I8,$AJ$7+J8-I8,J8-I8),IF(H8&gt;K8,(K8+1-H8)-IF(J8&lt;I8,$AJ$7+J8-I8,J8-I8),(K8-H8)-IF(J8&lt;I8,$AJ$7+J8-I8,J8-I8)))</f>
        <v>0</v>
      </c>
      <c r="N8" s="96"/>
      <c r="O8" s="95">
        <f ca="1">IF(OR(G8=0,G8="Férias",G8="Falta Justificada",G8="Feriado",G8="Folga (DSR)"),0,IF(G8="Falta Injustificada",HLOOKUP($F8,Jornada!$X$7:$AD$37,VLOOKUP(INDIRECT($C$5),Jornada!$C$8:$W$37,21,0),0),IF(HLOOKUP($F8,Jornada!$X$7:$AD$37,VLOOKUP(INDIRECT($C$5),Jornada!$C$8:$W$37,21,0),0)-M8&gt;0,HLOOKUP($F8,Jornada!$X$7:$AD$37,VLOOKUP(INDIRECT($C$5),Jornada!$C$8:$W$37,21,0),0)-M8,0)))</f>
        <v>0</v>
      </c>
      <c r="P8" s="190">
        <f ca="1">IF(HLOOKUP($F8,Jornada!$X$7:$AD$37,VLOOKUP(INDIRECT($C$5),Jornada!$C$8:$W$37,21,0),0)-M8&lt;0,ABS(HLOOKUP($F8,Jornada!$X$7:$AD$37,VLOOKUP(INDIRECT($C$5),Jornada!$C$8:$W$37,21,0),0)-M8),0)</f>
        <v>0</v>
      </c>
      <c r="Q8" s="95">
        <f t="shared" ref="Q8:Q38" si="0">IF(G8="Normal",P8,IF(G8=0,0,IF(OR(G8="Feriado",G8="Férias"),IF(H8&gt;K8,(K8+1-H8)-IF(J8&lt;I8,$AJ$7+J8-I8,J8-I8),(K8-H8)-IF(J8&lt;I8,$AJ$7+J8-I8,J8-I8)),IF(G8="Folga (DSR)",IF(H8&gt;K8,(K8+1-H8)-IF(J8&lt;I8,$AJ$7+J8-I8,J8-I8),(K8-H8)-IF(J8&lt;I8,$AJ$7+J8-I8,J8-I8)),IF(G8="Falta Justificada",IF(H8&gt;K8,(K8+1-H8)-IF(J8&lt;I8,$AJ$7+J8-I8,J8-I8),(K8-H8)-IF(J8&lt;I8,$AJ$7+J8-I8,J8-I8)),0)))))</f>
        <v>0</v>
      </c>
      <c r="R8" s="2">
        <f>IF(Q8&gt;$R$7,1,0)</f>
        <v>0</v>
      </c>
      <c r="S8" s="294" t="s">
        <v>65</v>
      </c>
      <c r="T8" s="294"/>
      <c r="U8" s="295">
        <f>SUM(M8:M38)</f>
        <v>0</v>
      </c>
      <c r="W8" s="2" t="s">
        <v>91</v>
      </c>
      <c r="X8" s="156">
        <v>2</v>
      </c>
      <c r="AB8" s="177">
        <f>DATE('P Gerais'!$D$6,AB7,1)</f>
        <v>1</v>
      </c>
      <c r="AC8" s="2">
        <f>WEEKDAY(AB8)</f>
        <v>1</v>
      </c>
      <c r="AE8" s="2">
        <v>1</v>
      </c>
      <c r="AF8" s="2" t="s">
        <v>51</v>
      </c>
      <c r="AG8" s="220">
        <f>IF(J8&lt;I8,$AJ$7+J8-I8,J8-I8)</f>
        <v>0</v>
      </c>
      <c r="AH8" s="220">
        <f ca="1">IF(HLOOKUP($F8,Jornada!$X$7:$AD$37,VLOOKUP(INDIRECT($C$5),Jornada!$C$8:$W$37,21,0),0)=0,0,VLOOKUP(INDIRECT($C$5),Jornada!$C$8:$H$37,4,0))</f>
        <v>0</v>
      </c>
      <c r="AI8" s="155">
        <f ca="1">IF(AND(I8=0,J8=0,OR(H8&lt;&gt;0,K8&lt;&gt;0),HLOOKUP($F8,Jornada!$X$7:$AD$37,VLOOKUP(INDIRECT($C$5),Jornada!$C$8:$W$37,21,0),0)&gt;$AK$5,M8&gt;$AK$5),VLOOKUP(INDIRECT($C$5),Jornada!$C$8:$H$37,6,0),IF(AG8&gt;VLOOKUP(INDIRECT($C$5),Jornada!$C$8:$H$37,6,0),IF(VLOOKUP(INDIRECT($C$5),Jornada!$C$8:$H$37,6,0)&lt;AG8,0,ABS(VLOOKUP(INDIRECT($C$5),Jornada!$C$8:$H$37,6,0))-AG8),0))</f>
        <v>0</v>
      </c>
      <c r="AJ8" s="155">
        <f>($AJ$7-K8)+H8</f>
        <v>1</v>
      </c>
      <c r="AK8" s="155">
        <f>IF(AJ8&lt;$AK$7,$AK$7-AJ8,$AI$7)</f>
        <v>0</v>
      </c>
      <c r="AL8" s="155">
        <f ca="1">HLOOKUP($F8,Jornada!$I$5:$V$37,VLOOKUP(INDIRECT($C$5),Jornada!$C$8:$W$37,21,0)+2,0)</f>
        <v>0</v>
      </c>
      <c r="AM8" s="155">
        <f ca="1">HLOOKUP($F8,Jornada!$I$4:$V$37,VLOOKUP(INDIRECT($C$5),Jornada!$C$8:$W$37,21,0)+3,0)</f>
        <v>0</v>
      </c>
      <c r="AN8" s="155">
        <f ca="1">IF(AND(AL8&gt;=$AL$5,AL8&lt;$AN$5,H8&gt;=$AL$5,H8&lt;AL8),AL8-H8,IF(AND(AL8&gt;$AI$7,AL8&lt;=$AM$5,H8&gt;=$AL$5,H8&lt;=$AN$5),$AN$5-H8+AL8,IF(AND(AL8&gt;=$AI$7,AL8&lt;=$AM$5,H8&gt;=$AI$7,H8&lt;=$AM$5,H8&lt;AL8),H8-AL8,0)))</f>
        <v>0</v>
      </c>
      <c r="AO8" s="155">
        <f>IF(AP8&gt;Q8,0,AP8)</f>
        <v>0</v>
      </c>
      <c r="AP8" s="155">
        <f>IF(Q8=0,0,IF(AND(AM8&gt;=$AL$5,AM8&lt;$AN$5,K8&gt;=$AL$5,K8&lt;$AM$5,K8&gt;AM8),K8-AM8,IF(AND(AM8&gt;=$AL$5,AM8&lt;$AN$5,K8&lt;$AN$5,K8&gt;AM8),K8-$AL$5,IF(AND(AM8&gt;=$AI$7,AM8&lt;$AM$5,K8&lt;$AM$5),K8-AM8,IF(AND(AM8&lt;&gt;AI7,AM8&gt;=$AI$7,AM8&lt;=$AM$5,K8&gt;$AM$5,K8&gt;AM8),$AM$5-AM8,IF(AND(K8&gt;$AL$5,K8&lt;$AN$5),K8-$AL$5,IF(AND(K8&gt;$AI$7,K8&lt;$AM$5),$AN$5-$AL$5+K8,IF(AND(OR(K8&gt;$AL$5,H8&gt;$AO$5),AM8&gt;=$AI$7,AM8&lt;$AM$5,K8&gt;$AM$5),(1+$AM$5-$AL$5)-AG8,0))))))))</f>
        <v>0</v>
      </c>
      <c r="BE8" s="14"/>
      <c r="BF8" s="14"/>
      <c r="BG8" s="14"/>
    </row>
    <row r="9" spans="1:59" s="2" customFormat="1" ht="30" customHeight="1" thickTop="1" thickBot="1" x14ac:dyDescent="0.25">
      <c r="A9" s="1"/>
      <c r="B9"/>
      <c r="C9" s="172" t="str">
        <f>IF(Funcionários!C8=0,"",Funcionários!C8)</f>
        <v/>
      </c>
      <c r="D9"/>
      <c r="E9" s="115">
        <f>Lanç!E9</f>
        <v>2</v>
      </c>
      <c r="F9" s="189" t="str">
        <f>Lanç!F9</f>
        <v>Seg</v>
      </c>
      <c r="G9" s="81"/>
      <c r="H9" s="94"/>
      <c r="I9" s="94"/>
      <c r="J9" s="94"/>
      <c r="K9" s="94"/>
      <c r="L9" s="10"/>
      <c r="M9" s="95">
        <f t="shared" ref="M9:M38" si="1">IF(AND(H9=K9,H9&lt;&gt;0),$M$6-IF(J9&lt;I9,$AJ$7+J9-I9,J9-I9),IF(H9&gt;K9,(K9+1-H9)-IF(J9&lt;I9,$AJ$7+J9-I9,J9-I9),(K9-H9)-IF(J9&lt;I9,$AJ$7+J9-I9,J9-I9)))</f>
        <v>0</v>
      </c>
      <c r="N9" s="96"/>
      <c r="O9" s="95">
        <f ca="1">IF(OR(G9=0,G9="Férias",G9="Falta Justificada",G9="Feriado",G9="Folga (DSR)"),0,IF(G9="Falta Injustificada",HLOOKUP($F9,Jornada!$X$7:$AD$37,VLOOKUP(INDIRECT($C$5),Jornada!$C$8:$W$37,21,0),0),IF(HLOOKUP($F9,Jornada!$X$7:$AD$37,VLOOKUP(INDIRECT($C$5),Jornada!$C$8:$W$37,21,0),0)-M9&gt;0,HLOOKUP($F9,Jornada!$X$7:$AD$37,VLOOKUP(INDIRECT($C$5),Jornada!$C$8:$W$37,21,0),0)-M9,0)))</f>
        <v>0</v>
      </c>
      <c r="P9" s="190">
        <f ca="1">IF(HLOOKUP($F9,Jornada!$X$7:$AD$37,VLOOKUP(INDIRECT($C$5),Jornada!$C$8:$W$37,21,0),0)-M9&lt;0,ABS(HLOOKUP($F9,Jornada!$X$7:$AD$37,VLOOKUP(INDIRECT($C$5),Jornada!$C$8:$W$37,21,0),0)-M9),0)</f>
        <v>0</v>
      </c>
      <c r="Q9" s="95">
        <f t="shared" si="0"/>
        <v>0</v>
      </c>
      <c r="R9" s="2">
        <f t="shared" ref="R9:R38" si="2">IF(Q9&gt;$R$7,1,0)</f>
        <v>0</v>
      </c>
      <c r="S9" s="294"/>
      <c r="T9" s="294"/>
      <c r="U9" s="295"/>
      <c r="W9" s="2" t="s">
        <v>92</v>
      </c>
      <c r="X9" s="156">
        <v>3</v>
      </c>
      <c r="AB9" s="177">
        <f>AB8+1</f>
        <v>2</v>
      </c>
      <c r="AC9" s="2">
        <f t="shared" ref="AC9:AC35" si="3">WEEKDAY(AB9)</f>
        <v>2</v>
      </c>
      <c r="AE9" s="2">
        <v>2</v>
      </c>
      <c r="AF9" s="2" t="s">
        <v>52</v>
      </c>
      <c r="AG9" s="220">
        <f t="shared" ref="AG9:AG38" si="4">IF(J9&lt;I9,$AJ$7+J9-I9,J9-I9)</f>
        <v>0</v>
      </c>
      <c r="AH9" s="220">
        <f ca="1">IF(HLOOKUP($F9,Jornada!$X$7:$AD$37,VLOOKUP(INDIRECT($C$5),Jornada!$C$8:$W$37,21,0),0)=0,0,VLOOKUP(INDIRECT($C$5),Jornada!$C$8:$H$37,4,0))</f>
        <v>0</v>
      </c>
      <c r="AI9" s="155">
        <f ca="1">IF(AND(I9=0,J9=0,OR(H9&lt;&gt;0,K9&lt;&gt;0),HLOOKUP($F9,Jornada!$X$7:$AD$37,VLOOKUP(INDIRECT($C$5),Jornada!$C$8:$W$37,21,0),0)&gt;$AK$5,M9&gt;$AK$5),VLOOKUP(INDIRECT($C$5),Jornada!$C$8:$H$37,6,0),IF(AG9&gt;VLOOKUP(INDIRECT($C$5),Jornada!$C$8:$H$37,6,0),IF(VLOOKUP(INDIRECT($C$5),Jornada!$C$8:$H$37,6,0)&lt;AG9,0,ABS(VLOOKUP(INDIRECT($C$5),Jornada!$C$8:$H$37,6,0))-AG9),0))</f>
        <v>0</v>
      </c>
      <c r="AJ9" s="155">
        <f t="shared" ref="AJ9:AJ38" si="5">($AJ$7-K9)+H9</f>
        <v>1</v>
      </c>
      <c r="AK9" s="155">
        <f t="shared" ref="AK9:AK38" si="6">IF(AJ9&lt;$AK$7,$AK$7-AJ9,$AI$7)</f>
        <v>0</v>
      </c>
      <c r="AL9" s="155">
        <f ca="1">HLOOKUP($F9,Jornada!$I$5:$V$37,VLOOKUP(INDIRECT($C$5),Jornada!$C$8:$W$37,21,0)+2,0)</f>
        <v>0</v>
      </c>
      <c r="AM9" s="155">
        <f ca="1">HLOOKUP($F9,Jornada!$I$4:$V$37,VLOOKUP(INDIRECT($C$5),Jornada!$C$8:$W$37,21,0)+3,0)</f>
        <v>0</v>
      </c>
      <c r="AN9" s="155">
        <f t="shared" ref="AN9:AN38" ca="1" si="7">IF(AND(AL9&gt;=$AL$5,AL9&lt;$AN$5,H9&gt;=$AL$5,H9&lt;AL9),AL9-H9,IF(AND(AL9&gt;$AI$7,AL9&lt;=$AM$5,H9&gt;=$AL$5,H9&lt;=$AN$5),$AN$5-H9+AL9,IF(AND(AL9&gt;=$AI$7,AL9&lt;=$AM$5,H9&gt;=$AI$7,H9&lt;=$AM$5,H9&lt;AL9),H9-AL9,0)))</f>
        <v>0</v>
      </c>
      <c r="AO9" s="155">
        <f t="shared" ref="AO9:AO38" si="8">IF(AP9&gt;Q9,0,AP9)</f>
        <v>0</v>
      </c>
      <c r="AP9" s="155">
        <f t="shared" ref="AP9:AP38" si="9">IF(Q9=0,0,IF(AND(AM9&gt;=$AL$5,AM9&lt;$AN$5,K9&gt;=$AL$5,K9&lt;$AM$5,K9&gt;AM9),K9-AM9,IF(AND(AM9&gt;=$AL$5,AM9&lt;$AN$5,K9&lt;$AN$5,K9&gt;AM9),K9-$AL$5,IF(AND(AM9&gt;=$AI$7,AM9&lt;$AM$5,K9&lt;$AM$5),K9-AM9,IF(AND(AM9&lt;&gt;AI8,AM9&gt;=$AI$7,AM9&lt;=$AM$5,K9&gt;$AM$5,K9&gt;AM9),$AM$5-AM9,IF(AND(K9&gt;$AL$5,K9&lt;$AN$5),K9-$AL$5,IF(AND(K9&gt;$AI$7,K9&lt;$AM$5),$AN$5-$AL$5+K9,IF(AND(OR(K9&gt;$AL$5,H9&gt;$AO$5),AM9&gt;=$AI$7,AM9&lt;$AM$5,K9&gt;$AM$5),(1+$AM$5-$AL$5)-AG9,0))))))))</f>
        <v>0</v>
      </c>
      <c r="BE9" s="14"/>
      <c r="BF9" s="14"/>
      <c r="BG9" s="14"/>
    </row>
    <row r="10" spans="1:59" s="2" customFormat="1" ht="30" customHeight="1" thickTop="1" thickBot="1" x14ac:dyDescent="0.25">
      <c r="A10" s="1"/>
      <c r="B10"/>
      <c r="C10" s="172" t="str">
        <f>IF(Funcionários!C9=0,"",Funcionários!C9)</f>
        <v/>
      </c>
      <c r="D10"/>
      <c r="E10" s="115">
        <f>Lanç!E10</f>
        <v>3</v>
      </c>
      <c r="F10" s="189" t="str">
        <f>Lanç!F10</f>
        <v>Ter</v>
      </c>
      <c r="G10" s="81"/>
      <c r="H10" s="94"/>
      <c r="I10" s="94"/>
      <c r="J10" s="94"/>
      <c r="K10" s="94"/>
      <c r="L10" s="10"/>
      <c r="M10" s="95">
        <f t="shared" si="1"/>
        <v>0</v>
      </c>
      <c r="N10" s="96"/>
      <c r="O10" s="95">
        <f ca="1">IF(OR(G10=0,G10="Férias",G10="Falta Justificada",G10="Feriado",G10="Folga (DSR)"),0,IF(G10="Falta Injustificada",HLOOKUP($F10,Jornada!$X$7:$AD$37,VLOOKUP(INDIRECT($C$5),Jornada!$C$8:$W$37,21,0),0),IF(HLOOKUP($F10,Jornada!$X$7:$AD$37,VLOOKUP(INDIRECT($C$5),Jornada!$C$8:$W$37,21,0),0)-M10&gt;0,HLOOKUP($F10,Jornada!$X$7:$AD$37,VLOOKUP(INDIRECT($C$5),Jornada!$C$8:$W$37,21,0),0)-M10,0)))</f>
        <v>0</v>
      </c>
      <c r="P10" s="190">
        <f ca="1">IF(HLOOKUP($F10,Jornada!$X$7:$AD$37,VLOOKUP(INDIRECT($C$5),Jornada!$C$8:$W$37,21,0),0)-M10&lt;0,ABS(HLOOKUP($F10,Jornada!$X$7:$AD$37,VLOOKUP(INDIRECT($C$5),Jornada!$C$8:$W$37,21,0),0)-M10),0)</f>
        <v>0</v>
      </c>
      <c r="Q10" s="95">
        <f t="shared" si="0"/>
        <v>0</v>
      </c>
      <c r="R10" s="2">
        <f t="shared" si="2"/>
        <v>0</v>
      </c>
      <c r="S10" s="294" t="s">
        <v>66</v>
      </c>
      <c r="T10" s="294"/>
      <c r="U10" s="295">
        <f ca="1">IF(M5="Horas devidas",ABS(-K5+F58-U14),ABS(K5+F58-U14))</f>
        <v>0</v>
      </c>
      <c r="W10" s="2" t="s">
        <v>93</v>
      </c>
      <c r="X10" s="156">
        <v>4</v>
      </c>
      <c r="AB10" s="177">
        <f t="shared" ref="AB10:AB34" si="10">AB9+1</f>
        <v>3</v>
      </c>
      <c r="AC10" s="2">
        <f t="shared" si="3"/>
        <v>3</v>
      </c>
      <c r="AE10" s="2">
        <v>3</v>
      </c>
      <c r="AF10" s="2" t="s">
        <v>53</v>
      </c>
      <c r="AG10" s="220">
        <f t="shared" si="4"/>
        <v>0</v>
      </c>
      <c r="AH10" s="220">
        <f ca="1">IF(HLOOKUP($F10,Jornada!$X$7:$AD$37,VLOOKUP(INDIRECT($C$5),Jornada!$C$8:$W$37,21,0),0)=0,0,VLOOKUP(INDIRECT($C$5),Jornada!$C$8:$H$37,4,0))</f>
        <v>0</v>
      </c>
      <c r="AI10" s="155">
        <f ca="1">IF(AND(I10=0,J10=0,OR(H10&lt;&gt;0,K10&lt;&gt;0),HLOOKUP($F10,Jornada!$X$7:$AD$37,VLOOKUP(INDIRECT($C$5),Jornada!$C$8:$W$37,21,0),0)&gt;$AK$5,M10&gt;$AK$5),VLOOKUP(INDIRECT($C$5),Jornada!$C$8:$H$37,6,0),IF(AG10&gt;VLOOKUP(INDIRECT($C$5),Jornada!$C$8:$H$37,6,0),IF(VLOOKUP(INDIRECT($C$5),Jornada!$C$8:$H$37,6,0)&lt;AG10,0,ABS(VLOOKUP(INDIRECT($C$5),Jornada!$C$8:$H$37,6,0))-AG10),0))</f>
        <v>0</v>
      </c>
      <c r="AJ10" s="155">
        <f t="shared" si="5"/>
        <v>1</v>
      </c>
      <c r="AK10" s="155">
        <f t="shared" si="6"/>
        <v>0</v>
      </c>
      <c r="AL10" s="155">
        <f ca="1">HLOOKUP($F10,Jornada!$I$5:$V$37,VLOOKUP(INDIRECT($C$5),Jornada!$C$8:$W$37,21,0)+2,0)</f>
        <v>0</v>
      </c>
      <c r="AM10" s="155">
        <f ca="1">HLOOKUP($F10,Jornada!$I$4:$V$37,VLOOKUP(INDIRECT($C$5),Jornada!$C$8:$W$37,21,0)+3,0)</f>
        <v>0</v>
      </c>
      <c r="AN10" s="155">
        <f t="shared" ca="1" si="7"/>
        <v>0</v>
      </c>
      <c r="AO10" s="155">
        <f t="shared" si="8"/>
        <v>0</v>
      </c>
      <c r="AP10" s="155">
        <f t="shared" si="9"/>
        <v>0</v>
      </c>
      <c r="BE10" s="14"/>
      <c r="BF10" s="14"/>
      <c r="BG10" s="14"/>
    </row>
    <row r="11" spans="1:59" s="2" customFormat="1" ht="30" customHeight="1" thickTop="1" thickBot="1" x14ac:dyDescent="0.25">
      <c r="A11" s="1"/>
      <c r="B11"/>
      <c r="C11" s="172" t="str">
        <f>IF(Funcionários!C10=0,"",Funcionários!C10)</f>
        <v/>
      </c>
      <c r="D11"/>
      <c r="E11" s="115">
        <f>Lanç!E11</f>
        <v>4</v>
      </c>
      <c r="F11" s="189" t="str">
        <f>Lanç!F11</f>
        <v>Qua</v>
      </c>
      <c r="G11" s="81"/>
      <c r="H11" s="94"/>
      <c r="I11" s="94"/>
      <c r="J11" s="94"/>
      <c r="K11" s="94"/>
      <c r="L11" s="10"/>
      <c r="M11" s="95">
        <f t="shared" si="1"/>
        <v>0</v>
      </c>
      <c r="N11" s="96"/>
      <c r="O11" s="95">
        <f ca="1">IF(OR(G11=0,G11="Férias",G11="Falta Justificada",G11="Feriado",G11="Folga (DSR)"),0,IF(G11="Falta Injustificada",HLOOKUP($F11,Jornada!$X$7:$AD$37,VLOOKUP(INDIRECT($C$5),Jornada!$C$8:$W$37,21,0),0),IF(HLOOKUP($F11,Jornada!$X$7:$AD$37,VLOOKUP(INDIRECT($C$5),Jornada!$C$8:$W$37,21,0),0)-M11&gt;0,HLOOKUP($F11,Jornada!$X$7:$AD$37,VLOOKUP(INDIRECT($C$5),Jornada!$C$8:$W$37,21,0),0)-M11,0)))</f>
        <v>0</v>
      </c>
      <c r="P11" s="190">
        <f ca="1">IF(HLOOKUP($F11,Jornada!$X$7:$AD$37,VLOOKUP(INDIRECT($C$5),Jornada!$C$8:$W$37,21,0),0)-M11&lt;0,ABS(HLOOKUP($F11,Jornada!$X$7:$AD$37,VLOOKUP(INDIRECT($C$5),Jornada!$C$8:$W$37,21,0),0)-M11),0)</f>
        <v>0</v>
      </c>
      <c r="Q11" s="95">
        <f t="shared" si="0"/>
        <v>0</v>
      </c>
      <c r="R11" s="2">
        <f t="shared" si="2"/>
        <v>0</v>
      </c>
      <c r="S11" s="294"/>
      <c r="T11" s="294"/>
      <c r="U11" s="295"/>
      <c r="V11" s="2">
        <f ca="1">IF(AND(K5&gt;U12,M5="Horas devidas"),"Negativo",IF(AND(U12&gt;K5,U14&gt;F58),"Negativo",0))</f>
        <v>0</v>
      </c>
      <c r="W11" s="2" t="s">
        <v>94</v>
      </c>
      <c r="X11" s="156">
        <v>5</v>
      </c>
      <c r="Z11" s="2" t="str">
        <f ca="1">IF(AND(M5="horas extras",Z13="positivo"),"positivo",IF(AND(M5="horas devidas",Z13="Negativo"),"Negativo",IF(AND(Z13="positivo",M5="horas devidas",U12&gt;K5),"Positivo","Negativo")))</f>
        <v>Negativo</v>
      </c>
      <c r="AB11" s="177">
        <f t="shared" si="10"/>
        <v>4</v>
      </c>
      <c r="AC11" s="2">
        <f t="shared" si="3"/>
        <v>4</v>
      </c>
      <c r="AE11" s="2">
        <v>4</v>
      </c>
      <c r="AF11" s="2" t="s">
        <v>54</v>
      </c>
      <c r="AG11" s="220">
        <f t="shared" si="4"/>
        <v>0</v>
      </c>
      <c r="AH11" s="220">
        <f ca="1">IF(HLOOKUP($F11,Jornada!$X$7:$AD$37,VLOOKUP(INDIRECT($C$5),Jornada!$C$8:$W$37,21,0),0)=0,0,VLOOKUP(INDIRECT($C$5),Jornada!$C$8:$H$37,4,0))</f>
        <v>0</v>
      </c>
      <c r="AI11" s="155">
        <f ca="1">IF(AND(I11=0,J11=0,OR(H11&lt;&gt;0,K11&lt;&gt;0),HLOOKUP($F11,Jornada!$X$7:$AD$37,VLOOKUP(INDIRECT($C$5),Jornada!$C$8:$W$37,21,0),0)&gt;$AK$5,M11&gt;$AK$5),VLOOKUP(INDIRECT($C$5),Jornada!$C$8:$H$37,6,0),IF(AG11&gt;VLOOKUP(INDIRECT($C$5),Jornada!$C$8:$H$37,6,0),IF(VLOOKUP(INDIRECT($C$5),Jornada!$C$8:$H$37,6,0)&lt;AG11,0,ABS(VLOOKUP(INDIRECT($C$5),Jornada!$C$8:$H$37,6,0))-AG11),0))</f>
        <v>0</v>
      </c>
      <c r="AJ11" s="155">
        <f t="shared" si="5"/>
        <v>1</v>
      </c>
      <c r="AK11" s="155">
        <f t="shared" si="6"/>
        <v>0</v>
      </c>
      <c r="AL11" s="155">
        <f ca="1">HLOOKUP($F11,Jornada!$I$5:$V$37,VLOOKUP(INDIRECT($C$5),Jornada!$C$8:$W$37,21,0)+2,0)</f>
        <v>0</v>
      </c>
      <c r="AM11" s="155">
        <f ca="1">HLOOKUP($F11,Jornada!$I$4:$V$37,VLOOKUP(INDIRECT($C$5),Jornada!$C$8:$W$37,21,0)+3,0)</f>
        <v>0</v>
      </c>
      <c r="AN11" s="155">
        <f t="shared" ca="1" si="7"/>
        <v>0</v>
      </c>
      <c r="AO11" s="155">
        <f t="shared" si="8"/>
        <v>0</v>
      </c>
      <c r="AP11" s="155">
        <f t="shared" si="9"/>
        <v>0</v>
      </c>
      <c r="BE11" s="14"/>
      <c r="BF11" s="14"/>
      <c r="BG11" s="14"/>
    </row>
    <row r="12" spans="1:59" s="2" customFormat="1" ht="30" customHeight="1" thickTop="1" thickBot="1" x14ac:dyDescent="0.25">
      <c r="A12" s="1"/>
      <c r="B12"/>
      <c r="C12" s="172" t="str">
        <f>IF(Funcionários!C11=0,"",Funcionários!C11)</f>
        <v/>
      </c>
      <c r="D12"/>
      <c r="E12" s="115">
        <f>Lanç!E12</f>
        <v>5</v>
      </c>
      <c r="F12" s="189" t="str">
        <f>Lanç!F12</f>
        <v>Qui</v>
      </c>
      <c r="G12" s="81"/>
      <c r="H12" s="94"/>
      <c r="I12" s="94"/>
      <c r="J12" s="94"/>
      <c r="K12" s="94"/>
      <c r="L12" s="10"/>
      <c r="M12" s="95">
        <f t="shared" si="1"/>
        <v>0</v>
      </c>
      <c r="N12" s="96"/>
      <c r="O12" s="95">
        <f ca="1">IF(OR(G12=0,G12="Férias",G12="Falta Justificada",G12="Feriado",G12="Folga (DSR)"),0,IF(G12="Falta Injustificada",HLOOKUP($F12,Jornada!$X$7:$AD$37,VLOOKUP(INDIRECT($C$5),Jornada!$C$8:$W$37,21,0),0),IF(HLOOKUP($F12,Jornada!$X$7:$AD$37,VLOOKUP(INDIRECT($C$5),Jornada!$C$8:$W$37,21,0),0)-M12&gt;0,HLOOKUP($F12,Jornada!$X$7:$AD$37,VLOOKUP(INDIRECT($C$5),Jornada!$C$8:$W$37,21,0),0)-M12,0)))</f>
        <v>0</v>
      </c>
      <c r="P12" s="190">
        <f ca="1">IF(HLOOKUP($F12,Jornada!$X$7:$AD$37,VLOOKUP(INDIRECT($C$5),Jornada!$C$8:$W$37,21,0),0)-M12&lt;0,ABS(HLOOKUP($F12,Jornada!$X$7:$AD$37,VLOOKUP(INDIRECT($C$5),Jornada!$C$8:$W$37,21,0),0)-M12),0)</f>
        <v>0</v>
      </c>
      <c r="Q12" s="95">
        <f t="shared" si="0"/>
        <v>0</v>
      </c>
      <c r="R12" s="2">
        <f t="shared" si="2"/>
        <v>0</v>
      </c>
      <c r="S12" s="294" t="s">
        <v>175</v>
      </c>
      <c r="T12" s="294"/>
      <c r="U12" s="295">
        <f ca="1">IF(U14&gt;=F58,(U14)-F58,(F58-U14))</f>
        <v>0</v>
      </c>
      <c r="W12" s="2" t="s">
        <v>95</v>
      </c>
      <c r="X12" s="156">
        <v>6</v>
      </c>
      <c r="AB12" s="177">
        <f t="shared" si="10"/>
        <v>5</v>
      </c>
      <c r="AC12" s="2">
        <f t="shared" si="3"/>
        <v>5</v>
      </c>
      <c r="AE12" s="2">
        <v>5</v>
      </c>
      <c r="AF12" s="2" t="s">
        <v>55</v>
      </c>
      <c r="AG12" s="220">
        <f t="shared" si="4"/>
        <v>0</v>
      </c>
      <c r="AH12" s="220">
        <f ca="1">IF(HLOOKUP($F12,Jornada!$X$7:$AD$37,VLOOKUP(INDIRECT($C$5),Jornada!$C$8:$W$37,21,0),0)=0,0,VLOOKUP(INDIRECT($C$5),Jornada!$C$8:$H$37,4,0))</f>
        <v>0</v>
      </c>
      <c r="AI12" s="155">
        <f ca="1">IF(AND(I12=0,J12=0,OR(H12&lt;&gt;0,K12&lt;&gt;0),HLOOKUP($F12,Jornada!$X$7:$AD$37,VLOOKUP(INDIRECT($C$5),Jornada!$C$8:$W$37,21,0),0)&gt;$AK$5,M12&gt;$AK$5),VLOOKUP(INDIRECT($C$5),Jornada!$C$8:$H$37,6,0),IF(AG12&gt;VLOOKUP(INDIRECT($C$5),Jornada!$C$8:$H$37,6,0),IF(VLOOKUP(INDIRECT($C$5),Jornada!$C$8:$H$37,6,0)&lt;AG12,0,ABS(VLOOKUP(INDIRECT($C$5),Jornada!$C$8:$H$37,6,0))-AG12),0))</f>
        <v>0</v>
      </c>
      <c r="AJ12" s="155">
        <f t="shared" si="5"/>
        <v>1</v>
      </c>
      <c r="AK12" s="155">
        <f t="shared" si="6"/>
        <v>0</v>
      </c>
      <c r="AL12" s="155">
        <f ca="1">HLOOKUP($F12,Jornada!$I$5:$V$37,VLOOKUP(INDIRECT($C$5),Jornada!$C$8:$W$37,21,0)+2,0)</f>
        <v>0</v>
      </c>
      <c r="AM12" s="155">
        <f ca="1">HLOOKUP($F12,Jornada!$I$4:$V$37,VLOOKUP(INDIRECT($C$5),Jornada!$C$8:$W$37,21,0)+3,0)</f>
        <v>0</v>
      </c>
      <c r="AN12" s="155">
        <f t="shared" ca="1" si="7"/>
        <v>0</v>
      </c>
      <c r="AO12" s="155">
        <f t="shared" si="8"/>
        <v>0</v>
      </c>
      <c r="AP12" s="155">
        <f t="shared" si="9"/>
        <v>0</v>
      </c>
      <c r="BE12" s="14"/>
      <c r="BF12" s="14"/>
      <c r="BG12" s="14"/>
    </row>
    <row r="13" spans="1:59" s="2" customFormat="1" ht="30" customHeight="1" thickTop="1" thickBot="1" x14ac:dyDescent="0.25">
      <c r="A13" s="1"/>
      <c r="B13"/>
      <c r="C13" s="172" t="str">
        <f>IF(Funcionários!C12=0,"",Funcionários!C12)</f>
        <v/>
      </c>
      <c r="D13"/>
      <c r="E13" s="115">
        <f>Lanç!E13</f>
        <v>6</v>
      </c>
      <c r="F13" s="189" t="str">
        <f>Lanç!F13</f>
        <v>Sex</v>
      </c>
      <c r="G13" s="81"/>
      <c r="H13" s="94"/>
      <c r="I13" s="94"/>
      <c r="J13" s="94"/>
      <c r="K13" s="94"/>
      <c r="L13" s="10"/>
      <c r="M13" s="95">
        <f t="shared" si="1"/>
        <v>0</v>
      </c>
      <c r="N13" s="96"/>
      <c r="O13" s="95">
        <f ca="1">IF(OR(G13=0,G13="Férias",G13="Falta Justificada",G13="Feriado",G13="Folga (DSR)"),0,IF(G13="Falta Injustificada",HLOOKUP($F13,Jornada!$X$7:$AD$37,VLOOKUP(INDIRECT($C$5),Jornada!$C$8:$W$37,21,0),0),IF(HLOOKUP($F13,Jornada!$X$7:$AD$37,VLOOKUP(INDIRECT($C$5),Jornada!$C$8:$W$37,21,0),0)-M13&gt;0,HLOOKUP($F13,Jornada!$X$7:$AD$37,VLOOKUP(INDIRECT($C$5),Jornada!$C$8:$W$37,21,0),0)-M13,0)))</f>
        <v>0</v>
      </c>
      <c r="P13" s="190">
        <f ca="1">IF(HLOOKUP($F13,Jornada!$X$7:$AD$37,VLOOKUP(INDIRECT($C$5),Jornada!$C$8:$W$37,21,0),0)-M13&lt;0,ABS(HLOOKUP($F13,Jornada!$X$7:$AD$37,VLOOKUP(INDIRECT($C$5),Jornada!$C$8:$W$37,21,0),0)-M13),0)</f>
        <v>0</v>
      </c>
      <c r="Q13" s="95">
        <f t="shared" si="0"/>
        <v>0</v>
      </c>
      <c r="R13" s="2">
        <f t="shared" si="2"/>
        <v>0</v>
      </c>
      <c r="S13" s="294"/>
      <c r="T13" s="294"/>
      <c r="U13" s="295"/>
      <c r="W13" s="2" t="s">
        <v>96</v>
      </c>
      <c r="X13" s="156">
        <v>7</v>
      </c>
      <c r="Z13" s="2" t="str">
        <f ca="1">IF(U14&gt;F58,"Negativo","Positivo")</f>
        <v>Positivo</v>
      </c>
      <c r="AB13" s="177">
        <f t="shared" si="10"/>
        <v>6</v>
      </c>
      <c r="AC13" s="2">
        <f t="shared" si="3"/>
        <v>6</v>
      </c>
      <c r="AE13" s="2">
        <v>6</v>
      </c>
      <c r="AF13" s="2" t="s">
        <v>56</v>
      </c>
      <c r="AG13" s="220">
        <f t="shared" si="4"/>
        <v>0</v>
      </c>
      <c r="AH13" s="220">
        <f ca="1">IF(HLOOKUP($F13,Jornada!$X$7:$AD$37,VLOOKUP(INDIRECT($C$5),Jornada!$C$8:$W$37,21,0),0)=0,0,VLOOKUP(INDIRECT($C$5),Jornada!$C$8:$H$37,4,0))</f>
        <v>0</v>
      </c>
      <c r="AI13" s="155">
        <f ca="1">IF(AND(I13=0,J13=0,OR(H13&lt;&gt;0,K13&lt;&gt;0),HLOOKUP($F13,Jornada!$X$7:$AD$37,VLOOKUP(INDIRECT($C$5),Jornada!$C$8:$W$37,21,0),0)&gt;$AK$5,M13&gt;$AK$5),VLOOKUP(INDIRECT($C$5),Jornada!$C$8:$H$37,6,0),IF(AG13&gt;VLOOKUP(INDIRECT($C$5),Jornada!$C$8:$H$37,6,0),IF(VLOOKUP(INDIRECT($C$5),Jornada!$C$8:$H$37,6,0)&lt;AG13,0,ABS(VLOOKUP(INDIRECT($C$5),Jornada!$C$8:$H$37,6,0))-AG13),0))</f>
        <v>0</v>
      </c>
      <c r="AJ13" s="155">
        <f t="shared" si="5"/>
        <v>1</v>
      </c>
      <c r="AK13" s="155">
        <f t="shared" si="6"/>
        <v>0</v>
      </c>
      <c r="AL13" s="155">
        <f ca="1">HLOOKUP($F13,Jornada!$I$5:$V$37,VLOOKUP(INDIRECT($C$5),Jornada!$C$8:$W$37,21,0)+2,0)</f>
        <v>0</v>
      </c>
      <c r="AM13" s="155">
        <f ca="1">HLOOKUP($F13,Jornada!$I$4:$V$37,VLOOKUP(INDIRECT($C$5),Jornada!$C$8:$W$37,21,0)+3,0)</f>
        <v>0</v>
      </c>
      <c r="AN13" s="155">
        <f t="shared" ca="1" si="7"/>
        <v>0</v>
      </c>
      <c r="AO13" s="155">
        <f t="shared" si="8"/>
        <v>0</v>
      </c>
      <c r="AP13" s="155">
        <f t="shared" si="9"/>
        <v>0</v>
      </c>
      <c r="BE13" s="14"/>
      <c r="BF13" s="14"/>
      <c r="BG13" s="14"/>
    </row>
    <row r="14" spans="1:59" s="2" customFormat="1" ht="30" customHeight="1" thickTop="1" thickBot="1" x14ac:dyDescent="0.25">
      <c r="A14" s="1"/>
      <c r="B14"/>
      <c r="C14" s="172" t="str">
        <f>IF(Funcionários!C13=0,"",Funcionários!C13)</f>
        <v/>
      </c>
      <c r="D14"/>
      <c r="E14" s="115">
        <f>Lanç!E14</f>
        <v>7</v>
      </c>
      <c r="F14" s="189" t="str">
        <f>Lanç!F14</f>
        <v>Sáb</v>
      </c>
      <c r="G14" s="81"/>
      <c r="H14" s="94"/>
      <c r="I14" s="94"/>
      <c r="J14" s="94"/>
      <c r="K14" s="94"/>
      <c r="L14" s="10"/>
      <c r="M14" s="95">
        <f t="shared" si="1"/>
        <v>0</v>
      </c>
      <c r="N14" s="96"/>
      <c r="O14" s="95">
        <f ca="1">IF(OR(G14=0,G14="Férias",G14="Falta Justificada",G14="Feriado",G14="Folga (DSR)"),0,IF(G14="Falta Injustificada",HLOOKUP($F14,Jornada!$X$7:$AD$37,VLOOKUP(INDIRECT($C$5),Jornada!$C$8:$W$37,21,0),0),IF(HLOOKUP($F14,Jornada!$X$7:$AD$37,VLOOKUP(INDIRECT($C$5),Jornada!$C$8:$W$37,21,0),0)-M14&gt;0,HLOOKUP($F14,Jornada!$X$7:$AD$37,VLOOKUP(INDIRECT($C$5),Jornada!$C$8:$W$37,21,0),0)-M14,0)))</f>
        <v>0</v>
      </c>
      <c r="P14" s="190">
        <f ca="1">IF(HLOOKUP($F14,Jornada!$X$7:$AD$37,VLOOKUP(INDIRECT($C$5),Jornada!$C$8:$W$37,21,0),0)-M14&lt;0,ABS(HLOOKUP($F14,Jornada!$X$7:$AD$37,VLOOKUP(INDIRECT($C$5),Jornada!$C$8:$W$37,21,0),0)-M14),0)</f>
        <v>0</v>
      </c>
      <c r="Q14" s="95">
        <f t="shared" si="0"/>
        <v>0</v>
      </c>
      <c r="R14" s="2">
        <f t="shared" si="2"/>
        <v>0</v>
      </c>
      <c r="S14" s="294" t="s">
        <v>68</v>
      </c>
      <c r="T14" s="294"/>
      <c r="U14" s="295">
        <f ca="1">SUM(O8:O38)</f>
        <v>0</v>
      </c>
      <c r="W14" s="2" t="s">
        <v>97</v>
      </c>
      <c r="X14" s="156">
        <v>8</v>
      </c>
      <c r="AB14" s="177">
        <f t="shared" si="10"/>
        <v>7</v>
      </c>
      <c r="AC14" s="2">
        <f t="shared" si="3"/>
        <v>7</v>
      </c>
      <c r="AE14" s="2">
        <v>7</v>
      </c>
      <c r="AF14" s="2" t="s">
        <v>57</v>
      </c>
      <c r="AG14" s="220">
        <f t="shared" si="4"/>
        <v>0</v>
      </c>
      <c r="AH14" s="220">
        <f ca="1">IF(HLOOKUP($F14,Jornada!$X$7:$AD$37,VLOOKUP(INDIRECT($C$5),Jornada!$C$8:$W$37,21,0),0)=0,0,VLOOKUP(INDIRECT($C$5),Jornada!$C$8:$H$37,4,0))</f>
        <v>0</v>
      </c>
      <c r="AI14" s="155">
        <f ca="1">IF(AND(I14=0,J14=0,OR(H14&lt;&gt;0,K14&lt;&gt;0),HLOOKUP($F14,Jornada!$X$7:$AD$37,VLOOKUP(INDIRECT($C$5),Jornada!$C$8:$W$37,21,0),0)&gt;$AK$5,M14&gt;$AK$5),VLOOKUP(INDIRECT($C$5),Jornada!$C$8:$H$37,6,0),IF(AG14&gt;VLOOKUP(INDIRECT($C$5),Jornada!$C$8:$H$37,6,0),IF(VLOOKUP(INDIRECT($C$5),Jornada!$C$8:$H$37,6,0)&lt;AG14,0,ABS(VLOOKUP(INDIRECT($C$5),Jornada!$C$8:$H$37,6,0))-AG14),0))</f>
        <v>0</v>
      </c>
      <c r="AJ14" s="155">
        <f t="shared" si="5"/>
        <v>1</v>
      </c>
      <c r="AK14" s="155">
        <f t="shared" si="6"/>
        <v>0</v>
      </c>
      <c r="AL14" s="155">
        <f ca="1">HLOOKUP($F14,Jornada!$I$5:$V$37,VLOOKUP(INDIRECT($C$5),Jornada!$C$8:$W$37,21,0)+2,0)</f>
        <v>0</v>
      </c>
      <c r="AM14" s="155">
        <f ca="1">HLOOKUP($F14,Jornada!$I$4:$V$37,VLOOKUP(INDIRECT($C$5),Jornada!$C$8:$W$37,21,0)+3,0)</f>
        <v>0</v>
      </c>
      <c r="AN14" s="155">
        <f t="shared" ca="1" si="7"/>
        <v>0</v>
      </c>
      <c r="AO14" s="155">
        <f t="shared" si="8"/>
        <v>0</v>
      </c>
      <c r="AP14" s="155">
        <f t="shared" si="9"/>
        <v>0</v>
      </c>
      <c r="BE14" s="14"/>
      <c r="BF14" s="14"/>
      <c r="BG14" s="14"/>
    </row>
    <row r="15" spans="1:59" s="2" customFormat="1" ht="30" customHeight="1" thickTop="1" thickBot="1" x14ac:dyDescent="0.25">
      <c r="A15" s="1"/>
      <c r="B15"/>
      <c r="C15" s="172" t="str">
        <f>IF(Funcionários!C14=0,"",Funcionários!C14)</f>
        <v/>
      </c>
      <c r="D15"/>
      <c r="E15" s="115">
        <f>Lanç!E15</f>
        <v>8</v>
      </c>
      <c r="F15" s="189" t="str">
        <f>Lanç!F15</f>
        <v>Dom</v>
      </c>
      <c r="G15" s="81"/>
      <c r="H15" s="94"/>
      <c r="I15" s="94"/>
      <c r="J15" s="94"/>
      <c r="K15" s="94"/>
      <c r="L15" s="10"/>
      <c r="M15" s="95">
        <f t="shared" si="1"/>
        <v>0</v>
      </c>
      <c r="N15" s="96"/>
      <c r="O15" s="95">
        <f ca="1">IF(OR(G15=0,G15="Férias",G15="Falta Justificada",G15="Feriado",G15="Folga (DSR)"),0,IF(G15="Falta Injustificada",HLOOKUP($F15,Jornada!$X$7:$AD$37,VLOOKUP(INDIRECT($C$5),Jornada!$C$8:$W$37,21,0),0),IF(HLOOKUP($F15,Jornada!$X$7:$AD$37,VLOOKUP(INDIRECT($C$5),Jornada!$C$8:$W$37,21,0),0)-M15&gt;0,HLOOKUP($F15,Jornada!$X$7:$AD$37,VLOOKUP(INDIRECT($C$5),Jornada!$C$8:$W$37,21,0),0)-M15,0)))</f>
        <v>0</v>
      </c>
      <c r="P15" s="190">
        <f ca="1">IF(HLOOKUP($F15,Jornada!$X$7:$AD$37,VLOOKUP(INDIRECT($C$5),Jornada!$C$8:$W$37,21,0),0)-M15&lt;0,ABS(HLOOKUP($F15,Jornada!$X$7:$AD$37,VLOOKUP(INDIRECT($C$5),Jornada!$C$8:$W$37,21,0),0)-M15),0)</f>
        <v>0</v>
      </c>
      <c r="Q15" s="95">
        <f t="shared" si="0"/>
        <v>0</v>
      </c>
      <c r="R15" s="2">
        <f t="shared" si="2"/>
        <v>0</v>
      </c>
      <c r="S15" s="294"/>
      <c r="T15" s="294"/>
      <c r="U15" s="295"/>
      <c r="W15" s="2" t="s">
        <v>98</v>
      </c>
      <c r="X15" s="156">
        <v>9</v>
      </c>
      <c r="AB15" s="177">
        <f t="shared" si="10"/>
        <v>8</v>
      </c>
      <c r="AC15" s="2">
        <f t="shared" si="3"/>
        <v>1</v>
      </c>
      <c r="AG15" s="220">
        <f t="shared" si="4"/>
        <v>0</v>
      </c>
      <c r="AH15" s="220">
        <f ca="1">IF(HLOOKUP($F15,Jornada!$X$7:$AD$37,VLOOKUP(INDIRECT($C$5),Jornada!$C$8:$W$37,21,0),0)=0,0,VLOOKUP(INDIRECT($C$5),Jornada!$C$8:$H$37,4,0))</f>
        <v>0</v>
      </c>
      <c r="AI15" s="155">
        <f ca="1">IF(AND(I15=0,J15=0,OR(H15&lt;&gt;0,K15&lt;&gt;0),HLOOKUP($F15,Jornada!$X$7:$AD$37,VLOOKUP(INDIRECT($C$5),Jornada!$C$8:$W$37,21,0),0)&gt;$AK$5,M15&gt;$AK$5),VLOOKUP(INDIRECT($C$5),Jornada!$C$8:$H$37,6,0),IF(AG15&gt;VLOOKUP(INDIRECT($C$5),Jornada!$C$8:$H$37,6,0),IF(VLOOKUP(INDIRECT($C$5),Jornada!$C$8:$H$37,6,0)&lt;AG15,0,ABS(VLOOKUP(INDIRECT($C$5),Jornada!$C$8:$H$37,6,0))-AG15),0))</f>
        <v>0</v>
      </c>
      <c r="AJ15" s="155">
        <f t="shared" si="5"/>
        <v>1</v>
      </c>
      <c r="AK15" s="155">
        <f t="shared" si="6"/>
        <v>0</v>
      </c>
      <c r="AL15" s="155">
        <f ca="1">HLOOKUP($F15,Jornada!$I$5:$V$37,VLOOKUP(INDIRECT($C$5),Jornada!$C$8:$W$37,21,0)+2,0)</f>
        <v>0</v>
      </c>
      <c r="AM15" s="155">
        <f ca="1">HLOOKUP($F15,Jornada!$I$4:$V$37,VLOOKUP(INDIRECT($C$5),Jornada!$C$8:$W$37,21,0)+3,0)</f>
        <v>0</v>
      </c>
      <c r="AN15" s="155">
        <f t="shared" ca="1" si="7"/>
        <v>0</v>
      </c>
      <c r="AO15" s="155">
        <f t="shared" si="8"/>
        <v>0</v>
      </c>
      <c r="AP15" s="155">
        <f t="shared" si="9"/>
        <v>0</v>
      </c>
      <c r="BE15" s="14"/>
      <c r="BF15" s="14"/>
      <c r="BG15" s="14"/>
    </row>
    <row r="16" spans="1:59" s="2" customFormat="1" ht="30" customHeight="1" thickTop="1" thickBot="1" x14ac:dyDescent="0.25">
      <c r="A16" s="1"/>
      <c r="B16"/>
      <c r="C16" s="172" t="str">
        <f>IF(Funcionários!C15=0,"",Funcionários!C15)</f>
        <v/>
      </c>
      <c r="D16"/>
      <c r="E16" s="115">
        <f>Lanç!E16</f>
        <v>9</v>
      </c>
      <c r="F16" s="189" t="str">
        <f>Lanç!F16</f>
        <v>Seg</v>
      </c>
      <c r="G16" s="81"/>
      <c r="H16" s="94"/>
      <c r="I16" s="94"/>
      <c r="J16" s="94"/>
      <c r="K16" s="94"/>
      <c r="L16" s="10"/>
      <c r="M16" s="95">
        <f t="shared" si="1"/>
        <v>0</v>
      </c>
      <c r="N16" s="96"/>
      <c r="O16" s="95">
        <f ca="1">IF(OR(G16=0,G16="Férias",G16="Falta Justificada",G16="Feriado",G16="Folga (DSR)"),0,IF(G16="Falta Injustificada",HLOOKUP($F16,Jornada!$X$7:$AD$37,VLOOKUP(INDIRECT($C$5),Jornada!$C$8:$W$37,21,0),0),IF(HLOOKUP($F16,Jornada!$X$7:$AD$37,VLOOKUP(INDIRECT($C$5),Jornada!$C$8:$W$37,21,0),0)-M16&gt;0,HLOOKUP($F16,Jornada!$X$7:$AD$37,VLOOKUP(INDIRECT($C$5),Jornada!$C$8:$W$37,21,0),0)-M16,0)))</f>
        <v>0</v>
      </c>
      <c r="P16" s="190">
        <f ca="1">IF(HLOOKUP($F16,Jornada!$X$7:$AD$37,VLOOKUP(INDIRECT($C$5),Jornada!$C$8:$W$37,21,0),0)-M16&lt;0,ABS(HLOOKUP($F16,Jornada!$X$7:$AD$37,VLOOKUP(INDIRECT($C$5),Jornada!$C$8:$W$37,21,0),0)-M16),0)</f>
        <v>0</v>
      </c>
      <c r="Q16" s="95">
        <f t="shared" si="0"/>
        <v>0</v>
      </c>
      <c r="R16" s="2">
        <f t="shared" si="2"/>
        <v>0</v>
      </c>
      <c r="S16" s="294" t="s">
        <v>67</v>
      </c>
      <c r="T16" s="294"/>
      <c r="U16" s="295">
        <f>SUM(Q8:Q38)</f>
        <v>0</v>
      </c>
      <c r="W16" s="2" t="s">
        <v>99</v>
      </c>
      <c r="X16" s="156">
        <v>10</v>
      </c>
      <c r="AB16" s="177">
        <f t="shared" si="10"/>
        <v>9</v>
      </c>
      <c r="AC16" s="2">
        <f t="shared" si="3"/>
        <v>2</v>
      </c>
      <c r="AG16" s="220">
        <f t="shared" si="4"/>
        <v>0</v>
      </c>
      <c r="AH16" s="220">
        <f ca="1">IF(HLOOKUP($F16,Jornada!$X$7:$AD$37,VLOOKUP(INDIRECT($C$5),Jornada!$C$8:$W$37,21,0),0)=0,0,VLOOKUP(INDIRECT($C$5),Jornada!$C$8:$H$37,4,0))</f>
        <v>0</v>
      </c>
      <c r="AI16" s="155">
        <f ca="1">IF(AND(I16=0,J16=0,OR(H16&lt;&gt;0,K16&lt;&gt;0),HLOOKUP($F16,Jornada!$X$7:$AD$37,VLOOKUP(INDIRECT($C$5),Jornada!$C$8:$W$37,21,0),0)&gt;$AK$5,M16&gt;$AK$5),VLOOKUP(INDIRECT($C$5),Jornada!$C$8:$H$37,6,0),IF(AG16&gt;VLOOKUP(INDIRECT($C$5),Jornada!$C$8:$H$37,6,0),IF(VLOOKUP(INDIRECT($C$5),Jornada!$C$8:$H$37,6,0)&lt;AG16,0,ABS(VLOOKUP(INDIRECT($C$5),Jornada!$C$8:$H$37,6,0))-AG16),0))</f>
        <v>0</v>
      </c>
      <c r="AJ16" s="155">
        <f t="shared" si="5"/>
        <v>1</v>
      </c>
      <c r="AK16" s="155">
        <f t="shared" si="6"/>
        <v>0</v>
      </c>
      <c r="AL16" s="155">
        <f ca="1">HLOOKUP($F16,Jornada!$I$5:$V$37,VLOOKUP(INDIRECT($C$5),Jornada!$C$8:$W$37,21,0)+2,0)</f>
        <v>0</v>
      </c>
      <c r="AM16" s="155">
        <f ca="1">HLOOKUP($F16,Jornada!$I$4:$V$37,VLOOKUP(INDIRECT($C$5),Jornada!$C$8:$W$37,21,0)+3,0)</f>
        <v>0</v>
      </c>
      <c r="AN16" s="155">
        <f t="shared" ca="1" si="7"/>
        <v>0</v>
      </c>
      <c r="AO16" s="155">
        <f t="shared" si="8"/>
        <v>0</v>
      </c>
      <c r="AP16" s="155">
        <f t="shared" si="9"/>
        <v>0</v>
      </c>
      <c r="BE16" s="14"/>
      <c r="BF16" s="14"/>
      <c r="BG16" s="14"/>
    </row>
    <row r="17" spans="1:59" s="2" customFormat="1" ht="30" customHeight="1" thickTop="1" thickBot="1" x14ac:dyDescent="0.25">
      <c r="A17" s="1"/>
      <c r="B17"/>
      <c r="C17" s="172" t="str">
        <f>IF(Funcionários!C16=0,"",Funcionários!C16)</f>
        <v/>
      </c>
      <c r="D17"/>
      <c r="E17" s="115">
        <f>Lanç!E17</f>
        <v>10</v>
      </c>
      <c r="F17" s="189" t="str">
        <f>Lanç!F17</f>
        <v>Ter</v>
      </c>
      <c r="G17" s="81"/>
      <c r="H17" s="94"/>
      <c r="I17" s="94"/>
      <c r="J17" s="94"/>
      <c r="K17" s="94"/>
      <c r="L17" s="10"/>
      <c r="M17" s="95">
        <f t="shared" si="1"/>
        <v>0</v>
      </c>
      <c r="N17" s="96"/>
      <c r="O17" s="95">
        <f ca="1">IF(OR(G17=0,G17="Férias",G17="Falta Justificada",G17="Feriado",G17="Folga (DSR)"),0,IF(G17="Falta Injustificada",HLOOKUP($F17,Jornada!$X$7:$AD$37,VLOOKUP(INDIRECT($C$5),Jornada!$C$8:$W$37,21,0),0),IF(HLOOKUP($F17,Jornada!$X$7:$AD$37,VLOOKUP(INDIRECT($C$5),Jornada!$C$8:$W$37,21,0),0)-M17&gt;0,HLOOKUP($F17,Jornada!$X$7:$AD$37,VLOOKUP(INDIRECT($C$5),Jornada!$C$8:$W$37,21,0),0)-M17,0)))</f>
        <v>0</v>
      </c>
      <c r="P17" s="190">
        <f ca="1">IF(HLOOKUP($F17,Jornada!$X$7:$AD$37,VLOOKUP(INDIRECT($C$5),Jornada!$C$8:$W$37,21,0),0)-M17&lt;0,ABS(HLOOKUP($F17,Jornada!$X$7:$AD$37,VLOOKUP(INDIRECT($C$5),Jornada!$C$8:$W$37,21,0),0)-M17),0)</f>
        <v>0</v>
      </c>
      <c r="Q17" s="95">
        <f t="shared" si="0"/>
        <v>0</v>
      </c>
      <c r="R17" s="2">
        <f t="shared" si="2"/>
        <v>0</v>
      </c>
      <c r="S17" s="294"/>
      <c r="T17" s="294"/>
      <c r="U17" s="295"/>
      <c r="W17" s="2" t="s">
        <v>100</v>
      </c>
      <c r="X17" s="156">
        <v>11</v>
      </c>
      <c r="AB17" s="177">
        <f t="shared" si="10"/>
        <v>10</v>
      </c>
      <c r="AC17" s="2">
        <f t="shared" si="3"/>
        <v>3</v>
      </c>
      <c r="AG17" s="220">
        <f t="shared" si="4"/>
        <v>0</v>
      </c>
      <c r="AH17" s="220">
        <f ca="1">IF(HLOOKUP($F17,Jornada!$X$7:$AD$37,VLOOKUP(INDIRECT($C$5),Jornada!$C$8:$W$37,21,0),0)=0,0,VLOOKUP(INDIRECT($C$5),Jornada!$C$8:$H$37,4,0))</f>
        <v>0</v>
      </c>
      <c r="AI17" s="155">
        <f ca="1">IF(AND(I17=0,J17=0,OR(H17&lt;&gt;0,K17&lt;&gt;0),HLOOKUP($F17,Jornada!$X$7:$AD$37,VLOOKUP(INDIRECT($C$5),Jornada!$C$8:$W$37,21,0),0)&gt;$AK$5,M17&gt;$AK$5),VLOOKUP(INDIRECT($C$5),Jornada!$C$8:$H$37,6,0),IF(AG17&gt;VLOOKUP(INDIRECT($C$5),Jornada!$C$8:$H$37,6,0),IF(VLOOKUP(INDIRECT($C$5),Jornada!$C$8:$H$37,6,0)&lt;AG17,0,ABS(VLOOKUP(INDIRECT($C$5),Jornada!$C$8:$H$37,6,0))-AG17),0))</f>
        <v>0</v>
      </c>
      <c r="AJ17" s="155">
        <f t="shared" si="5"/>
        <v>1</v>
      </c>
      <c r="AK17" s="155">
        <f t="shared" si="6"/>
        <v>0</v>
      </c>
      <c r="AL17" s="155">
        <f ca="1">HLOOKUP($F17,Jornada!$I$5:$V$37,VLOOKUP(INDIRECT($C$5),Jornada!$C$8:$W$37,21,0)+2,0)</f>
        <v>0</v>
      </c>
      <c r="AM17" s="155">
        <f ca="1">HLOOKUP($F17,Jornada!$I$4:$V$37,VLOOKUP(INDIRECT($C$5),Jornada!$C$8:$W$37,21,0)+3,0)</f>
        <v>0</v>
      </c>
      <c r="AN17" s="155">
        <f t="shared" ca="1" si="7"/>
        <v>0</v>
      </c>
      <c r="AO17" s="155">
        <f t="shared" si="8"/>
        <v>0</v>
      </c>
      <c r="AP17" s="155">
        <f t="shared" si="9"/>
        <v>0</v>
      </c>
      <c r="BE17" s="14"/>
      <c r="BF17" s="14"/>
      <c r="BG17" s="14"/>
    </row>
    <row r="18" spans="1:59" s="2" customFormat="1" ht="30" customHeight="1" thickTop="1" thickBot="1" x14ac:dyDescent="0.25">
      <c r="A18" s="1"/>
      <c r="B18"/>
      <c r="C18" s="172" t="str">
        <f>IF(Funcionários!C17=0,"",Funcionários!C17)</f>
        <v/>
      </c>
      <c r="D18"/>
      <c r="E18" s="115">
        <f>Lanç!E18</f>
        <v>11</v>
      </c>
      <c r="F18" s="189" t="str">
        <f>Lanç!F18</f>
        <v>Qua</v>
      </c>
      <c r="G18" s="81"/>
      <c r="H18" s="94"/>
      <c r="I18" s="94"/>
      <c r="J18" s="94"/>
      <c r="K18" s="94"/>
      <c r="L18" s="10"/>
      <c r="M18" s="95">
        <f t="shared" si="1"/>
        <v>0</v>
      </c>
      <c r="N18" s="96"/>
      <c r="O18" s="95">
        <f ca="1">IF(OR(G18=0,G18="Férias",G18="Falta Justificada",G18="Feriado",G18="Folga (DSR)"),0,IF(G18="Falta Injustificada",HLOOKUP($F18,Jornada!$X$7:$AD$37,VLOOKUP(INDIRECT($C$5),Jornada!$C$8:$W$37,21,0),0),IF(HLOOKUP($F18,Jornada!$X$7:$AD$37,VLOOKUP(INDIRECT($C$5),Jornada!$C$8:$W$37,21,0),0)-M18&gt;0,HLOOKUP($F18,Jornada!$X$7:$AD$37,VLOOKUP(INDIRECT($C$5),Jornada!$C$8:$W$37,21,0),0)-M18,0)))</f>
        <v>0</v>
      </c>
      <c r="P18" s="190">
        <f ca="1">IF(HLOOKUP($F18,Jornada!$X$7:$AD$37,VLOOKUP(INDIRECT($C$5),Jornada!$C$8:$W$37,21,0),0)-M18&lt;0,ABS(HLOOKUP($F18,Jornada!$X$7:$AD$37,VLOOKUP(INDIRECT($C$5),Jornada!$C$8:$W$37,21,0),0)-M18),0)</f>
        <v>0</v>
      </c>
      <c r="Q18" s="95">
        <f t="shared" si="0"/>
        <v>0</v>
      </c>
      <c r="R18" s="2">
        <f t="shared" si="2"/>
        <v>0</v>
      </c>
      <c r="S18" s="294" t="s">
        <v>69</v>
      </c>
      <c r="T18" s="294"/>
      <c r="U18" s="299">
        <f ca="1">F54</f>
        <v>0</v>
      </c>
      <c r="W18" s="2" t="s">
        <v>101</v>
      </c>
      <c r="X18" s="156">
        <v>12</v>
      </c>
      <c r="AB18" s="177">
        <f t="shared" si="10"/>
        <v>11</v>
      </c>
      <c r="AC18" s="2">
        <f t="shared" si="3"/>
        <v>4</v>
      </c>
      <c r="AG18" s="220">
        <f t="shared" si="4"/>
        <v>0</v>
      </c>
      <c r="AH18" s="220">
        <f ca="1">IF(HLOOKUP($F18,Jornada!$X$7:$AD$37,VLOOKUP(INDIRECT($C$5),Jornada!$C$8:$W$37,21,0),0)=0,0,VLOOKUP(INDIRECT($C$5),Jornada!$C$8:$H$37,4,0))</f>
        <v>0</v>
      </c>
      <c r="AI18" s="155">
        <f ca="1">IF(AND(I18=0,J18=0,OR(H18&lt;&gt;0,K18&lt;&gt;0),HLOOKUP($F18,Jornada!$X$7:$AD$37,VLOOKUP(INDIRECT($C$5),Jornada!$C$8:$W$37,21,0),0)&gt;$AK$5,M18&gt;$AK$5),VLOOKUP(INDIRECT($C$5),Jornada!$C$8:$H$37,6,0),IF(AG18&gt;VLOOKUP(INDIRECT($C$5),Jornada!$C$8:$H$37,6,0),IF(VLOOKUP(INDIRECT($C$5),Jornada!$C$8:$H$37,6,0)&lt;AG18,0,ABS(VLOOKUP(INDIRECT($C$5),Jornada!$C$8:$H$37,6,0))-AG18),0))</f>
        <v>0</v>
      </c>
      <c r="AJ18" s="155">
        <f t="shared" si="5"/>
        <v>1</v>
      </c>
      <c r="AK18" s="155">
        <f t="shared" si="6"/>
        <v>0</v>
      </c>
      <c r="AL18" s="155">
        <f ca="1">HLOOKUP($F18,Jornada!$I$5:$V$37,VLOOKUP(INDIRECT($C$5),Jornada!$C$8:$W$37,21,0)+2,0)</f>
        <v>0</v>
      </c>
      <c r="AM18" s="155">
        <f ca="1">HLOOKUP($F18,Jornada!$I$4:$V$37,VLOOKUP(INDIRECT($C$5),Jornada!$C$8:$W$37,21,0)+3,0)</f>
        <v>0</v>
      </c>
      <c r="AN18" s="155">
        <f t="shared" ca="1" si="7"/>
        <v>0</v>
      </c>
      <c r="AO18" s="155">
        <f t="shared" si="8"/>
        <v>0</v>
      </c>
      <c r="AP18" s="155">
        <f t="shared" si="9"/>
        <v>0</v>
      </c>
      <c r="BE18" s="14"/>
      <c r="BF18" s="14"/>
      <c r="BG18" s="14"/>
    </row>
    <row r="19" spans="1:59" s="2" customFormat="1" ht="30" customHeight="1" thickTop="1" thickBot="1" x14ac:dyDescent="0.25">
      <c r="A19" s="1"/>
      <c r="B19"/>
      <c r="C19" s="172" t="str">
        <f>IF(Funcionários!C18=0,"",Funcionários!C18)</f>
        <v/>
      </c>
      <c r="D19"/>
      <c r="E19" s="115">
        <f>Lanç!E19</f>
        <v>12</v>
      </c>
      <c r="F19" s="189" t="str">
        <f>Lanç!F19</f>
        <v>Qui</v>
      </c>
      <c r="G19" s="81"/>
      <c r="H19" s="94"/>
      <c r="I19" s="94"/>
      <c r="J19" s="94"/>
      <c r="K19" s="94"/>
      <c r="L19" s="10"/>
      <c r="M19" s="95">
        <f t="shared" si="1"/>
        <v>0</v>
      </c>
      <c r="N19" s="96"/>
      <c r="O19" s="95">
        <f ca="1">IF(OR(G19=0,G19="Férias",G19="Falta Justificada",G19="Feriado",G19="Folga (DSR)"),0,IF(G19="Falta Injustificada",HLOOKUP($F19,Jornada!$X$7:$AD$37,VLOOKUP(INDIRECT($C$5),Jornada!$C$8:$W$37,21,0),0),IF(HLOOKUP($F19,Jornada!$X$7:$AD$37,VLOOKUP(INDIRECT($C$5),Jornada!$C$8:$W$37,21,0),0)-M19&gt;0,HLOOKUP($F19,Jornada!$X$7:$AD$37,VLOOKUP(INDIRECT($C$5),Jornada!$C$8:$W$37,21,0),0)-M19,0)))</f>
        <v>0</v>
      </c>
      <c r="P19" s="190">
        <f ca="1">IF(HLOOKUP($F19,Jornada!$X$7:$AD$37,VLOOKUP(INDIRECT($C$5),Jornada!$C$8:$W$37,21,0),0)-M19&lt;0,ABS(HLOOKUP($F19,Jornada!$X$7:$AD$37,VLOOKUP(INDIRECT($C$5),Jornada!$C$8:$W$37,21,0),0)-M19),0)</f>
        <v>0</v>
      </c>
      <c r="Q19" s="95">
        <f t="shared" si="0"/>
        <v>0</v>
      </c>
      <c r="R19" s="2">
        <f t="shared" si="2"/>
        <v>0</v>
      </c>
      <c r="S19" s="294"/>
      <c r="T19" s="294"/>
      <c r="U19" s="299"/>
      <c r="X19" s="177"/>
      <c r="AB19" s="177">
        <f t="shared" si="10"/>
        <v>12</v>
      </c>
      <c r="AC19" s="2">
        <f t="shared" si="3"/>
        <v>5</v>
      </c>
      <c r="AG19" s="220">
        <f t="shared" si="4"/>
        <v>0</v>
      </c>
      <c r="AH19" s="220">
        <f ca="1">IF(HLOOKUP($F19,Jornada!$X$7:$AD$37,VLOOKUP(INDIRECT($C$5),Jornada!$C$8:$W$37,21,0),0)=0,0,VLOOKUP(INDIRECT($C$5),Jornada!$C$8:$H$37,4,0))</f>
        <v>0</v>
      </c>
      <c r="AI19" s="155">
        <f ca="1">IF(AND(I19=0,J19=0,OR(H19&lt;&gt;0,K19&lt;&gt;0),HLOOKUP($F19,Jornada!$X$7:$AD$37,VLOOKUP(INDIRECT($C$5),Jornada!$C$8:$W$37,21,0),0)&gt;$AK$5,M19&gt;$AK$5),VLOOKUP(INDIRECT($C$5),Jornada!$C$8:$H$37,6,0),IF(AG19&gt;VLOOKUP(INDIRECT($C$5),Jornada!$C$8:$H$37,6,0),IF(VLOOKUP(INDIRECT($C$5),Jornada!$C$8:$H$37,6,0)&lt;AG19,0,ABS(VLOOKUP(INDIRECT($C$5),Jornada!$C$8:$H$37,6,0))-AG19),0))</f>
        <v>0</v>
      </c>
      <c r="AJ19" s="155">
        <f t="shared" si="5"/>
        <v>1</v>
      </c>
      <c r="AK19" s="155">
        <f t="shared" si="6"/>
        <v>0</v>
      </c>
      <c r="AL19" s="155">
        <f ca="1">HLOOKUP($F19,Jornada!$I$5:$V$37,VLOOKUP(INDIRECT($C$5),Jornada!$C$8:$W$37,21,0)+2,0)</f>
        <v>0</v>
      </c>
      <c r="AM19" s="155">
        <f ca="1">HLOOKUP($F19,Jornada!$I$4:$V$37,VLOOKUP(INDIRECT($C$5),Jornada!$C$8:$W$37,21,0)+3,0)</f>
        <v>0</v>
      </c>
      <c r="AN19" s="155">
        <f t="shared" ca="1" si="7"/>
        <v>0</v>
      </c>
      <c r="AO19" s="155">
        <f t="shared" si="8"/>
        <v>0</v>
      </c>
      <c r="AP19" s="155">
        <f t="shared" si="9"/>
        <v>0</v>
      </c>
      <c r="BE19" s="14"/>
      <c r="BF19" s="14"/>
      <c r="BG19" s="14"/>
    </row>
    <row r="20" spans="1:59" s="2" customFormat="1" ht="30" customHeight="1" thickTop="1" thickBot="1" x14ac:dyDescent="0.25">
      <c r="A20" s="1"/>
      <c r="B20"/>
      <c r="C20" s="172" t="str">
        <f>IF(Funcionários!C19=0,"",Funcionários!C19)</f>
        <v/>
      </c>
      <c r="D20"/>
      <c r="E20" s="115">
        <f>Lanç!E20</f>
        <v>13</v>
      </c>
      <c r="F20" s="189" t="str">
        <f>Lanç!F20</f>
        <v>Sex</v>
      </c>
      <c r="G20" s="81"/>
      <c r="H20" s="94"/>
      <c r="I20" s="94"/>
      <c r="J20" s="94"/>
      <c r="K20" s="94"/>
      <c r="L20" s="10"/>
      <c r="M20" s="95">
        <f t="shared" si="1"/>
        <v>0</v>
      </c>
      <c r="N20" s="96"/>
      <c r="O20" s="95">
        <f ca="1">IF(OR(G20=0,G20="Férias",G20="Falta Justificada",G20="Feriado",G20="Folga (DSR)"),0,IF(G20="Falta Injustificada",HLOOKUP($F20,Jornada!$X$7:$AD$37,VLOOKUP(INDIRECT($C$5),Jornada!$C$8:$W$37,21,0),0),IF(HLOOKUP($F20,Jornada!$X$7:$AD$37,VLOOKUP(INDIRECT($C$5),Jornada!$C$8:$W$37,21,0),0)-M20&gt;0,HLOOKUP($F20,Jornada!$X$7:$AD$37,VLOOKUP(INDIRECT($C$5),Jornada!$C$8:$W$37,21,0),0)-M20,0)))</f>
        <v>0</v>
      </c>
      <c r="P20" s="190">
        <f ca="1">IF(HLOOKUP($F20,Jornada!$X$7:$AD$37,VLOOKUP(INDIRECT($C$5),Jornada!$C$8:$W$37,21,0),0)-M20&lt;0,ABS(HLOOKUP($F20,Jornada!$X$7:$AD$37,VLOOKUP(INDIRECT($C$5),Jornada!$C$8:$W$37,21,0),0)-M20),0)</f>
        <v>0</v>
      </c>
      <c r="Q20" s="95">
        <f t="shared" si="0"/>
        <v>0</v>
      </c>
      <c r="R20" s="2">
        <f t="shared" si="2"/>
        <v>0</v>
      </c>
      <c r="S20"/>
      <c r="T20"/>
      <c r="U20"/>
      <c r="X20" s="177"/>
      <c r="AB20" s="177">
        <f t="shared" si="10"/>
        <v>13</v>
      </c>
      <c r="AC20" s="2">
        <f t="shared" si="3"/>
        <v>6</v>
      </c>
      <c r="AG20" s="220">
        <f t="shared" si="4"/>
        <v>0</v>
      </c>
      <c r="AH20" s="220">
        <f ca="1">IF(HLOOKUP($F20,Jornada!$X$7:$AD$37,VLOOKUP(INDIRECT($C$5),Jornada!$C$8:$W$37,21,0),0)=0,0,VLOOKUP(INDIRECT($C$5),Jornada!$C$8:$H$37,4,0))</f>
        <v>0</v>
      </c>
      <c r="AI20" s="155">
        <f ca="1">IF(AND(I20=0,J20=0,OR(H20&lt;&gt;0,K20&lt;&gt;0),HLOOKUP($F20,Jornada!$X$7:$AD$37,VLOOKUP(INDIRECT($C$5),Jornada!$C$8:$W$37,21,0),0)&gt;$AK$5,M20&gt;$AK$5),VLOOKUP(INDIRECT($C$5),Jornada!$C$8:$H$37,6,0),IF(AG20&gt;VLOOKUP(INDIRECT($C$5),Jornada!$C$8:$H$37,6,0),IF(VLOOKUP(INDIRECT($C$5),Jornada!$C$8:$H$37,6,0)&lt;AG20,0,ABS(VLOOKUP(INDIRECT($C$5),Jornada!$C$8:$H$37,6,0))-AG20),0))</f>
        <v>0</v>
      </c>
      <c r="AJ20" s="155">
        <f t="shared" si="5"/>
        <v>1</v>
      </c>
      <c r="AK20" s="155">
        <f t="shared" si="6"/>
        <v>0</v>
      </c>
      <c r="AL20" s="155">
        <f ca="1">HLOOKUP($F20,Jornada!$I$5:$V$37,VLOOKUP(INDIRECT($C$5),Jornada!$C$8:$W$37,21,0)+2,0)</f>
        <v>0</v>
      </c>
      <c r="AM20" s="155">
        <f ca="1">HLOOKUP($F20,Jornada!$I$4:$V$37,VLOOKUP(INDIRECT($C$5),Jornada!$C$8:$W$37,21,0)+3,0)</f>
        <v>0</v>
      </c>
      <c r="AN20" s="155">
        <f t="shared" ca="1" si="7"/>
        <v>0</v>
      </c>
      <c r="AO20" s="155">
        <f t="shared" si="8"/>
        <v>0</v>
      </c>
      <c r="AP20" s="155">
        <f t="shared" si="9"/>
        <v>0</v>
      </c>
      <c r="BE20" s="14"/>
      <c r="BF20" s="14"/>
      <c r="BG20" s="14"/>
    </row>
    <row r="21" spans="1:59" s="2" customFormat="1" ht="30" customHeight="1" thickTop="1" thickBot="1" x14ac:dyDescent="0.25">
      <c r="A21" s="1"/>
      <c r="B21"/>
      <c r="C21" s="172" t="str">
        <f>IF(Funcionários!C20=0,"",Funcionários!C20)</f>
        <v/>
      </c>
      <c r="D21"/>
      <c r="E21" s="115">
        <f>Lanç!E21</f>
        <v>14</v>
      </c>
      <c r="F21" s="189" t="str">
        <f>Lanç!F21</f>
        <v>Sáb</v>
      </c>
      <c r="G21" s="81"/>
      <c r="H21" s="94"/>
      <c r="I21" s="94"/>
      <c r="J21" s="94"/>
      <c r="K21" s="94"/>
      <c r="L21" s="10"/>
      <c r="M21" s="95">
        <f t="shared" si="1"/>
        <v>0</v>
      </c>
      <c r="N21" s="96"/>
      <c r="O21" s="95">
        <f ca="1">IF(OR(G21=0,G21="Férias",G21="Falta Justificada",G21="Feriado",G21="Folga (DSR)"),0,IF(G21="Falta Injustificada",HLOOKUP($F21,Jornada!$X$7:$AD$37,VLOOKUP(INDIRECT($C$5),Jornada!$C$8:$W$37,21,0),0),IF(HLOOKUP($F21,Jornada!$X$7:$AD$37,VLOOKUP(INDIRECT($C$5),Jornada!$C$8:$W$37,21,0),0)-M21&gt;0,HLOOKUP($F21,Jornada!$X$7:$AD$37,VLOOKUP(INDIRECT($C$5),Jornada!$C$8:$W$37,21,0),0)-M21,0)))</f>
        <v>0</v>
      </c>
      <c r="P21" s="190">
        <f ca="1">IF(HLOOKUP($F21,Jornada!$X$7:$AD$37,VLOOKUP(INDIRECT($C$5),Jornada!$C$8:$W$37,21,0),0)-M21&lt;0,ABS(HLOOKUP($F21,Jornada!$X$7:$AD$37,VLOOKUP(INDIRECT($C$5),Jornada!$C$8:$W$37,21,0),0)-M21),0)</f>
        <v>0</v>
      </c>
      <c r="Q21" s="95">
        <f t="shared" si="0"/>
        <v>0</v>
      </c>
      <c r="R21" s="2">
        <f t="shared" si="2"/>
        <v>0</v>
      </c>
      <c r="S21"/>
      <c r="T21"/>
      <c r="U21"/>
      <c r="X21" s="177"/>
      <c r="AB21" s="177">
        <f t="shared" si="10"/>
        <v>14</v>
      </c>
      <c r="AC21" s="2">
        <f t="shared" si="3"/>
        <v>7</v>
      </c>
      <c r="AG21" s="220">
        <f t="shared" si="4"/>
        <v>0</v>
      </c>
      <c r="AH21" s="220">
        <f ca="1">IF(HLOOKUP($F21,Jornada!$X$7:$AD$37,VLOOKUP(INDIRECT($C$5),Jornada!$C$8:$W$37,21,0),0)=0,0,VLOOKUP(INDIRECT($C$5),Jornada!$C$8:$H$37,4,0))</f>
        <v>0</v>
      </c>
      <c r="AI21" s="155">
        <f ca="1">IF(AND(I21=0,J21=0,OR(H21&lt;&gt;0,K21&lt;&gt;0),HLOOKUP($F21,Jornada!$X$7:$AD$37,VLOOKUP(INDIRECT($C$5),Jornada!$C$8:$W$37,21,0),0)&gt;$AK$5,M21&gt;$AK$5),VLOOKUP(INDIRECT($C$5),Jornada!$C$8:$H$37,6,0),IF(AG21&gt;VLOOKUP(INDIRECT($C$5),Jornada!$C$8:$H$37,6,0),IF(VLOOKUP(INDIRECT($C$5),Jornada!$C$8:$H$37,6,0)&lt;AG21,0,ABS(VLOOKUP(INDIRECT($C$5),Jornada!$C$8:$H$37,6,0))-AG21),0))</f>
        <v>0</v>
      </c>
      <c r="AJ21" s="155">
        <f t="shared" si="5"/>
        <v>1</v>
      </c>
      <c r="AK21" s="155">
        <f t="shared" si="6"/>
        <v>0</v>
      </c>
      <c r="AL21" s="155">
        <f ca="1">HLOOKUP($F21,Jornada!$I$5:$V$37,VLOOKUP(INDIRECT($C$5),Jornada!$C$8:$W$37,21,0)+2,0)</f>
        <v>0</v>
      </c>
      <c r="AM21" s="155">
        <f ca="1">HLOOKUP($F21,Jornada!$I$4:$V$37,VLOOKUP(INDIRECT($C$5),Jornada!$C$8:$W$37,21,0)+3,0)</f>
        <v>0</v>
      </c>
      <c r="AN21" s="155">
        <f t="shared" ca="1" si="7"/>
        <v>0</v>
      </c>
      <c r="AO21" s="155">
        <f t="shared" si="8"/>
        <v>0</v>
      </c>
      <c r="AP21" s="155">
        <f t="shared" si="9"/>
        <v>0</v>
      </c>
      <c r="BE21" s="14"/>
      <c r="BF21" s="14"/>
      <c r="BG21" s="14"/>
    </row>
    <row r="22" spans="1:59" s="2" customFormat="1" ht="30" customHeight="1" thickTop="1" thickBot="1" x14ac:dyDescent="0.25">
      <c r="A22" s="1"/>
      <c r="B22"/>
      <c r="C22" s="172" t="str">
        <f>IF(Funcionários!C21=0,"",Funcionários!C21)</f>
        <v/>
      </c>
      <c r="D22"/>
      <c r="E22" s="115">
        <f>Lanç!E22</f>
        <v>15</v>
      </c>
      <c r="F22" s="189" t="str">
        <f>Lanç!F22</f>
        <v>Dom</v>
      </c>
      <c r="G22" s="81"/>
      <c r="H22" s="94"/>
      <c r="I22" s="94"/>
      <c r="J22" s="94"/>
      <c r="K22" s="94"/>
      <c r="L22" s="10"/>
      <c r="M22" s="95">
        <f t="shared" si="1"/>
        <v>0</v>
      </c>
      <c r="N22" s="96"/>
      <c r="O22" s="95">
        <f ca="1">IF(OR(G22=0,G22="Férias",G22="Falta Justificada",G22="Feriado",G22="Folga (DSR)"),0,IF(G22="Falta Injustificada",HLOOKUP($F22,Jornada!$X$7:$AD$37,VLOOKUP(INDIRECT($C$5),Jornada!$C$8:$W$37,21,0),0),IF(HLOOKUP($F22,Jornada!$X$7:$AD$37,VLOOKUP(INDIRECT($C$5),Jornada!$C$8:$W$37,21,0),0)-M22&gt;0,HLOOKUP($F22,Jornada!$X$7:$AD$37,VLOOKUP(INDIRECT($C$5),Jornada!$C$8:$W$37,21,0),0)-M22,0)))</f>
        <v>0</v>
      </c>
      <c r="P22" s="190">
        <f ca="1">IF(HLOOKUP($F22,Jornada!$X$7:$AD$37,VLOOKUP(INDIRECT($C$5),Jornada!$C$8:$W$37,21,0),0)-M22&lt;0,ABS(HLOOKUP($F22,Jornada!$X$7:$AD$37,VLOOKUP(INDIRECT($C$5),Jornada!$C$8:$W$37,21,0),0)-M22),0)</f>
        <v>0</v>
      </c>
      <c r="Q22" s="95">
        <f t="shared" si="0"/>
        <v>0</v>
      </c>
      <c r="R22" s="2">
        <f t="shared" si="2"/>
        <v>0</v>
      </c>
      <c r="S22" s="300" t="s">
        <v>63</v>
      </c>
      <c r="T22" s="301"/>
      <c r="U22" s="302"/>
      <c r="X22" s="177"/>
      <c r="AB22" s="177">
        <f t="shared" si="10"/>
        <v>15</v>
      </c>
      <c r="AC22" s="2">
        <f t="shared" si="3"/>
        <v>1</v>
      </c>
      <c r="AG22" s="220">
        <f t="shared" si="4"/>
        <v>0</v>
      </c>
      <c r="AH22" s="220">
        <f ca="1">IF(HLOOKUP($F22,Jornada!$X$7:$AD$37,VLOOKUP(INDIRECT($C$5),Jornada!$C$8:$W$37,21,0),0)=0,0,VLOOKUP(INDIRECT($C$5),Jornada!$C$8:$H$37,4,0))</f>
        <v>0</v>
      </c>
      <c r="AI22" s="155">
        <f ca="1">IF(AND(I22=0,J22=0,OR(H22&lt;&gt;0,K22&lt;&gt;0),HLOOKUP($F22,Jornada!$X$7:$AD$37,VLOOKUP(INDIRECT($C$5),Jornada!$C$8:$W$37,21,0),0)&gt;$AK$5,M22&gt;$AK$5),VLOOKUP(INDIRECT($C$5),Jornada!$C$8:$H$37,6,0),IF(AG22&gt;VLOOKUP(INDIRECT($C$5),Jornada!$C$8:$H$37,6,0),IF(VLOOKUP(INDIRECT($C$5),Jornada!$C$8:$H$37,6,0)&lt;AG22,0,ABS(VLOOKUP(INDIRECT($C$5),Jornada!$C$8:$H$37,6,0))-AG22),0))</f>
        <v>0</v>
      </c>
      <c r="AJ22" s="155">
        <f t="shared" si="5"/>
        <v>1</v>
      </c>
      <c r="AK22" s="155">
        <f t="shared" si="6"/>
        <v>0</v>
      </c>
      <c r="AL22" s="155">
        <f ca="1">HLOOKUP($F22,Jornada!$I$5:$V$37,VLOOKUP(INDIRECT($C$5),Jornada!$C$8:$W$37,21,0)+2,0)</f>
        <v>0</v>
      </c>
      <c r="AM22" s="155">
        <f ca="1">HLOOKUP($F22,Jornada!$I$4:$V$37,VLOOKUP(INDIRECT($C$5),Jornada!$C$8:$W$37,21,0)+3,0)</f>
        <v>0</v>
      </c>
      <c r="AN22" s="155">
        <f t="shared" ca="1" si="7"/>
        <v>0</v>
      </c>
      <c r="AO22" s="155">
        <f t="shared" si="8"/>
        <v>0</v>
      </c>
      <c r="AP22" s="155">
        <f t="shared" si="9"/>
        <v>0</v>
      </c>
      <c r="BE22" s="14"/>
      <c r="BF22" s="14"/>
      <c r="BG22" s="14"/>
    </row>
    <row r="23" spans="1:59" s="2" customFormat="1" ht="30" customHeight="1" thickTop="1" thickBot="1" x14ac:dyDescent="0.25">
      <c r="A23" s="1"/>
      <c r="B23"/>
      <c r="C23" s="172" t="str">
        <f>IF(Funcionários!C22=0,"",Funcionários!C22)</f>
        <v/>
      </c>
      <c r="D23"/>
      <c r="E23" s="115">
        <f>Lanç!E23</f>
        <v>16</v>
      </c>
      <c r="F23" s="189" t="str">
        <f>Lanç!F23</f>
        <v>Seg</v>
      </c>
      <c r="G23" s="81"/>
      <c r="H23" s="94"/>
      <c r="I23" s="94"/>
      <c r="J23" s="94"/>
      <c r="K23" s="94"/>
      <c r="L23" s="10"/>
      <c r="M23" s="95">
        <f t="shared" si="1"/>
        <v>0</v>
      </c>
      <c r="N23" s="96"/>
      <c r="O23" s="95">
        <f ca="1">IF(OR(G23=0,G23="Férias",G23="Falta Justificada",G23="Feriado",G23="Folga (DSR)"),0,IF(G23="Falta Injustificada",HLOOKUP($F23,Jornada!$X$7:$AD$37,VLOOKUP(INDIRECT($C$5),Jornada!$C$8:$W$37,21,0),0),IF(HLOOKUP($F23,Jornada!$X$7:$AD$37,VLOOKUP(INDIRECT($C$5),Jornada!$C$8:$W$37,21,0),0)-M23&gt;0,HLOOKUP($F23,Jornada!$X$7:$AD$37,VLOOKUP(INDIRECT($C$5),Jornada!$C$8:$W$37,21,0),0)-M23,0)))</f>
        <v>0</v>
      </c>
      <c r="P23" s="190">
        <f ca="1">IF(HLOOKUP($F23,Jornada!$X$7:$AD$37,VLOOKUP(INDIRECT($C$5),Jornada!$C$8:$W$37,21,0),0)-M23&lt;0,ABS(HLOOKUP($F23,Jornada!$X$7:$AD$37,VLOOKUP(INDIRECT($C$5),Jornada!$C$8:$W$37,21,0),0)-M23),0)</f>
        <v>0</v>
      </c>
      <c r="Q23" s="95">
        <f t="shared" si="0"/>
        <v>0</v>
      </c>
      <c r="R23" s="2">
        <f t="shared" si="2"/>
        <v>0</v>
      </c>
      <c r="S23" s="296" t="str">
        <f>IF(SUM(R8:R38)&gt;0,"Segundo o art 59 da CLT, o máximo de horas extras permitidas por dia são 2 horas.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T23" s="297"/>
      <c r="U23" s="298"/>
      <c r="X23" s="177"/>
      <c r="AB23" s="177">
        <f t="shared" si="10"/>
        <v>16</v>
      </c>
      <c r="AC23" s="2">
        <f t="shared" si="3"/>
        <v>2</v>
      </c>
      <c r="AG23" s="220">
        <f t="shared" si="4"/>
        <v>0</v>
      </c>
      <c r="AH23" s="220">
        <f ca="1">IF(HLOOKUP($F23,Jornada!$X$7:$AD$37,VLOOKUP(INDIRECT($C$5),Jornada!$C$8:$W$37,21,0),0)=0,0,VLOOKUP(INDIRECT($C$5),Jornada!$C$8:$H$37,4,0))</f>
        <v>0</v>
      </c>
      <c r="AI23" s="155">
        <f ca="1">IF(AND(I23=0,J23=0,OR(H23&lt;&gt;0,K23&lt;&gt;0),HLOOKUP($F23,Jornada!$X$7:$AD$37,VLOOKUP(INDIRECT($C$5),Jornada!$C$8:$W$37,21,0),0)&gt;$AK$5,M23&gt;$AK$5),VLOOKUP(INDIRECT($C$5),Jornada!$C$8:$H$37,6,0),IF(AG23&gt;VLOOKUP(INDIRECT($C$5),Jornada!$C$8:$H$37,6,0),IF(VLOOKUP(INDIRECT($C$5),Jornada!$C$8:$H$37,6,0)&lt;AG23,0,ABS(VLOOKUP(INDIRECT($C$5),Jornada!$C$8:$H$37,6,0))-AG23),0))</f>
        <v>0</v>
      </c>
      <c r="AJ23" s="155">
        <f t="shared" si="5"/>
        <v>1</v>
      </c>
      <c r="AK23" s="155">
        <f t="shared" si="6"/>
        <v>0</v>
      </c>
      <c r="AL23" s="155">
        <f ca="1">HLOOKUP($F23,Jornada!$I$5:$V$37,VLOOKUP(INDIRECT($C$5),Jornada!$C$8:$W$37,21,0)+2,0)</f>
        <v>0</v>
      </c>
      <c r="AM23" s="155">
        <f ca="1">HLOOKUP($F23,Jornada!$I$4:$V$37,VLOOKUP(INDIRECT($C$5),Jornada!$C$8:$W$37,21,0)+3,0)</f>
        <v>0</v>
      </c>
      <c r="AN23" s="155">
        <f t="shared" ca="1" si="7"/>
        <v>0</v>
      </c>
      <c r="AO23" s="155">
        <f t="shared" si="8"/>
        <v>0</v>
      </c>
      <c r="AP23" s="155">
        <f t="shared" si="9"/>
        <v>0</v>
      </c>
      <c r="BE23" s="14"/>
      <c r="BF23" s="14"/>
      <c r="BG23" s="14"/>
    </row>
    <row r="24" spans="1:59" s="2" customFormat="1" ht="30" customHeight="1" thickTop="1" thickBot="1" x14ac:dyDescent="0.25">
      <c r="A24" s="1"/>
      <c r="B24"/>
      <c r="C24" s="172" t="str">
        <f>IF(Funcionários!C23=0,"",Funcionários!C23)</f>
        <v/>
      </c>
      <c r="D24"/>
      <c r="E24" s="115">
        <f>Lanç!E24</f>
        <v>17</v>
      </c>
      <c r="F24" s="189" t="str">
        <f>Lanç!F24</f>
        <v>Ter</v>
      </c>
      <c r="G24" s="81"/>
      <c r="H24" s="94"/>
      <c r="I24" s="94"/>
      <c r="J24" s="94"/>
      <c r="K24" s="94"/>
      <c r="L24" s="10"/>
      <c r="M24" s="95">
        <f t="shared" si="1"/>
        <v>0</v>
      </c>
      <c r="N24" s="96"/>
      <c r="O24" s="95">
        <f ca="1">IF(OR(G24=0,G24="Férias",G24="Falta Justificada",G24="Feriado",G24="Folga (DSR)"),0,IF(G24="Falta Injustificada",HLOOKUP($F24,Jornada!$X$7:$AD$37,VLOOKUP(INDIRECT($C$5),Jornada!$C$8:$W$37,21,0),0),IF(HLOOKUP($F24,Jornada!$X$7:$AD$37,VLOOKUP(INDIRECT($C$5),Jornada!$C$8:$W$37,21,0),0)-M24&gt;0,HLOOKUP($F24,Jornada!$X$7:$AD$37,VLOOKUP(INDIRECT($C$5),Jornada!$C$8:$W$37,21,0),0)-M24,0)))</f>
        <v>0</v>
      </c>
      <c r="P24" s="190">
        <f ca="1">IF(HLOOKUP($F24,Jornada!$X$7:$AD$37,VLOOKUP(INDIRECT($C$5),Jornada!$C$8:$W$37,21,0),0)-M24&lt;0,ABS(HLOOKUP($F24,Jornada!$X$7:$AD$37,VLOOKUP(INDIRECT($C$5),Jornada!$C$8:$W$37,21,0),0)-M24),0)</f>
        <v>0</v>
      </c>
      <c r="Q24" s="95">
        <f t="shared" si="0"/>
        <v>0</v>
      </c>
      <c r="R24" s="2">
        <f t="shared" si="2"/>
        <v>0</v>
      </c>
      <c r="S24" s="296"/>
      <c r="T24" s="297"/>
      <c r="U24" s="298"/>
      <c r="X24" s="177"/>
      <c r="AB24" s="177">
        <f t="shared" si="10"/>
        <v>17</v>
      </c>
      <c r="AC24" s="2">
        <f t="shared" si="3"/>
        <v>3</v>
      </c>
      <c r="AG24" s="220">
        <f t="shared" si="4"/>
        <v>0</v>
      </c>
      <c r="AH24" s="220">
        <f ca="1">IF(HLOOKUP($F24,Jornada!$X$7:$AD$37,VLOOKUP(INDIRECT($C$5),Jornada!$C$8:$W$37,21,0),0)=0,0,VLOOKUP(INDIRECT($C$5),Jornada!$C$8:$H$37,4,0))</f>
        <v>0</v>
      </c>
      <c r="AI24" s="155">
        <f ca="1">IF(AND(I24=0,J24=0,OR(H24&lt;&gt;0,K24&lt;&gt;0),HLOOKUP($F24,Jornada!$X$7:$AD$37,VLOOKUP(INDIRECT($C$5),Jornada!$C$8:$W$37,21,0),0)&gt;$AK$5,M24&gt;$AK$5),VLOOKUP(INDIRECT($C$5),Jornada!$C$8:$H$37,6,0),IF(AG24&gt;VLOOKUP(INDIRECT($C$5),Jornada!$C$8:$H$37,6,0),IF(VLOOKUP(INDIRECT($C$5),Jornada!$C$8:$H$37,6,0)&lt;AG24,0,ABS(VLOOKUP(INDIRECT($C$5),Jornada!$C$8:$H$37,6,0))-AG24),0))</f>
        <v>0</v>
      </c>
      <c r="AJ24" s="155">
        <f t="shared" si="5"/>
        <v>1</v>
      </c>
      <c r="AK24" s="155">
        <f t="shared" si="6"/>
        <v>0</v>
      </c>
      <c r="AL24" s="155">
        <f ca="1">HLOOKUP($F24,Jornada!$I$5:$V$37,VLOOKUP(INDIRECT($C$5),Jornada!$C$8:$W$37,21,0)+2,0)</f>
        <v>0</v>
      </c>
      <c r="AM24" s="155">
        <f ca="1">HLOOKUP($F24,Jornada!$I$4:$V$37,VLOOKUP(INDIRECT($C$5),Jornada!$C$8:$W$37,21,0)+3,0)</f>
        <v>0</v>
      </c>
      <c r="AN24" s="155">
        <f t="shared" ca="1" si="7"/>
        <v>0</v>
      </c>
      <c r="AO24" s="155">
        <f t="shared" si="8"/>
        <v>0</v>
      </c>
      <c r="AP24" s="155">
        <f t="shared" si="9"/>
        <v>0</v>
      </c>
      <c r="BE24" s="14"/>
      <c r="BF24" s="14"/>
      <c r="BG24" s="14"/>
    </row>
    <row r="25" spans="1:59" s="2" customFormat="1" ht="30" customHeight="1" thickTop="1" thickBot="1" x14ac:dyDescent="0.25">
      <c r="A25" s="1"/>
      <c r="B25"/>
      <c r="C25" s="172" t="str">
        <f>IF(Funcionários!C24=0,"",Funcionários!C24)</f>
        <v/>
      </c>
      <c r="D25"/>
      <c r="E25" s="115">
        <f>Lanç!E25</f>
        <v>18</v>
      </c>
      <c r="F25" s="189" t="str">
        <f>Lanç!F25</f>
        <v>Qua</v>
      </c>
      <c r="G25" s="81"/>
      <c r="H25" s="94"/>
      <c r="I25" s="94"/>
      <c r="J25" s="94"/>
      <c r="K25" s="94"/>
      <c r="L25" s="10"/>
      <c r="M25" s="95">
        <f t="shared" si="1"/>
        <v>0</v>
      </c>
      <c r="N25" s="96"/>
      <c r="O25" s="95">
        <f ca="1">IF(OR(G25=0,G25="Férias",G25="Falta Justificada",G25="Feriado",G25="Folga (DSR)"),0,IF(G25="Falta Injustificada",HLOOKUP($F25,Jornada!$X$7:$AD$37,VLOOKUP(INDIRECT($C$5),Jornada!$C$8:$W$37,21,0),0),IF(HLOOKUP($F25,Jornada!$X$7:$AD$37,VLOOKUP(INDIRECT($C$5),Jornada!$C$8:$W$37,21,0),0)-M25&gt;0,HLOOKUP($F25,Jornada!$X$7:$AD$37,VLOOKUP(INDIRECT($C$5),Jornada!$C$8:$W$37,21,0),0)-M25,0)))</f>
        <v>0</v>
      </c>
      <c r="P25" s="190">
        <f ca="1">IF(HLOOKUP($F25,Jornada!$X$7:$AD$37,VLOOKUP(INDIRECT($C$5),Jornada!$C$8:$W$37,21,0),0)-M25&lt;0,ABS(HLOOKUP($F25,Jornada!$X$7:$AD$37,VLOOKUP(INDIRECT($C$5),Jornada!$C$8:$W$37,21,0),0)-M25),0)</f>
        <v>0</v>
      </c>
      <c r="Q25" s="95">
        <f t="shared" si="0"/>
        <v>0</v>
      </c>
      <c r="R25" s="2">
        <f t="shared" si="2"/>
        <v>0</v>
      </c>
      <c r="S25" s="296"/>
      <c r="T25" s="297"/>
      <c r="U25" s="298"/>
      <c r="X25" s="177"/>
      <c r="Z25" s="2">
        <f>IF(SUM(R8:R38)&gt;0,1,0)</f>
        <v>0</v>
      </c>
      <c r="AB25" s="177">
        <f t="shared" si="10"/>
        <v>18</v>
      </c>
      <c r="AC25" s="2">
        <f t="shared" si="3"/>
        <v>4</v>
      </c>
      <c r="AG25" s="220">
        <f t="shared" si="4"/>
        <v>0</v>
      </c>
      <c r="AH25" s="220">
        <f ca="1">IF(HLOOKUP($F25,Jornada!$X$7:$AD$37,VLOOKUP(INDIRECT($C$5),Jornada!$C$8:$W$37,21,0),0)=0,0,VLOOKUP(INDIRECT($C$5),Jornada!$C$8:$H$37,4,0))</f>
        <v>0</v>
      </c>
      <c r="AI25" s="155">
        <f ca="1">IF(AND(I25=0,J25=0,OR(H25&lt;&gt;0,K25&lt;&gt;0),HLOOKUP($F25,Jornada!$X$7:$AD$37,VLOOKUP(INDIRECT($C$5),Jornada!$C$8:$W$37,21,0),0)&gt;$AK$5,M25&gt;$AK$5),VLOOKUP(INDIRECT($C$5),Jornada!$C$8:$H$37,6,0),IF(AG25&gt;VLOOKUP(INDIRECT($C$5),Jornada!$C$8:$H$37,6,0),IF(VLOOKUP(INDIRECT($C$5),Jornada!$C$8:$H$37,6,0)&lt;AG25,0,ABS(VLOOKUP(INDIRECT($C$5),Jornada!$C$8:$H$37,6,0))-AG25),0))</f>
        <v>0</v>
      </c>
      <c r="AJ25" s="155">
        <f t="shared" si="5"/>
        <v>1</v>
      </c>
      <c r="AK25" s="155">
        <f t="shared" si="6"/>
        <v>0</v>
      </c>
      <c r="AL25" s="155">
        <f ca="1">HLOOKUP($F25,Jornada!$I$5:$V$37,VLOOKUP(INDIRECT($C$5),Jornada!$C$8:$W$37,21,0)+2,0)</f>
        <v>0</v>
      </c>
      <c r="AM25" s="155">
        <f ca="1">HLOOKUP($F25,Jornada!$I$4:$V$37,VLOOKUP(INDIRECT($C$5),Jornada!$C$8:$W$37,21,0)+3,0)</f>
        <v>0</v>
      </c>
      <c r="AN25" s="155">
        <f t="shared" ca="1" si="7"/>
        <v>0</v>
      </c>
      <c r="AO25" s="155">
        <f t="shared" si="8"/>
        <v>0</v>
      </c>
      <c r="AP25" s="155">
        <f t="shared" si="9"/>
        <v>0</v>
      </c>
      <c r="BE25" s="14"/>
      <c r="BF25" s="14"/>
      <c r="BG25" s="14"/>
    </row>
    <row r="26" spans="1:59" s="2" customFormat="1" ht="30" customHeight="1" thickTop="1" thickBot="1" x14ac:dyDescent="0.25">
      <c r="A26" s="1"/>
      <c r="B26"/>
      <c r="C26" s="172" t="str">
        <f>IF(Funcionários!C25=0,"",Funcionários!C25)</f>
        <v/>
      </c>
      <c r="D26"/>
      <c r="E26" s="115">
        <f>Lanç!E26</f>
        <v>19</v>
      </c>
      <c r="F26" s="189" t="str">
        <f>Lanç!F26</f>
        <v>Qui</v>
      </c>
      <c r="G26" s="81"/>
      <c r="H26" s="94"/>
      <c r="I26" s="94"/>
      <c r="J26" s="94"/>
      <c r="K26" s="94"/>
      <c r="L26" s="10"/>
      <c r="M26" s="95">
        <f t="shared" si="1"/>
        <v>0</v>
      </c>
      <c r="N26" s="96"/>
      <c r="O26" s="95">
        <f ca="1">IF(OR(G26=0,G26="Férias",G26="Falta Justificada",G26="Feriado",G26="Folga (DSR)"),0,IF(G26="Falta Injustificada",HLOOKUP($F26,Jornada!$X$7:$AD$37,VLOOKUP(INDIRECT($C$5),Jornada!$C$8:$W$37,21,0),0),IF(HLOOKUP($F26,Jornada!$X$7:$AD$37,VLOOKUP(INDIRECT($C$5),Jornada!$C$8:$W$37,21,0),0)-M26&gt;0,HLOOKUP($F26,Jornada!$X$7:$AD$37,VLOOKUP(INDIRECT($C$5),Jornada!$C$8:$W$37,21,0),0)-M26,0)))</f>
        <v>0</v>
      </c>
      <c r="P26" s="190">
        <f ca="1">IF(HLOOKUP($F26,Jornada!$X$7:$AD$37,VLOOKUP(INDIRECT($C$5),Jornada!$C$8:$W$37,21,0),0)-M26&lt;0,ABS(HLOOKUP($F26,Jornada!$X$7:$AD$37,VLOOKUP(INDIRECT($C$5),Jornada!$C$8:$W$37,21,0),0)-M26),0)</f>
        <v>0</v>
      </c>
      <c r="Q26" s="95">
        <f t="shared" si="0"/>
        <v>0</v>
      </c>
      <c r="R26" s="2">
        <f t="shared" si="2"/>
        <v>0</v>
      </c>
      <c r="S26" s="296" t="str">
        <f>IF(COUNTIF(G8:G38,"Folga (DSR)")&lt;DAY(E39)/8,"O mês não está contemplando um DSR (Descanso Semanal Remunerado) por semana. Isso pode configurar uma irregularidade segundo as leis trabalhistas.","Parabéns!! Sua folha de pagamento contempla uma DSR por semana conforme a lei trabalhista.")</f>
        <v>O mês não está contemplando um DSR (Descanso Semanal Remunerado) por semana. Isso pode configurar uma irregularidade segundo as leis trabalhistas.</v>
      </c>
      <c r="T26" s="297"/>
      <c r="U26" s="298"/>
      <c r="X26" s="177"/>
      <c r="AB26" s="177">
        <f t="shared" si="10"/>
        <v>19</v>
      </c>
      <c r="AC26" s="2">
        <f t="shared" si="3"/>
        <v>5</v>
      </c>
      <c r="AG26" s="220">
        <f t="shared" si="4"/>
        <v>0</v>
      </c>
      <c r="AH26" s="220">
        <f ca="1">IF(HLOOKUP($F26,Jornada!$X$7:$AD$37,VLOOKUP(INDIRECT($C$5),Jornada!$C$8:$W$37,21,0),0)=0,0,VLOOKUP(INDIRECT($C$5),Jornada!$C$8:$H$37,4,0))</f>
        <v>0</v>
      </c>
      <c r="AI26" s="155">
        <f ca="1">IF(AND(I26=0,J26=0,OR(H26&lt;&gt;0,K26&lt;&gt;0),HLOOKUP($F26,Jornada!$X$7:$AD$37,VLOOKUP(INDIRECT($C$5),Jornada!$C$8:$W$37,21,0),0)&gt;$AK$5,M26&gt;$AK$5),VLOOKUP(INDIRECT($C$5),Jornada!$C$8:$H$37,6,0),IF(AG26&gt;VLOOKUP(INDIRECT($C$5),Jornada!$C$8:$H$37,6,0),IF(VLOOKUP(INDIRECT($C$5),Jornada!$C$8:$H$37,6,0)&lt;AG26,0,ABS(VLOOKUP(INDIRECT($C$5),Jornada!$C$8:$H$37,6,0))-AG26),0))</f>
        <v>0</v>
      </c>
      <c r="AJ26" s="155">
        <f t="shared" si="5"/>
        <v>1</v>
      </c>
      <c r="AK26" s="155">
        <f t="shared" si="6"/>
        <v>0</v>
      </c>
      <c r="AL26" s="155">
        <f ca="1">HLOOKUP($F26,Jornada!$I$5:$V$37,VLOOKUP(INDIRECT($C$5),Jornada!$C$8:$W$37,21,0)+2,0)</f>
        <v>0</v>
      </c>
      <c r="AM26" s="155">
        <f ca="1">HLOOKUP($F26,Jornada!$I$4:$V$37,VLOOKUP(INDIRECT($C$5),Jornada!$C$8:$W$37,21,0)+3,0)</f>
        <v>0</v>
      </c>
      <c r="AN26" s="155">
        <f t="shared" ca="1" si="7"/>
        <v>0</v>
      </c>
      <c r="AO26" s="155">
        <f t="shared" si="8"/>
        <v>0</v>
      </c>
      <c r="AP26" s="155">
        <f t="shared" si="9"/>
        <v>0</v>
      </c>
      <c r="BE26" s="14"/>
      <c r="BF26" s="14"/>
      <c r="BG26" s="14"/>
    </row>
    <row r="27" spans="1:59" s="2" customFormat="1" ht="30" customHeight="1" thickTop="1" thickBot="1" x14ac:dyDescent="0.25">
      <c r="A27" s="1"/>
      <c r="B27"/>
      <c r="C27" s="172" t="str">
        <f>IF(Funcionários!C26=0,"",Funcionários!C26)</f>
        <v/>
      </c>
      <c r="D27"/>
      <c r="E27" s="115">
        <f>Lanç!E27</f>
        <v>20</v>
      </c>
      <c r="F27" s="189" t="str">
        <f>Lanç!F27</f>
        <v>Sex</v>
      </c>
      <c r="G27" s="81"/>
      <c r="H27" s="94"/>
      <c r="I27" s="94"/>
      <c r="J27" s="94"/>
      <c r="K27" s="94"/>
      <c r="L27" s="10"/>
      <c r="M27" s="95">
        <f t="shared" si="1"/>
        <v>0</v>
      </c>
      <c r="N27" s="96"/>
      <c r="O27" s="95">
        <f ca="1">IF(OR(G27=0,G27="Férias",G27="Falta Justificada",G27="Feriado",G27="Folga (DSR)"),0,IF(G27="Falta Injustificada",HLOOKUP($F27,Jornada!$X$7:$AD$37,VLOOKUP(INDIRECT($C$5),Jornada!$C$8:$W$37,21,0),0),IF(HLOOKUP($F27,Jornada!$X$7:$AD$37,VLOOKUP(INDIRECT($C$5),Jornada!$C$8:$W$37,21,0),0)-M27&gt;0,HLOOKUP($F27,Jornada!$X$7:$AD$37,VLOOKUP(INDIRECT($C$5),Jornada!$C$8:$W$37,21,0),0)-M27,0)))</f>
        <v>0</v>
      </c>
      <c r="P27" s="190">
        <f ca="1">IF(HLOOKUP($F27,Jornada!$X$7:$AD$37,VLOOKUP(INDIRECT($C$5),Jornada!$C$8:$W$37,21,0),0)-M27&lt;0,ABS(HLOOKUP($F27,Jornada!$X$7:$AD$37,VLOOKUP(INDIRECT($C$5),Jornada!$C$8:$W$37,21,0),0)-M27),0)</f>
        <v>0</v>
      </c>
      <c r="Q27" s="95">
        <f t="shared" si="0"/>
        <v>0</v>
      </c>
      <c r="R27" s="2">
        <f t="shared" si="2"/>
        <v>0</v>
      </c>
      <c r="S27" s="296"/>
      <c r="T27" s="297"/>
      <c r="U27" s="298"/>
      <c r="X27" s="177"/>
      <c r="AB27" s="177">
        <f t="shared" si="10"/>
        <v>20</v>
      </c>
      <c r="AC27" s="2">
        <f t="shared" si="3"/>
        <v>6</v>
      </c>
      <c r="AG27" s="220">
        <f t="shared" si="4"/>
        <v>0</v>
      </c>
      <c r="AH27" s="220">
        <f ca="1">IF(HLOOKUP($F27,Jornada!$X$7:$AD$37,VLOOKUP(INDIRECT($C$5),Jornada!$C$8:$W$37,21,0),0)=0,0,VLOOKUP(INDIRECT($C$5),Jornada!$C$8:$H$37,4,0))</f>
        <v>0</v>
      </c>
      <c r="AI27" s="155">
        <f ca="1">IF(AND(I27=0,J27=0,OR(H27&lt;&gt;0,K27&lt;&gt;0),HLOOKUP($F27,Jornada!$X$7:$AD$37,VLOOKUP(INDIRECT($C$5),Jornada!$C$8:$W$37,21,0),0)&gt;$AK$5,M27&gt;$AK$5),VLOOKUP(INDIRECT($C$5),Jornada!$C$8:$H$37,6,0),IF(AG27&gt;VLOOKUP(INDIRECT($C$5),Jornada!$C$8:$H$37,6,0),IF(VLOOKUP(INDIRECT($C$5),Jornada!$C$8:$H$37,6,0)&lt;AG27,0,ABS(VLOOKUP(INDIRECT($C$5),Jornada!$C$8:$H$37,6,0))-AG27),0))</f>
        <v>0</v>
      </c>
      <c r="AJ27" s="155">
        <f t="shared" si="5"/>
        <v>1</v>
      </c>
      <c r="AK27" s="155">
        <f t="shared" si="6"/>
        <v>0</v>
      </c>
      <c r="AL27" s="155">
        <f ca="1">HLOOKUP($F27,Jornada!$I$5:$V$37,VLOOKUP(INDIRECT($C$5),Jornada!$C$8:$W$37,21,0)+2,0)</f>
        <v>0</v>
      </c>
      <c r="AM27" s="155">
        <f ca="1">HLOOKUP($F27,Jornada!$I$4:$V$37,VLOOKUP(INDIRECT($C$5),Jornada!$C$8:$W$37,21,0)+3,0)</f>
        <v>0</v>
      </c>
      <c r="AN27" s="155">
        <f t="shared" ca="1" si="7"/>
        <v>0</v>
      </c>
      <c r="AO27" s="155">
        <f t="shared" si="8"/>
        <v>0</v>
      </c>
      <c r="AP27" s="155">
        <f t="shared" si="9"/>
        <v>0</v>
      </c>
    </row>
    <row r="28" spans="1:59" s="2" customFormat="1" ht="30" customHeight="1" thickTop="1" thickBot="1" x14ac:dyDescent="0.25">
      <c r="A28" s="1"/>
      <c r="B28"/>
      <c r="C28" s="172" t="str">
        <f>IF(Funcionários!C27=0,"",Funcionários!C27)</f>
        <v/>
      </c>
      <c r="D28"/>
      <c r="E28" s="115">
        <f>Lanç!E28</f>
        <v>21</v>
      </c>
      <c r="F28" s="189" t="str">
        <f>Lanç!F28</f>
        <v>Sáb</v>
      </c>
      <c r="G28" s="81"/>
      <c r="H28" s="94"/>
      <c r="I28" s="94"/>
      <c r="J28" s="94"/>
      <c r="K28" s="94"/>
      <c r="L28" s="10"/>
      <c r="M28" s="95">
        <f t="shared" si="1"/>
        <v>0</v>
      </c>
      <c r="N28" s="96"/>
      <c r="O28" s="95">
        <f ca="1">IF(OR(G28=0,G28="Férias",G28="Falta Justificada",G28="Feriado",G28="Folga (DSR)"),0,IF(G28="Falta Injustificada",HLOOKUP($F28,Jornada!$X$7:$AD$37,VLOOKUP(INDIRECT($C$5),Jornada!$C$8:$W$37,21,0),0),IF(HLOOKUP($F28,Jornada!$X$7:$AD$37,VLOOKUP(INDIRECT($C$5),Jornada!$C$8:$W$37,21,0),0)-M28&gt;0,HLOOKUP($F28,Jornada!$X$7:$AD$37,VLOOKUP(INDIRECT($C$5),Jornada!$C$8:$W$37,21,0),0)-M28,0)))</f>
        <v>0</v>
      </c>
      <c r="P28" s="190">
        <f ca="1">IF(HLOOKUP($F28,Jornada!$X$7:$AD$37,VLOOKUP(INDIRECT($C$5),Jornada!$C$8:$W$37,21,0),0)-M28&lt;0,ABS(HLOOKUP($F28,Jornada!$X$7:$AD$37,VLOOKUP(INDIRECT($C$5),Jornada!$C$8:$W$37,21,0),0)-M28),0)</f>
        <v>0</v>
      </c>
      <c r="Q28" s="95">
        <f t="shared" si="0"/>
        <v>0</v>
      </c>
      <c r="R28" s="2">
        <f t="shared" si="2"/>
        <v>0</v>
      </c>
      <c r="S28" s="296"/>
      <c r="T28" s="297"/>
      <c r="U28" s="298"/>
      <c r="X28" s="177"/>
      <c r="AB28" s="177">
        <f t="shared" si="10"/>
        <v>21</v>
      </c>
      <c r="AC28" s="2">
        <f t="shared" si="3"/>
        <v>7</v>
      </c>
      <c r="AG28" s="220">
        <f t="shared" si="4"/>
        <v>0</v>
      </c>
      <c r="AH28" s="220">
        <f ca="1">IF(HLOOKUP($F28,Jornada!$X$7:$AD$37,VLOOKUP(INDIRECT($C$5),Jornada!$C$8:$W$37,21,0),0)=0,0,VLOOKUP(INDIRECT($C$5),Jornada!$C$8:$H$37,4,0))</f>
        <v>0</v>
      </c>
      <c r="AI28" s="155">
        <f ca="1">IF(AND(I28=0,J28=0,OR(H28&lt;&gt;0,K28&lt;&gt;0),HLOOKUP($F28,Jornada!$X$7:$AD$37,VLOOKUP(INDIRECT($C$5),Jornada!$C$8:$W$37,21,0),0)&gt;$AK$5,M28&gt;$AK$5),VLOOKUP(INDIRECT($C$5),Jornada!$C$8:$H$37,6,0),IF(AG28&gt;VLOOKUP(INDIRECT($C$5),Jornada!$C$8:$H$37,6,0),IF(VLOOKUP(INDIRECT($C$5),Jornada!$C$8:$H$37,6,0)&lt;AG28,0,ABS(VLOOKUP(INDIRECT($C$5),Jornada!$C$8:$H$37,6,0))-AG28),0))</f>
        <v>0</v>
      </c>
      <c r="AJ28" s="155">
        <f t="shared" si="5"/>
        <v>1</v>
      </c>
      <c r="AK28" s="155">
        <f t="shared" si="6"/>
        <v>0</v>
      </c>
      <c r="AL28" s="155">
        <f ca="1">HLOOKUP($F28,Jornada!$I$5:$V$37,VLOOKUP(INDIRECT($C$5),Jornada!$C$8:$W$37,21,0)+2,0)</f>
        <v>0</v>
      </c>
      <c r="AM28" s="155">
        <f ca="1">HLOOKUP($F28,Jornada!$I$4:$V$37,VLOOKUP(INDIRECT($C$5),Jornada!$C$8:$W$37,21,0)+3,0)</f>
        <v>0</v>
      </c>
      <c r="AN28" s="155">
        <f t="shared" ca="1" si="7"/>
        <v>0</v>
      </c>
      <c r="AO28" s="155">
        <f t="shared" si="8"/>
        <v>0</v>
      </c>
      <c r="AP28" s="155">
        <f t="shared" si="9"/>
        <v>0</v>
      </c>
    </row>
    <row r="29" spans="1:59" s="2" customFormat="1" ht="30" customHeight="1" thickTop="1" thickBot="1" x14ac:dyDescent="0.25">
      <c r="A29" s="1"/>
      <c r="B29"/>
      <c r="C29" s="172" t="str">
        <f>IF(Funcionários!C28=0,"",Funcionários!C28)</f>
        <v/>
      </c>
      <c r="D29"/>
      <c r="E29" s="115">
        <f>Lanç!E29</f>
        <v>22</v>
      </c>
      <c r="F29" s="189" t="str">
        <f>Lanç!F29</f>
        <v>Dom</v>
      </c>
      <c r="G29" s="81"/>
      <c r="H29" s="94"/>
      <c r="I29" s="94"/>
      <c r="J29" s="94"/>
      <c r="K29" s="94"/>
      <c r="L29" s="10"/>
      <c r="M29" s="95">
        <f t="shared" si="1"/>
        <v>0</v>
      </c>
      <c r="N29" s="96"/>
      <c r="O29" s="95">
        <f ca="1">IF(OR(G29=0,G29="Férias",G29="Falta Justificada",G29="Feriado",G29="Folga (DSR)"),0,IF(G29="Falta Injustificada",HLOOKUP($F29,Jornada!$X$7:$AD$37,VLOOKUP(INDIRECT($C$5),Jornada!$C$8:$W$37,21,0),0),IF(HLOOKUP($F29,Jornada!$X$7:$AD$37,VLOOKUP(INDIRECT($C$5),Jornada!$C$8:$W$37,21,0),0)-M29&gt;0,HLOOKUP($F29,Jornada!$X$7:$AD$37,VLOOKUP(INDIRECT($C$5),Jornada!$C$8:$W$37,21,0),0)-M29,0)))</f>
        <v>0</v>
      </c>
      <c r="P29" s="190">
        <f ca="1">IF(HLOOKUP($F29,Jornada!$X$7:$AD$37,VLOOKUP(INDIRECT($C$5),Jornada!$C$8:$W$37,21,0),0)-M29&lt;0,ABS(HLOOKUP($F29,Jornada!$X$7:$AD$37,VLOOKUP(INDIRECT($C$5),Jornada!$C$8:$W$37,21,0),0)-M29),0)</f>
        <v>0</v>
      </c>
      <c r="Q29" s="95">
        <f t="shared" si="0"/>
        <v>0</v>
      </c>
      <c r="R29" s="2">
        <f t="shared" si="2"/>
        <v>0</v>
      </c>
      <c r="S29" s="13"/>
      <c r="T29" s="74"/>
      <c r="U29" s="74"/>
      <c r="X29" s="177"/>
      <c r="AB29" s="177">
        <f t="shared" si="10"/>
        <v>22</v>
      </c>
      <c r="AC29" s="2">
        <f t="shared" si="3"/>
        <v>1</v>
      </c>
      <c r="AG29" s="220">
        <f t="shared" si="4"/>
        <v>0</v>
      </c>
      <c r="AH29" s="220">
        <f ca="1">IF(HLOOKUP($F29,Jornada!$X$7:$AD$37,VLOOKUP(INDIRECT($C$5),Jornada!$C$8:$W$37,21,0),0)=0,0,VLOOKUP(INDIRECT($C$5),Jornada!$C$8:$H$37,4,0))</f>
        <v>0</v>
      </c>
      <c r="AI29" s="155">
        <f ca="1">IF(AND(I29=0,J29=0,OR(H29&lt;&gt;0,K29&lt;&gt;0),HLOOKUP($F29,Jornada!$X$7:$AD$37,VLOOKUP(INDIRECT($C$5),Jornada!$C$8:$W$37,21,0),0)&gt;$AK$5,M29&gt;$AK$5),VLOOKUP(INDIRECT($C$5),Jornada!$C$8:$H$37,6,0),IF(AG29&gt;VLOOKUP(INDIRECT($C$5),Jornada!$C$8:$H$37,6,0),IF(VLOOKUP(INDIRECT($C$5),Jornada!$C$8:$H$37,6,0)&lt;AG29,0,ABS(VLOOKUP(INDIRECT($C$5),Jornada!$C$8:$H$37,6,0))-AG29),0))</f>
        <v>0</v>
      </c>
      <c r="AJ29" s="155">
        <f t="shared" si="5"/>
        <v>1</v>
      </c>
      <c r="AK29" s="155">
        <f t="shared" si="6"/>
        <v>0</v>
      </c>
      <c r="AL29" s="155">
        <f ca="1">HLOOKUP($F29,Jornada!$I$5:$V$37,VLOOKUP(INDIRECT($C$5),Jornada!$C$8:$W$37,21,0)+2,0)</f>
        <v>0</v>
      </c>
      <c r="AM29" s="155">
        <f ca="1">HLOOKUP($F29,Jornada!$I$4:$V$37,VLOOKUP(INDIRECT($C$5),Jornada!$C$8:$W$37,21,0)+3,0)</f>
        <v>0</v>
      </c>
      <c r="AN29" s="155">
        <f t="shared" ca="1" si="7"/>
        <v>0</v>
      </c>
      <c r="AO29" s="155">
        <f t="shared" si="8"/>
        <v>0</v>
      </c>
      <c r="AP29" s="155">
        <f t="shared" si="9"/>
        <v>0</v>
      </c>
    </row>
    <row r="30" spans="1:59" s="2" customFormat="1" ht="30" customHeight="1" thickTop="1" thickBot="1" x14ac:dyDescent="0.25">
      <c r="A30" s="1"/>
      <c r="B30"/>
      <c r="C30" s="171" t="str">
        <f>IF(Funcionários!C29=0,"",Funcionários!C29)</f>
        <v/>
      </c>
      <c r="D30"/>
      <c r="E30" s="173">
        <f>Lanç!E30</f>
        <v>23</v>
      </c>
      <c r="F30" s="189" t="str">
        <f>Lanç!F30</f>
        <v>Seg</v>
      </c>
      <c r="G30" s="81"/>
      <c r="H30" s="94"/>
      <c r="I30" s="94"/>
      <c r="J30" s="94"/>
      <c r="K30" s="94"/>
      <c r="L30" s="10"/>
      <c r="M30" s="95">
        <f t="shared" si="1"/>
        <v>0</v>
      </c>
      <c r="N30" s="96"/>
      <c r="O30" s="95">
        <f ca="1">IF(OR(G30=0,G30="Férias",G30="Falta Justificada",G30="Feriado",G30="Folga (DSR)"),0,IF(G30="Falta Injustificada",HLOOKUP($F30,Jornada!$X$7:$AD$37,VLOOKUP(INDIRECT($C$5),Jornada!$C$8:$W$37,21,0),0),IF(HLOOKUP($F30,Jornada!$X$7:$AD$37,VLOOKUP(INDIRECT($C$5),Jornada!$C$8:$W$37,21,0),0)-M30&gt;0,HLOOKUP($F30,Jornada!$X$7:$AD$37,VLOOKUP(INDIRECT($C$5),Jornada!$C$8:$W$37,21,0),0)-M30,0)))</f>
        <v>0</v>
      </c>
      <c r="P30" s="190">
        <f ca="1">IF(HLOOKUP($F30,Jornada!$X$7:$AD$37,VLOOKUP(INDIRECT($C$5),Jornada!$C$8:$W$37,21,0),0)-M30&lt;0,ABS(HLOOKUP($F30,Jornada!$X$7:$AD$37,VLOOKUP(INDIRECT($C$5),Jornada!$C$8:$W$37,21,0),0)-M30),0)</f>
        <v>0</v>
      </c>
      <c r="Q30" s="95">
        <f t="shared" si="0"/>
        <v>0</v>
      </c>
      <c r="R30" s="2">
        <f>IF(Q30&gt;$R$7,1,0)</f>
        <v>0</v>
      </c>
      <c r="S30" s="13"/>
      <c r="T30" s="74"/>
      <c r="U30" s="74"/>
      <c r="X30" s="177"/>
      <c r="AB30" s="177">
        <f t="shared" si="10"/>
        <v>23</v>
      </c>
      <c r="AC30" s="2">
        <f>WEEKDAY(AB30)</f>
        <v>2</v>
      </c>
      <c r="AG30" s="220">
        <f t="shared" si="4"/>
        <v>0</v>
      </c>
      <c r="AH30" s="220">
        <f ca="1">IF(HLOOKUP($F30,Jornada!$X$7:$AD$37,VLOOKUP(INDIRECT($C$5),Jornada!$C$8:$W$37,21,0),0)=0,0,VLOOKUP(INDIRECT($C$5),Jornada!$C$8:$H$37,4,0))</f>
        <v>0</v>
      </c>
      <c r="AI30" s="155">
        <f ca="1">IF(AND(I30=0,J30=0,OR(H30&lt;&gt;0,K30&lt;&gt;0),HLOOKUP($F30,Jornada!$X$7:$AD$37,VLOOKUP(INDIRECT($C$5),Jornada!$C$8:$W$37,21,0),0)&gt;$AK$5,M30&gt;$AK$5),VLOOKUP(INDIRECT($C$5),Jornada!$C$8:$H$37,6,0),IF(AG30&gt;VLOOKUP(INDIRECT($C$5),Jornada!$C$8:$H$37,6,0),IF(VLOOKUP(INDIRECT($C$5),Jornada!$C$8:$H$37,6,0)&lt;AG30,0,ABS(VLOOKUP(INDIRECT($C$5),Jornada!$C$8:$H$37,6,0))-AG30),0))</f>
        <v>0</v>
      </c>
      <c r="AJ30" s="155">
        <f>($AJ$7-K30)+H30</f>
        <v>1</v>
      </c>
      <c r="AK30" s="155">
        <f>IF(AJ30&lt;$AK$7,$AK$7-AJ30,$AI$7)</f>
        <v>0</v>
      </c>
      <c r="AL30" s="155">
        <f ca="1">HLOOKUP($F30,Jornada!$I$5:$V$37,VLOOKUP(INDIRECT($C$5),Jornada!$C$8:$W$37,21,0)+2,0)</f>
        <v>0</v>
      </c>
      <c r="AM30" s="155">
        <f ca="1">HLOOKUP($F30,Jornada!$I$4:$V$37,VLOOKUP(INDIRECT($C$5),Jornada!$C$8:$W$37,21,0)+3,0)</f>
        <v>0</v>
      </c>
      <c r="AN30" s="155">
        <f t="shared" ca="1" si="7"/>
        <v>0</v>
      </c>
      <c r="AO30" s="155">
        <f t="shared" si="8"/>
        <v>0</v>
      </c>
      <c r="AP30" s="155">
        <f t="shared" si="9"/>
        <v>0</v>
      </c>
    </row>
    <row r="31" spans="1:59" s="2" customFormat="1" ht="30" customHeight="1" thickTop="1" thickBot="1" x14ac:dyDescent="0.25">
      <c r="A31" s="1"/>
      <c r="B31"/>
      <c r="C31" s="172" t="str">
        <f>IF(Funcionários!C30=0,"",Funcionários!C30)</f>
        <v/>
      </c>
      <c r="D31"/>
      <c r="E31" s="173">
        <f>Lanç!E31</f>
        <v>24</v>
      </c>
      <c r="F31" s="189" t="str">
        <f>Lanç!F31</f>
        <v>Ter</v>
      </c>
      <c r="G31" s="81"/>
      <c r="H31" s="94"/>
      <c r="I31" s="94"/>
      <c r="J31" s="94"/>
      <c r="K31" s="94"/>
      <c r="L31" s="10"/>
      <c r="M31" s="95">
        <f t="shared" si="1"/>
        <v>0</v>
      </c>
      <c r="N31" s="96"/>
      <c r="O31" s="95">
        <f ca="1">IF(OR(G31=0,G31="Férias",G31="Falta Justificada",G31="Feriado",G31="Folga (DSR)"),0,IF(G31="Falta Injustificada",HLOOKUP($F31,Jornada!$X$7:$AD$37,VLOOKUP(INDIRECT($C$5),Jornada!$C$8:$W$37,21,0),0),IF(HLOOKUP($F31,Jornada!$X$7:$AD$37,VLOOKUP(INDIRECT($C$5),Jornada!$C$8:$W$37,21,0),0)-M31&gt;0,HLOOKUP($F31,Jornada!$X$7:$AD$37,VLOOKUP(INDIRECT($C$5),Jornada!$C$8:$W$37,21,0),0)-M31,0)))</f>
        <v>0</v>
      </c>
      <c r="P31" s="190">
        <f ca="1">IF(HLOOKUP($F31,Jornada!$X$7:$AD$37,VLOOKUP(INDIRECT($C$5),Jornada!$C$8:$W$37,21,0),0)-M31&lt;0,ABS(HLOOKUP($F31,Jornada!$X$7:$AD$37,VLOOKUP(INDIRECT($C$5),Jornada!$C$8:$W$37,21,0),0)-M31),0)</f>
        <v>0</v>
      </c>
      <c r="Q31" s="95">
        <f t="shared" si="0"/>
        <v>0</v>
      </c>
      <c r="R31" s="2">
        <f>IF(Q31&gt;$R$7,1,0)</f>
        <v>0</v>
      </c>
      <c r="S31" s="13"/>
      <c r="T31" s="74"/>
      <c r="U31" s="74"/>
      <c r="X31" s="177"/>
      <c r="AB31" s="177">
        <f t="shared" si="10"/>
        <v>24</v>
      </c>
      <c r="AC31" s="2">
        <f>WEEKDAY(AB31)</f>
        <v>3</v>
      </c>
      <c r="AG31" s="220">
        <f t="shared" si="4"/>
        <v>0</v>
      </c>
      <c r="AH31" s="220">
        <f ca="1">IF(HLOOKUP($F31,Jornada!$X$7:$AD$37,VLOOKUP(INDIRECT($C$5),Jornada!$C$8:$W$37,21,0),0)=0,0,VLOOKUP(INDIRECT($C$5),Jornada!$C$8:$H$37,4,0))</f>
        <v>0</v>
      </c>
      <c r="AI31" s="155">
        <f ca="1">IF(AND(I31=0,J31=0,OR(H31&lt;&gt;0,K31&lt;&gt;0),HLOOKUP($F31,Jornada!$X$7:$AD$37,VLOOKUP(INDIRECT($C$5),Jornada!$C$8:$W$37,21,0),0)&gt;$AK$5,M31&gt;$AK$5),VLOOKUP(INDIRECT($C$5),Jornada!$C$8:$H$37,6,0),IF(AG31&gt;VLOOKUP(INDIRECT($C$5),Jornada!$C$8:$H$37,6,0),IF(VLOOKUP(INDIRECT($C$5),Jornada!$C$8:$H$37,6,0)&lt;AG31,0,ABS(VLOOKUP(INDIRECT($C$5),Jornada!$C$8:$H$37,6,0))-AG31),0))</f>
        <v>0</v>
      </c>
      <c r="AJ31" s="155">
        <f>($AJ$7-K31)+H31</f>
        <v>1</v>
      </c>
      <c r="AK31" s="155">
        <f>IF(AJ31&lt;$AK$7,$AK$7-AJ31,$AI$7)</f>
        <v>0</v>
      </c>
      <c r="AL31" s="155">
        <f ca="1">HLOOKUP($F31,Jornada!$I$5:$V$37,VLOOKUP(INDIRECT($C$5),Jornada!$C$8:$W$37,21,0)+2,0)</f>
        <v>0</v>
      </c>
      <c r="AM31" s="155">
        <f ca="1">HLOOKUP($F31,Jornada!$I$4:$V$37,VLOOKUP(INDIRECT($C$5),Jornada!$C$8:$W$37,21,0)+3,0)</f>
        <v>0</v>
      </c>
      <c r="AN31" s="155">
        <f t="shared" ca="1" si="7"/>
        <v>0</v>
      </c>
      <c r="AO31" s="155">
        <f t="shared" si="8"/>
        <v>0</v>
      </c>
      <c r="AP31" s="155">
        <f t="shared" si="9"/>
        <v>0</v>
      </c>
    </row>
    <row r="32" spans="1:59" s="2" customFormat="1" ht="30" customHeight="1" thickTop="1" thickBot="1" x14ac:dyDescent="0.25">
      <c r="A32" s="1"/>
      <c r="B32"/>
      <c r="C32" s="172" t="str">
        <f>IF(Funcionários!C31=0,"",Funcionários!C31)</f>
        <v/>
      </c>
      <c r="D32"/>
      <c r="E32" s="115">
        <f>Lanç!E32</f>
        <v>25</v>
      </c>
      <c r="F32" s="189" t="str">
        <f>Lanç!F32</f>
        <v>Qua</v>
      </c>
      <c r="G32" s="81"/>
      <c r="H32" s="94"/>
      <c r="I32" s="94"/>
      <c r="J32" s="94"/>
      <c r="K32" s="94"/>
      <c r="L32" s="10"/>
      <c r="M32" s="95">
        <f t="shared" si="1"/>
        <v>0</v>
      </c>
      <c r="N32" s="96"/>
      <c r="O32" s="95">
        <f ca="1">IF(OR(G32=0,G32="Férias",G32="Falta Justificada",G32="Feriado",G32="Folga (DSR)"),0,IF(G32="Falta Injustificada",HLOOKUP($F32,Jornada!$X$7:$AD$37,VLOOKUP(INDIRECT($C$5),Jornada!$C$8:$W$37,21,0),0),IF(HLOOKUP($F32,Jornada!$X$7:$AD$37,VLOOKUP(INDIRECT($C$5),Jornada!$C$8:$W$37,21,0),0)-M32&gt;0,HLOOKUP($F32,Jornada!$X$7:$AD$37,VLOOKUP(INDIRECT($C$5),Jornada!$C$8:$W$37,21,0),0)-M32,0)))</f>
        <v>0</v>
      </c>
      <c r="P32" s="190">
        <f ca="1">IF(HLOOKUP($F32,Jornada!$X$7:$AD$37,VLOOKUP(INDIRECT($C$5),Jornada!$C$8:$W$37,21,0),0)-M32&lt;0,ABS(HLOOKUP($F32,Jornada!$X$7:$AD$37,VLOOKUP(INDIRECT($C$5),Jornada!$C$8:$W$37,21,0),0)-M32),0)</f>
        <v>0</v>
      </c>
      <c r="Q32" s="95">
        <f t="shared" si="0"/>
        <v>0</v>
      </c>
      <c r="R32" s="2">
        <f t="shared" si="2"/>
        <v>0</v>
      </c>
      <c r="S32" s="74"/>
      <c r="T32" s="74"/>
      <c r="U32" s="74"/>
      <c r="X32" s="177"/>
      <c r="AB32" s="177">
        <f t="shared" si="10"/>
        <v>25</v>
      </c>
      <c r="AC32" s="2">
        <f t="shared" si="3"/>
        <v>4</v>
      </c>
      <c r="AG32" s="220">
        <f t="shared" si="4"/>
        <v>0</v>
      </c>
      <c r="AH32" s="220">
        <f ca="1">IF(HLOOKUP($F32,Jornada!$X$7:$AD$37,VLOOKUP(INDIRECT($C$5),Jornada!$C$8:$W$37,21,0),0)=0,0,VLOOKUP(INDIRECT($C$5),Jornada!$C$8:$H$37,4,0))</f>
        <v>0</v>
      </c>
      <c r="AI32" s="155">
        <f ca="1">IF(AND(I32=0,J32=0,OR(H32&lt;&gt;0,K32&lt;&gt;0),HLOOKUP($F32,Jornada!$X$7:$AD$37,VLOOKUP(INDIRECT($C$5),Jornada!$C$8:$W$37,21,0),0)&gt;$AK$5,M32&gt;$AK$5),VLOOKUP(INDIRECT($C$5),Jornada!$C$8:$H$37,6,0),IF(AG32&gt;VLOOKUP(INDIRECT($C$5),Jornada!$C$8:$H$37,6,0),IF(VLOOKUP(INDIRECT($C$5),Jornada!$C$8:$H$37,6,0)&lt;AG32,0,ABS(VLOOKUP(INDIRECT($C$5),Jornada!$C$8:$H$37,6,0))-AG32),0))</f>
        <v>0</v>
      </c>
      <c r="AJ32" s="155">
        <f t="shared" si="5"/>
        <v>1</v>
      </c>
      <c r="AK32" s="155">
        <f t="shared" si="6"/>
        <v>0</v>
      </c>
      <c r="AL32" s="155">
        <f ca="1">HLOOKUP($F32,Jornada!$I$5:$V$37,VLOOKUP(INDIRECT($C$5),Jornada!$C$8:$W$37,21,0)+2,0)</f>
        <v>0</v>
      </c>
      <c r="AM32" s="155">
        <f ca="1">HLOOKUP($F32,Jornada!$I$4:$V$37,VLOOKUP(INDIRECT($C$5),Jornada!$C$8:$W$37,21,0)+3,0)</f>
        <v>0</v>
      </c>
      <c r="AN32" s="155">
        <f t="shared" ca="1" si="7"/>
        <v>0</v>
      </c>
      <c r="AO32" s="155">
        <f t="shared" si="8"/>
        <v>0</v>
      </c>
      <c r="AP32" s="155">
        <f t="shared" si="9"/>
        <v>0</v>
      </c>
    </row>
    <row r="33" spans="1:42" s="2" customFormat="1" ht="30" customHeight="1" thickTop="1" thickBot="1" x14ac:dyDescent="0.25">
      <c r="A33" s="1"/>
      <c r="B33"/>
      <c r="C33" s="172" t="str">
        <f>IF(Funcionários!C32=0,"",Funcionários!C32)</f>
        <v/>
      </c>
      <c r="D33"/>
      <c r="E33" s="115">
        <f>Lanç!E33</f>
        <v>26</v>
      </c>
      <c r="F33" s="189" t="str">
        <f>Lanç!F33</f>
        <v>Qui</v>
      </c>
      <c r="G33" s="81"/>
      <c r="H33" s="94"/>
      <c r="I33" s="94"/>
      <c r="J33" s="94"/>
      <c r="K33" s="94"/>
      <c r="L33" s="10"/>
      <c r="M33" s="95">
        <f t="shared" si="1"/>
        <v>0</v>
      </c>
      <c r="N33" s="96"/>
      <c r="O33" s="95">
        <f ca="1">IF(OR(G33=0,G33="Férias",G33="Falta Justificada",G33="Feriado",G33="Folga (DSR)"),0,IF(G33="Falta Injustificada",HLOOKUP($F33,Jornada!$X$7:$AD$37,VLOOKUP(INDIRECT($C$5),Jornada!$C$8:$W$37,21,0),0),IF(HLOOKUP($F33,Jornada!$X$7:$AD$37,VLOOKUP(INDIRECT($C$5),Jornada!$C$8:$W$37,21,0),0)-M33&gt;0,HLOOKUP($F33,Jornada!$X$7:$AD$37,VLOOKUP(INDIRECT($C$5),Jornada!$C$8:$W$37,21,0),0)-M33,0)))</f>
        <v>0</v>
      </c>
      <c r="P33" s="190">
        <f ca="1">IF(HLOOKUP($F33,Jornada!$X$7:$AD$37,VLOOKUP(INDIRECT($C$5),Jornada!$C$8:$W$37,21,0),0)-M33&lt;0,ABS(HLOOKUP($F33,Jornada!$X$7:$AD$37,VLOOKUP(INDIRECT($C$5),Jornada!$C$8:$W$37,21,0),0)-M33),0)</f>
        <v>0</v>
      </c>
      <c r="Q33" s="95">
        <f t="shared" si="0"/>
        <v>0</v>
      </c>
      <c r="R33" s="2">
        <f t="shared" si="2"/>
        <v>0</v>
      </c>
      <c r="S33" s="74"/>
      <c r="T33" s="74"/>
      <c r="U33" s="74"/>
      <c r="X33" s="177"/>
      <c r="AB33" s="177">
        <f t="shared" si="10"/>
        <v>26</v>
      </c>
      <c r="AC33" s="2">
        <f t="shared" si="3"/>
        <v>5</v>
      </c>
      <c r="AG33" s="220">
        <f t="shared" si="4"/>
        <v>0</v>
      </c>
      <c r="AH33" s="220">
        <f ca="1">IF(HLOOKUP($F33,Jornada!$X$7:$AD$37,VLOOKUP(INDIRECT($C$5),Jornada!$C$8:$W$37,21,0),0)=0,0,VLOOKUP(INDIRECT($C$5),Jornada!$C$8:$H$37,4,0))</f>
        <v>0</v>
      </c>
      <c r="AI33" s="155">
        <f ca="1">IF(AND(I33=0,J33=0,OR(H33&lt;&gt;0,K33&lt;&gt;0),HLOOKUP($F33,Jornada!$X$7:$AD$37,VLOOKUP(INDIRECT($C$5),Jornada!$C$8:$W$37,21,0),0)&gt;$AK$5,M33&gt;$AK$5),VLOOKUP(INDIRECT($C$5),Jornada!$C$8:$H$37,6,0),IF(AG33&gt;VLOOKUP(INDIRECT($C$5),Jornada!$C$8:$H$37,6,0),IF(VLOOKUP(INDIRECT($C$5),Jornada!$C$8:$H$37,6,0)&lt;AG33,0,ABS(VLOOKUP(INDIRECT($C$5),Jornada!$C$8:$H$37,6,0))-AG33),0))</f>
        <v>0</v>
      </c>
      <c r="AJ33" s="155">
        <f t="shared" si="5"/>
        <v>1</v>
      </c>
      <c r="AK33" s="155">
        <f t="shared" si="6"/>
        <v>0</v>
      </c>
      <c r="AL33" s="155">
        <f ca="1">HLOOKUP($F33,Jornada!$I$5:$V$37,VLOOKUP(INDIRECT($C$5),Jornada!$C$8:$W$37,21,0)+2,0)</f>
        <v>0</v>
      </c>
      <c r="AM33" s="155">
        <f ca="1">HLOOKUP($F33,Jornada!$I$4:$V$37,VLOOKUP(INDIRECT($C$5),Jornada!$C$8:$W$37,21,0)+3,0)</f>
        <v>0</v>
      </c>
      <c r="AN33" s="155">
        <f t="shared" ca="1" si="7"/>
        <v>0</v>
      </c>
      <c r="AO33" s="155">
        <f t="shared" si="8"/>
        <v>0</v>
      </c>
      <c r="AP33" s="155">
        <f t="shared" si="9"/>
        <v>0</v>
      </c>
    </row>
    <row r="34" spans="1:42" s="2" customFormat="1" ht="30" customHeight="1" thickTop="1" thickBot="1" x14ac:dyDescent="0.25">
      <c r="A34" s="1"/>
      <c r="B34"/>
      <c r="C34" s="172" t="str">
        <f>IF(Funcionários!C33=0,"",Funcionários!C33)</f>
        <v/>
      </c>
      <c r="D34"/>
      <c r="E34" s="115">
        <f>Lanç!E34</f>
        <v>27</v>
      </c>
      <c r="F34" s="189" t="str">
        <f>Lanç!F34</f>
        <v>Sex</v>
      </c>
      <c r="G34" s="81"/>
      <c r="H34" s="94"/>
      <c r="I34" s="94"/>
      <c r="J34" s="94"/>
      <c r="K34" s="94"/>
      <c r="L34" s="10"/>
      <c r="M34" s="95">
        <f t="shared" si="1"/>
        <v>0</v>
      </c>
      <c r="N34" s="96"/>
      <c r="O34" s="95">
        <f ca="1">IF(OR(G34=0,G34="Férias",G34="Falta Justificada",G34="Feriado",G34="Folga (DSR)"),0,IF(G34="Falta Injustificada",HLOOKUP($F34,Jornada!$X$7:$AD$37,VLOOKUP(INDIRECT($C$5),Jornada!$C$8:$W$37,21,0),0),IF(HLOOKUP($F34,Jornada!$X$7:$AD$37,VLOOKUP(INDIRECT($C$5),Jornada!$C$8:$W$37,21,0),0)-M34&gt;0,HLOOKUP($F34,Jornada!$X$7:$AD$37,VLOOKUP(INDIRECT($C$5),Jornada!$C$8:$W$37,21,0),0)-M34,0)))</f>
        <v>0</v>
      </c>
      <c r="P34" s="190">
        <f ca="1">IF(HLOOKUP($F34,Jornada!$X$7:$AD$37,VLOOKUP(INDIRECT($C$5),Jornada!$C$8:$W$37,21,0),0)-M34&lt;0,ABS(HLOOKUP($F34,Jornada!$X$7:$AD$37,VLOOKUP(INDIRECT($C$5),Jornada!$C$8:$W$37,21,0),0)-M34),0)</f>
        <v>0</v>
      </c>
      <c r="Q34" s="95">
        <f t="shared" si="0"/>
        <v>0</v>
      </c>
      <c r="R34" s="2">
        <f t="shared" si="2"/>
        <v>0</v>
      </c>
      <c r="S34" s="74"/>
      <c r="T34" s="74"/>
      <c r="U34" s="74"/>
      <c r="X34" s="177"/>
      <c r="AB34" s="177">
        <f t="shared" si="10"/>
        <v>27</v>
      </c>
      <c r="AC34" s="2">
        <f t="shared" si="3"/>
        <v>6</v>
      </c>
      <c r="AG34" s="220">
        <f t="shared" si="4"/>
        <v>0</v>
      </c>
      <c r="AH34" s="220">
        <f ca="1">IF(HLOOKUP($F34,Jornada!$X$7:$AD$37,VLOOKUP(INDIRECT($C$5),Jornada!$C$8:$W$37,21,0),0)=0,0,VLOOKUP(INDIRECT($C$5),Jornada!$C$8:$H$37,4,0))</f>
        <v>0</v>
      </c>
      <c r="AI34" s="155">
        <f ca="1">IF(AND(I34=0,J34=0,OR(H34&lt;&gt;0,K34&lt;&gt;0),HLOOKUP($F34,Jornada!$X$7:$AD$37,VLOOKUP(INDIRECT($C$5),Jornada!$C$8:$W$37,21,0),0)&gt;$AK$5,M34&gt;$AK$5),VLOOKUP(INDIRECT($C$5),Jornada!$C$8:$H$37,6,0),IF(AG34&gt;VLOOKUP(INDIRECT($C$5),Jornada!$C$8:$H$37,6,0),IF(VLOOKUP(INDIRECT($C$5),Jornada!$C$8:$H$37,6,0)&lt;AG34,0,ABS(VLOOKUP(INDIRECT($C$5),Jornada!$C$8:$H$37,6,0))-AG34),0))</f>
        <v>0</v>
      </c>
      <c r="AJ34" s="155">
        <f t="shared" si="5"/>
        <v>1</v>
      </c>
      <c r="AK34" s="155">
        <f t="shared" si="6"/>
        <v>0</v>
      </c>
      <c r="AL34" s="155">
        <f ca="1">HLOOKUP($F34,Jornada!$I$5:$V$37,VLOOKUP(INDIRECT($C$5),Jornada!$C$8:$W$37,21,0)+2,0)</f>
        <v>0</v>
      </c>
      <c r="AM34" s="155">
        <f ca="1">HLOOKUP($F34,Jornada!$I$4:$V$37,VLOOKUP(INDIRECT($C$5),Jornada!$C$8:$W$37,21,0)+3,0)</f>
        <v>0</v>
      </c>
      <c r="AN34" s="155">
        <f t="shared" ca="1" si="7"/>
        <v>0</v>
      </c>
      <c r="AO34" s="155">
        <f t="shared" si="8"/>
        <v>0</v>
      </c>
      <c r="AP34" s="155">
        <f t="shared" si="9"/>
        <v>0</v>
      </c>
    </row>
    <row r="35" spans="1:42" s="2" customFormat="1" ht="30" customHeight="1" thickTop="1" thickBot="1" x14ac:dyDescent="0.25">
      <c r="A35" s="1"/>
      <c r="B35"/>
      <c r="C35" s="172" t="str">
        <f>IF(Funcionários!C34=0,"",Funcionários!C34)</f>
        <v/>
      </c>
      <c r="D35"/>
      <c r="E35" s="115">
        <f>Lanç!E35</f>
        <v>28</v>
      </c>
      <c r="F35" s="189" t="str">
        <f>Lanç!F35</f>
        <v>Sáb</v>
      </c>
      <c r="G35" s="81"/>
      <c r="H35" s="94"/>
      <c r="I35" s="94"/>
      <c r="J35" s="94"/>
      <c r="K35" s="94"/>
      <c r="L35" s="10"/>
      <c r="M35" s="95">
        <f t="shared" si="1"/>
        <v>0</v>
      </c>
      <c r="N35" s="96"/>
      <c r="O35" s="95">
        <f ca="1">IF(OR(G35=0,G35="Férias",G35="Falta Justificada",G35="Feriado",G35="Folga (DSR)"),0,IF(G35="Falta Injustificada",HLOOKUP($F35,Jornada!$X$7:$AD$37,VLOOKUP(INDIRECT($C$5),Jornada!$C$8:$W$37,21,0),0),IF(HLOOKUP($F35,Jornada!$X$7:$AD$37,VLOOKUP(INDIRECT($C$5),Jornada!$C$8:$W$37,21,0),0)-M35&gt;0,HLOOKUP($F35,Jornada!$X$7:$AD$37,VLOOKUP(INDIRECT($C$5),Jornada!$C$8:$W$37,21,0),0)-M35,0)))</f>
        <v>0</v>
      </c>
      <c r="P35" s="190">
        <f ca="1">IF(HLOOKUP($F35,Jornada!$X$7:$AD$37,VLOOKUP(INDIRECT($C$5),Jornada!$C$8:$W$37,21,0),0)-M35&lt;0,ABS(HLOOKUP($F35,Jornada!$X$7:$AD$37,VLOOKUP(INDIRECT($C$5),Jornada!$C$8:$W$37,21,0),0)-M35),0)</f>
        <v>0</v>
      </c>
      <c r="Q35" s="95">
        <f t="shared" si="0"/>
        <v>0</v>
      </c>
      <c r="R35" s="2">
        <f t="shared" si="2"/>
        <v>0</v>
      </c>
      <c r="S35"/>
      <c r="T35"/>
      <c r="U35"/>
      <c r="X35" s="177"/>
      <c r="AB35" s="177">
        <f>IF(MONTH(AB34+1)&lt;&gt;MONTH(AB34),"",AB34+1)</f>
        <v>28</v>
      </c>
      <c r="AC35" s="2">
        <f t="shared" si="3"/>
        <v>7</v>
      </c>
      <c r="AG35" s="220">
        <f t="shared" si="4"/>
        <v>0</v>
      </c>
      <c r="AH35" s="220">
        <f ca="1">IF(HLOOKUP($F35,Jornada!$X$7:$AD$37,VLOOKUP(INDIRECT($C$5),Jornada!$C$8:$W$37,21,0),0)=0,0,VLOOKUP(INDIRECT($C$5),Jornada!$C$8:$H$37,4,0))</f>
        <v>0</v>
      </c>
      <c r="AI35" s="155">
        <f ca="1">IF(AND(I35=0,J35=0,OR(H35&lt;&gt;0,K35&lt;&gt;0),HLOOKUP($F35,Jornada!$X$7:$AD$37,VLOOKUP(INDIRECT($C$5),Jornada!$C$8:$W$37,21,0),0)&gt;$AK$5,M35&gt;$AK$5),VLOOKUP(INDIRECT($C$5),Jornada!$C$8:$H$37,6,0),IF(AG35&gt;VLOOKUP(INDIRECT($C$5),Jornada!$C$8:$H$37,6,0),IF(VLOOKUP(INDIRECT($C$5),Jornada!$C$8:$H$37,6,0)&lt;AG35,0,ABS(VLOOKUP(INDIRECT($C$5),Jornada!$C$8:$H$37,6,0))-AG35),0))</f>
        <v>0</v>
      </c>
      <c r="AJ35" s="155">
        <f t="shared" si="5"/>
        <v>1</v>
      </c>
      <c r="AK35" s="155">
        <f t="shared" si="6"/>
        <v>0</v>
      </c>
      <c r="AL35" s="155">
        <f ca="1">HLOOKUP($F35,Jornada!$I$5:$V$37,VLOOKUP(INDIRECT($C$5),Jornada!$C$8:$W$37,21,0)+2,0)</f>
        <v>0</v>
      </c>
      <c r="AM35" s="155">
        <f ca="1">HLOOKUP($F35,Jornada!$I$4:$V$37,VLOOKUP(INDIRECT($C$5),Jornada!$C$8:$W$37,21,0)+3,0)</f>
        <v>0</v>
      </c>
      <c r="AN35" s="155">
        <f t="shared" ca="1" si="7"/>
        <v>0</v>
      </c>
      <c r="AO35" s="155">
        <f t="shared" si="8"/>
        <v>0</v>
      </c>
      <c r="AP35" s="155">
        <f t="shared" si="9"/>
        <v>0</v>
      </c>
    </row>
    <row r="36" spans="1:42" s="2" customFormat="1" ht="30" customHeight="1" thickTop="1" thickBot="1" x14ac:dyDescent="0.25">
      <c r="A36" s="1"/>
      <c r="B36"/>
      <c r="C36" s="172" t="str">
        <f>IF(Funcionários!C35=0,"",Funcionários!C35)</f>
        <v/>
      </c>
      <c r="D36"/>
      <c r="E36" s="115">
        <f>Lanç!E36</f>
        <v>29</v>
      </c>
      <c r="F36" s="189" t="str">
        <f>Lanç!F36</f>
        <v>Dom</v>
      </c>
      <c r="G36" s="81"/>
      <c r="H36" s="94"/>
      <c r="I36" s="94"/>
      <c r="J36" s="94"/>
      <c r="K36" s="94"/>
      <c r="L36" s="10"/>
      <c r="M36" s="95">
        <f t="shared" si="1"/>
        <v>0</v>
      </c>
      <c r="N36" s="96"/>
      <c r="O36" s="95">
        <f ca="1">IF(OR(G36=0,G36="Férias",G36="Falta Justificada",G36="Feriado",G36="Folga (DSR)"),0,IF(G36="Falta Injustificada",HLOOKUP($F36,Jornada!$X$7:$AD$37,VLOOKUP(INDIRECT($C$5),Jornada!$C$8:$W$37,21,0),0),IF(HLOOKUP($F36,Jornada!$X$7:$AD$37,VLOOKUP(INDIRECT($C$5),Jornada!$C$8:$W$37,21,0),0)-M36&gt;0,HLOOKUP($F36,Jornada!$X$7:$AD$37,VLOOKUP(INDIRECT($C$5),Jornada!$C$8:$W$37,21,0),0)-M36,0)))</f>
        <v>0</v>
      </c>
      <c r="P36" s="190">
        <f ca="1">IF(HLOOKUP($F36,Jornada!$X$7:$AD$37,VLOOKUP(INDIRECT($C$5),Jornada!$C$8:$W$37,21,0),0)-M36&lt;0,ABS(HLOOKUP($F36,Jornada!$X$7:$AD$37,VLOOKUP(INDIRECT($C$5),Jornada!$C$8:$W$37,21,0),0)-M36),0)</f>
        <v>0</v>
      </c>
      <c r="Q36" s="95">
        <f t="shared" si="0"/>
        <v>0</v>
      </c>
      <c r="R36" s="2">
        <f t="shared" si="2"/>
        <v>0</v>
      </c>
      <c r="S36"/>
      <c r="T36"/>
      <c r="U36"/>
      <c r="X36" s="177"/>
      <c r="AB36" s="177">
        <f>IF(MONTH(AB35+1)&lt;&gt;MONTH(AB35),"",IF(AB35="","",AB35+1))</f>
        <v>29</v>
      </c>
      <c r="AC36" s="2">
        <f>IF(ISERROR(WEEKDAY(AB36)),"",WEEKDAY(AB36))</f>
        <v>1</v>
      </c>
      <c r="AG36" s="220">
        <f t="shared" si="4"/>
        <v>0</v>
      </c>
      <c r="AH36" s="220">
        <f ca="1">IF(HLOOKUP($F36,Jornada!$X$7:$AD$37,VLOOKUP(INDIRECT($C$5),Jornada!$C$8:$W$37,21,0),0)=0,0,VLOOKUP(INDIRECT($C$5),Jornada!$C$8:$H$37,4,0))</f>
        <v>0</v>
      </c>
      <c r="AI36" s="155">
        <f ca="1">IF(AND(I36=0,J36=0,OR(H36&lt;&gt;0,K36&lt;&gt;0),HLOOKUP($F36,Jornada!$X$7:$AD$37,VLOOKUP(INDIRECT($C$5),Jornada!$C$8:$W$37,21,0),0)&gt;$AK$5,M36&gt;$AK$5),VLOOKUP(INDIRECT($C$5),Jornada!$C$8:$H$37,6,0),IF(AG36&gt;VLOOKUP(INDIRECT($C$5),Jornada!$C$8:$H$37,6,0),IF(VLOOKUP(INDIRECT($C$5),Jornada!$C$8:$H$37,6,0)&lt;AG36,0,ABS(VLOOKUP(INDIRECT($C$5),Jornada!$C$8:$H$37,6,0))-AG36),0))</f>
        <v>0</v>
      </c>
      <c r="AJ36" s="155">
        <f t="shared" si="5"/>
        <v>1</v>
      </c>
      <c r="AK36" s="155">
        <f t="shared" si="6"/>
        <v>0</v>
      </c>
      <c r="AL36" s="155">
        <f ca="1">HLOOKUP($F36,Jornada!$I$5:$V$37,VLOOKUP(INDIRECT($C$5),Jornada!$C$8:$W$37,21,0)+2,0)</f>
        <v>0</v>
      </c>
      <c r="AM36" s="155">
        <f ca="1">HLOOKUP($F36,Jornada!$I$4:$V$37,VLOOKUP(INDIRECT($C$5),Jornada!$C$8:$W$37,21,0)+3,0)</f>
        <v>0</v>
      </c>
      <c r="AN36" s="155">
        <f t="shared" ca="1" si="7"/>
        <v>0</v>
      </c>
      <c r="AO36" s="155">
        <f t="shared" si="8"/>
        <v>0</v>
      </c>
      <c r="AP36" s="155">
        <f t="shared" si="9"/>
        <v>0</v>
      </c>
    </row>
    <row r="37" spans="1:42" s="2" customFormat="1" ht="30" customHeight="1" thickTop="1" thickBot="1" x14ac:dyDescent="0.25">
      <c r="A37" s="1"/>
      <c r="B37"/>
      <c r="C37" s="172" t="str">
        <f>IF(Funcionários!C36=0,"",Funcionários!C36)</f>
        <v/>
      </c>
      <c r="D37"/>
      <c r="E37" s="115">
        <f>Lanç!E37</f>
        <v>30</v>
      </c>
      <c r="F37" s="189" t="str">
        <f>Lanç!F37</f>
        <v>Seg</v>
      </c>
      <c r="G37" s="81"/>
      <c r="H37" s="94"/>
      <c r="I37" s="94"/>
      <c r="J37" s="94"/>
      <c r="K37" s="94"/>
      <c r="L37" s="10"/>
      <c r="M37" s="95">
        <f t="shared" si="1"/>
        <v>0</v>
      </c>
      <c r="N37" s="96"/>
      <c r="O37" s="95">
        <f ca="1">IF(OR(G37=0,G37="Férias",G37="Falta Justificada",G37="Feriado",G37="Folga (DSR)"),0,IF(G37="Falta Injustificada",HLOOKUP($F37,Jornada!$X$7:$AD$37,VLOOKUP(INDIRECT($C$5),Jornada!$C$8:$W$37,21,0),0),IF(HLOOKUP($F37,Jornada!$X$7:$AD$37,VLOOKUP(INDIRECT($C$5),Jornada!$C$8:$W$37,21,0),0)-M37&gt;0,HLOOKUP($F37,Jornada!$X$7:$AD$37,VLOOKUP(INDIRECT($C$5),Jornada!$C$8:$W$37,21,0),0)-M37,0)))</f>
        <v>0</v>
      </c>
      <c r="P37" s="190">
        <f ca="1">IF(HLOOKUP($F37,Jornada!$X$7:$AD$37,VLOOKUP(INDIRECT($C$5),Jornada!$C$8:$W$37,21,0),0)-M37&lt;0,ABS(HLOOKUP($F37,Jornada!$X$7:$AD$37,VLOOKUP(INDIRECT($C$5),Jornada!$C$8:$W$37,21,0),0)-M37),0)</f>
        <v>0</v>
      </c>
      <c r="Q37" s="95">
        <f t="shared" si="0"/>
        <v>0</v>
      </c>
      <c r="R37" s="2">
        <f t="shared" si="2"/>
        <v>0</v>
      </c>
      <c r="S37"/>
      <c r="T37"/>
      <c r="U37"/>
      <c r="X37" s="177"/>
      <c r="AB37" s="177">
        <f>IF(AB36="","",IF(MONTH(AB36+1)&lt;&gt;MONTH(AB36),"",AB36+1))</f>
        <v>30</v>
      </c>
      <c r="AC37" s="2">
        <f>IF(ISERROR(WEEKDAY(AB37)),"",WEEKDAY(AB37))</f>
        <v>2</v>
      </c>
      <c r="AG37" s="220">
        <f t="shared" si="4"/>
        <v>0</v>
      </c>
      <c r="AH37" s="220">
        <f ca="1">IF(HLOOKUP($F37,Jornada!$X$7:$AD$37,VLOOKUP(INDIRECT($C$5),Jornada!$C$8:$W$37,21,0),0)=0,0,VLOOKUP(INDIRECT($C$5),Jornada!$C$8:$H$37,4,0))</f>
        <v>0</v>
      </c>
      <c r="AI37" s="155">
        <f ca="1">IF(AND(I37=0,J37=0,OR(H37&lt;&gt;0,K37&lt;&gt;0),HLOOKUP($F37,Jornada!$X$7:$AD$37,VLOOKUP(INDIRECT($C$5),Jornada!$C$8:$W$37,21,0),0)&gt;$AK$5,M37&gt;$AK$5),VLOOKUP(INDIRECT($C$5),Jornada!$C$8:$H$37,6,0),IF(AG37&gt;VLOOKUP(INDIRECT($C$5),Jornada!$C$8:$H$37,6,0),IF(VLOOKUP(INDIRECT($C$5),Jornada!$C$8:$H$37,6,0)&lt;AG37,0,ABS(VLOOKUP(INDIRECT($C$5),Jornada!$C$8:$H$37,6,0))-AG37),0))</f>
        <v>0</v>
      </c>
      <c r="AJ37" s="155">
        <f t="shared" si="5"/>
        <v>1</v>
      </c>
      <c r="AK37" s="155">
        <f t="shared" si="6"/>
        <v>0</v>
      </c>
      <c r="AL37" s="155">
        <f ca="1">HLOOKUP($F37,Jornada!$I$5:$V$37,VLOOKUP(INDIRECT($C$5),Jornada!$C$8:$W$37,21,0)+2,0)</f>
        <v>0</v>
      </c>
      <c r="AM37" s="155">
        <f ca="1">HLOOKUP($F37,Jornada!$I$4:$V$37,VLOOKUP(INDIRECT($C$5),Jornada!$C$8:$W$37,21,0)+3,0)</f>
        <v>0</v>
      </c>
      <c r="AN37" s="155">
        <f t="shared" ca="1" si="7"/>
        <v>0</v>
      </c>
      <c r="AO37" s="155">
        <f t="shared" si="8"/>
        <v>0</v>
      </c>
      <c r="AP37" s="155">
        <f t="shared" si="9"/>
        <v>0</v>
      </c>
    </row>
    <row r="38" spans="1:42" s="2" customFormat="1" ht="30" customHeight="1" thickTop="1" thickBot="1" x14ac:dyDescent="0.25">
      <c r="A38" s="1"/>
      <c r="B38"/>
      <c r="C38"/>
      <c r="D38" s="2">
        <f t="shared" ref="D38" si="11">IF(D37=7,1,D37+1)</f>
        <v>1</v>
      </c>
      <c r="E38" s="210">
        <f>Lanç!E38</f>
        <v>31</v>
      </c>
      <c r="F38" s="210" t="str">
        <f>Lanç!F38</f>
        <v>Ter</v>
      </c>
      <c r="G38" s="81"/>
      <c r="H38" s="94"/>
      <c r="I38" s="94"/>
      <c r="J38" s="94"/>
      <c r="K38" s="94"/>
      <c r="L38" s="197"/>
      <c r="M38" s="95">
        <f t="shared" si="1"/>
        <v>0</v>
      </c>
      <c r="N38" s="196"/>
      <c r="O38" s="95">
        <f ca="1">IF(OR(G38=0,G38="Férias",G38="Falta Justificada",G38="Feriado",G38="Folga (DSR)"),0,IF(G38="Falta Injustificada",HLOOKUP($F38,Jornada!$X$7:$AD$37,VLOOKUP(INDIRECT($C$5),Jornada!$C$8:$W$37,21,0),0),IF(HLOOKUP($F38,Jornada!$X$7:$AD$37,VLOOKUP(INDIRECT($C$5),Jornada!$C$8:$W$37,21,0),0)-M38&gt;0,HLOOKUP($F38,Jornada!$X$7:$AD$37,VLOOKUP(INDIRECT($C$5),Jornada!$C$8:$W$37,21,0),0)-M38,0)))</f>
        <v>0</v>
      </c>
      <c r="P38" s="201">
        <f ca="1">IF(HLOOKUP($F38,Jornada!$X$7:$AD$37,VLOOKUP(INDIRECT($C$5),Jornada!$C$8:$W$37,21,0),0)-M38&lt;0,ABS(HLOOKUP($F38,Jornada!$X$7:$AD$37,VLOOKUP(INDIRECT($C$5),Jornada!$C$8:$W$37,21,0),0)-M38),0)</f>
        <v>0</v>
      </c>
      <c r="Q38" s="95">
        <f t="shared" si="0"/>
        <v>0</v>
      </c>
      <c r="R38" s="2">
        <f t="shared" si="2"/>
        <v>0</v>
      </c>
      <c r="X38" s="177"/>
      <c r="AB38" s="177">
        <f>IF(AB37="","",IF(MONTH(AB37+1)&lt;&gt;MONTH(AB37),"",AB37+1))</f>
        <v>31</v>
      </c>
      <c r="AC38" s="2">
        <f>IF(ISERROR(WEEKDAY(AB38)),"",WEEKDAY(AB38))</f>
        <v>3</v>
      </c>
      <c r="AG38" s="220">
        <f t="shared" si="4"/>
        <v>0</v>
      </c>
      <c r="AH38" s="220">
        <f ca="1">IF(HLOOKUP($F38,Jornada!$X$7:$AD$37,VLOOKUP(INDIRECT($C$5),Jornada!$C$8:$W$37,21,0),0)=0,0,VLOOKUP(INDIRECT($C$5),Jornada!$C$8:$H$37,4,0))</f>
        <v>0</v>
      </c>
      <c r="AI38" s="155">
        <f ca="1">IF(AND(I38=0,J38=0,OR(H38&lt;&gt;0,K38&lt;&gt;0),HLOOKUP($F38,Jornada!$X$7:$AD$37,VLOOKUP(INDIRECT($C$5),Jornada!$C$8:$W$37,21,0),0)&gt;$AK$5,M38&gt;$AK$5),VLOOKUP(INDIRECT($C$5),Jornada!$C$8:$H$37,6,0),IF(AG38&gt;VLOOKUP(INDIRECT($C$5),Jornada!$C$8:$H$37,6,0),IF(VLOOKUP(INDIRECT($C$5),Jornada!$C$8:$H$37,6,0)&lt;AG38,0,ABS(VLOOKUP(INDIRECT($C$5),Jornada!$C$8:$H$37,6,0))-AG38),0))</f>
        <v>0</v>
      </c>
      <c r="AJ38" s="155">
        <f t="shared" si="5"/>
        <v>1</v>
      </c>
      <c r="AK38" s="155">
        <f t="shared" si="6"/>
        <v>0</v>
      </c>
      <c r="AL38" s="155">
        <f ca="1">HLOOKUP($F38,Jornada!$I$5:$V$37,VLOOKUP(INDIRECT($C$5),Jornada!$C$8:$W$37,21,0)+2,0)</f>
        <v>0</v>
      </c>
      <c r="AM38" s="155">
        <f ca="1">HLOOKUP($F38,Jornada!$I$4:$V$37,VLOOKUP(INDIRECT($C$5),Jornada!$C$8:$W$37,21,0)+3,0)</f>
        <v>0</v>
      </c>
      <c r="AN38" s="155">
        <f t="shared" ca="1" si="7"/>
        <v>0</v>
      </c>
      <c r="AO38" s="155">
        <f t="shared" si="8"/>
        <v>0</v>
      </c>
      <c r="AP38" s="155">
        <f t="shared" si="9"/>
        <v>0</v>
      </c>
    </row>
    <row r="39" spans="1:42" s="2" customFormat="1" ht="30" customHeight="1" thickTop="1" x14ac:dyDescent="0.2">
      <c r="A39" s="9"/>
      <c r="B39" s="234"/>
      <c r="C39" s="234"/>
      <c r="D39" s="234"/>
      <c r="E39" s="236">
        <f>EOMONTH(AB8,0)</f>
        <v>31</v>
      </c>
      <c r="F39" s="234">
        <f>DAY(E39)</f>
        <v>31</v>
      </c>
      <c r="G39" s="237">
        <f>COUNTIF(F8:F38,"Dom")+COUNTIF(G8:G38,"Feriado")</f>
        <v>5</v>
      </c>
      <c r="H39" s="238">
        <f>(SUM(Q8:Q38)/(F39-G39))*G39</f>
        <v>0</v>
      </c>
      <c r="I39" s="234"/>
      <c r="J39" s="234"/>
      <c r="K39" s="234"/>
      <c r="L39" s="234"/>
      <c r="M39" s="234"/>
      <c r="Z39" s="219"/>
    </row>
    <row r="40" spans="1:42" s="2" customFormat="1" ht="30" customHeight="1" x14ac:dyDescent="0.2">
      <c r="A40" s="9"/>
      <c r="B40" s="234"/>
      <c r="C40" s="239"/>
      <c r="D40" s="239"/>
      <c r="E40" s="239"/>
      <c r="F40" s="240"/>
      <c r="G40" s="241"/>
      <c r="H40" s="234">
        <f ca="1">IF(INDIRECT($C$5)="",0,VLOOKUP(INDIRECT($C$5),Funcionários!$C$7:$E$36,3,0)+IF(VLOOKUP(INDIRECT($C$5),Jornada!$C$8:$E$37,2,0)="Sim",IF('P Gerais'!$I$8&lt;&gt;0,VLOOKUP(INDIRECT($C$5),Funcionários!$C$7:$E$36,3,0)*'P Gerais'!$L$14,'P Gerais'!$I$8*'P Gerais'!$L$14),0)+IF(VLOOKUP(INDIRECT($C$5),Jornada!$C$8:$E$37,3,0)="Sim",VLOOKUP(INDIRECT($C$5),Funcionários!$C$7:$E$36,3,0)*'P Gerais'!$K$14,0))</f>
        <v>0</v>
      </c>
      <c r="I40" s="234">
        <f ca="1">VLOOKUP(INDIRECT($C$5),Jornada!$C$8:$AF$37,30,0)</f>
        <v>0</v>
      </c>
      <c r="J40" s="234" t="s">
        <v>298</v>
      </c>
      <c r="K40" s="242">
        <f ca="1">IF(I40=0,0,H40/I40)</f>
        <v>0</v>
      </c>
      <c r="L40" s="234"/>
      <c r="M40" s="234"/>
      <c r="Z40" s="219"/>
    </row>
    <row r="41" spans="1:42" s="2" customFormat="1" ht="30" customHeight="1" x14ac:dyDescent="0.2">
      <c r="A41" s="9"/>
      <c r="B41" s="234" t="s">
        <v>52</v>
      </c>
      <c r="C41" s="292" t="s">
        <v>75</v>
      </c>
      <c r="D41" s="292"/>
      <c r="E41" s="292"/>
      <c r="F41" s="243">
        <f t="shared" ref="F41:F47" si="12">SUMIFS($Q$8:$Q$38,$F$8:$F$38,$B41,$G$8:$G$38,"Normal")</f>
        <v>0</v>
      </c>
      <c r="G41" s="244">
        <f>IF($M$41="Sistema de banco de horas",0,'P Gerais'!$C$14)</f>
        <v>0.5</v>
      </c>
      <c r="H41" s="245">
        <f t="shared" ref="H41:H48" ca="1" si="13">IF($M$41="Sistema de banco de horas",0,$K$40*(1+G41)*(F41*24))</f>
        <v>0</v>
      </c>
      <c r="I41" s="243">
        <f t="shared" ref="I41:I47" ca="1" si="14">IF(SUMIF($F$8:$F$38,$B41,$Q$8:$Q$38)-SUMIFS($M$8:$M$38,$F$8:$F$38,$B41,$G$8:$G$38,"Feriado")-SUMIFS($M$8:$M$38,$F$8:$F$38,$B41,$G$8:$G$38,"Folga (DSR)")-SUMIFS($M$8:$M$38,$F$8:$F$38,$B41,$G$8:$G$38,"Férias")-SUMIF($F$8:$F$38,$B41,$AN$8:$AN$38)-SUMIF($F$8:$F$38,$B41,$AO$8:$AO$38)&lt;0,0,SUMIF($F$8:$F$38,$B41,$Q$8:$Q$38)-SUMIFS($M$8:$M$38,$F$8:$F$38,$B41,$G$8:$G$38,"Feriado")-SUMIFS($M$8:$M$38,$F$8:$F$38,$B41,$G$8:$G$38,"Folga (DSR)")-SUMIFS($M$8:$M$38,$F$8:$F$38,$B41,$G$8:$G$38,"Férias")-SUMIF($F$8:$F$38,$B41,$AN$8:$AN$38)-SUMIF($F$8:$F$38,$B41,$AO$8:$AO$38))</f>
        <v>0</v>
      </c>
      <c r="J41" s="245">
        <f ca="1">H41</f>
        <v>0</v>
      </c>
      <c r="K41" s="234"/>
      <c r="L41" s="234"/>
      <c r="M41" s="234">
        <f>'P Gerais'!I10</f>
        <v>0</v>
      </c>
      <c r="Z41" s="219"/>
    </row>
    <row r="42" spans="1:42" s="2" customFormat="1" ht="30" customHeight="1" x14ac:dyDescent="0.2">
      <c r="A42" s="9"/>
      <c r="B42" s="234" t="s">
        <v>53</v>
      </c>
      <c r="C42" s="292" t="s">
        <v>76</v>
      </c>
      <c r="D42" s="292"/>
      <c r="E42" s="292"/>
      <c r="F42" s="243">
        <f t="shared" si="12"/>
        <v>0</v>
      </c>
      <c r="G42" s="244">
        <f>IF($M$41="Sistema de banco de horas",0,'P Gerais'!$C$14)</f>
        <v>0.5</v>
      </c>
      <c r="H42" s="245">
        <f t="shared" ca="1" si="13"/>
        <v>0</v>
      </c>
      <c r="I42" s="243">
        <f t="shared" ca="1" si="14"/>
        <v>0</v>
      </c>
      <c r="J42" s="245">
        <f t="shared" ref="J42:J51" ca="1" si="15">H42</f>
        <v>0</v>
      </c>
      <c r="K42" s="234"/>
      <c r="L42" s="234"/>
      <c r="M42" s="234"/>
      <c r="Z42" s="219"/>
    </row>
    <row r="43" spans="1:42" s="2" customFormat="1" ht="30" customHeight="1" x14ac:dyDescent="0.2">
      <c r="A43" s="9"/>
      <c r="B43" s="234" t="s">
        <v>54</v>
      </c>
      <c r="C43" s="292" t="s">
        <v>77</v>
      </c>
      <c r="D43" s="292"/>
      <c r="E43" s="292"/>
      <c r="F43" s="243">
        <f t="shared" si="12"/>
        <v>0</v>
      </c>
      <c r="G43" s="244">
        <f>IF($M$41="Sistema de banco de horas",0,'P Gerais'!$C$14)</f>
        <v>0.5</v>
      </c>
      <c r="H43" s="245">
        <f t="shared" ca="1" si="13"/>
        <v>0</v>
      </c>
      <c r="I43" s="243">
        <f t="shared" ca="1" si="14"/>
        <v>0</v>
      </c>
      <c r="J43" s="245">
        <f t="shared" ca="1" si="15"/>
        <v>0</v>
      </c>
      <c r="K43" s="234"/>
      <c r="L43" s="234"/>
      <c r="M43" s="234"/>
      <c r="Z43" s="219"/>
    </row>
    <row r="44" spans="1:42" s="2" customFormat="1" ht="30" customHeight="1" x14ac:dyDescent="0.2">
      <c r="A44" s="9"/>
      <c r="B44" s="234" t="s">
        <v>55</v>
      </c>
      <c r="C44" s="292" t="s">
        <v>78</v>
      </c>
      <c r="D44" s="292"/>
      <c r="E44" s="292"/>
      <c r="F44" s="243">
        <f t="shared" si="12"/>
        <v>0</v>
      </c>
      <c r="G44" s="244">
        <f>IF($M$41="Sistema de banco de horas",0,'P Gerais'!$C$14)</f>
        <v>0.5</v>
      </c>
      <c r="H44" s="245">
        <f t="shared" ca="1" si="13"/>
        <v>0</v>
      </c>
      <c r="I44" s="243">
        <f t="shared" ca="1" si="14"/>
        <v>0</v>
      </c>
      <c r="J44" s="245">
        <f t="shared" ca="1" si="15"/>
        <v>0</v>
      </c>
      <c r="K44" s="234"/>
      <c r="L44" s="234"/>
      <c r="M44" s="234"/>
      <c r="Z44" s="219"/>
    </row>
    <row r="45" spans="1:42" s="2" customFormat="1" ht="30" customHeight="1" x14ac:dyDescent="0.2">
      <c r="A45" s="9"/>
      <c r="B45" s="234" t="s">
        <v>56</v>
      </c>
      <c r="C45" s="292" t="s">
        <v>79</v>
      </c>
      <c r="D45" s="292"/>
      <c r="E45" s="292"/>
      <c r="F45" s="243">
        <f t="shared" si="12"/>
        <v>0</v>
      </c>
      <c r="G45" s="244">
        <f>IF($M$41="Sistema de banco de horas",0,'P Gerais'!$C$14)</f>
        <v>0.5</v>
      </c>
      <c r="H45" s="245">
        <f t="shared" ca="1" si="13"/>
        <v>0</v>
      </c>
      <c r="I45" s="243">
        <f t="shared" ca="1" si="14"/>
        <v>0</v>
      </c>
      <c r="J45" s="245">
        <f t="shared" ca="1" si="15"/>
        <v>0</v>
      </c>
      <c r="K45" s="234"/>
      <c r="L45" s="234"/>
      <c r="M45" s="234"/>
      <c r="Z45" s="219"/>
    </row>
    <row r="46" spans="1:42" s="2" customFormat="1" ht="30" customHeight="1" x14ac:dyDescent="0.2">
      <c r="A46" s="9"/>
      <c r="B46" s="234" t="s">
        <v>57</v>
      </c>
      <c r="C46" s="292" t="s">
        <v>82</v>
      </c>
      <c r="D46" s="292"/>
      <c r="E46" s="292"/>
      <c r="F46" s="243">
        <f t="shared" si="12"/>
        <v>0</v>
      </c>
      <c r="G46" s="244">
        <f>IF($M$41="Sistema de banco de horas",0,'P Gerais'!$E$14)</f>
        <v>0.5</v>
      </c>
      <c r="H46" s="245">
        <f t="shared" ca="1" si="13"/>
        <v>0</v>
      </c>
      <c r="I46" s="243">
        <f t="shared" ca="1" si="14"/>
        <v>0</v>
      </c>
      <c r="J46" s="245">
        <f t="shared" ca="1" si="15"/>
        <v>0</v>
      </c>
      <c r="K46" s="234"/>
      <c r="L46" s="234"/>
      <c r="M46" s="234"/>
      <c r="Z46" s="219"/>
    </row>
    <row r="47" spans="1:42" s="2" customFormat="1" ht="30" customHeight="1" x14ac:dyDescent="0.2">
      <c r="A47" s="9"/>
      <c r="B47" s="234" t="s">
        <v>51</v>
      </c>
      <c r="C47" s="292" t="s">
        <v>81</v>
      </c>
      <c r="D47" s="292"/>
      <c r="E47" s="292"/>
      <c r="F47" s="243">
        <f t="shared" si="12"/>
        <v>0</v>
      </c>
      <c r="G47" s="244">
        <f>IF($M$41="Sistema de banco de horas",0,'P Gerais'!$F$14)</f>
        <v>1</v>
      </c>
      <c r="H47" s="245">
        <f t="shared" ca="1" si="13"/>
        <v>0</v>
      </c>
      <c r="I47" s="243">
        <f t="shared" ca="1" si="14"/>
        <v>0</v>
      </c>
      <c r="J47" s="245">
        <f t="shared" ca="1" si="15"/>
        <v>0</v>
      </c>
      <c r="K47" s="234"/>
      <c r="L47" s="234"/>
      <c r="M47" s="234"/>
      <c r="Z47" s="219"/>
    </row>
    <row r="48" spans="1:42" s="2" customFormat="1" ht="30" customHeight="1" x14ac:dyDescent="0.2">
      <c r="A48" s="9"/>
      <c r="B48" s="234"/>
      <c r="C48" s="292" t="s">
        <v>80</v>
      </c>
      <c r="D48" s="292"/>
      <c r="E48" s="292"/>
      <c r="F48" s="243">
        <f>SUMIFS($Q$8:$Q$38,$G$8:$G$38,"Feriado")</f>
        <v>0</v>
      </c>
      <c r="G48" s="244">
        <f>IF($M$41="Sistema de banco de horas",0,'P Gerais'!$I$14)</f>
        <v>1</v>
      </c>
      <c r="H48" s="245">
        <f t="shared" ca="1" si="13"/>
        <v>0</v>
      </c>
      <c r="I48" s="243"/>
      <c r="J48" s="245">
        <f t="shared" ca="1" si="15"/>
        <v>0</v>
      </c>
      <c r="K48" s="234"/>
      <c r="L48" s="234"/>
      <c r="M48" s="234"/>
      <c r="Z48" s="219"/>
    </row>
    <row r="49" spans="1:26" s="2" customFormat="1" ht="15" x14ac:dyDescent="0.2">
      <c r="A49" s="9"/>
      <c r="B49" s="234"/>
      <c r="C49" s="292" t="s">
        <v>146</v>
      </c>
      <c r="D49" s="292"/>
      <c r="E49" s="292"/>
      <c r="F49" s="243">
        <f>SUMIFS($Q$8:$Q$38,$G$8:$G$38,"Folga (DSR)")</f>
        <v>0</v>
      </c>
      <c r="G49" s="244">
        <f>IF($M$41="Sistema de banco de horas",0,'P Gerais'!H14)</f>
        <v>1</v>
      </c>
      <c r="H49" s="245">
        <f ca="1">((F53/(F39-G39))*G39)</f>
        <v>0</v>
      </c>
      <c r="I49" s="243"/>
      <c r="J49" s="245">
        <f t="shared" ca="1" si="15"/>
        <v>0</v>
      </c>
      <c r="K49" s="234"/>
      <c r="L49" s="234"/>
      <c r="M49" s="234"/>
      <c r="Z49" s="219"/>
    </row>
    <row r="50" spans="1:26" s="2" customFormat="1" ht="15" x14ac:dyDescent="0.2">
      <c r="A50" s="9"/>
      <c r="B50" s="234"/>
      <c r="C50" s="292" t="s">
        <v>84</v>
      </c>
      <c r="D50" s="292"/>
      <c r="E50" s="292"/>
      <c r="F50" s="243">
        <f ca="1">IF($M$41="Sistema de banco de horas",(SUM(AI$8:AI$38)*(1+G50)),SUM(AI$8:AI$38))</f>
        <v>0</v>
      </c>
      <c r="G50" s="244">
        <f>IF($M$41="Sistema de banco de horas",0,'P Gerais'!$I$17)</f>
        <v>0.5</v>
      </c>
      <c r="H50" s="245">
        <f ca="1">IF($M$41="Sistema de banco de horas",0,$K$40*(1+G50)*(F50*24))</f>
        <v>0</v>
      </c>
      <c r="I50" s="243">
        <f ca="1">IF(SUM($AN$8:$AO$38)&gt;SUM(AI$8:AI$38),0,SUM(AI$8:AI$38)-SUM($AN$8:$AO$38))</f>
        <v>0</v>
      </c>
      <c r="J50" s="245">
        <f t="shared" ca="1" si="15"/>
        <v>0</v>
      </c>
      <c r="K50" s="234"/>
      <c r="L50" s="234"/>
      <c r="M50" s="234"/>
      <c r="Z50" s="219"/>
    </row>
    <row r="51" spans="1:26" s="2" customFormat="1" ht="15" x14ac:dyDescent="0.2">
      <c r="A51" s="9"/>
      <c r="B51" s="234"/>
      <c r="C51" s="292" t="s">
        <v>85</v>
      </c>
      <c r="D51" s="292"/>
      <c r="E51" s="292"/>
      <c r="F51" s="243">
        <f>IF($M$41="Sistema de banco de horas",(SUM(AK$8:AK$38)*(1+G51)),SUM(AK$8:AK$38))</f>
        <v>0</v>
      </c>
      <c r="G51" s="244">
        <f>IF($M$41="Sistema de banco de horas",0,'P Gerais'!$C$17)</f>
        <v>1</v>
      </c>
      <c r="H51" s="245">
        <f ca="1">IF($M$41="Sistema de banco de horas",0,$K$40*(1+G51)*(F51*24))</f>
        <v>0</v>
      </c>
      <c r="I51" s="243"/>
      <c r="J51" s="245">
        <f t="shared" ca="1" si="15"/>
        <v>0</v>
      </c>
      <c r="K51" s="234"/>
      <c r="L51" s="234"/>
      <c r="M51" s="234"/>
      <c r="Z51" s="219"/>
    </row>
    <row r="52" spans="1:26" s="2" customFormat="1" ht="15" customHeight="1" x14ac:dyDescent="0.2">
      <c r="A52" s="9"/>
      <c r="B52" s="234"/>
      <c r="C52" s="292" t="s">
        <v>87</v>
      </c>
      <c r="D52" s="292"/>
      <c r="E52" s="292"/>
      <c r="F52" s="243">
        <f ca="1">U12</f>
        <v>0</v>
      </c>
      <c r="G52" s="246"/>
      <c r="H52" s="234"/>
      <c r="I52" s="234"/>
      <c r="J52" s="234"/>
      <c r="K52" s="234"/>
      <c r="L52" s="234"/>
      <c r="M52" s="234"/>
      <c r="Z52" s="219"/>
    </row>
    <row r="53" spans="1:26" s="2" customFormat="1" ht="15" x14ac:dyDescent="0.2">
      <c r="A53" s="9"/>
      <c r="B53" s="234"/>
      <c r="C53" s="292" t="s">
        <v>299</v>
      </c>
      <c r="D53" s="292"/>
      <c r="E53" s="292"/>
      <c r="F53" s="247">
        <f ca="1">SUM(H48)+J50+H51+SUM(J41:J47)</f>
        <v>0</v>
      </c>
      <c r="G53" s="248"/>
      <c r="H53" s="234"/>
      <c r="I53" s="234"/>
      <c r="J53" s="234"/>
      <c r="K53" s="234"/>
      <c r="L53" s="234"/>
      <c r="M53" s="234"/>
      <c r="Z53" s="219"/>
    </row>
    <row r="54" spans="1:26" s="2" customFormat="1" ht="15" x14ac:dyDescent="0.2">
      <c r="A54" s="9"/>
      <c r="B54" s="234"/>
      <c r="C54" s="292" t="s">
        <v>88</v>
      </c>
      <c r="D54" s="292"/>
      <c r="E54" s="292"/>
      <c r="F54" s="247">
        <f ca="1">F53+(H49*(1+G49))</f>
        <v>0</v>
      </c>
      <c r="G54" s="248"/>
      <c r="H54" s="249"/>
      <c r="I54" s="234"/>
      <c r="J54" s="234"/>
      <c r="K54" s="234"/>
      <c r="L54" s="234"/>
      <c r="M54" s="234"/>
      <c r="Z54" s="219"/>
    </row>
    <row r="55" spans="1:26" s="2" customFormat="1" ht="15" x14ac:dyDescent="0.2">
      <c r="A55" s="9"/>
      <c r="B55" s="234"/>
      <c r="C55" s="292" t="s">
        <v>89</v>
      </c>
      <c r="D55" s="292"/>
      <c r="E55" s="292"/>
      <c r="F55" s="247">
        <f ca="1">H40+F54</f>
        <v>0</v>
      </c>
      <c r="G55" s="246"/>
      <c r="H55" s="234"/>
      <c r="I55" s="234"/>
      <c r="J55" s="234"/>
      <c r="K55" s="234"/>
      <c r="L55" s="234"/>
      <c r="M55" s="234"/>
      <c r="Z55" s="219"/>
    </row>
    <row r="56" spans="1:26" s="2" customFormat="1" ht="15" x14ac:dyDescent="0.2">
      <c r="A56" s="9"/>
      <c r="B56" s="234"/>
      <c r="C56" s="292" t="s">
        <v>178</v>
      </c>
      <c r="D56" s="292"/>
      <c r="E56" s="292"/>
      <c r="F56" s="243">
        <f>IF($M$41="Sistema de banco de horas",(SUMIF($G$8:$G$38,"Férias",Q8:Q38))*(1+G48),SUMIF($G$8:$G$38,"Férias",Q8:Q38))</f>
        <v>0</v>
      </c>
      <c r="G56" s="246"/>
      <c r="H56" s="234"/>
      <c r="I56" s="234"/>
      <c r="J56" s="234"/>
      <c r="K56" s="234"/>
      <c r="L56" s="234"/>
      <c r="M56" s="234"/>
      <c r="Z56" s="219"/>
    </row>
    <row r="57" spans="1:26" s="2" customFormat="1" ht="15" x14ac:dyDescent="0.2">
      <c r="A57" s="9"/>
      <c r="B57" s="234"/>
      <c r="C57" s="239"/>
      <c r="D57" s="239"/>
      <c r="E57" s="239"/>
      <c r="F57" s="250">
        <f ca="1">U14</f>
        <v>0</v>
      </c>
      <c r="G57" s="246"/>
      <c r="H57" s="234"/>
      <c r="I57" s="234"/>
      <c r="J57" s="234"/>
      <c r="K57" s="234"/>
      <c r="L57" s="234"/>
      <c r="M57" s="234"/>
      <c r="Z57" s="219"/>
    </row>
    <row r="58" spans="1:26" s="2" customFormat="1" ht="15" x14ac:dyDescent="0.2">
      <c r="A58" s="9"/>
      <c r="B58" s="234"/>
      <c r="C58" s="239"/>
      <c r="D58" s="239"/>
      <c r="E58" s="239"/>
      <c r="F58" s="243">
        <f ca="1">SUM(F41:F51)</f>
        <v>0</v>
      </c>
      <c r="G58" s="246"/>
      <c r="H58" s="234"/>
      <c r="I58" s="234"/>
      <c r="J58" s="234"/>
      <c r="K58" s="234"/>
      <c r="L58" s="234"/>
      <c r="M58" s="234"/>
      <c r="Z58" s="219"/>
    </row>
    <row r="59" spans="1:26" s="2" customFormat="1" ht="15" x14ac:dyDescent="0.2">
      <c r="A59" s="9"/>
      <c r="Z59" s="219"/>
    </row>
    <row r="60" spans="1:26" s="2" customFormat="1" ht="15" x14ac:dyDescent="0.2">
      <c r="A60" s="9"/>
      <c r="G60" s="178"/>
      <c r="Z60" s="219"/>
    </row>
    <row r="61" spans="1:26" ht="15" x14ac:dyDescent="0.2"/>
    <row r="62" spans="1:26" ht="15" x14ac:dyDescent="0.2"/>
    <row r="63" spans="1:26" ht="15" x14ac:dyDescent="0.2"/>
    <row r="64" spans="1:26" ht="15" x14ac:dyDescent="0.2"/>
    <row r="65" ht="15" x14ac:dyDescent="0.2"/>
    <row r="66" ht="15" x14ac:dyDescent="0.2"/>
    <row r="67" ht="15" x14ac:dyDescent="0.2"/>
    <row r="68" ht="15" x14ac:dyDescent="0.2"/>
    <row r="69" ht="15" x14ac:dyDescent="0.2"/>
    <row r="70" ht="15" x14ac:dyDescent="0.2"/>
    <row r="71" ht="15" x14ac:dyDescent="0.2"/>
    <row r="72" ht="15" x14ac:dyDescent="0.2"/>
    <row r="73" ht="15" x14ac:dyDescent="0.2"/>
    <row r="74" ht="15" x14ac:dyDescent="0.2"/>
    <row r="75" ht="15" x14ac:dyDescent="0.2"/>
    <row r="76" ht="15" x14ac:dyDescent="0.2"/>
    <row r="77" ht="15" x14ac:dyDescent="0.2"/>
    <row r="78" ht="15" x14ac:dyDescent="0.2"/>
    <row r="79" ht="15" x14ac:dyDescent="0.2"/>
    <row r="80" ht="15" x14ac:dyDescent="0.2"/>
    <row r="81" ht="15" x14ac:dyDescent="0.2"/>
    <row r="82" ht="15" x14ac:dyDescent="0.2"/>
    <row r="83" ht="15" x14ac:dyDescent="0.2"/>
    <row r="84" ht="15" x14ac:dyDescent="0.2"/>
    <row r="85" ht="15" x14ac:dyDescent="0.2"/>
    <row r="86" ht="15" x14ac:dyDescent="0.2"/>
    <row r="87" ht="15" x14ac:dyDescent="0.2"/>
    <row r="88" ht="15" x14ac:dyDescent="0.2"/>
    <row r="89" ht="15" x14ac:dyDescent="0.2"/>
    <row r="90" ht="15" x14ac:dyDescent="0.2"/>
    <row r="91" ht="15" x14ac:dyDescent="0.2"/>
    <row r="92" ht="15" x14ac:dyDescent="0.2"/>
    <row r="93" ht="15" x14ac:dyDescent="0.2"/>
    <row r="94" ht="15" x14ac:dyDescent="0.2"/>
    <row r="95" ht="15" x14ac:dyDescent="0.2"/>
    <row r="96" ht="15" x14ac:dyDescent="0.2"/>
    <row r="97" ht="15" x14ac:dyDescent="0.2"/>
    <row r="98" ht="15" x14ac:dyDescent="0.2"/>
    <row r="99" ht="15" x14ac:dyDescent="0.2"/>
    <row r="100" ht="15" x14ac:dyDescent="0.2"/>
    <row r="101" ht="15" x14ac:dyDescent="0.2"/>
    <row r="102" ht="15" x14ac:dyDescent="0.2"/>
    <row r="103" ht="15" x14ac:dyDescent="0.2"/>
  </sheetData>
  <sheetProtection sheet="1" objects="1" scenarios="1" selectLockedCells="1"/>
  <mergeCells count="34">
    <mergeCell ref="C56:E56"/>
    <mergeCell ref="C48:E48"/>
    <mergeCell ref="C49:E49"/>
    <mergeCell ref="C50:E50"/>
    <mergeCell ref="C52:E52"/>
    <mergeCell ref="C53:E53"/>
    <mergeCell ref="C54:E54"/>
    <mergeCell ref="C51:E51"/>
    <mergeCell ref="C44:E44"/>
    <mergeCell ref="C55:E55"/>
    <mergeCell ref="C45:E45"/>
    <mergeCell ref="C46:E46"/>
    <mergeCell ref="C47:E47"/>
    <mergeCell ref="S22:U22"/>
    <mergeCell ref="C41:E41"/>
    <mergeCell ref="C42:E42"/>
    <mergeCell ref="C43:E43"/>
    <mergeCell ref="S26:U28"/>
    <mergeCell ref="S23:U25"/>
    <mergeCell ref="E7:F7"/>
    <mergeCell ref="I7:J7"/>
    <mergeCell ref="S7:U7"/>
    <mergeCell ref="S8:T9"/>
    <mergeCell ref="U8:U9"/>
    <mergeCell ref="S16:T17"/>
    <mergeCell ref="U16:U17"/>
    <mergeCell ref="S18:T19"/>
    <mergeCell ref="S10:T11"/>
    <mergeCell ref="U10:U11"/>
    <mergeCell ref="S12:T13"/>
    <mergeCell ref="U12:U13"/>
    <mergeCell ref="S14:T15"/>
    <mergeCell ref="U14:U15"/>
    <mergeCell ref="U18:U19"/>
  </mergeCells>
  <conditionalFormatting sqref="M8:M37">
    <cfRule type="cellIs" dxfId="376" priority="126" operator="greaterThan">
      <formula>0</formula>
    </cfRule>
  </conditionalFormatting>
  <conditionalFormatting sqref="L36:L37 N36:N37">
    <cfRule type="expression" dxfId="375" priority="93">
      <formula>AND($E36&lt;$E$35,$E$8=1)</formula>
    </cfRule>
    <cfRule type="expression" dxfId="374" priority="94">
      <formula>AND($E36&gt;=$E$8,$E$8&lt;&gt;1)</formula>
    </cfRule>
  </conditionalFormatting>
  <conditionalFormatting sqref="E36:E38">
    <cfRule type="expression" dxfId="373" priority="91">
      <formula>AND($E36&lt;$E$35,$E$8=1)</formula>
    </cfRule>
    <cfRule type="expression" dxfId="372" priority="92">
      <formula>AND($E36&gt;=$E$8,$E$8&lt;&gt;1)</formula>
    </cfRule>
  </conditionalFormatting>
  <conditionalFormatting sqref="O8:O37">
    <cfRule type="cellIs" dxfId="371" priority="86" operator="greaterThan">
      <formula>0.000001</formula>
    </cfRule>
  </conditionalFormatting>
  <conditionalFormatting sqref="O36:O37">
    <cfRule type="expression" dxfId="370" priority="84">
      <formula>AND($E36&lt;$E$35,$E$8=1)</formula>
    </cfRule>
    <cfRule type="expression" dxfId="369" priority="85">
      <formula>AND($E36&gt;=$E$8,$E$8&lt;&gt;1)</formula>
    </cfRule>
  </conditionalFormatting>
  <conditionalFormatting sqref="F8:F38">
    <cfRule type="containsText" dxfId="368" priority="80" operator="containsText" text="Dom">
      <formula>NOT(ISERROR(SEARCH("Dom",F8)))</formula>
    </cfRule>
    <cfRule type="containsText" dxfId="367" priority="81" operator="containsText" text="Sáb">
      <formula>NOT(ISERROR(SEARCH("Sáb",F8)))</formula>
    </cfRule>
  </conditionalFormatting>
  <conditionalFormatting sqref="Q8:Q37">
    <cfRule type="cellIs" dxfId="366" priority="78" operator="greaterThan">
      <formula>0.000001</formula>
    </cfRule>
  </conditionalFormatting>
  <conditionalFormatting sqref="G8:K35">
    <cfRule type="expression" dxfId="365" priority="48">
      <formula>OR($G8="Férias",$G8="Falta Injustificada")</formula>
    </cfRule>
    <cfRule type="expression" dxfId="364" priority="49">
      <formula>$G8="Folga (DSR)"</formula>
    </cfRule>
    <cfRule type="expression" dxfId="363" priority="50">
      <formula>$G8="Feriado"</formula>
    </cfRule>
    <cfRule type="expression" dxfId="362" priority="51">
      <formula>$F8="Dom"</formula>
    </cfRule>
  </conditionalFormatting>
  <conditionalFormatting sqref="H8:K35">
    <cfRule type="expression" dxfId="361" priority="47">
      <formula>OR($G8="Falta Justificada",$G8="Falta Injustificada")</formula>
    </cfRule>
  </conditionalFormatting>
  <conditionalFormatting sqref="G36:K37">
    <cfRule type="expression" dxfId="360" priority="43">
      <formula>OR($G36="Férias",$G36="Falta Injustificada")</formula>
    </cfRule>
    <cfRule type="expression" dxfId="359" priority="44">
      <formula>$G36="Folga (DSR)"</formula>
    </cfRule>
    <cfRule type="expression" dxfId="358" priority="45">
      <formula>$G36="Feriado"</formula>
    </cfRule>
    <cfRule type="expression" dxfId="357" priority="46">
      <formula>$F36="Dom"</formula>
    </cfRule>
  </conditionalFormatting>
  <conditionalFormatting sqref="G36:K37">
    <cfRule type="expression" dxfId="356" priority="40">
      <formula>AND($E36&lt;$E$35,$E$8=1)</formula>
    </cfRule>
    <cfRule type="expression" dxfId="355" priority="41">
      <formula>AND($E36&gt;=$E$8,$E$8&lt;&gt;1)</formula>
    </cfRule>
  </conditionalFormatting>
  <conditionalFormatting sqref="H36:K37">
    <cfRule type="expression" dxfId="354" priority="42">
      <formula>OR($G36="Falta Justificada",$G36="Falta Injustificada")</formula>
    </cfRule>
  </conditionalFormatting>
  <conditionalFormatting sqref="O38">
    <cfRule type="cellIs" dxfId="353" priority="38" operator="greaterThan">
      <formula>0.000001</formula>
    </cfRule>
  </conditionalFormatting>
  <conditionalFormatting sqref="M38">
    <cfRule type="cellIs" dxfId="352" priority="39" operator="greaterThan">
      <formula>0</formula>
    </cfRule>
  </conditionalFormatting>
  <conditionalFormatting sqref="L38:O38">
    <cfRule type="expression" dxfId="351" priority="37">
      <formula>AND($E38&gt;=$E$8,$E$8&lt;&gt;1)</formula>
    </cfRule>
  </conditionalFormatting>
  <conditionalFormatting sqref="G38:K38">
    <cfRule type="expression" dxfId="350" priority="24">
      <formula>OR($G38="Férias",$G38="Falta Injustificada")</formula>
    </cfRule>
    <cfRule type="expression" dxfId="349" priority="25">
      <formula>$G38="Folga (DSR)"</formula>
    </cfRule>
    <cfRule type="expression" dxfId="348" priority="26">
      <formula>$G38="Feriado"</formula>
    </cfRule>
    <cfRule type="expression" dxfId="347" priority="27">
      <formula>$F38="Dom"</formula>
    </cfRule>
  </conditionalFormatting>
  <conditionalFormatting sqref="H38:K38">
    <cfRule type="expression" dxfId="346" priority="23">
      <formula>OR($G38="Falta Justificada",$G38="Falta Injustificada")</formula>
    </cfRule>
  </conditionalFormatting>
  <conditionalFormatting sqref="Q38">
    <cfRule type="cellIs" dxfId="345" priority="20" operator="greaterThan">
      <formula>0.000001</formula>
    </cfRule>
  </conditionalFormatting>
  <conditionalFormatting sqref="L38:Q38">
    <cfRule type="expression" dxfId="344" priority="36">
      <formula>AND($E38&lt;$E$35,$E$8=1)</formula>
    </cfRule>
  </conditionalFormatting>
  <conditionalFormatting sqref="G38:Q38">
    <cfRule type="expression" dxfId="343" priority="21">
      <formula>AND($E38&lt;$E$35,$E$8=1)</formula>
    </cfRule>
    <cfRule type="expression" dxfId="342" priority="22">
      <formula>AND($E38&gt;=$E$8,$E$8&lt;&gt;1)</formula>
    </cfRule>
  </conditionalFormatting>
  <conditionalFormatting sqref="U10:U11">
    <cfRule type="expression" dxfId="341" priority="8">
      <formula>$V$11="Negativo"</formula>
    </cfRule>
  </conditionalFormatting>
  <conditionalFormatting sqref="U12:U13">
    <cfRule type="expression" dxfId="340" priority="512">
      <formula>$U$14&gt;$F$58</formula>
    </cfRule>
  </conditionalFormatting>
  <conditionalFormatting sqref="F40">
    <cfRule type="expression" dxfId="339" priority="513">
      <formula>$E40="Folga(DSR)"</formula>
    </cfRule>
    <cfRule type="expression" dxfId="338" priority="514">
      <formula>$E40="Feriado"</formula>
    </cfRule>
    <cfRule type="expression" dxfId="337" priority="515">
      <formula>$D40="Dom"</formula>
    </cfRule>
  </conditionalFormatting>
  <dataValidations count="3">
    <dataValidation type="list" allowBlank="1" showInputMessage="1" showErrorMessage="1" sqref="G8:G38">
      <formula1>"Normal,Feriado,Folga (DSR),Falta Justificada,Férias,Falta Injustificada"</formula1>
    </dataValidation>
    <dataValidation type="time" allowBlank="1" showInputMessage="1" showErrorMessage="1" sqref="H8:K38">
      <formula1>0</formula1>
      <formula2>0.999988425925926</formula2>
    </dataValidation>
    <dataValidation type="list" allowBlank="1" showInputMessage="1" showErrorMessage="1" sqref="E9:E35">
      <formula1>"1,5,10,16"</formula1>
    </dataValidation>
  </dataValidations>
  <hyperlinks>
    <hyperlink ref="C8" location="Lanç!A1" display="Lanç!A1"/>
    <hyperlink ref="C9" location="'Lanç (2)'!A1" display="'Lanç (2)'!A1"/>
    <hyperlink ref="C10" location="'Lanç (3)'!A1" display="'Lanç (3)'!A1"/>
    <hyperlink ref="C11" location="'Lanç (4)'!A1" display="'Lanç (4)'!A1"/>
    <hyperlink ref="C12" location="'Lanç (5)'!A1" display="'Lanç (5)'!A1"/>
    <hyperlink ref="C13" location="'Lanç (6)'!A1" display="'Lanç (6)'!A1"/>
    <hyperlink ref="C14" location="'Lanç (7)'!A1" display="'Lanç (7)'!A1"/>
    <hyperlink ref="C15" location="'Lanç (8)'!A1" display="'Lanç (8)'!A1"/>
    <hyperlink ref="C16" location="'Lanç (9)'!A1" display="'Lanç (9)'!A1"/>
    <hyperlink ref="C17" location="'Lanç (10)'!A1" display="'Lanç (10)'!A1"/>
    <hyperlink ref="C18" location="'Lanç (11)'!A1" display="'Lanç (11)'!A1"/>
    <hyperlink ref="C19" location="'Lanç (12)'!A1" display="'Lanç (12)'!A1"/>
    <hyperlink ref="C20" location="'Lanç (13)'!A1" display="'Lanç (13)'!A1"/>
    <hyperlink ref="C21" location="'Lanç (14)'!A1" display="'Lanç (14)'!A1"/>
    <hyperlink ref="C22" location="'Lanç (15)'!A1" display="'Lanç (15)'!A1"/>
    <hyperlink ref="C23" location="'Lanç (16)'!A1" display="'Lanç (16)'!A1"/>
    <hyperlink ref="C24" location="'Lanç (17)'!A1" display="'Lanç (17)'!A1"/>
    <hyperlink ref="C25" location="'Lanç (18)'!A1" display="'Lanç (18)'!A1"/>
    <hyperlink ref="C26" location="'Lanç (19)'!A1" display="'Lanç (19)'!A1"/>
    <hyperlink ref="C27" location="'Lanç (20)'!A1" display="'Lanç (20)'!A1"/>
    <hyperlink ref="C28" location="'Lanç (21)'!A1" display="'Lanç (21)'!A1"/>
    <hyperlink ref="C29" location="'Lanç (22)'!A1" display="'Lanç (22)'!A1"/>
    <hyperlink ref="C30" location="'Lanç (23)'!A1" display="'Lanç (23)'!A1"/>
    <hyperlink ref="C31" location="'Lanç (24)'!A1" display="'Lanç (24)'!A1"/>
    <hyperlink ref="C32" location="'Lanç (25)'!A1" display="'Lanç (25)'!A1"/>
    <hyperlink ref="C33" location="'Lanç (26)'!A1" display="'Lanç (26)'!A1"/>
    <hyperlink ref="C34" location="'Lanç (27)'!A1" display="'Lanç (27)'!A1"/>
    <hyperlink ref="C35" location="'Lanç (28)'!A1" display="'Lanç (28)'!A1"/>
    <hyperlink ref="C36" location="'Lanç (29)'!A1" display="'Lanç (29)'!A1"/>
    <hyperlink ref="C37" location="'Lanç (30)'!A1" display="'Lanç (30)'!A1"/>
  </hyperlinks>
  <printOptions horizontalCentered="1"/>
  <pageMargins left="0.23622047244094502" right="0.23622047244094502" top="0.74803149606299202" bottom="0.74803149606299202" header="0.31496062992126" footer="0.31496062992126"/>
  <pageSetup paperSize="9" scale="53" orientation="portrait" cellComments="atEnd"/>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69" id="{F495F33B-D846-0448-869A-E7804F93444F}">
            <xm:f>'P Gerais'!$I$10:$M$10="Pagas em Dinheiro"</xm:f>
            <x14:dxf>
              <font>
                <color theme="0"/>
              </font>
              <fill>
                <patternFill>
                  <bgColor theme="0"/>
                </patternFill>
              </fill>
              <border>
                <left/>
                <right/>
                <top/>
                <bottom/>
              </border>
            </x14:dxf>
          </x14:cfRule>
          <xm:sqref>S10:T13</xm:sqref>
        </x14:conditionalFormatting>
        <x14:conditionalFormatting xmlns:xm="http://schemas.microsoft.com/office/excel/2006/main">
          <x14:cfRule type="expression" priority="68" id="{DC012151-8819-7C4C-845F-34F16A6F5AB3}">
            <xm:f>'P Gerais'!$I$10:$M$10="Sistema de banco de horas"</xm:f>
            <x14:dxf>
              <font>
                <color theme="0"/>
              </font>
              <fill>
                <patternFill>
                  <bgColor theme="0"/>
                </patternFill>
              </fill>
              <border>
                <left/>
                <right/>
                <top/>
                <bottom/>
              </border>
            </x14:dxf>
          </x14:cfRule>
          <xm:sqref>S18:T19</xm:sqref>
        </x14:conditionalFormatting>
        <x14:conditionalFormatting xmlns:xm="http://schemas.microsoft.com/office/excel/2006/main">
          <x14:cfRule type="expression" priority="10" id="{E468D60D-9471-9445-AC49-A12A5D9C07D2}">
            <xm:f>'P Gerais'!$I$10:$M$10="Sistema de banco de horas"</xm:f>
            <x14:dxf>
              <font>
                <color theme="0"/>
              </font>
              <fill>
                <patternFill>
                  <bgColor theme="0"/>
                </patternFill>
              </fill>
              <border>
                <left/>
                <right/>
                <top/>
                <bottom/>
              </border>
            </x14:dxf>
          </x14:cfRule>
          <xm:sqref>U18:U19</xm:sqref>
        </x14:conditionalFormatting>
        <x14:conditionalFormatting xmlns:xm="http://schemas.microsoft.com/office/excel/2006/main">
          <x14:cfRule type="expression" priority="7" id="{5D5D9BFF-9539-C64B-9BB7-4D7033935153}">
            <xm:f>'P Gerais'!$I$10:$M$10="Pagas em Dinheiro"</xm:f>
            <x14:dxf>
              <font>
                <color theme="0"/>
              </font>
              <fill>
                <patternFill>
                  <bgColor theme="0"/>
                </patternFill>
              </fill>
              <border>
                <left/>
                <right/>
                <top/>
                <bottom/>
              </border>
            </x14:dxf>
          </x14:cfRule>
          <xm:sqref>U10:U13</xm:sqref>
        </x14:conditionalFormatting>
      </x14:conditionalFormattings>
    </ext>
  </extLs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26" enableFormatConditionsCalculation="0"/>
  <dimension ref="A1:BG103"/>
  <sheetViews>
    <sheetView showGridLines="0" zoomScale="90" zoomScaleNormal="90" zoomScalePageLayoutView="90" workbookViewId="0">
      <selection activeCell="I12" sqref="I12"/>
    </sheetView>
  </sheetViews>
  <sheetFormatPr baseColWidth="10" defaultColWidth="0" defaultRowHeight="0" customHeight="1" zeroHeight="1" x14ac:dyDescent="0.2"/>
  <cols>
    <col min="1" max="1" width="27.83203125" style="194" customWidth="1"/>
    <col min="2" max="2" width="3.83203125" style="14" customWidth="1"/>
    <col min="3" max="3" width="33.33203125" style="14" customWidth="1"/>
    <col min="4" max="4" width="2.83203125" style="14" customWidth="1"/>
    <col min="5" max="5" width="5.83203125" style="14" customWidth="1"/>
    <col min="6" max="6" width="11.83203125" style="14" customWidth="1"/>
    <col min="7" max="7" width="14.33203125" style="195" customWidth="1"/>
    <col min="8" max="11" width="9.83203125" style="14" customWidth="1"/>
    <col min="12" max="12" width="1.83203125" style="14" customWidth="1"/>
    <col min="13" max="13" width="13.33203125" style="14" customWidth="1"/>
    <col min="14" max="14" width="1.83203125" style="14" customWidth="1"/>
    <col min="15" max="15" width="13.33203125" style="14" customWidth="1"/>
    <col min="16" max="16" width="1.83203125" style="14" customWidth="1"/>
    <col min="17" max="17" width="13.33203125" style="14" customWidth="1"/>
    <col min="18" max="18" width="4.83203125" style="2" bestFit="1" customWidth="1"/>
    <col min="19" max="21" width="11.83203125" style="14" customWidth="1"/>
    <col min="22" max="23" width="8.83203125" style="2" customWidth="1"/>
    <col min="24" max="24" width="11.33203125" style="2" bestFit="1" customWidth="1"/>
    <col min="25" max="25" width="8.83203125" style="2" customWidth="1"/>
    <col min="26" max="26" width="8.1640625" style="219" bestFit="1" customWidth="1"/>
    <col min="27" max="27" width="8.83203125" style="2" customWidth="1"/>
    <col min="28" max="28" width="11.33203125" style="2" bestFit="1" customWidth="1"/>
    <col min="29" max="43" width="8.83203125" style="2" customWidth="1"/>
    <col min="44" max="50" width="11.33203125" style="2" customWidth="1"/>
    <col min="51" max="57" width="11.33203125" style="14" customWidth="1"/>
    <col min="58" max="16384" width="8.83203125" style="14" hidden="1"/>
  </cols>
  <sheetData>
    <row r="1" spans="1:59" s="15" customFormat="1" ht="33.75" customHeight="1" x14ac:dyDescent="0.3">
      <c r="A1" s="56"/>
      <c r="B1" s="3"/>
      <c r="C1" s="4" t="s">
        <v>30</v>
      </c>
      <c r="D1" s="3"/>
      <c r="E1" s="3"/>
      <c r="F1" s="3"/>
      <c r="G1" s="77"/>
      <c r="H1" s="3"/>
      <c r="I1" s="3"/>
      <c r="J1" s="3"/>
      <c r="K1" s="3"/>
      <c r="L1" s="3"/>
      <c r="M1" s="3"/>
      <c r="N1" s="3"/>
      <c r="O1" s="3"/>
      <c r="Q1" s="3"/>
      <c r="S1" s="3"/>
      <c r="T1" s="3"/>
      <c r="U1" s="3"/>
      <c r="Z1" s="174"/>
    </row>
    <row r="2" spans="1:59" s="15" customFormat="1" ht="21.5" customHeight="1" x14ac:dyDescent="0.2">
      <c r="A2" s="1"/>
      <c r="B2" s="3"/>
      <c r="C2" s="3"/>
      <c r="D2" s="3"/>
      <c r="E2" s="3"/>
      <c r="F2" s="3"/>
      <c r="G2" s="77"/>
      <c r="H2" s="3"/>
      <c r="I2" s="3"/>
      <c r="J2" s="3"/>
      <c r="K2" s="3"/>
      <c r="L2" s="3"/>
      <c r="M2" s="3"/>
      <c r="N2" s="3"/>
      <c r="O2" s="3"/>
      <c r="Q2" s="3"/>
      <c r="S2" s="3"/>
      <c r="T2" s="3"/>
      <c r="U2" s="3"/>
      <c r="Z2" s="174"/>
    </row>
    <row r="3" spans="1:59" s="15" customFormat="1" ht="21.5" customHeight="1" x14ac:dyDescent="0.2">
      <c r="A3" s="1"/>
      <c r="B3" s="3"/>
      <c r="C3" s="3"/>
      <c r="D3" s="3"/>
      <c r="E3" s="3"/>
      <c r="F3" s="3"/>
      <c r="G3" s="77"/>
      <c r="H3" s="3"/>
      <c r="I3" s="3"/>
      <c r="J3" s="3"/>
      <c r="K3" s="3"/>
      <c r="L3" s="3"/>
      <c r="M3" s="3"/>
      <c r="N3" s="3"/>
      <c r="O3" s="3"/>
      <c r="Q3" s="3"/>
      <c r="S3" s="3"/>
      <c r="T3" s="3"/>
      <c r="U3" s="3"/>
      <c r="Z3" s="174"/>
    </row>
    <row r="4" spans="1:59" s="2" customFormat="1" ht="30" customHeight="1" x14ac:dyDescent="0.2">
      <c r="A4" s="1"/>
      <c r="B4"/>
      <c r="C4"/>
      <c r="D4"/>
      <c r="E4"/>
      <c r="F4"/>
      <c r="G4" s="78"/>
      <c r="H4"/>
      <c r="I4"/>
      <c r="J4"/>
      <c r="K4"/>
      <c r="L4"/>
      <c r="M4"/>
      <c r="N4"/>
      <c r="O4" s="13"/>
      <c r="Q4"/>
      <c r="S4"/>
      <c r="T4"/>
      <c r="U4"/>
      <c r="Z4" s="219"/>
      <c r="AN4" s="175"/>
    </row>
    <row r="5" spans="1:59" s="2" customFormat="1" ht="30" customHeight="1" x14ac:dyDescent="0.2">
      <c r="A5" s="1"/>
      <c r="B5"/>
      <c r="C5" s="160" t="s">
        <v>207</v>
      </c>
      <c r="D5"/>
      <c r="E5"/>
      <c r="F5"/>
      <c r="G5"/>
      <c r="H5"/>
      <c r="I5"/>
      <c r="J5"/>
      <c r="K5" s="157">
        <f ca="1">IF(ISERROR(VLOOKUP(INDIRECT($C$5),Jornada!$C$8:$F$37,4,0)),0,VLOOKUP(INDIRECT($C$5),Jornada!$C$8:$F$37,4,0))</f>
        <v>0</v>
      </c>
      <c r="L5" s="158"/>
      <c r="M5" s="157">
        <f ca="1">IF(ISERROR(VLOOKUP(INDIRECT($C$5),Jornada!$C$8:$G$37,5,0)),0,VLOOKUP(INDIRECT($C$5),Jornada!$C$8:$G$37,5,0))</f>
        <v>0</v>
      </c>
      <c r="N5"/>
      <c r="O5" s="69"/>
      <c r="Q5"/>
      <c r="S5"/>
      <c r="T5"/>
      <c r="U5" s="12"/>
      <c r="Z5" s="219"/>
      <c r="AC5" s="12"/>
      <c r="AK5" s="179">
        <v>0.25</v>
      </c>
      <c r="AL5" s="155">
        <v>0.91666666666666663</v>
      </c>
      <c r="AM5" s="155">
        <v>0.20833333333333334</v>
      </c>
      <c r="AN5" s="155">
        <v>1</v>
      </c>
      <c r="AO5" s="155">
        <v>0.70833333333333337</v>
      </c>
    </row>
    <row r="6" spans="1:59" s="2" customFormat="1" ht="8" customHeight="1" thickBot="1" x14ac:dyDescent="0.25">
      <c r="A6" s="1"/>
      <c r="B6"/>
      <c r="C6" s="75"/>
      <c r="D6"/>
      <c r="E6"/>
      <c r="F6"/>
      <c r="G6" s="78"/>
      <c r="H6"/>
      <c r="I6"/>
      <c r="J6"/>
      <c r="M6" s="220">
        <v>1</v>
      </c>
      <c r="N6"/>
      <c r="O6" s="11"/>
      <c r="Q6" s="11"/>
      <c r="S6"/>
      <c r="T6"/>
      <c r="Z6" s="176"/>
    </row>
    <row r="7" spans="1:59" s="2" customFormat="1" ht="30" customHeight="1" thickTop="1" thickBot="1" x14ac:dyDescent="0.25">
      <c r="A7" s="1"/>
      <c r="B7"/>
      <c r="C7" s="76" t="s">
        <v>176</v>
      </c>
      <c r="D7"/>
      <c r="E7" s="281" t="str">
        <f>Lanç!E7</f>
        <v>Janeiro</v>
      </c>
      <c r="F7" s="283"/>
      <c r="G7" s="79" t="s">
        <v>58</v>
      </c>
      <c r="H7" s="82" t="s">
        <v>0</v>
      </c>
      <c r="I7" s="293" t="s">
        <v>59</v>
      </c>
      <c r="J7" s="293"/>
      <c r="K7" s="82" t="s">
        <v>60</v>
      </c>
      <c r="L7"/>
      <c r="M7" s="73" t="s">
        <v>61</v>
      </c>
      <c r="N7"/>
      <c r="O7" s="73" t="s">
        <v>62</v>
      </c>
      <c r="Q7" s="73" t="s">
        <v>63</v>
      </c>
      <c r="R7" s="155">
        <v>8.3333333333333329E-2</v>
      </c>
      <c r="S7" s="293" t="s">
        <v>64</v>
      </c>
      <c r="T7" s="293"/>
      <c r="U7" s="293"/>
      <c r="W7" s="2" t="s">
        <v>90</v>
      </c>
      <c r="X7" s="156">
        <v>1</v>
      </c>
      <c r="AB7" s="2">
        <f>VLOOKUP($E$7,$W$7:$X$18,2,0)</f>
        <v>1</v>
      </c>
      <c r="AG7" s="176" t="s">
        <v>167</v>
      </c>
      <c r="AH7" s="176" t="s">
        <v>168</v>
      </c>
      <c r="AI7" s="155">
        <v>0</v>
      </c>
      <c r="AJ7" s="155">
        <v>1</v>
      </c>
      <c r="AK7" s="155">
        <v>0.45833333333333331</v>
      </c>
      <c r="AL7" s="2" t="s">
        <v>0</v>
      </c>
      <c r="AM7" s="2" t="s">
        <v>162</v>
      </c>
      <c r="AN7" s="2" t="s">
        <v>184</v>
      </c>
      <c r="BE7" s="14"/>
      <c r="BF7" s="14"/>
      <c r="BG7" s="14"/>
    </row>
    <row r="8" spans="1:59" s="2" customFormat="1" ht="30" customHeight="1" thickTop="1" thickBot="1" x14ac:dyDescent="0.25">
      <c r="A8" s="1"/>
      <c r="B8"/>
      <c r="C8" s="172" t="str">
        <f>IF(Funcionários!C7=0,"",Funcionários!C7)</f>
        <v/>
      </c>
      <c r="D8"/>
      <c r="E8" s="115">
        <f>Lanç!E8</f>
        <v>1</v>
      </c>
      <c r="F8" s="189" t="str">
        <f>Lanç!F8</f>
        <v>Dom</v>
      </c>
      <c r="G8" s="80"/>
      <c r="H8" s="93"/>
      <c r="I8" s="93"/>
      <c r="J8" s="93"/>
      <c r="K8" s="93"/>
      <c r="L8" s="10"/>
      <c r="M8" s="95">
        <f>IF(AND(H8=K8,H8&lt;&gt;0),$M$6-IF(J8&lt;I8,$AJ$7+J8-I8,J8-I8),IF(H8&gt;K8,(K8+1-H8)-IF(J8&lt;I8,$AJ$7+J8-I8,J8-I8),(K8-H8)-IF(J8&lt;I8,$AJ$7+J8-I8,J8-I8)))</f>
        <v>0</v>
      </c>
      <c r="N8" s="96"/>
      <c r="O8" s="95">
        <f ca="1">IF(OR(G8=0,G8="Férias",G8="Falta Justificada",G8="Feriado",G8="Folga (DSR)"),0,IF(G8="Falta Injustificada",HLOOKUP($F8,Jornada!$X$7:$AD$37,VLOOKUP(INDIRECT($C$5),Jornada!$C$8:$W$37,21,0),0),IF(HLOOKUP($F8,Jornada!$X$7:$AD$37,VLOOKUP(INDIRECT($C$5),Jornada!$C$8:$W$37,21,0),0)-M8&gt;0,HLOOKUP($F8,Jornada!$X$7:$AD$37,VLOOKUP(INDIRECT($C$5),Jornada!$C$8:$W$37,21,0),0)-M8,0)))</f>
        <v>0</v>
      </c>
      <c r="P8" s="190">
        <f ca="1">IF(HLOOKUP($F8,Jornada!$X$7:$AD$37,VLOOKUP(INDIRECT($C$5),Jornada!$C$8:$W$37,21,0),0)-M8&lt;0,ABS(HLOOKUP($F8,Jornada!$X$7:$AD$37,VLOOKUP(INDIRECT($C$5),Jornada!$C$8:$W$37,21,0),0)-M8),0)</f>
        <v>0</v>
      </c>
      <c r="Q8" s="95">
        <f t="shared" ref="Q8:Q38" si="0">IF(G8="Normal",P8,IF(G8=0,0,IF(OR(G8="Feriado",G8="Férias"),IF(H8&gt;K8,(K8+1-H8)-IF(J8&lt;I8,$AJ$7+J8-I8,J8-I8),(K8-H8)-IF(J8&lt;I8,$AJ$7+J8-I8,J8-I8)),IF(G8="Folga (DSR)",IF(H8&gt;K8,(K8+1-H8)-IF(J8&lt;I8,$AJ$7+J8-I8,J8-I8),(K8-H8)-IF(J8&lt;I8,$AJ$7+J8-I8,J8-I8)),IF(G8="Falta Justificada",IF(H8&gt;K8,(K8+1-H8)-IF(J8&lt;I8,$AJ$7+J8-I8,J8-I8),(K8-H8)-IF(J8&lt;I8,$AJ$7+J8-I8,J8-I8)),0)))))</f>
        <v>0</v>
      </c>
      <c r="R8" s="2">
        <f>IF(Q8&gt;$R$7,1,0)</f>
        <v>0</v>
      </c>
      <c r="S8" s="294" t="s">
        <v>65</v>
      </c>
      <c r="T8" s="294"/>
      <c r="U8" s="295">
        <f>SUM(M8:M38)</f>
        <v>0</v>
      </c>
      <c r="W8" s="2" t="s">
        <v>91</v>
      </c>
      <c r="X8" s="156">
        <v>2</v>
      </c>
      <c r="AB8" s="177">
        <f>DATE('P Gerais'!$D$6,AB7,1)</f>
        <v>1</v>
      </c>
      <c r="AC8" s="2">
        <f>WEEKDAY(AB8)</f>
        <v>1</v>
      </c>
      <c r="AE8" s="2">
        <v>1</v>
      </c>
      <c r="AF8" s="2" t="s">
        <v>51</v>
      </c>
      <c r="AG8" s="220">
        <f>IF(J8&lt;I8,$AJ$7+J8-I8,J8-I8)</f>
        <v>0</v>
      </c>
      <c r="AH8" s="220">
        <f ca="1">IF(HLOOKUP($F8,Jornada!$X$7:$AD$37,VLOOKUP(INDIRECT($C$5),Jornada!$C$8:$W$37,21,0),0)=0,0,VLOOKUP(INDIRECT($C$5),Jornada!$C$8:$H$37,4,0))</f>
        <v>0</v>
      </c>
      <c r="AI8" s="155">
        <f ca="1">IF(AND(I8=0,J8=0,OR(H8&lt;&gt;0,K8&lt;&gt;0),HLOOKUP($F8,Jornada!$X$7:$AD$37,VLOOKUP(INDIRECT($C$5),Jornada!$C$8:$W$37,21,0),0)&gt;$AK$5,M8&gt;$AK$5),VLOOKUP(INDIRECT($C$5),Jornada!$C$8:$H$37,6,0),IF(AG8&gt;VLOOKUP(INDIRECT($C$5),Jornada!$C$8:$H$37,6,0),IF(VLOOKUP(INDIRECT($C$5),Jornada!$C$8:$H$37,6,0)&lt;AG8,0,ABS(VLOOKUP(INDIRECT($C$5),Jornada!$C$8:$H$37,6,0))-AG8),0))</f>
        <v>0</v>
      </c>
      <c r="AJ8" s="155">
        <f>($AJ$7-K8)+H8</f>
        <v>1</v>
      </c>
      <c r="AK8" s="155">
        <f>IF(AJ8&lt;$AK$7,$AK$7-AJ8,$AI$7)</f>
        <v>0</v>
      </c>
      <c r="AL8" s="155">
        <f ca="1">HLOOKUP($F8,Jornada!$I$5:$V$37,VLOOKUP(INDIRECT($C$5),Jornada!$C$8:$W$37,21,0)+2,0)</f>
        <v>0</v>
      </c>
      <c r="AM8" s="155">
        <f ca="1">HLOOKUP($F8,Jornada!$I$4:$V$37,VLOOKUP(INDIRECT($C$5),Jornada!$C$8:$W$37,21,0)+3,0)</f>
        <v>0</v>
      </c>
      <c r="AN8" s="155">
        <f ca="1">IF(AND(AL8&gt;=$AL$5,AL8&lt;$AN$5,H8&gt;=$AL$5,H8&lt;AL8),AL8-H8,IF(AND(AL8&gt;$AI$7,AL8&lt;=$AM$5,H8&gt;=$AL$5,H8&lt;=$AN$5),$AN$5-H8+AL8,IF(AND(AL8&gt;=$AI$7,AL8&lt;=$AM$5,H8&gt;=$AI$7,H8&lt;=$AM$5,H8&lt;AL8),H8-AL8,0)))</f>
        <v>0</v>
      </c>
      <c r="AO8" s="155">
        <f>IF(AP8&gt;Q8,0,AP8)</f>
        <v>0</v>
      </c>
      <c r="AP8" s="155">
        <f>IF(Q8=0,0,IF(AND(AM8&gt;=$AL$5,AM8&lt;$AN$5,K8&gt;=$AL$5,K8&lt;$AM$5,K8&gt;AM8),K8-AM8,IF(AND(AM8&gt;=$AL$5,AM8&lt;$AN$5,K8&lt;$AN$5,K8&gt;AM8),K8-$AL$5,IF(AND(AM8&gt;=$AI$7,AM8&lt;$AM$5,K8&lt;$AM$5),K8-AM8,IF(AND(AM8&lt;&gt;AI7,AM8&gt;=$AI$7,AM8&lt;=$AM$5,K8&gt;$AM$5,K8&gt;AM8),$AM$5-AM8,IF(AND(K8&gt;$AL$5,K8&lt;$AN$5),K8-$AL$5,IF(AND(K8&gt;$AI$7,K8&lt;$AM$5),$AN$5-$AL$5+K8,IF(AND(OR(K8&gt;$AL$5,H8&gt;$AO$5),AM8&gt;=$AI$7,AM8&lt;$AM$5,K8&gt;$AM$5),(1+$AM$5-$AL$5)-AG8,0))))))))</f>
        <v>0</v>
      </c>
      <c r="BE8" s="14"/>
      <c r="BF8" s="14"/>
      <c r="BG8" s="14"/>
    </row>
    <row r="9" spans="1:59" s="2" customFormat="1" ht="30" customHeight="1" thickTop="1" thickBot="1" x14ac:dyDescent="0.25">
      <c r="A9" s="1"/>
      <c r="B9"/>
      <c r="C9" s="172" t="str">
        <f>IF(Funcionários!C8=0,"",Funcionários!C8)</f>
        <v/>
      </c>
      <c r="D9"/>
      <c r="E9" s="115">
        <f>Lanç!E9</f>
        <v>2</v>
      </c>
      <c r="F9" s="189" t="str">
        <f>Lanç!F9</f>
        <v>Seg</v>
      </c>
      <c r="G9" s="81"/>
      <c r="H9" s="94"/>
      <c r="I9" s="94"/>
      <c r="J9" s="94"/>
      <c r="K9" s="94"/>
      <c r="L9" s="10"/>
      <c r="M9" s="95">
        <f t="shared" ref="M9:M38" si="1">IF(AND(H9=K9,H9&lt;&gt;0),$M$6-IF(J9&lt;I9,$AJ$7+J9-I9,J9-I9),IF(H9&gt;K9,(K9+1-H9)-IF(J9&lt;I9,$AJ$7+J9-I9,J9-I9),(K9-H9)-IF(J9&lt;I9,$AJ$7+J9-I9,J9-I9)))</f>
        <v>0</v>
      </c>
      <c r="N9" s="96"/>
      <c r="O9" s="95">
        <f ca="1">IF(OR(G9=0,G9="Férias",G9="Falta Justificada",G9="Feriado",G9="Folga (DSR)"),0,IF(G9="Falta Injustificada",HLOOKUP($F9,Jornada!$X$7:$AD$37,VLOOKUP(INDIRECT($C$5),Jornada!$C$8:$W$37,21,0),0),IF(HLOOKUP($F9,Jornada!$X$7:$AD$37,VLOOKUP(INDIRECT($C$5),Jornada!$C$8:$W$37,21,0),0)-M9&gt;0,HLOOKUP($F9,Jornada!$X$7:$AD$37,VLOOKUP(INDIRECT($C$5),Jornada!$C$8:$W$37,21,0),0)-M9,0)))</f>
        <v>0</v>
      </c>
      <c r="P9" s="190">
        <f ca="1">IF(HLOOKUP($F9,Jornada!$X$7:$AD$37,VLOOKUP(INDIRECT($C$5),Jornada!$C$8:$W$37,21,0),0)-M9&lt;0,ABS(HLOOKUP($F9,Jornada!$X$7:$AD$37,VLOOKUP(INDIRECT($C$5),Jornada!$C$8:$W$37,21,0),0)-M9),0)</f>
        <v>0</v>
      </c>
      <c r="Q9" s="95">
        <f t="shared" si="0"/>
        <v>0</v>
      </c>
      <c r="R9" s="2">
        <f t="shared" ref="R9:R38" si="2">IF(Q9&gt;$R$7,1,0)</f>
        <v>0</v>
      </c>
      <c r="S9" s="294"/>
      <c r="T9" s="294"/>
      <c r="U9" s="295"/>
      <c r="W9" s="2" t="s">
        <v>92</v>
      </c>
      <c r="X9" s="156">
        <v>3</v>
      </c>
      <c r="AB9" s="177">
        <f>AB8+1</f>
        <v>2</v>
      </c>
      <c r="AC9" s="2">
        <f t="shared" ref="AC9:AC35" si="3">WEEKDAY(AB9)</f>
        <v>2</v>
      </c>
      <c r="AE9" s="2">
        <v>2</v>
      </c>
      <c r="AF9" s="2" t="s">
        <v>52</v>
      </c>
      <c r="AG9" s="220">
        <f t="shared" ref="AG9:AG38" si="4">IF(J9&lt;I9,$AJ$7+J9-I9,J9-I9)</f>
        <v>0</v>
      </c>
      <c r="AH9" s="220">
        <f ca="1">IF(HLOOKUP($F9,Jornada!$X$7:$AD$37,VLOOKUP(INDIRECT($C$5),Jornada!$C$8:$W$37,21,0),0)=0,0,VLOOKUP(INDIRECT($C$5),Jornada!$C$8:$H$37,4,0))</f>
        <v>0</v>
      </c>
      <c r="AI9" s="155">
        <f ca="1">IF(AND(I9=0,J9=0,OR(H9&lt;&gt;0,K9&lt;&gt;0),HLOOKUP($F9,Jornada!$X$7:$AD$37,VLOOKUP(INDIRECT($C$5),Jornada!$C$8:$W$37,21,0),0)&gt;$AK$5,M9&gt;$AK$5),VLOOKUP(INDIRECT($C$5),Jornada!$C$8:$H$37,6,0),IF(AG9&gt;VLOOKUP(INDIRECT($C$5),Jornada!$C$8:$H$37,6,0),IF(VLOOKUP(INDIRECT($C$5),Jornada!$C$8:$H$37,6,0)&lt;AG9,0,ABS(VLOOKUP(INDIRECT($C$5),Jornada!$C$8:$H$37,6,0))-AG9),0))</f>
        <v>0</v>
      </c>
      <c r="AJ9" s="155">
        <f t="shared" ref="AJ9:AJ38" si="5">($AJ$7-K9)+H9</f>
        <v>1</v>
      </c>
      <c r="AK9" s="155">
        <f t="shared" ref="AK9:AK38" si="6">IF(AJ9&lt;$AK$7,$AK$7-AJ9,$AI$7)</f>
        <v>0</v>
      </c>
      <c r="AL9" s="155">
        <f ca="1">HLOOKUP($F9,Jornada!$I$5:$V$37,VLOOKUP(INDIRECT($C$5),Jornada!$C$8:$W$37,21,0)+2,0)</f>
        <v>0</v>
      </c>
      <c r="AM9" s="155">
        <f ca="1">HLOOKUP($F9,Jornada!$I$4:$V$37,VLOOKUP(INDIRECT($C$5),Jornada!$C$8:$W$37,21,0)+3,0)</f>
        <v>0</v>
      </c>
      <c r="AN9" s="155">
        <f t="shared" ref="AN9:AN38" ca="1" si="7">IF(AND(AL9&gt;=$AL$5,AL9&lt;$AN$5,H9&gt;=$AL$5,H9&lt;AL9),AL9-H9,IF(AND(AL9&gt;$AI$7,AL9&lt;=$AM$5,H9&gt;=$AL$5,H9&lt;=$AN$5),$AN$5-H9+AL9,IF(AND(AL9&gt;=$AI$7,AL9&lt;=$AM$5,H9&gt;=$AI$7,H9&lt;=$AM$5,H9&lt;AL9),H9-AL9,0)))</f>
        <v>0</v>
      </c>
      <c r="AO9" s="155">
        <f t="shared" ref="AO9:AO38" si="8">IF(AP9&gt;Q9,0,AP9)</f>
        <v>0</v>
      </c>
      <c r="AP9" s="155">
        <f t="shared" ref="AP9:AP38" si="9">IF(Q9=0,0,IF(AND(AM9&gt;=$AL$5,AM9&lt;$AN$5,K9&gt;=$AL$5,K9&lt;$AM$5,K9&gt;AM9),K9-AM9,IF(AND(AM9&gt;=$AL$5,AM9&lt;$AN$5,K9&lt;$AN$5,K9&gt;AM9),K9-$AL$5,IF(AND(AM9&gt;=$AI$7,AM9&lt;$AM$5,K9&lt;$AM$5),K9-AM9,IF(AND(AM9&lt;&gt;AI8,AM9&gt;=$AI$7,AM9&lt;=$AM$5,K9&gt;$AM$5,K9&gt;AM9),$AM$5-AM9,IF(AND(K9&gt;$AL$5,K9&lt;$AN$5),K9-$AL$5,IF(AND(K9&gt;$AI$7,K9&lt;$AM$5),$AN$5-$AL$5+K9,IF(AND(OR(K9&gt;$AL$5,H9&gt;$AO$5),AM9&gt;=$AI$7,AM9&lt;$AM$5,K9&gt;$AM$5),(1+$AM$5-$AL$5)-AG9,0))))))))</f>
        <v>0</v>
      </c>
      <c r="BE9" s="14"/>
      <c r="BF9" s="14"/>
      <c r="BG9" s="14"/>
    </row>
    <row r="10" spans="1:59" s="2" customFormat="1" ht="30" customHeight="1" thickTop="1" thickBot="1" x14ac:dyDescent="0.25">
      <c r="A10" s="1"/>
      <c r="B10"/>
      <c r="C10" s="172" t="str">
        <f>IF(Funcionários!C9=0,"",Funcionários!C9)</f>
        <v/>
      </c>
      <c r="D10"/>
      <c r="E10" s="115">
        <f>Lanç!E10</f>
        <v>3</v>
      </c>
      <c r="F10" s="189" t="str">
        <f>Lanç!F10</f>
        <v>Ter</v>
      </c>
      <c r="G10" s="81"/>
      <c r="H10" s="94"/>
      <c r="I10" s="94"/>
      <c r="J10" s="94"/>
      <c r="K10" s="94"/>
      <c r="L10" s="10"/>
      <c r="M10" s="95">
        <f t="shared" si="1"/>
        <v>0</v>
      </c>
      <c r="N10" s="96"/>
      <c r="O10" s="95">
        <f ca="1">IF(OR(G10=0,G10="Férias",G10="Falta Justificada",G10="Feriado",G10="Folga (DSR)"),0,IF(G10="Falta Injustificada",HLOOKUP($F10,Jornada!$X$7:$AD$37,VLOOKUP(INDIRECT($C$5),Jornada!$C$8:$W$37,21,0),0),IF(HLOOKUP($F10,Jornada!$X$7:$AD$37,VLOOKUP(INDIRECT($C$5),Jornada!$C$8:$W$37,21,0),0)-M10&gt;0,HLOOKUP($F10,Jornada!$X$7:$AD$37,VLOOKUP(INDIRECT($C$5),Jornada!$C$8:$W$37,21,0),0)-M10,0)))</f>
        <v>0</v>
      </c>
      <c r="P10" s="190">
        <f ca="1">IF(HLOOKUP($F10,Jornada!$X$7:$AD$37,VLOOKUP(INDIRECT($C$5),Jornada!$C$8:$W$37,21,0),0)-M10&lt;0,ABS(HLOOKUP($F10,Jornada!$X$7:$AD$37,VLOOKUP(INDIRECT($C$5),Jornada!$C$8:$W$37,21,0),0)-M10),0)</f>
        <v>0</v>
      </c>
      <c r="Q10" s="95">
        <f t="shared" si="0"/>
        <v>0</v>
      </c>
      <c r="R10" s="2">
        <f t="shared" si="2"/>
        <v>0</v>
      </c>
      <c r="S10" s="294" t="s">
        <v>66</v>
      </c>
      <c r="T10" s="294"/>
      <c r="U10" s="295">
        <f ca="1">IF(M5="Horas devidas",ABS(-K5+F58-U14),ABS(K5+F58-U14))</f>
        <v>0</v>
      </c>
      <c r="W10" s="2" t="s">
        <v>93</v>
      </c>
      <c r="X10" s="156">
        <v>4</v>
      </c>
      <c r="AB10" s="177">
        <f t="shared" ref="AB10:AB34" si="10">AB9+1</f>
        <v>3</v>
      </c>
      <c r="AC10" s="2">
        <f t="shared" si="3"/>
        <v>3</v>
      </c>
      <c r="AE10" s="2">
        <v>3</v>
      </c>
      <c r="AF10" s="2" t="s">
        <v>53</v>
      </c>
      <c r="AG10" s="220">
        <f t="shared" si="4"/>
        <v>0</v>
      </c>
      <c r="AH10" s="220">
        <f ca="1">IF(HLOOKUP($F10,Jornada!$X$7:$AD$37,VLOOKUP(INDIRECT($C$5),Jornada!$C$8:$W$37,21,0),0)=0,0,VLOOKUP(INDIRECT($C$5),Jornada!$C$8:$H$37,4,0))</f>
        <v>0</v>
      </c>
      <c r="AI10" s="155">
        <f ca="1">IF(AND(I10=0,J10=0,OR(H10&lt;&gt;0,K10&lt;&gt;0),HLOOKUP($F10,Jornada!$X$7:$AD$37,VLOOKUP(INDIRECT($C$5),Jornada!$C$8:$W$37,21,0),0)&gt;$AK$5,M10&gt;$AK$5),VLOOKUP(INDIRECT($C$5),Jornada!$C$8:$H$37,6,0),IF(AG10&gt;VLOOKUP(INDIRECT($C$5),Jornada!$C$8:$H$37,6,0),IF(VLOOKUP(INDIRECT($C$5),Jornada!$C$8:$H$37,6,0)&lt;AG10,0,ABS(VLOOKUP(INDIRECT($C$5),Jornada!$C$8:$H$37,6,0))-AG10),0))</f>
        <v>0</v>
      </c>
      <c r="AJ10" s="155">
        <f t="shared" si="5"/>
        <v>1</v>
      </c>
      <c r="AK10" s="155">
        <f t="shared" si="6"/>
        <v>0</v>
      </c>
      <c r="AL10" s="155">
        <f ca="1">HLOOKUP($F10,Jornada!$I$5:$V$37,VLOOKUP(INDIRECT($C$5),Jornada!$C$8:$W$37,21,0)+2,0)</f>
        <v>0</v>
      </c>
      <c r="AM10" s="155">
        <f ca="1">HLOOKUP($F10,Jornada!$I$4:$V$37,VLOOKUP(INDIRECT($C$5),Jornada!$C$8:$W$37,21,0)+3,0)</f>
        <v>0</v>
      </c>
      <c r="AN10" s="155">
        <f t="shared" ca="1" si="7"/>
        <v>0</v>
      </c>
      <c r="AO10" s="155">
        <f t="shared" si="8"/>
        <v>0</v>
      </c>
      <c r="AP10" s="155">
        <f t="shared" si="9"/>
        <v>0</v>
      </c>
      <c r="BE10" s="14"/>
      <c r="BF10" s="14"/>
      <c r="BG10" s="14"/>
    </row>
    <row r="11" spans="1:59" s="2" customFormat="1" ht="30" customHeight="1" thickTop="1" thickBot="1" x14ac:dyDescent="0.25">
      <c r="A11" s="1"/>
      <c r="B11"/>
      <c r="C11" s="172" t="str">
        <f>IF(Funcionários!C10=0,"",Funcionários!C10)</f>
        <v/>
      </c>
      <c r="D11"/>
      <c r="E11" s="115">
        <f>Lanç!E11</f>
        <v>4</v>
      </c>
      <c r="F11" s="189" t="str">
        <f>Lanç!F11</f>
        <v>Qua</v>
      </c>
      <c r="G11" s="81"/>
      <c r="H11" s="94"/>
      <c r="I11" s="94"/>
      <c r="J11" s="94"/>
      <c r="K11" s="94"/>
      <c r="L11" s="10"/>
      <c r="M11" s="95">
        <f t="shared" si="1"/>
        <v>0</v>
      </c>
      <c r="N11" s="96"/>
      <c r="O11" s="95">
        <f ca="1">IF(OR(G11=0,G11="Férias",G11="Falta Justificada",G11="Feriado",G11="Folga (DSR)"),0,IF(G11="Falta Injustificada",HLOOKUP($F11,Jornada!$X$7:$AD$37,VLOOKUP(INDIRECT($C$5),Jornada!$C$8:$W$37,21,0),0),IF(HLOOKUP($F11,Jornada!$X$7:$AD$37,VLOOKUP(INDIRECT($C$5),Jornada!$C$8:$W$37,21,0),0)-M11&gt;0,HLOOKUP($F11,Jornada!$X$7:$AD$37,VLOOKUP(INDIRECT($C$5),Jornada!$C$8:$W$37,21,0),0)-M11,0)))</f>
        <v>0</v>
      </c>
      <c r="P11" s="190">
        <f ca="1">IF(HLOOKUP($F11,Jornada!$X$7:$AD$37,VLOOKUP(INDIRECT($C$5),Jornada!$C$8:$W$37,21,0),0)-M11&lt;0,ABS(HLOOKUP($F11,Jornada!$X$7:$AD$37,VLOOKUP(INDIRECT($C$5),Jornada!$C$8:$W$37,21,0),0)-M11),0)</f>
        <v>0</v>
      </c>
      <c r="Q11" s="95">
        <f t="shared" si="0"/>
        <v>0</v>
      </c>
      <c r="R11" s="2">
        <f t="shared" si="2"/>
        <v>0</v>
      </c>
      <c r="S11" s="294"/>
      <c r="T11" s="294"/>
      <c r="U11" s="295"/>
      <c r="V11" s="2">
        <f ca="1">IF(AND(K5&gt;U12,M5="Horas devidas"),"Negativo",IF(AND(U12&gt;K5,U14&gt;F58),"Negativo",0))</f>
        <v>0</v>
      </c>
      <c r="W11" s="2" t="s">
        <v>94</v>
      </c>
      <c r="X11" s="156">
        <v>5</v>
      </c>
      <c r="Z11" s="2" t="str">
        <f ca="1">IF(AND(M5="horas extras",Z13="positivo"),"positivo",IF(AND(M5="horas devidas",Z13="Negativo"),"Negativo",IF(AND(Z13="positivo",M5="horas devidas",U12&gt;K5),"Positivo","Negativo")))</f>
        <v>Negativo</v>
      </c>
      <c r="AB11" s="177">
        <f t="shared" si="10"/>
        <v>4</v>
      </c>
      <c r="AC11" s="2">
        <f t="shared" si="3"/>
        <v>4</v>
      </c>
      <c r="AE11" s="2">
        <v>4</v>
      </c>
      <c r="AF11" s="2" t="s">
        <v>54</v>
      </c>
      <c r="AG11" s="220">
        <f t="shared" si="4"/>
        <v>0</v>
      </c>
      <c r="AH11" s="220">
        <f ca="1">IF(HLOOKUP($F11,Jornada!$X$7:$AD$37,VLOOKUP(INDIRECT($C$5),Jornada!$C$8:$W$37,21,0),0)=0,0,VLOOKUP(INDIRECT($C$5),Jornada!$C$8:$H$37,4,0))</f>
        <v>0</v>
      </c>
      <c r="AI11" s="155">
        <f ca="1">IF(AND(I11=0,J11=0,OR(H11&lt;&gt;0,K11&lt;&gt;0),HLOOKUP($F11,Jornada!$X$7:$AD$37,VLOOKUP(INDIRECT($C$5),Jornada!$C$8:$W$37,21,0),0)&gt;$AK$5,M11&gt;$AK$5),VLOOKUP(INDIRECT($C$5),Jornada!$C$8:$H$37,6,0),IF(AG11&gt;VLOOKUP(INDIRECT($C$5),Jornada!$C$8:$H$37,6,0),IF(VLOOKUP(INDIRECT($C$5),Jornada!$C$8:$H$37,6,0)&lt;AG11,0,ABS(VLOOKUP(INDIRECT($C$5),Jornada!$C$8:$H$37,6,0))-AG11),0))</f>
        <v>0</v>
      </c>
      <c r="AJ11" s="155">
        <f t="shared" si="5"/>
        <v>1</v>
      </c>
      <c r="AK11" s="155">
        <f t="shared" si="6"/>
        <v>0</v>
      </c>
      <c r="AL11" s="155">
        <f ca="1">HLOOKUP($F11,Jornada!$I$5:$V$37,VLOOKUP(INDIRECT($C$5),Jornada!$C$8:$W$37,21,0)+2,0)</f>
        <v>0</v>
      </c>
      <c r="AM11" s="155">
        <f ca="1">HLOOKUP($F11,Jornada!$I$4:$V$37,VLOOKUP(INDIRECT($C$5),Jornada!$C$8:$W$37,21,0)+3,0)</f>
        <v>0</v>
      </c>
      <c r="AN11" s="155">
        <f t="shared" ca="1" si="7"/>
        <v>0</v>
      </c>
      <c r="AO11" s="155">
        <f t="shared" si="8"/>
        <v>0</v>
      </c>
      <c r="AP11" s="155">
        <f t="shared" si="9"/>
        <v>0</v>
      </c>
      <c r="BE11" s="14"/>
      <c r="BF11" s="14"/>
      <c r="BG11" s="14"/>
    </row>
    <row r="12" spans="1:59" s="2" customFormat="1" ht="30" customHeight="1" thickTop="1" thickBot="1" x14ac:dyDescent="0.25">
      <c r="A12" s="1"/>
      <c r="B12"/>
      <c r="C12" s="172" t="str">
        <f>IF(Funcionários!C11=0,"",Funcionários!C11)</f>
        <v/>
      </c>
      <c r="D12"/>
      <c r="E12" s="115">
        <f>Lanç!E12</f>
        <v>5</v>
      </c>
      <c r="F12" s="189" t="str">
        <f>Lanç!F12</f>
        <v>Qui</v>
      </c>
      <c r="G12" s="81"/>
      <c r="H12" s="94"/>
      <c r="I12" s="94"/>
      <c r="J12" s="94"/>
      <c r="K12" s="94"/>
      <c r="L12" s="10"/>
      <c r="M12" s="95">
        <f t="shared" si="1"/>
        <v>0</v>
      </c>
      <c r="N12" s="96"/>
      <c r="O12" s="95">
        <f ca="1">IF(OR(G12=0,G12="Férias",G12="Falta Justificada",G12="Feriado",G12="Folga (DSR)"),0,IF(G12="Falta Injustificada",HLOOKUP($F12,Jornada!$X$7:$AD$37,VLOOKUP(INDIRECT($C$5),Jornada!$C$8:$W$37,21,0),0),IF(HLOOKUP($F12,Jornada!$X$7:$AD$37,VLOOKUP(INDIRECT($C$5),Jornada!$C$8:$W$37,21,0),0)-M12&gt;0,HLOOKUP($F12,Jornada!$X$7:$AD$37,VLOOKUP(INDIRECT($C$5),Jornada!$C$8:$W$37,21,0),0)-M12,0)))</f>
        <v>0</v>
      </c>
      <c r="P12" s="190">
        <f ca="1">IF(HLOOKUP($F12,Jornada!$X$7:$AD$37,VLOOKUP(INDIRECT($C$5),Jornada!$C$8:$W$37,21,0),0)-M12&lt;0,ABS(HLOOKUP($F12,Jornada!$X$7:$AD$37,VLOOKUP(INDIRECT($C$5),Jornada!$C$8:$W$37,21,0),0)-M12),0)</f>
        <v>0</v>
      </c>
      <c r="Q12" s="95">
        <f t="shared" si="0"/>
        <v>0</v>
      </c>
      <c r="R12" s="2">
        <f t="shared" si="2"/>
        <v>0</v>
      </c>
      <c r="S12" s="294" t="s">
        <v>175</v>
      </c>
      <c r="T12" s="294"/>
      <c r="U12" s="295">
        <f ca="1">IF(U14&gt;=F58,(U14)-F58,(F58-U14))</f>
        <v>0</v>
      </c>
      <c r="W12" s="2" t="s">
        <v>95</v>
      </c>
      <c r="X12" s="156">
        <v>6</v>
      </c>
      <c r="AB12" s="177">
        <f t="shared" si="10"/>
        <v>5</v>
      </c>
      <c r="AC12" s="2">
        <f t="shared" si="3"/>
        <v>5</v>
      </c>
      <c r="AE12" s="2">
        <v>5</v>
      </c>
      <c r="AF12" s="2" t="s">
        <v>55</v>
      </c>
      <c r="AG12" s="220">
        <f t="shared" si="4"/>
        <v>0</v>
      </c>
      <c r="AH12" s="220">
        <f ca="1">IF(HLOOKUP($F12,Jornada!$X$7:$AD$37,VLOOKUP(INDIRECT($C$5),Jornada!$C$8:$W$37,21,0),0)=0,0,VLOOKUP(INDIRECT($C$5),Jornada!$C$8:$H$37,4,0))</f>
        <v>0</v>
      </c>
      <c r="AI12" s="155">
        <f ca="1">IF(AND(I12=0,J12=0,OR(H12&lt;&gt;0,K12&lt;&gt;0),HLOOKUP($F12,Jornada!$X$7:$AD$37,VLOOKUP(INDIRECT($C$5),Jornada!$C$8:$W$37,21,0),0)&gt;$AK$5,M12&gt;$AK$5),VLOOKUP(INDIRECT($C$5),Jornada!$C$8:$H$37,6,0),IF(AG12&gt;VLOOKUP(INDIRECT($C$5),Jornada!$C$8:$H$37,6,0),IF(VLOOKUP(INDIRECT($C$5),Jornada!$C$8:$H$37,6,0)&lt;AG12,0,ABS(VLOOKUP(INDIRECT($C$5),Jornada!$C$8:$H$37,6,0))-AG12),0))</f>
        <v>0</v>
      </c>
      <c r="AJ12" s="155">
        <f t="shared" si="5"/>
        <v>1</v>
      </c>
      <c r="AK12" s="155">
        <f t="shared" si="6"/>
        <v>0</v>
      </c>
      <c r="AL12" s="155">
        <f ca="1">HLOOKUP($F12,Jornada!$I$5:$V$37,VLOOKUP(INDIRECT($C$5),Jornada!$C$8:$W$37,21,0)+2,0)</f>
        <v>0</v>
      </c>
      <c r="AM12" s="155">
        <f ca="1">HLOOKUP($F12,Jornada!$I$4:$V$37,VLOOKUP(INDIRECT($C$5),Jornada!$C$8:$W$37,21,0)+3,0)</f>
        <v>0</v>
      </c>
      <c r="AN12" s="155">
        <f t="shared" ca="1" si="7"/>
        <v>0</v>
      </c>
      <c r="AO12" s="155">
        <f t="shared" si="8"/>
        <v>0</v>
      </c>
      <c r="AP12" s="155">
        <f t="shared" si="9"/>
        <v>0</v>
      </c>
      <c r="BE12" s="14"/>
      <c r="BF12" s="14"/>
      <c r="BG12" s="14"/>
    </row>
    <row r="13" spans="1:59" s="2" customFormat="1" ht="30" customHeight="1" thickTop="1" thickBot="1" x14ac:dyDescent="0.25">
      <c r="A13" s="1"/>
      <c r="B13"/>
      <c r="C13" s="172" t="str">
        <f>IF(Funcionários!C12=0,"",Funcionários!C12)</f>
        <v/>
      </c>
      <c r="D13"/>
      <c r="E13" s="115">
        <f>Lanç!E13</f>
        <v>6</v>
      </c>
      <c r="F13" s="189" t="str">
        <f>Lanç!F13</f>
        <v>Sex</v>
      </c>
      <c r="G13" s="81"/>
      <c r="H13" s="94"/>
      <c r="I13" s="94"/>
      <c r="J13" s="94"/>
      <c r="K13" s="94"/>
      <c r="L13" s="10"/>
      <c r="M13" s="95">
        <f t="shared" si="1"/>
        <v>0</v>
      </c>
      <c r="N13" s="96"/>
      <c r="O13" s="95">
        <f ca="1">IF(OR(G13=0,G13="Férias",G13="Falta Justificada",G13="Feriado",G13="Folga (DSR)"),0,IF(G13="Falta Injustificada",HLOOKUP($F13,Jornada!$X$7:$AD$37,VLOOKUP(INDIRECT($C$5),Jornada!$C$8:$W$37,21,0),0),IF(HLOOKUP($F13,Jornada!$X$7:$AD$37,VLOOKUP(INDIRECT($C$5),Jornada!$C$8:$W$37,21,0),0)-M13&gt;0,HLOOKUP($F13,Jornada!$X$7:$AD$37,VLOOKUP(INDIRECT($C$5),Jornada!$C$8:$W$37,21,0),0)-M13,0)))</f>
        <v>0</v>
      </c>
      <c r="P13" s="190">
        <f ca="1">IF(HLOOKUP($F13,Jornada!$X$7:$AD$37,VLOOKUP(INDIRECT($C$5),Jornada!$C$8:$W$37,21,0),0)-M13&lt;0,ABS(HLOOKUP($F13,Jornada!$X$7:$AD$37,VLOOKUP(INDIRECT($C$5),Jornada!$C$8:$W$37,21,0),0)-M13),0)</f>
        <v>0</v>
      </c>
      <c r="Q13" s="95">
        <f t="shared" si="0"/>
        <v>0</v>
      </c>
      <c r="R13" s="2">
        <f t="shared" si="2"/>
        <v>0</v>
      </c>
      <c r="S13" s="294"/>
      <c r="T13" s="294"/>
      <c r="U13" s="295"/>
      <c r="W13" s="2" t="s">
        <v>96</v>
      </c>
      <c r="X13" s="156">
        <v>7</v>
      </c>
      <c r="Z13" s="2" t="str">
        <f ca="1">IF(U14&gt;F58,"Negativo","Positivo")</f>
        <v>Positivo</v>
      </c>
      <c r="AB13" s="177">
        <f t="shared" si="10"/>
        <v>6</v>
      </c>
      <c r="AC13" s="2">
        <f t="shared" si="3"/>
        <v>6</v>
      </c>
      <c r="AE13" s="2">
        <v>6</v>
      </c>
      <c r="AF13" s="2" t="s">
        <v>56</v>
      </c>
      <c r="AG13" s="220">
        <f t="shared" si="4"/>
        <v>0</v>
      </c>
      <c r="AH13" s="220">
        <f ca="1">IF(HLOOKUP($F13,Jornada!$X$7:$AD$37,VLOOKUP(INDIRECT($C$5),Jornada!$C$8:$W$37,21,0),0)=0,0,VLOOKUP(INDIRECT($C$5),Jornada!$C$8:$H$37,4,0))</f>
        <v>0</v>
      </c>
      <c r="AI13" s="155">
        <f ca="1">IF(AND(I13=0,J13=0,OR(H13&lt;&gt;0,K13&lt;&gt;0),HLOOKUP($F13,Jornada!$X$7:$AD$37,VLOOKUP(INDIRECT($C$5),Jornada!$C$8:$W$37,21,0),0)&gt;$AK$5,M13&gt;$AK$5),VLOOKUP(INDIRECT($C$5),Jornada!$C$8:$H$37,6,0),IF(AG13&gt;VLOOKUP(INDIRECT($C$5),Jornada!$C$8:$H$37,6,0),IF(VLOOKUP(INDIRECT($C$5),Jornada!$C$8:$H$37,6,0)&lt;AG13,0,ABS(VLOOKUP(INDIRECT($C$5),Jornada!$C$8:$H$37,6,0))-AG13),0))</f>
        <v>0</v>
      </c>
      <c r="AJ13" s="155">
        <f t="shared" si="5"/>
        <v>1</v>
      </c>
      <c r="AK13" s="155">
        <f t="shared" si="6"/>
        <v>0</v>
      </c>
      <c r="AL13" s="155">
        <f ca="1">HLOOKUP($F13,Jornada!$I$5:$V$37,VLOOKUP(INDIRECT($C$5),Jornada!$C$8:$W$37,21,0)+2,0)</f>
        <v>0</v>
      </c>
      <c r="AM13" s="155">
        <f ca="1">HLOOKUP($F13,Jornada!$I$4:$V$37,VLOOKUP(INDIRECT($C$5),Jornada!$C$8:$W$37,21,0)+3,0)</f>
        <v>0</v>
      </c>
      <c r="AN13" s="155">
        <f t="shared" ca="1" si="7"/>
        <v>0</v>
      </c>
      <c r="AO13" s="155">
        <f t="shared" si="8"/>
        <v>0</v>
      </c>
      <c r="AP13" s="155">
        <f t="shared" si="9"/>
        <v>0</v>
      </c>
      <c r="BE13" s="14"/>
      <c r="BF13" s="14"/>
      <c r="BG13" s="14"/>
    </row>
    <row r="14" spans="1:59" s="2" customFormat="1" ht="30" customHeight="1" thickTop="1" thickBot="1" x14ac:dyDescent="0.25">
      <c r="A14" s="1"/>
      <c r="B14"/>
      <c r="C14" s="172" t="str">
        <f>IF(Funcionários!C13=0,"",Funcionários!C13)</f>
        <v/>
      </c>
      <c r="D14"/>
      <c r="E14" s="115">
        <f>Lanç!E14</f>
        <v>7</v>
      </c>
      <c r="F14" s="189" t="str">
        <f>Lanç!F14</f>
        <v>Sáb</v>
      </c>
      <c r="G14" s="81"/>
      <c r="H14" s="94"/>
      <c r="I14" s="94"/>
      <c r="J14" s="94"/>
      <c r="K14" s="94"/>
      <c r="L14" s="10"/>
      <c r="M14" s="95">
        <f t="shared" si="1"/>
        <v>0</v>
      </c>
      <c r="N14" s="96"/>
      <c r="O14" s="95">
        <f ca="1">IF(OR(G14=0,G14="Férias",G14="Falta Justificada",G14="Feriado",G14="Folga (DSR)"),0,IF(G14="Falta Injustificada",HLOOKUP($F14,Jornada!$X$7:$AD$37,VLOOKUP(INDIRECT($C$5),Jornada!$C$8:$W$37,21,0),0),IF(HLOOKUP($F14,Jornada!$X$7:$AD$37,VLOOKUP(INDIRECT($C$5),Jornada!$C$8:$W$37,21,0),0)-M14&gt;0,HLOOKUP($F14,Jornada!$X$7:$AD$37,VLOOKUP(INDIRECT($C$5),Jornada!$C$8:$W$37,21,0),0)-M14,0)))</f>
        <v>0</v>
      </c>
      <c r="P14" s="190">
        <f ca="1">IF(HLOOKUP($F14,Jornada!$X$7:$AD$37,VLOOKUP(INDIRECT($C$5),Jornada!$C$8:$W$37,21,0),0)-M14&lt;0,ABS(HLOOKUP($F14,Jornada!$X$7:$AD$37,VLOOKUP(INDIRECT($C$5),Jornada!$C$8:$W$37,21,0),0)-M14),0)</f>
        <v>0</v>
      </c>
      <c r="Q14" s="95">
        <f t="shared" si="0"/>
        <v>0</v>
      </c>
      <c r="R14" s="2">
        <f t="shared" si="2"/>
        <v>0</v>
      </c>
      <c r="S14" s="294" t="s">
        <v>68</v>
      </c>
      <c r="T14" s="294"/>
      <c r="U14" s="295">
        <f ca="1">SUM(O8:O38)</f>
        <v>0</v>
      </c>
      <c r="W14" s="2" t="s">
        <v>97</v>
      </c>
      <c r="X14" s="156">
        <v>8</v>
      </c>
      <c r="AB14" s="177">
        <f t="shared" si="10"/>
        <v>7</v>
      </c>
      <c r="AC14" s="2">
        <f t="shared" si="3"/>
        <v>7</v>
      </c>
      <c r="AE14" s="2">
        <v>7</v>
      </c>
      <c r="AF14" s="2" t="s">
        <v>57</v>
      </c>
      <c r="AG14" s="220">
        <f t="shared" si="4"/>
        <v>0</v>
      </c>
      <c r="AH14" s="220">
        <f ca="1">IF(HLOOKUP($F14,Jornada!$X$7:$AD$37,VLOOKUP(INDIRECT($C$5),Jornada!$C$8:$W$37,21,0),0)=0,0,VLOOKUP(INDIRECT($C$5),Jornada!$C$8:$H$37,4,0))</f>
        <v>0</v>
      </c>
      <c r="AI14" s="155">
        <f ca="1">IF(AND(I14=0,J14=0,OR(H14&lt;&gt;0,K14&lt;&gt;0),HLOOKUP($F14,Jornada!$X$7:$AD$37,VLOOKUP(INDIRECT($C$5),Jornada!$C$8:$W$37,21,0),0)&gt;$AK$5,M14&gt;$AK$5),VLOOKUP(INDIRECT($C$5),Jornada!$C$8:$H$37,6,0),IF(AG14&gt;VLOOKUP(INDIRECT($C$5),Jornada!$C$8:$H$37,6,0),IF(VLOOKUP(INDIRECT($C$5),Jornada!$C$8:$H$37,6,0)&lt;AG14,0,ABS(VLOOKUP(INDIRECT($C$5),Jornada!$C$8:$H$37,6,0))-AG14),0))</f>
        <v>0</v>
      </c>
      <c r="AJ14" s="155">
        <f t="shared" si="5"/>
        <v>1</v>
      </c>
      <c r="AK14" s="155">
        <f t="shared" si="6"/>
        <v>0</v>
      </c>
      <c r="AL14" s="155">
        <f ca="1">HLOOKUP($F14,Jornada!$I$5:$V$37,VLOOKUP(INDIRECT($C$5),Jornada!$C$8:$W$37,21,0)+2,0)</f>
        <v>0</v>
      </c>
      <c r="AM14" s="155">
        <f ca="1">HLOOKUP($F14,Jornada!$I$4:$V$37,VLOOKUP(INDIRECT($C$5),Jornada!$C$8:$W$37,21,0)+3,0)</f>
        <v>0</v>
      </c>
      <c r="AN14" s="155">
        <f t="shared" ca="1" si="7"/>
        <v>0</v>
      </c>
      <c r="AO14" s="155">
        <f t="shared" si="8"/>
        <v>0</v>
      </c>
      <c r="AP14" s="155">
        <f t="shared" si="9"/>
        <v>0</v>
      </c>
      <c r="BE14" s="14"/>
      <c r="BF14" s="14"/>
      <c r="BG14" s="14"/>
    </row>
    <row r="15" spans="1:59" s="2" customFormat="1" ht="30" customHeight="1" thickTop="1" thickBot="1" x14ac:dyDescent="0.25">
      <c r="A15" s="1"/>
      <c r="B15"/>
      <c r="C15" s="172" t="str">
        <f>IF(Funcionários!C14=0,"",Funcionários!C14)</f>
        <v/>
      </c>
      <c r="D15"/>
      <c r="E15" s="115">
        <f>Lanç!E15</f>
        <v>8</v>
      </c>
      <c r="F15" s="189" t="str">
        <f>Lanç!F15</f>
        <v>Dom</v>
      </c>
      <c r="G15" s="81"/>
      <c r="H15" s="94"/>
      <c r="I15" s="94"/>
      <c r="J15" s="94"/>
      <c r="K15" s="94"/>
      <c r="L15" s="10"/>
      <c r="M15" s="95">
        <f t="shared" si="1"/>
        <v>0</v>
      </c>
      <c r="N15" s="96"/>
      <c r="O15" s="95">
        <f ca="1">IF(OR(G15=0,G15="Férias",G15="Falta Justificada",G15="Feriado",G15="Folga (DSR)"),0,IF(G15="Falta Injustificada",HLOOKUP($F15,Jornada!$X$7:$AD$37,VLOOKUP(INDIRECT($C$5),Jornada!$C$8:$W$37,21,0),0),IF(HLOOKUP($F15,Jornada!$X$7:$AD$37,VLOOKUP(INDIRECT($C$5),Jornada!$C$8:$W$37,21,0),0)-M15&gt;0,HLOOKUP($F15,Jornada!$X$7:$AD$37,VLOOKUP(INDIRECT($C$5),Jornada!$C$8:$W$37,21,0),0)-M15,0)))</f>
        <v>0</v>
      </c>
      <c r="P15" s="190">
        <f ca="1">IF(HLOOKUP($F15,Jornada!$X$7:$AD$37,VLOOKUP(INDIRECT($C$5),Jornada!$C$8:$W$37,21,0),0)-M15&lt;0,ABS(HLOOKUP($F15,Jornada!$X$7:$AD$37,VLOOKUP(INDIRECT($C$5),Jornada!$C$8:$W$37,21,0),0)-M15),0)</f>
        <v>0</v>
      </c>
      <c r="Q15" s="95">
        <f t="shared" si="0"/>
        <v>0</v>
      </c>
      <c r="R15" s="2">
        <f t="shared" si="2"/>
        <v>0</v>
      </c>
      <c r="S15" s="294"/>
      <c r="T15" s="294"/>
      <c r="U15" s="295"/>
      <c r="W15" s="2" t="s">
        <v>98</v>
      </c>
      <c r="X15" s="156">
        <v>9</v>
      </c>
      <c r="AB15" s="177">
        <f t="shared" si="10"/>
        <v>8</v>
      </c>
      <c r="AC15" s="2">
        <f t="shared" si="3"/>
        <v>1</v>
      </c>
      <c r="AG15" s="220">
        <f t="shared" si="4"/>
        <v>0</v>
      </c>
      <c r="AH15" s="220">
        <f ca="1">IF(HLOOKUP($F15,Jornada!$X$7:$AD$37,VLOOKUP(INDIRECT($C$5),Jornada!$C$8:$W$37,21,0),0)=0,0,VLOOKUP(INDIRECT($C$5),Jornada!$C$8:$H$37,4,0))</f>
        <v>0</v>
      </c>
      <c r="AI15" s="155">
        <f ca="1">IF(AND(I15=0,J15=0,OR(H15&lt;&gt;0,K15&lt;&gt;0),HLOOKUP($F15,Jornada!$X$7:$AD$37,VLOOKUP(INDIRECT($C$5),Jornada!$C$8:$W$37,21,0),0)&gt;$AK$5,M15&gt;$AK$5),VLOOKUP(INDIRECT($C$5),Jornada!$C$8:$H$37,6,0),IF(AG15&gt;VLOOKUP(INDIRECT($C$5),Jornada!$C$8:$H$37,6,0),IF(VLOOKUP(INDIRECT($C$5),Jornada!$C$8:$H$37,6,0)&lt;AG15,0,ABS(VLOOKUP(INDIRECT($C$5),Jornada!$C$8:$H$37,6,0))-AG15),0))</f>
        <v>0</v>
      </c>
      <c r="AJ15" s="155">
        <f t="shared" si="5"/>
        <v>1</v>
      </c>
      <c r="AK15" s="155">
        <f t="shared" si="6"/>
        <v>0</v>
      </c>
      <c r="AL15" s="155">
        <f ca="1">HLOOKUP($F15,Jornada!$I$5:$V$37,VLOOKUP(INDIRECT($C$5),Jornada!$C$8:$W$37,21,0)+2,0)</f>
        <v>0</v>
      </c>
      <c r="AM15" s="155">
        <f ca="1">HLOOKUP($F15,Jornada!$I$4:$V$37,VLOOKUP(INDIRECT($C$5),Jornada!$C$8:$W$37,21,0)+3,0)</f>
        <v>0</v>
      </c>
      <c r="AN15" s="155">
        <f t="shared" ca="1" si="7"/>
        <v>0</v>
      </c>
      <c r="AO15" s="155">
        <f t="shared" si="8"/>
        <v>0</v>
      </c>
      <c r="AP15" s="155">
        <f t="shared" si="9"/>
        <v>0</v>
      </c>
      <c r="BE15" s="14"/>
      <c r="BF15" s="14"/>
      <c r="BG15" s="14"/>
    </row>
    <row r="16" spans="1:59" s="2" customFormat="1" ht="30" customHeight="1" thickTop="1" thickBot="1" x14ac:dyDescent="0.25">
      <c r="A16" s="1"/>
      <c r="B16"/>
      <c r="C16" s="172" t="str">
        <f>IF(Funcionários!C15=0,"",Funcionários!C15)</f>
        <v/>
      </c>
      <c r="D16"/>
      <c r="E16" s="115">
        <f>Lanç!E16</f>
        <v>9</v>
      </c>
      <c r="F16" s="189" t="str">
        <f>Lanç!F16</f>
        <v>Seg</v>
      </c>
      <c r="G16" s="81"/>
      <c r="H16" s="94"/>
      <c r="I16" s="94"/>
      <c r="J16" s="94"/>
      <c r="K16" s="94"/>
      <c r="L16" s="10"/>
      <c r="M16" s="95">
        <f t="shared" si="1"/>
        <v>0</v>
      </c>
      <c r="N16" s="96"/>
      <c r="O16" s="95">
        <f ca="1">IF(OR(G16=0,G16="Férias",G16="Falta Justificada",G16="Feriado",G16="Folga (DSR)"),0,IF(G16="Falta Injustificada",HLOOKUP($F16,Jornada!$X$7:$AD$37,VLOOKUP(INDIRECT($C$5),Jornada!$C$8:$W$37,21,0),0),IF(HLOOKUP($F16,Jornada!$X$7:$AD$37,VLOOKUP(INDIRECT($C$5),Jornada!$C$8:$W$37,21,0),0)-M16&gt;0,HLOOKUP($F16,Jornada!$X$7:$AD$37,VLOOKUP(INDIRECT($C$5),Jornada!$C$8:$W$37,21,0),0)-M16,0)))</f>
        <v>0</v>
      </c>
      <c r="P16" s="190">
        <f ca="1">IF(HLOOKUP($F16,Jornada!$X$7:$AD$37,VLOOKUP(INDIRECT($C$5),Jornada!$C$8:$W$37,21,0),0)-M16&lt;0,ABS(HLOOKUP($F16,Jornada!$X$7:$AD$37,VLOOKUP(INDIRECT($C$5),Jornada!$C$8:$W$37,21,0),0)-M16),0)</f>
        <v>0</v>
      </c>
      <c r="Q16" s="95">
        <f t="shared" si="0"/>
        <v>0</v>
      </c>
      <c r="R16" s="2">
        <f t="shared" si="2"/>
        <v>0</v>
      </c>
      <c r="S16" s="294" t="s">
        <v>67</v>
      </c>
      <c r="T16" s="294"/>
      <c r="U16" s="295">
        <f>SUM(Q8:Q38)</f>
        <v>0</v>
      </c>
      <c r="W16" s="2" t="s">
        <v>99</v>
      </c>
      <c r="X16" s="156">
        <v>10</v>
      </c>
      <c r="AB16" s="177">
        <f t="shared" si="10"/>
        <v>9</v>
      </c>
      <c r="AC16" s="2">
        <f t="shared" si="3"/>
        <v>2</v>
      </c>
      <c r="AG16" s="220">
        <f t="shared" si="4"/>
        <v>0</v>
      </c>
      <c r="AH16" s="220">
        <f ca="1">IF(HLOOKUP($F16,Jornada!$X$7:$AD$37,VLOOKUP(INDIRECT($C$5),Jornada!$C$8:$W$37,21,0),0)=0,0,VLOOKUP(INDIRECT($C$5),Jornada!$C$8:$H$37,4,0))</f>
        <v>0</v>
      </c>
      <c r="AI16" s="155">
        <f ca="1">IF(AND(I16=0,J16=0,OR(H16&lt;&gt;0,K16&lt;&gt;0),HLOOKUP($F16,Jornada!$X$7:$AD$37,VLOOKUP(INDIRECT($C$5),Jornada!$C$8:$W$37,21,0),0)&gt;$AK$5,M16&gt;$AK$5),VLOOKUP(INDIRECT($C$5),Jornada!$C$8:$H$37,6,0),IF(AG16&gt;VLOOKUP(INDIRECT($C$5),Jornada!$C$8:$H$37,6,0),IF(VLOOKUP(INDIRECT($C$5),Jornada!$C$8:$H$37,6,0)&lt;AG16,0,ABS(VLOOKUP(INDIRECT($C$5),Jornada!$C$8:$H$37,6,0))-AG16),0))</f>
        <v>0</v>
      </c>
      <c r="AJ16" s="155">
        <f t="shared" si="5"/>
        <v>1</v>
      </c>
      <c r="AK16" s="155">
        <f t="shared" si="6"/>
        <v>0</v>
      </c>
      <c r="AL16" s="155">
        <f ca="1">HLOOKUP($F16,Jornada!$I$5:$V$37,VLOOKUP(INDIRECT($C$5),Jornada!$C$8:$W$37,21,0)+2,0)</f>
        <v>0</v>
      </c>
      <c r="AM16" s="155">
        <f ca="1">HLOOKUP($F16,Jornada!$I$4:$V$37,VLOOKUP(INDIRECT($C$5),Jornada!$C$8:$W$37,21,0)+3,0)</f>
        <v>0</v>
      </c>
      <c r="AN16" s="155">
        <f t="shared" ca="1" si="7"/>
        <v>0</v>
      </c>
      <c r="AO16" s="155">
        <f t="shared" si="8"/>
        <v>0</v>
      </c>
      <c r="AP16" s="155">
        <f t="shared" si="9"/>
        <v>0</v>
      </c>
      <c r="BE16" s="14"/>
      <c r="BF16" s="14"/>
      <c r="BG16" s="14"/>
    </row>
    <row r="17" spans="1:59" s="2" customFormat="1" ht="30" customHeight="1" thickTop="1" thickBot="1" x14ac:dyDescent="0.25">
      <c r="A17" s="1"/>
      <c r="B17"/>
      <c r="C17" s="172" t="str">
        <f>IF(Funcionários!C16=0,"",Funcionários!C16)</f>
        <v/>
      </c>
      <c r="D17"/>
      <c r="E17" s="115">
        <f>Lanç!E17</f>
        <v>10</v>
      </c>
      <c r="F17" s="189" t="str">
        <f>Lanç!F17</f>
        <v>Ter</v>
      </c>
      <c r="G17" s="81"/>
      <c r="H17" s="94"/>
      <c r="I17" s="94"/>
      <c r="J17" s="94"/>
      <c r="K17" s="94"/>
      <c r="L17" s="10"/>
      <c r="M17" s="95">
        <f t="shared" si="1"/>
        <v>0</v>
      </c>
      <c r="N17" s="96"/>
      <c r="O17" s="95">
        <f ca="1">IF(OR(G17=0,G17="Férias",G17="Falta Justificada",G17="Feriado",G17="Folga (DSR)"),0,IF(G17="Falta Injustificada",HLOOKUP($F17,Jornada!$X$7:$AD$37,VLOOKUP(INDIRECT($C$5),Jornada!$C$8:$W$37,21,0),0),IF(HLOOKUP($F17,Jornada!$X$7:$AD$37,VLOOKUP(INDIRECT($C$5),Jornada!$C$8:$W$37,21,0),0)-M17&gt;0,HLOOKUP($F17,Jornada!$X$7:$AD$37,VLOOKUP(INDIRECT($C$5),Jornada!$C$8:$W$37,21,0),0)-M17,0)))</f>
        <v>0</v>
      </c>
      <c r="P17" s="190">
        <f ca="1">IF(HLOOKUP($F17,Jornada!$X$7:$AD$37,VLOOKUP(INDIRECT($C$5),Jornada!$C$8:$W$37,21,0),0)-M17&lt;0,ABS(HLOOKUP($F17,Jornada!$X$7:$AD$37,VLOOKUP(INDIRECT($C$5),Jornada!$C$8:$W$37,21,0),0)-M17),0)</f>
        <v>0</v>
      </c>
      <c r="Q17" s="95">
        <f t="shared" si="0"/>
        <v>0</v>
      </c>
      <c r="R17" s="2">
        <f t="shared" si="2"/>
        <v>0</v>
      </c>
      <c r="S17" s="294"/>
      <c r="T17" s="294"/>
      <c r="U17" s="295"/>
      <c r="W17" s="2" t="s">
        <v>100</v>
      </c>
      <c r="X17" s="156">
        <v>11</v>
      </c>
      <c r="AB17" s="177">
        <f t="shared" si="10"/>
        <v>10</v>
      </c>
      <c r="AC17" s="2">
        <f t="shared" si="3"/>
        <v>3</v>
      </c>
      <c r="AG17" s="220">
        <f t="shared" si="4"/>
        <v>0</v>
      </c>
      <c r="AH17" s="220">
        <f ca="1">IF(HLOOKUP($F17,Jornada!$X$7:$AD$37,VLOOKUP(INDIRECT($C$5),Jornada!$C$8:$W$37,21,0),0)=0,0,VLOOKUP(INDIRECT($C$5),Jornada!$C$8:$H$37,4,0))</f>
        <v>0</v>
      </c>
      <c r="AI17" s="155">
        <f ca="1">IF(AND(I17=0,J17=0,OR(H17&lt;&gt;0,K17&lt;&gt;0),HLOOKUP($F17,Jornada!$X$7:$AD$37,VLOOKUP(INDIRECT($C$5),Jornada!$C$8:$W$37,21,0),0)&gt;$AK$5,M17&gt;$AK$5),VLOOKUP(INDIRECT($C$5),Jornada!$C$8:$H$37,6,0),IF(AG17&gt;VLOOKUP(INDIRECT($C$5),Jornada!$C$8:$H$37,6,0),IF(VLOOKUP(INDIRECT($C$5),Jornada!$C$8:$H$37,6,0)&lt;AG17,0,ABS(VLOOKUP(INDIRECT($C$5),Jornada!$C$8:$H$37,6,0))-AG17),0))</f>
        <v>0</v>
      </c>
      <c r="AJ17" s="155">
        <f t="shared" si="5"/>
        <v>1</v>
      </c>
      <c r="AK17" s="155">
        <f t="shared" si="6"/>
        <v>0</v>
      </c>
      <c r="AL17" s="155">
        <f ca="1">HLOOKUP($F17,Jornada!$I$5:$V$37,VLOOKUP(INDIRECT($C$5),Jornada!$C$8:$W$37,21,0)+2,0)</f>
        <v>0</v>
      </c>
      <c r="AM17" s="155">
        <f ca="1">HLOOKUP($F17,Jornada!$I$4:$V$37,VLOOKUP(INDIRECT($C$5),Jornada!$C$8:$W$37,21,0)+3,0)</f>
        <v>0</v>
      </c>
      <c r="AN17" s="155">
        <f t="shared" ca="1" si="7"/>
        <v>0</v>
      </c>
      <c r="AO17" s="155">
        <f t="shared" si="8"/>
        <v>0</v>
      </c>
      <c r="AP17" s="155">
        <f t="shared" si="9"/>
        <v>0</v>
      </c>
      <c r="BE17" s="14"/>
      <c r="BF17" s="14"/>
      <c r="BG17" s="14"/>
    </row>
    <row r="18" spans="1:59" s="2" customFormat="1" ht="30" customHeight="1" thickTop="1" thickBot="1" x14ac:dyDescent="0.25">
      <c r="A18" s="1"/>
      <c r="B18"/>
      <c r="C18" s="172" t="str">
        <f>IF(Funcionários!C17=0,"",Funcionários!C17)</f>
        <v/>
      </c>
      <c r="D18"/>
      <c r="E18" s="115">
        <f>Lanç!E18</f>
        <v>11</v>
      </c>
      <c r="F18" s="189" t="str">
        <f>Lanç!F18</f>
        <v>Qua</v>
      </c>
      <c r="G18" s="81"/>
      <c r="H18" s="94"/>
      <c r="I18" s="94"/>
      <c r="J18" s="94"/>
      <c r="K18" s="94"/>
      <c r="L18" s="10"/>
      <c r="M18" s="95">
        <f t="shared" si="1"/>
        <v>0</v>
      </c>
      <c r="N18" s="96"/>
      <c r="O18" s="95">
        <f ca="1">IF(OR(G18=0,G18="Férias",G18="Falta Justificada",G18="Feriado",G18="Folga (DSR)"),0,IF(G18="Falta Injustificada",HLOOKUP($F18,Jornada!$X$7:$AD$37,VLOOKUP(INDIRECT($C$5),Jornada!$C$8:$W$37,21,0),0),IF(HLOOKUP($F18,Jornada!$X$7:$AD$37,VLOOKUP(INDIRECT($C$5),Jornada!$C$8:$W$37,21,0),0)-M18&gt;0,HLOOKUP($F18,Jornada!$X$7:$AD$37,VLOOKUP(INDIRECT($C$5),Jornada!$C$8:$W$37,21,0),0)-M18,0)))</f>
        <v>0</v>
      </c>
      <c r="P18" s="190">
        <f ca="1">IF(HLOOKUP($F18,Jornada!$X$7:$AD$37,VLOOKUP(INDIRECT($C$5),Jornada!$C$8:$W$37,21,0),0)-M18&lt;0,ABS(HLOOKUP($F18,Jornada!$X$7:$AD$37,VLOOKUP(INDIRECT($C$5),Jornada!$C$8:$W$37,21,0),0)-M18),0)</f>
        <v>0</v>
      </c>
      <c r="Q18" s="95">
        <f t="shared" si="0"/>
        <v>0</v>
      </c>
      <c r="R18" s="2">
        <f t="shared" si="2"/>
        <v>0</v>
      </c>
      <c r="S18" s="294" t="s">
        <v>69</v>
      </c>
      <c r="T18" s="294"/>
      <c r="U18" s="299">
        <f ca="1">F54</f>
        <v>0</v>
      </c>
      <c r="W18" s="2" t="s">
        <v>101</v>
      </c>
      <c r="X18" s="156">
        <v>12</v>
      </c>
      <c r="AB18" s="177">
        <f t="shared" si="10"/>
        <v>11</v>
      </c>
      <c r="AC18" s="2">
        <f t="shared" si="3"/>
        <v>4</v>
      </c>
      <c r="AG18" s="220">
        <f t="shared" si="4"/>
        <v>0</v>
      </c>
      <c r="AH18" s="220">
        <f ca="1">IF(HLOOKUP($F18,Jornada!$X$7:$AD$37,VLOOKUP(INDIRECT($C$5),Jornada!$C$8:$W$37,21,0),0)=0,0,VLOOKUP(INDIRECT($C$5),Jornada!$C$8:$H$37,4,0))</f>
        <v>0</v>
      </c>
      <c r="AI18" s="155">
        <f ca="1">IF(AND(I18=0,J18=0,OR(H18&lt;&gt;0,K18&lt;&gt;0),HLOOKUP($F18,Jornada!$X$7:$AD$37,VLOOKUP(INDIRECT($C$5),Jornada!$C$8:$W$37,21,0),0)&gt;$AK$5,M18&gt;$AK$5),VLOOKUP(INDIRECT($C$5),Jornada!$C$8:$H$37,6,0),IF(AG18&gt;VLOOKUP(INDIRECT($C$5),Jornada!$C$8:$H$37,6,0),IF(VLOOKUP(INDIRECT($C$5),Jornada!$C$8:$H$37,6,0)&lt;AG18,0,ABS(VLOOKUP(INDIRECT($C$5),Jornada!$C$8:$H$37,6,0))-AG18),0))</f>
        <v>0</v>
      </c>
      <c r="AJ18" s="155">
        <f t="shared" si="5"/>
        <v>1</v>
      </c>
      <c r="AK18" s="155">
        <f t="shared" si="6"/>
        <v>0</v>
      </c>
      <c r="AL18" s="155">
        <f ca="1">HLOOKUP($F18,Jornada!$I$5:$V$37,VLOOKUP(INDIRECT($C$5),Jornada!$C$8:$W$37,21,0)+2,0)</f>
        <v>0</v>
      </c>
      <c r="AM18" s="155">
        <f ca="1">HLOOKUP($F18,Jornada!$I$4:$V$37,VLOOKUP(INDIRECT($C$5),Jornada!$C$8:$W$37,21,0)+3,0)</f>
        <v>0</v>
      </c>
      <c r="AN18" s="155">
        <f t="shared" ca="1" si="7"/>
        <v>0</v>
      </c>
      <c r="AO18" s="155">
        <f t="shared" si="8"/>
        <v>0</v>
      </c>
      <c r="AP18" s="155">
        <f t="shared" si="9"/>
        <v>0</v>
      </c>
      <c r="BE18" s="14"/>
      <c r="BF18" s="14"/>
      <c r="BG18" s="14"/>
    </row>
    <row r="19" spans="1:59" s="2" customFormat="1" ht="30" customHeight="1" thickTop="1" thickBot="1" x14ac:dyDescent="0.25">
      <c r="A19" s="1"/>
      <c r="B19"/>
      <c r="C19" s="172" t="str">
        <f>IF(Funcionários!C18=0,"",Funcionários!C18)</f>
        <v/>
      </c>
      <c r="D19"/>
      <c r="E19" s="115">
        <f>Lanç!E19</f>
        <v>12</v>
      </c>
      <c r="F19" s="189" t="str">
        <f>Lanç!F19</f>
        <v>Qui</v>
      </c>
      <c r="G19" s="81"/>
      <c r="H19" s="94"/>
      <c r="I19" s="94"/>
      <c r="J19" s="94"/>
      <c r="K19" s="94"/>
      <c r="L19" s="10"/>
      <c r="M19" s="95">
        <f t="shared" si="1"/>
        <v>0</v>
      </c>
      <c r="N19" s="96"/>
      <c r="O19" s="95">
        <f ca="1">IF(OR(G19=0,G19="Férias",G19="Falta Justificada",G19="Feriado",G19="Folga (DSR)"),0,IF(G19="Falta Injustificada",HLOOKUP($F19,Jornada!$X$7:$AD$37,VLOOKUP(INDIRECT($C$5),Jornada!$C$8:$W$37,21,0),0),IF(HLOOKUP($F19,Jornada!$X$7:$AD$37,VLOOKUP(INDIRECT($C$5),Jornada!$C$8:$W$37,21,0),0)-M19&gt;0,HLOOKUP($F19,Jornada!$X$7:$AD$37,VLOOKUP(INDIRECT($C$5),Jornada!$C$8:$W$37,21,0),0)-M19,0)))</f>
        <v>0</v>
      </c>
      <c r="P19" s="190">
        <f ca="1">IF(HLOOKUP($F19,Jornada!$X$7:$AD$37,VLOOKUP(INDIRECT($C$5),Jornada!$C$8:$W$37,21,0),0)-M19&lt;0,ABS(HLOOKUP($F19,Jornada!$X$7:$AD$37,VLOOKUP(INDIRECT($C$5),Jornada!$C$8:$W$37,21,0),0)-M19),0)</f>
        <v>0</v>
      </c>
      <c r="Q19" s="95">
        <f t="shared" si="0"/>
        <v>0</v>
      </c>
      <c r="R19" s="2">
        <f t="shared" si="2"/>
        <v>0</v>
      </c>
      <c r="S19" s="294"/>
      <c r="T19" s="294"/>
      <c r="U19" s="299"/>
      <c r="X19" s="177"/>
      <c r="AB19" s="177">
        <f t="shared" si="10"/>
        <v>12</v>
      </c>
      <c r="AC19" s="2">
        <f t="shared" si="3"/>
        <v>5</v>
      </c>
      <c r="AG19" s="220">
        <f t="shared" si="4"/>
        <v>0</v>
      </c>
      <c r="AH19" s="220">
        <f ca="1">IF(HLOOKUP($F19,Jornada!$X$7:$AD$37,VLOOKUP(INDIRECT($C$5),Jornada!$C$8:$W$37,21,0),0)=0,0,VLOOKUP(INDIRECT($C$5),Jornada!$C$8:$H$37,4,0))</f>
        <v>0</v>
      </c>
      <c r="AI19" s="155">
        <f ca="1">IF(AND(I19=0,J19=0,OR(H19&lt;&gt;0,K19&lt;&gt;0),HLOOKUP($F19,Jornada!$X$7:$AD$37,VLOOKUP(INDIRECT($C$5),Jornada!$C$8:$W$37,21,0),0)&gt;$AK$5,M19&gt;$AK$5),VLOOKUP(INDIRECT($C$5),Jornada!$C$8:$H$37,6,0),IF(AG19&gt;VLOOKUP(INDIRECT($C$5),Jornada!$C$8:$H$37,6,0),IF(VLOOKUP(INDIRECT($C$5),Jornada!$C$8:$H$37,6,0)&lt;AG19,0,ABS(VLOOKUP(INDIRECT($C$5),Jornada!$C$8:$H$37,6,0))-AG19),0))</f>
        <v>0</v>
      </c>
      <c r="AJ19" s="155">
        <f t="shared" si="5"/>
        <v>1</v>
      </c>
      <c r="AK19" s="155">
        <f t="shared" si="6"/>
        <v>0</v>
      </c>
      <c r="AL19" s="155">
        <f ca="1">HLOOKUP($F19,Jornada!$I$5:$V$37,VLOOKUP(INDIRECT($C$5),Jornada!$C$8:$W$37,21,0)+2,0)</f>
        <v>0</v>
      </c>
      <c r="AM19" s="155">
        <f ca="1">HLOOKUP($F19,Jornada!$I$4:$V$37,VLOOKUP(INDIRECT($C$5),Jornada!$C$8:$W$37,21,0)+3,0)</f>
        <v>0</v>
      </c>
      <c r="AN19" s="155">
        <f t="shared" ca="1" si="7"/>
        <v>0</v>
      </c>
      <c r="AO19" s="155">
        <f t="shared" si="8"/>
        <v>0</v>
      </c>
      <c r="AP19" s="155">
        <f t="shared" si="9"/>
        <v>0</v>
      </c>
      <c r="BE19" s="14"/>
      <c r="BF19" s="14"/>
      <c r="BG19" s="14"/>
    </row>
    <row r="20" spans="1:59" s="2" customFormat="1" ht="30" customHeight="1" thickTop="1" thickBot="1" x14ac:dyDescent="0.25">
      <c r="A20" s="1"/>
      <c r="B20"/>
      <c r="C20" s="172" t="str">
        <f>IF(Funcionários!C19=0,"",Funcionários!C19)</f>
        <v/>
      </c>
      <c r="D20"/>
      <c r="E20" s="115">
        <f>Lanç!E20</f>
        <v>13</v>
      </c>
      <c r="F20" s="189" t="str">
        <f>Lanç!F20</f>
        <v>Sex</v>
      </c>
      <c r="G20" s="81"/>
      <c r="H20" s="94"/>
      <c r="I20" s="94"/>
      <c r="J20" s="94"/>
      <c r="K20" s="94"/>
      <c r="L20" s="10"/>
      <c r="M20" s="95">
        <f t="shared" si="1"/>
        <v>0</v>
      </c>
      <c r="N20" s="96"/>
      <c r="O20" s="95">
        <f ca="1">IF(OR(G20=0,G20="Férias",G20="Falta Justificada",G20="Feriado",G20="Folga (DSR)"),0,IF(G20="Falta Injustificada",HLOOKUP($F20,Jornada!$X$7:$AD$37,VLOOKUP(INDIRECT($C$5),Jornada!$C$8:$W$37,21,0),0),IF(HLOOKUP($F20,Jornada!$X$7:$AD$37,VLOOKUP(INDIRECT($C$5),Jornada!$C$8:$W$37,21,0),0)-M20&gt;0,HLOOKUP($F20,Jornada!$X$7:$AD$37,VLOOKUP(INDIRECT($C$5),Jornada!$C$8:$W$37,21,0),0)-M20,0)))</f>
        <v>0</v>
      </c>
      <c r="P20" s="190">
        <f ca="1">IF(HLOOKUP($F20,Jornada!$X$7:$AD$37,VLOOKUP(INDIRECT($C$5),Jornada!$C$8:$W$37,21,0),0)-M20&lt;0,ABS(HLOOKUP($F20,Jornada!$X$7:$AD$37,VLOOKUP(INDIRECT($C$5),Jornada!$C$8:$W$37,21,0),0)-M20),0)</f>
        <v>0</v>
      </c>
      <c r="Q20" s="95">
        <f t="shared" si="0"/>
        <v>0</v>
      </c>
      <c r="R20" s="2">
        <f t="shared" si="2"/>
        <v>0</v>
      </c>
      <c r="S20"/>
      <c r="T20"/>
      <c r="U20"/>
      <c r="X20" s="177"/>
      <c r="AB20" s="177">
        <f t="shared" si="10"/>
        <v>13</v>
      </c>
      <c r="AC20" s="2">
        <f t="shared" si="3"/>
        <v>6</v>
      </c>
      <c r="AG20" s="220">
        <f t="shared" si="4"/>
        <v>0</v>
      </c>
      <c r="AH20" s="220">
        <f ca="1">IF(HLOOKUP($F20,Jornada!$X$7:$AD$37,VLOOKUP(INDIRECT($C$5),Jornada!$C$8:$W$37,21,0),0)=0,0,VLOOKUP(INDIRECT($C$5),Jornada!$C$8:$H$37,4,0))</f>
        <v>0</v>
      </c>
      <c r="AI20" s="155">
        <f ca="1">IF(AND(I20=0,J20=0,OR(H20&lt;&gt;0,K20&lt;&gt;0),HLOOKUP($F20,Jornada!$X$7:$AD$37,VLOOKUP(INDIRECT($C$5),Jornada!$C$8:$W$37,21,0),0)&gt;$AK$5,M20&gt;$AK$5),VLOOKUP(INDIRECT($C$5),Jornada!$C$8:$H$37,6,0),IF(AG20&gt;VLOOKUP(INDIRECT($C$5),Jornada!$C$8:$H$37,6,0),IF(VLOOKUP(INDIRECT($C$5),Jornada!$C$8:$H$37,6,0)&lt;AG20,0,ABS(VLOOKUP(INDIRECT($C$5),Jornada!$C$8:$H$37,6,0))-AG20),0))</f>
        <v>0</v>
      </c>
      <c r="AJ20" s="155">
        <f t="shared" si="5"/>
        <v>1</v>
      </c>
      <c r="AK20" s="155">
        <f t="shared" si="6"/>
        <v>0</v>
      </c>
      <c r="AL20" s="155">
        <f ca="1">HLOOKUP($F20,Jornada!$I$5:$V$37,VLOOKUP(INDIRECT($C$5),Jornada!$C$8:$W$37,21,0)+2,0)</f>
        <v>0</v>
      </c>
      <c r="AM20" s="155">
        <f ca="1">HLOOKUP($F20,Jornada!$I$4:$V$37,VLOOKUP(INDIRECT($C$5),Jornada!$C$8:$W$37,21,0)+3,0)</f>
        <v>0</v>
      </c>
      <c r="AN20" s="155">
        <f t="shared" ca="1" si="7"/>
        <v>0</v>
      </c>
      <c r="AO20" s="155">
        <f t="shared" si="8"/>
        <v>0</v>
      </c>
      <c r="AP20" s="155">
        <f t="shared" si="9"/>
        <v>0</v>
      </c>
      <c r="BE20" s="14"/>
      <c r="BF20" s="14"/>
      <c r="BG20" s="14"/>
    </row>
    <row r="21" spans="1:59" s="2" customFormat="1" ht="30" customHeight="1" thickTop="1" thickBot="1" x14ac:dyDescent="0.25">
      <c r="A21" s="1"/>
      <c r="B21"/>
      <c r="C21" s="172" t="str">
        <f>IF(Funcionários!C20=0,"",Funcionários!C20)</f>
        <v/>
      </c>
      <c r="D21"/>
      <c r="E21" s="115">
        <f>Lanç!E21</f>
        <v>14</v>
      </c>
      <c r="F21" s="189" t="str">
        <f>Lanç!F21</f>
        <v>Sáb</v>
      </c>
      <c r="G21" s="81"/>
      <c r="H21" s="94"/>
      <c r="I21" s="94"/>
      <c r="J21" s="94"/>
      <c r="K21" s="94"/>
      <c r="L21" s="10"/>
      <c r="M21" s="95">
        <f t="shared" si="1"/>
        <v>0</v>
      </c>
      <c r="N21" s="96"/>
      <c r="O21" s="95">
        <f ca="1">IF(OR(G21=0,G21="Férias",G21="Falta Justificada",G21="Feriado",G21="Folga (DSR)"),0,IF(G21="Falta Injustificada",HLOOKUP($F21,Jornada!$X$7:$AD$37,VLOOKUP(INDIRECT($C$5),Jornada!$C$8:$W$37,21,0),0),IF(HLOOKUP($F21,Jornada!$X$7:$AD$37,VLOOKUP(INDIRECT($C$5),Jornada!$C$8:$W$37,21,0),0)-M21&gt;0,HLOOKUP($F21,Jornada!$X$7:$AD$37,VLOOKUP(INDIRECT($C$5),Jornada!$C$8:$W$37,21,0),0)-M21,0)))</f>
        <v>0</v>
      </c>
      <c r="P21" s="190">
        <f ca="1">IF(HLOOKUP($F21,Jornada!$X$7:$AD$37,VLOOKUP(INDIRECT($C$5),Jornada!$C$8:$W$37,21,0),0)-M21&lt;0,ABS(HLOOKUP($F21,Jornada!$X$7:$AD$37,VLOOKUP(INDIRECT($C$5),Jornada!$C$8:$W$37,21,0),0)-M21),0)</f>
        <v>0</v>
      </c>
      <c r="Q21" s="95">
        <f t="shared" si="0"/>
        <v>0</v>
      </c>
      <c r="R21" s="2">
        <f t="shared" si="2"/>
        <v>0</v>
      </c>
      <c r="S21"/>
      <c r="T21"/>
      <c r="U21"/>
      <c r="X21" s="177"/>
      <c r="AB21" s="177">
        <f t="shared" si="10"/>
        <v>14</v>
      </c>
      <c r="AC21" s="2">
        <f t="shared" si="3"/>
        <v>7</v>
      </c>
      <c r="AG21" s="220">
        <f t="shared" si="4"/>
        <v>0</v>
      </c>
      <c r="AH21" s="220">
        <f ca="1">IF(HLOOKUP($F21,Jornada!$X$7:$AD$37,VLOOKUP(INDIRECT($C$5),Jornada!$C$8:$W$37,21,0),0)=0,0,VLOOKUP(INDIRECT($C$5),Jornada!$C$8:$H$37,4,0))</f>
        <v>0</v>
      </c>
      <c r="AI21" s="155">
        <f ca="1">IF(AND(I21=0,J21=0,OR(H21&lt;&gt;0,K21&lt;&gt;0),HLOOKUP($F21,Jornada!$X$7:$AD$37,VLOOKUP(INDIRECT($C$5),Jornada!$C$8:$W$37,21,0),0)&gt;$AK$5,M21&gt;$AK$5),VLOOKUP(INDIRECT($C$5),Jornada!$C$8:$H$37,6,0),IF(AG21&gt;VLOOKUP(INDIRECT($C$5),Jornada!$C$8:$H$37,6,0),IF(VLOOKUP(INDIRECT($C$5),Jornada!$C$8:$H$37,6,0)&lt;AG21,0,ABS(VLOOKUP(INDIRECT($C$5),Jornada!$C$8:$H$37,6,0))-AG21),0))</f>
        <v>0</v>
      </c>
      <c r="AJ21" s="155">
        <f t="shared" si="5"/>
        <v>1</v>
      </c>
      <c r="AK21" s="155">
        <f t="shared" si="6"/>
        <v>0</v>
      </c>
      <c r="AL21" s="155">
        <f ca="1">HLOOKUP($F21,Jornada!$I$5:$V$37,VLOOKUP(INDIRECT($C$5),Jornada!$C$8:$W$37,21,0)+2,0)</f>
        <v>0</v>
      </c>
      <c r="AM21" s="155">
        <f ca="1">HLOOKUP($F21,Jornada!$I$4:$V$37,VLOOKUP(INDIRECT($C$5),Jornada!$C$8:$W$37,21,0)+3,0)</f>
        <v>0</v>
      </c>
      <c r="AN21" s="155">
        <f t="shared" ca="1" si="7"/>
        <v>0</v>
      </c>
      <c r="AO21" s="155">
        <f t="shared" si="8"/>
        <v>0</v>
      </c>
      <c r="AP21" s="155">
        <f t="shared" si="9"/>
        <v>0</v>
      </c>
      <c r="BE21" s="14"/>
      <c r="BF21" s="14"/>
      <c r="BG21" s="14"/>
    </row>
    <row r="22" spans="1:59" s="2" customFormat="1" ht="30" customHeight="1" thickTop="1" thickBot="1" x14ac:dyDescent="0.25">
      <c r="A22" s="1"/>
      <c r="B22"/>
      <c r="C22" s="172" t="str">
        <f>IF(Funcionários!C21=0,"",Funcionários!C21)</f>
        <v/>
      </c>
      <c r="D22"/>
      <c r="E22" s="115">
        <f>Lanç!E22</f>
        <v>15</v>
      </c>
      <c r="F22" s="189" t="str">
        <f>Lanç!F22</f>
        <v>Dom</v>
      </c>
      <c r="G22" s="81"/>
      <c r="H22" s="94"/>
      <c r="I22" s="94"/>
      <c r="J22" s="94"/>
      <c r="K22" s="94"/>
      <c r="L22" s="10"/>
      <c r="M22" s="95">
        <f t="shared" si="1"/>
        <v>0</v>
      </c>
      <c r="N22" s="96"/>
      <c r="O22" s="95">
        <f ca="1">IF(OR(G22=0,G22="Férias",G22="Falta Justificada",G22="Feriado",G22="Folga (DSR)"),0,IF(G22="Falta Injustificada",HLOOKUP($F22,Jornada!$X$7:$AD$37,VLOOKUP(INDIRECT($C$5),Jornada!$C$8:$W$37,21,0),0),IF(HLOOKUP($F22,Jornada!$X$7:$AD$37,VLOOKUP(INDIRECT($C$5),Jornada!$C$8:$W$37,21,0),0)-M22&gt;0,HLOOKUP($F22,Jornada!$X$7:$AD$37,VLOOKUP(INDIRECT($C$5),Jornada!$C$8:$W$37,21,0),0)-M22,0)))</f>
        <v>0</v>
      </c>
      <c r="P22" s="190">
        <f ca="1">IF(HLOOKUP($F22,Jornada!$X$7:$AD$37,VLOOKUP(INDIRECT($C$5),Jornada!$C$8:$W$37,21,0),0)-M22&lt;0,ABS(HLOOKUP($F22,Jornada!$X$7:$AD$37,VLOOKUP(INDIRECT($C$5),Jornada!$C$8:$W$37,21,0),0)-M22),0)</f>
        <v>0</v>
      </c>
      <c r="Q22" s="95">
        <f t="shared" si="0"/>
        <v>0</v>
      </c>
      <c r="R22" s="2">
        <f t="shared" si="2"/>
        <v>0</v>
      </c>
      <c r="S22" s="300" t="s">
        <v>63</v>
      </c>
      <c r="T22" s="301"/>
      <c r="U22" s="302"/>
      <c r="X22" s="177"/>
      <c r="AB22" s="177">
        <f t="shared" si="10"/>
        <v>15</v>
      </c>
      <c r="AC22" s="2">
        <f t="shared" si="3"/>
        <v>1</v>
      </c>
      <c r="AG22" s="220">
        <f t="shared" si="4"/>
        <v>0</v>
      </c>
      <c r="AH22" s="220">
        <f ca="1">IF(HLOOKUP($F22,Jornada!$X$7:$AD$37,VLOOKUP(INDIRECT($C$5),Jornada!$C$8:$W$37,21,0),0)=0,0,VLOOKUP(INDIRECT($C$5),Jornada!$C$8:$H$37,4,0))</f>
        <v>0</v>
      </c>
      <c r="AI22" s="155">
        <f ca="1">IF(AND(I22=0,J22=0,OR(H22&lt;&gt;0,K22&lt;&gt;0),HLOOKUP($F22,Jornada!$X$7:$AD$37,VLOOKUP(INDIRECT($C$5),Jornada!$C$8:$W$37,21,0),0)&gt;$AK$5,M22&gt;$AK$5),VLOOKUP(INDIRECT($C$5),Jornada!$C$8:$H$37,6,0),IF(AG22&gt;VLOOKUP(INDIRECT($C$5),Jornada!$C$8:$H$37,6,0),IF(VLOOKUP(INDIRECT($C$5),Jornada!$C$8:$H$37,6,0)&lt;AG22,0,ABS(VLOOKUP(INDIRECT($C$5),Jornada!$C$8:$H$37,6,0))-AG22),0))</f>
        <v>0</v>
      </c>
      <c r="AJ22" s="155">
        <f t="shared" si="5"/>
        <v>1</v>
      </c>
      <c r="AK22" s="155">
        <f t="shared" si="6"/>
        <v>0</v>
      </c>
      <c r="AL22" s="155">
        <f ca="1">HLOOKUP($F22,Jornada!$I$5:$V$37,VLOOKUP(INDIRECT($C$5),Jornada!$C$8:$W$37,21,0)+2,0)</f>
        <v>0</v>
      </c>
      <c r="AM22" s="155">
        <f ca="1">HLOOKUP($F22,Jornada!$I$4:$V$37,VLOOKUP(INDIRECT($C$5),Jornada!$C$8:$W$37,21,0)+3,0)</f>
        <v>0</v>
      </c>
      <c r="AN22" s="155">
        <f t="shared" ca="1" si="7"/>
        <v>0</v>
      </c>
      <c r="AO22" s="155">
        <f t="shared" si="8"/>
        <v>0</v>
      </c>
      <c r="AP22" s="155">
        <f t="shared" si="9"/>
        <v>0</v>
      </c>
      <c r="BE22" s="14"/>
      <c r="BF22" s="14"/>
      <c r="BG22" s="14"/>
    </row>
    <row r="23" spans="1:59" s="2" customFormat="1" ht="30" customHeight="1" thickTop="1" thickBot="1" x14ac:dyDescent="0.25">
      <c r="A23" s="1"/>
      <c r="B23"/>
      <c r="C23" s="172" t="str">
        <f>IF(Funcionários!C22=0,"",Funcionários!C22)</f>
        <v/>
      </c>
      <c r="D23"/>
      <c r="E23" s="115">
        <f>Lanç!E23</f>
        <v>16</v>
      </c>
      <c r="F23" s="189" t="str">
        <f>Lanç!F23</f>
        <v>Seg</v>
      </c>
      <c r="G23" s="81"/>
      <c r="H23" s="94"/>
      <c r="I23" s="94"/>
      <c r="J23" s="94"/>
      <c r="K23" s="94"/>
      <c r="L23" s="10"/>
      <c r="M23" s="95">
        <f t="shared" si="1"/>
        <v>0</v>
      </c>
      <c r="N23" s="96"/>
      <c r="O23" s="95">
        <f ca="1">IF(OR(G23=0,G23="Férias",G23="Falta Justificada",G23="Feriado",G23="Folga (DSR)"),0,IF(G23="Falta Injustificada",HLOOKUP($F23,Jornada!$X$7:$AD$37,VLOOKUP(INDIRECT($C$5),Jornada!$C$8:$W$37,21,0),0),IF(HLOOKUP($F23,Jornada!$X$7:$AD$37,VLOOKUP(INDIRECT($C$5),Jornada!$C$8:$W$37,21,0),0)-M23&gt;0,HLOOKUP($F23,Jornada!$X$7:$AD$37,VLOOKUP(INDIRECT($C$5),Jornada!$C$8:$W$37,21,0),0)-M23,0)))</f>
        <v>0</v>
      </c>
      <c r="P23" s="190">
        <f ca="1">IF(HLOOKUP($F23,Jornada!$X$7:$AD$37,VLOOKUP(INDIRECT($C$5),Jornada!$C$8:$W$37,21,0),0)-M23&lt;0,ABS(HLOOKUP($F23,Jornada!$X$7:$AD$37,VLOOKUP(INDIRECT($C$5),Jornada!$C$8:$W$37,21,0),0)-M23),0)</f>
        <v>0</v>
      </c>
      <c r="Q23" s="95">
        <f t="shared" si="0"/>
        <v>0</v>
      </c>
      <c r="R23" s="2">
        <f t="shared" si="2"/>
        <v>0</v>
      </c>
      <c r="S23" s="296" t="str">
        <f>IF(SUM(R8:R38)&gt;0,"Segundo o art 59 da CLT, o máximo de horas extras permitidas por dia são 2 horas.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T23" s="297"/>
      <c r="U23" s="298"/>
      <c r="X23" s="177"/>
      <c r="AB23" s="177">
        <f t="shared" si="10"/>
        <v>16</v>
      </c>
      <c r="AC23" s="2">
        <f t="shared" si="3"/>
        <v>2</v>
      </c>
      <c r="AG23" s="220">
        <f t="shared" si="4"/>
        <v>0</v>
      </c>
      <c r="AH23" s="220">
        <f ca="1">IF(HLOOKUP($F23,Jornada!$X$7:$AD$37,VLOOKUP(INDIRECT($C$5),Jornada!$C$8:$W$37,21,0),0)=0,0,VLOOKUP(INDIRECT($C$5),Jornada!$C$8:$H$37,4,0))</f>
        <v>0</v>
      </c>
      <c r="AI23" s="155">
        <f ca="1">IF(AND(I23=0,J23=0,OR(H23&lt;&gt;0,K23&lt;&gt;0),HLOOKUP($F23,Jornada!$X$7:$AD$37,VLOOKUP(INDIRECT($C$5),Jornada!$C$8:$W$37,21,0),0)&gt;$AK$5,M23&gt;$AK$5),VLOOKUP(INDIRECT($C$5),Jornada!$C$8:$H$37,6,0),IF(AG23&gt;VLOOKUP(INDIRECT($C$5),Jornada!$C$8:$H$37,6,0),IF(VLOOKUP(INDIRECT($C$5),Jornada!$C$8:$H$37,6,0)&lt;AG23,0,ABS(VLOOKUP(INDIRECT($C$5),Jornada!$C$8:$H$37,6,0))-AG23),0))</f>
        <v>0</v>
      </c>
      <c r="AJ23" s="155">
        <f t="shared" si="5"/>
        <v>1</v>
      </c>
      <c r="AK23" s="155">
        <f t="shared" si="6"/>
        <v>0</v>
      </c>
      <c r="AL23" s="155">
        <f ca="1">HLOOKUP($F23,Jornada!$I$5:$V$37,VLOOKUP(INDIRECT($C$5),Jornada!$C$8:$W$37,21,0)+2,0)</f>
        <v>0</v>
      </c>
      <c r="AM23" s="155">
        <f ca="1">HLOOKUP($F23,Jornada!$I$4:$V$37,VLOOKUP(INDIRECT($C$5),Jornada!$C$8:$W$37,21,0)+3,0)</f>
        <v>0</v>
      </c>
      <c r="AN23" s="155">
        <f t="shared" ca="1" si="7"/>
        <v>0</v>
      </c>
      <c r="AO23" s="155">
        <f t="shared" si="8"/>
        <v>0</v>
      </c>
      <c r="AP23" s="155">
        <f t="shared" si="9"/>
        <v>0</v>
      </c>
      <c r="BE23" s="14"/>
      <c r="BF23" s="14"/>
      <c r="BG23" s="14"/>
    </row>
    <row r="24" spans="1:59" s="2" customFormat="1" ht="30" customHeight="1" thickTop="1" thickBot="1" x14ac:dyDescent="0.25">
      <c r="A24" s="1"/>
      <c r="B24"/>
      <c r="C24" s="172" t="str">
        <f>IF(Funcionários!C23=0,"",Funcionários!C23)</f>
        <v/>
      </c>
      <c r="D24"/>
      <c r="E24" s="115">
        <f>Lanç!E24</f>
        <v>17</v>
      </c>
      <c r="F24" s="189" t="str">
        <f>Lanç!F24</f>
        <v>Ter</v>
      </c>
      <c r="G24" s="81"/>
      <c r="H24" s="94"/>
      <c r="I24" s="94"/>
      <c r="J24" s="94"/>
      <c r="K24" s="94"/>
      <c r="L24" s="10"/>
      <c r="M24" s="95">
        <f t="shared" si="1"/>
        <v>0</v>
      </c>
      <c r="N24" s="96"/>
      <c r="O24" s="95">
        <f ca="1">IF(OR(G24=0,G24="Férias",G24="Falta Justificada",G24="Feriado",G24="Folga (DSR)"),0,IF(G24="Falta Injustificada",HLOOKUP($F24,Jornada!$X$7:$AD$37,VLOOKUP(INDIRECT($C$5),Jornada!$C$8:$W$37,21,0),0),IF(HLOOKUP($F24,Jornada!$X$7:$AD$37,VLOOKUP(INDIRECT($C$5),Jornada!$C$8:$W$37,21,0),0)-M24&gt;0,HLOOKUP($F24,Jornada!$X$7:$AD$37,VLOOKUP(INDIRECT($C$5),Jornada!$C$8:$W$37,21,0),0)-M24,0)))</f>
        <v>0</v>
      </c>
      <c r="P24" s="190">
        <f ca="1">IF(HLOOKUP($F24,Jornada!$X$7:$AD$37,VLOOKUP(INDIRECT($C$5),Jornada!$C$8:$W$37,21,0),0)-M24&lt;0,ABS(HLOOKUP($F24,Jornada!$X$7:$AD$37,VLOOKUP(INDIRECT($C$5),Jornada!$C$8:$W$37,21,0),0)-M24),0)</f>
        <v>0</v>
      </c>
      <c r="Q24" s="95">
        <f t="shared" si="0"/>
        <v>0</v>
      </c>
      <c r="R24" s="2">
        <f t="shared" si="2"/>
        <v>0</v>
      </c>
      <c r="S24" s="296"/>
      <c r="T24" s="297"/>
      <c r="U24" s="298"/>
      <c r="X24" s="177"/>
      <c r="AB24" s="177">
        <f t="shared" si="10"/>
        <v>17</v>
      </c>
      <c r="AC24" s="2">
        <f t="shared" si="3"/>
        <v>3</v>
      </c>
      <c r="AG24" s="220">
        <f t="shared" si="4"/>
        <v>0</v>
      </c>
      <c r="AH24" s="220">
        <f ca="1">IF(HLOOKUP($F24,Jornada!$X$7:$AD$37,VLOOKUP(INDIRECT($C$5),Jornada!$C$8:$W$37,21,0),0)=0,0,VLOOKUP(INDIRECT($C$5),Jornada!$C$8:$H$37,4,0))</f>
        <v>0</v>
      </c>
      <c r="AI24" s="155">
        <f ca="1">IF(AND(I24=0,J24=0,OR(H24&lt;&gt;0,K24&lt;&gt;0),HLOOKUP($F24,Jornada!$X$7:$AD$37,VLOOKUP(INDIRECT($C$5),Jornada!$C$8:$W$37,21,0),0)&gt;$AK$5,M24&gt;$AK$5),VLOOKUP(INDIRECT($C$5),Jornada!$C$8:$H$37,6,0),IF(AG24&gt;VLOOKUP(INDIRECT($C$5),Jornada!$C$8:$H$37,6,0),IF(VLOOKUP(INDIRECT($C$5),Jornada!$C$8:$H$37,6,0)&lt;AG24,0,ABS(VLOOKUP(INDIRECT($C$5),Jornada!$C$8:$H$37,6,0))-AG24),0))</f>
        <v>0</v>
      </c>
      <c r="AJ24" s="155">
        <f t="shared" si="5"/>
        <v>1</v>
      </c>
      <c r="AK24" s="155">
        <f t="shared" si="6"/>
        <v>0</v>
      </c>
      <c r="AL24" s="155">
        <f ca="1">HLOOKUP($F24,Jornada!$I$5:$V$37,VLOOKUP(INDIRECT($C$5),Jornada!$C$8:$W$37,21,0)+2,0)</f>
        <v>0</v>
      </c>
      <c r="AM24" s="155">
        <f ca="1">HLOOKUP($F24,Jornada!$I$4:$V$37,VLOOKUP(INDIRECT($C$5),Jornada!$C$8:$W$37,21,0)+3,0)</f>
        <v>0</v>
      </c>
      <c r="AN24" s="155">
        <f t="shared" ca="1" si="7"/>
        <v>0</v>
      </c>
      <c r="AO24" s="155">
        <f t="shared" si="8"/>
        <v>0</v>
      </c>
      <c r="AP24" s="155">
        <f t="shared" si="9"/>
        <v>0</v>
      </c>
      <c r="BE24" s="14"/>
      <c r="BF24" s="14"/>
      <c r="BG24" s="14"/>
    </row>
    <row r="25" spans="1:59" s="2" customFormat="1" ht="30" customHeight="1" thickTop="1" thickBot="1" x14ac:dyDescent="0.25">
      <c r="A25" s="1"/>
      <c r="B25"/>
      <c r="C25" s="172" t="str">
        <f>IF(Funcionários!C24=0,"",Funcionários!C24)</f>
        <v/>
      </c>
      <c r="D25"/>
      <c r="E25" s="115">
        <f>Lanç!E25</f>
        <v>18</v>
      </c>
      <c r="F25" s="189" t="str">
        <f>Lanç!F25</f>
        <v>Qua</v>
      </c>
      <c r="G25" s="81"/>
      <c r="H25" s="94"/>
      <c r="I25" s="94"/>
      <c r="J25" s="94"/>
      <c r="K25" s="94"/>
      <c r="L25" s="10"/>
      <c r="M25" s="95">
        <f t="shared" si="1"/>
        <v>0</v>
      </c>
      <c r="N25" s="96"/>
      <c r="O25" s="95">
        <f ca="1">IF(OR(G25=0,G25="Férias",G25="Falta Justificada",G25="Feriado",G25="Folga (DSR)"),0,IF(G25="Falta Injustificada",HLOOKUP($F25,Jornada!$X$7:$AD$37,VLOOKUP(INDIRECT($C$5),Jornada!$C$8:$W$37,21,0),0),IF(HLOOKUP($F25,Jornada!$X$7:$AD$37,VLOOKUP(INDIRECT($C$5),Jornada!$C$8:$W$37,21,0),0)-M25&gt;0,HLOOKUP($F25,Jornada!$X$7:$AD$37,VLOOKUP(INDIRECT($C$5),Jornada!$C$8:$W$37,21,0),0)-M25,0)))</f>
        <v>0</v>
      </c>
      <c r="P25" s="190">
        <f ca="1">IF(HLOOKUP($F25,Jornada!$X$7:$AD$37,VLOOKUP(INDIRECT($C$5),Jornada!$C$8:$W$37,21,0),0)-M25&lt;0,ABS(HLOOKUP($F25,Jornada!$X$7:$AD$37,VLOOKUP(INDIRECT($C$5),Jornada!$C$8:$W$37,21,0),0)-M25),0)</f>
        <v>0</v>
      </c>
      <c r="Q25" s="95">
        <f t="shared" si="0"/>
        <v>0</v>
      </c>
      <c r="R25" s="2">
        <f t="shared" si="2"/>
        <v>0</v>
      </c>
      <c r="S25" s="296"/>
      <c r="T25" s="297"/>
      <c r="U25" s="298"/>
      <c r="X25" s="177"/>
      <c r="Z25" s="2">
        <f>IF(SUM(R8:R38)&gt;0,1,0)</f>
        <v>0</v>
      </c>
      <c r="AB25" s="177">
        <f t="shared" si="10"/>
        <v>18</v>
      </c>
      <c r="AC25" s="2">
        <f t="shared" si="3"/>
        <v>4</v>
      </c>
      <c r="AG25" s="220">
        <f t="shared" si="4"/>
        <v>0</v>
      </c>
      <c r="AH25" s="220">
        <f ca="1">IF(HLOOKUP($F25,Jornada!$X$7:$AD$37,VLOOKUP(INDIRECT($C$5),Jornada!$C$8:$W$37,21,0),0)=0,0,VLOOKUP(INDIRECT($C$5),Jornada!$C$8:$H$37,4,0))</f>
        <v>0</v>
      </c>
      <c r="AI25" s="155">
        <f ca="1">IF(AND(I25=0,J25=0,OR(H25&lt;&gt;0,K25&lt;&gt;0),HLOOKUP($F25,Jornada!$X$7:$AD$37,VLOOKUP(INDIRECT($C$5),Jornada!$C$8:$W$37,21,0),0)&gt;$AK$5,M25&gt;$AK$5),VLOOKUP(INDIRECT($C$5),Jornada!$C$8:$H$37,6,0),IF(AG25&gt;VLOOKUP(INDIRECT($C$5),Jornada!$C$8:$H$37,6,0),IF(VLOOKUP(INDIRECT($C$5),Jornada!$C$8:$H$37,6,0)&lt;AG25,0,ABS(VLOOKUP(INDIRECT($C$5),Jornada!$C$8:$H$37,6,0))-AG25),0))</f>
        <v>0</v>
      </c>
      <c r="AJ25" s="155">
        <f t="shared" si="5"/>
        <v>1</v>
      </c>
      <c r="AK25" s="155">
        <f t="shared" si="6"/>
        <v>0</v>
      </c>
      <c r="AL25" s="155">
        <f ca="1">HLOOKUP($F25,Jornada!$I$5:$V$37,VLOOKUP(INDIRECT($C$5),Jornada!$C$8:$W$37,21,0)+2,0)</f>
        <v>0</v>
      </c>
      <c r="AM25" s="155">
        <f ca="1">HLOOKUP($F25,Jornada!$I$4:$V$37,VLOOKUP(INDIRECT($C$5),Jornada!$C$8:$W$37,21,0)+3,0)</f>
        <v>0</v>
      </c>
      <c r="AN25" s="155">
        <f t="shared" ca="1" si="7"/>
        <v>0</v>
      </c>
      <c r="AO25" s="155">
        <f t="shared" si="8"/>
        <v>0</v>
      </c>
      <c r="AP25" s="155">
        <f t="shared" si="9"/>
        <v>0</v>
      </c>
      <c r="BE25" s="14"/>
      <c r="BF25" s="14"/>
      <c r="BG25" s="14"/>
    </row>
    <row r="26" spans="1:59" s="2" customFormat="1" ht="30" customHeight="1" thickTop="1" thickBot="1" x14ac:dyDescent="0.25">
      <c r="A26" s="1"/>
      <c r="B26"/>
      <c r="C26" s="172" t="str">
        <f>IF(Funcionários!C25=0,"",Funcionários!C25)</f>
        <v/>
      </c>
      <c r="D26"/>
      <c r="E26" s="115">
        <f>Lanç!E26</f>
        <v>19</v>
      </c>
      <c r="F26" s="189" t="str">
        <f>Lanç!F26</f>
        <v>Qui</v>
      </c>
      <c r="G26" s="81"/>
      <c r="H26" s="94"/>
      <c r="I26" s="94"/>
      <c r="J26" s="94"/>
      <c r="K26" s="94"/>
      <c r="L26" s="10"/>
      <c r="M26" s="95">
        <f t="shared" si="1"/>
        <v>0</v>
      </c>
      <c r="N26" s="96"/>
      <c r="O26" s="95">
        <f ca="1">IF(OR(G26=0,G26="Férias",G26="Falta Justificada",G26="Feriado",G26="Folga (DSR)"),0,IF(G26="Falta Injustificada",HLOOKUP($F26,Jornada!$X$7:$AD$37,VLOOKUP(INDIRECT($C$5),Jornada!$C$8:$W$37,21,0),0),IF(HLOOKUP($F26,Jornada!$X$7:$AD$37,VLOOKUP(INDIRECT($C$5),Jornada!$C$8:$W$37,21,0),0)-M26&gt;0,HLOOKUP($F26,Jornada!$X$7:$AD$37,VLOOKUP(INDIRECT($C$5),Jornada!$C$8:$W$37,21,0),0)-M26,0)))</f>
        <v>0</v>
      </c>
      <c r="P26" s="190">
        <f ca="1">IF(HLOOKUP($F26,Jornada!$X$7:$AD$37,VLOOKUP(INDIRECT($C$5),Jornada!$C$8:$W$37,21,0),0)-M26&lt;0,ABS(HLOOKUP($F26,Jornada!$X$7:$AD$37,VLOOKUP(INDIRECT($C$5),Jornada!$C$8:$W$37,21,0),0)-M26),0)</f>
        <v>0</v>
      </c>
      <c r="Q26" s="95">
        <f t="shared" si="0"/>
        <v>0</v>
      </c>
      <c r="R26" s="2">
        <f t="shared" si="2"/>
        <v>0</v>
      </c>
      <c r="S26" s="296" t="str">
        <f>IF(COUNTIF(G8:G38,"Folga (DSR)")&lt;DAY(E39)/8,"O mês não está contemplando um DSR (Descanso Semanal Remunerado) por semana. Isso pode configurar uma irregularidade segundo as leis trabalhistas.","Parabéns!! Sua folha de pagamento contempla uma DSR por semana conforme a lei trabalhista.")</f>
        <v>O mês não está contemplando um DSR (Descanso Semanal Remunerado) por semana. Isso pode configurar uma irregularidade segundo as leis trabalhistas.</v>
      </c>
      <c r="T26" s="297"/>
      <c r="U26" s="298"/>
      <c r="X26" s="177"/>
      <c r="AB26" s="177">
        <f t="shared" si="10"/>
        <v>19</v>
      </c>
      <c r="AC26" s="2">
        <f t="shared" si="3"/>
        <v>5</v>
      </c>
      <c r="AG26" s="220">
        <f t="shared" si="4"/>
        <v>0</v>
      </c>
      <c r="AH26" s="220">
        <f ca="1">IF(HLOOKUP($F26,Jornada!$X$7:$AD$37,VLOOKUP(INDIRECT($C$5),Jornada!$C$8:$W$37,21,0),0)=0,0,VLOOKUP(INDIRECT($C$5),Jornada!$C$8:$H$37,4,0))</f>
        <v>0</v>
      </c>
      <c r="AI26" s="155">
        <f ca="1">IF(AND(I26=0,J26=0,OR(H26&lt;&gt;0,K26&lt;&gt;0),HLOOKUP($F26,Jornada!$X$7:$AD$37,VLOOKUP(INDIRECT($C$5),Jornada!$C$8:$W$37,21,0),0)&gt;$AK$5,M26&gt;$AK$5),VLOOKUP(INDIRECT($C$5),Jornada!$C$8:$H$37,6,0),IF(AG26&gt;VLOOKUP(INDIRECT($C$5),Jornada!$C$8:$H$37,6,0),IF(VLOOKUP(INDIRECT($C$5),Jornada!$C$8:$H$37,6,0)&lt;AG26,0,ABS(VLOOKUP(INDIRECT($C$5),Jornada!$C$8:$H$37,6,0))-AG26),0))</f>
        <v>0</v>
      </c>
      <c r="AJ26" s="155">
        <f t="shared" si="5"/>
        <v>1</v>
      </c>
      <c r="AK26" s="155">
        <f t="shared" si="6"/>
        <v>0</v>
      </c>
      <c r="AL26" s="155">
        <f ca="1">HLOOKUP($F26,Jornada!$I$5:$V$37,VLOOKUP(INDIRECT($C$5),Jornada!$C$8:$W$37,21,0)+2,0)</f>
        <v>0</v>
      </c>
      <c r="AM26" s="155">
        <f ca="1">HLOOKUP($F26,Jornada!$I$4:$V$37,VLOOKUP(INDIRECT($C$5),Jornada!$C$8:$W$37,21,0)+3,0)</f>
        <v>0</v>
      </c>
      <c r="AN26" s="155">
        <f t="shared" ca="1" si="7"/>
        <v>0</v>
      </c>
      <c r="AO26" s="155">
        <f t="shared" si="8"/>
        <v>0</v>
      </c>
      <c r="AP26" s="155">
        <f t="shared" si="9"/>
        <v>0</v>
      </c>
      <c r="BE26" s="14"/>
      <c r="BF26" s="14"/>
      <c r="BG26" s="14"/>
    </row>
    <row r="27" spans="1:59" s="2" customFormat="1" ht="30" customHeight="1" thickTop="1" thickBot="1" x14ac:dyDescent="0.25">
      <c r="A27" s="1"/>
      <c r="B27"/>
      <c r="C27" s="172" t="str">
        <f>IF(Funcionários!C26=0,"",Funcionários!C26)</f>
        <v/>
      </c>
      <c r="D27"/>
      <c r="E27" s="115">
        <f>Lanç!E27</f>
        <v>20</v>
      </c>
      <c r="F27" s="189" t="str">
        <f>Lanç!F27</f>
        <v>Sex</v>
      </c>
      <c r="G27" s="81"/>
      <c r="H27" s="94"/>
      <c r="I27" s="94"/>
      <c r="J27" s="94"/>
      <c r="K27" s="94"/>
      <c r="L27" s="10"/>
      <c r="M27" s="95">
        <f t="shared" si="1"/>
        <v>0</v>
      </c>
      <c r="N27" s="96"/>
      <c r="O27" s="95">
        <f ca="1">IF(OR(G27=0,G27="Férias",G27="Falta Justificada",G27="Feriado",G27="Folga (DSR)"),0,IF(G27="Falta Injustificada",HLOOKUP($F27,Jornada!$X$7:$AD$37,VLOOKUP(INDIRECT($C$5),Jornada!$C$8:$W$37,21,0),0),IF(HLOOKUP($F27,Jornada!$X$7:$AD$37,VLOOKUP(INDIRECT($C$5),Jornada!$C$8:$W$37,21,0),0)-M27&gt;0,HLOOKUP($F27,Jornada!$X$7:$AD$37,VLOOKUP(INDIRECT($C$5),Jornada!$C$8:$W$37,21,0),0)-M27,0)))</f>
        <v>0</v>
      </c>
      <c r="P27" s="190">
        <f ca="1">IF(HLOOKUP($F27,Jornada!$X$7:$AD$37,VLOOKUP(INDIRECT($C$5),Jornada!$C$8:$W$37,21,0),0)-M27&lt;0,ABS(HLOOKUP($F27,Jornada!$X$7:$AD$37,VLOOKUP(INDIRECT($C$5),Jornada!$C$8:$W$37,21,0),0)-M27),0)</f>
        <v>0</v>
      </c>
      <c r="Q27" s="95">
        <f t="shared" si="0"/>
        <v>0</v>
      </c>
      <c r="R27" s="2">
        <f t="shared" si="2"/>
        <v>0</v>
      </c>
      <c r="S27" s="296"/>
      <c r="T27" s="297"/>
      <c r="U27" s="298"/>
      <c r="X27" s="177"/>
      <c r="AB27" s="177">
        <f t="shared" si="10"/>
        <v>20</v>
      </c>
      <c r="AC27" s="2">
        <f t="shared" si="3"/>
        <v>6</v>
      </c>
      <c r="AG27" s="220">
        <f t="shared" si="4"/>
        <v>0</v>
      </c>
      <c r="AH27" s="220">
        <f ca="1">IF(HLOOKUP($F27,Jornada!$X$7:$AD$37,VLOOKUP(INDIRECT($C$5),Jornada!$C$8:$W$37,21,0),0)=0,0,VLOOKUP(INDIRECT($C$5),Jornada!$C$8:$H$37,4,0))</f>
        <v>0</v>
      </c>
      <c r="AI27" s="155">
        <f ca="1">IF(AND(I27=0,J27=0,OR(H27&lt;&gt;0,K27&lt;&gt;0),HLOOKUP($F27,Jornada!$X$7:$AD$37,VLOOKUP(INDIRECT($C$5),Jornada!$C$8:$W$37,21,0),0)&gt;$AK$5,M27&gt;$AK$5),VLOOKUP(INDIRECT($C$5),Jornada!$C$8:$H$37,6,0),IF(AG27&gt;VLOOKUP(INDIRECT($C$5),Jornada!$C$8:$H$37,6,0),IF(VLOOKUP(INDIRECT($C$5),Jornada!$C$8:$H$37,6,0)&lt;AG27,0,ABS(VLOOKUP(INDIRECT($C$5),Jornada!$C$8:$H$37,6,0))-AG27),0))</f>
        <v>0</v>
      </c>
      <c r="AJ27" s="155">
        <f t="shared" si="5"/>
        <v>1</v>
      </c>
      <c r="AK27" s="155">
        <f t="shared" si="6"/>
        <v>0</v>
      </c>
      <c r="AL27" s="155">
        <f ca="1">HLOOKUP($F27,Jornada!$I$5:$V$37,VLOOKUP(INDIRECT($C$5),Jornada!$C$8:$W$37,21,0)+2,0)</f>
        <v>0</v>
      </c>
      <c r="AM27" s="155">
        <f ca="1">HLOOKUP($F27,Jornada!$I$4:$V$37,VLOOKUP(INDIRECT($C$5),Jornada!$C$8:$W$37,21,0)+3,0)</f>
        <v>0</v>
      </c>
      <c r="AN27" s="155">
        <f t="shared" ca="1" si="7"/>
        <v>0</v>
      </c>
      <c r="AO27" s="155">
        <f t="shared" si="8"/>
        <v>0</v>
      </c>
      <c r="AP27" s="155">
        <f t="shared" si="9"/>
        <v>0</v>
      </c>
    </row>
    <row r="28" spans="1:59" s="2" customFormat="1" ht="30" customHeight="1" thickTop="1" thickBot="1" x14ac:dyDescent="0.25">
      <c r="A28" s="1"/>
      <c r="B28"/>
      <c r="C28" s="172" t="str">
        <f>IF(Funcionários!C27=0,"",Funcionários!C27)</f>
        <v/>
      </c>
      <c r="D28"/>
      <c r="E28" s="115">
        <f>Lanç!E28</f>
        <v>21</v>
      </c>
      <c r="F28" s="189" t="str">
        <f>Lanç!F28</f>
        <v>Sáb</v>
      </c>
      <c r="G28" s="81"/>
      <c r="H28" s="94"/>
      <c r="I28" s="94"/>
      <c r="J28" s="94"/>
      <c r="K28" s="94"/>
      <c r="L28" s="10"/>
      <c r="M28" s="95">
        <f t="shared" si="1"/>
        <v>0</v>
      </c>
      <c r="N28" s="96"/>
      <c r="O28" s="95">
        <f ca="1">IF(OR(G28=0,G28="Férias",G28="Falta Justificada",G28="Feriado",G28="Folga (DSR)"),0,IF(G28="Falta Injustificada",HLOOKUP($F28,Jornada!$X$7:$AD$37,VLOOKUP(INDIRECT($C$5),Jornada!$C$8:$W$37,21,0),0),IF(HLOOKUP($F28,Jornada!$X$7:$AD$37,VLOOKUP(INDIRECT($C$5),Jornada!$C$8:$W$37,21,0),0)-M28&gt;0,HLOOKUP($F28,Jornada!$X$7:$AD$37,VLOOKUP(INDIRECT($C$5),Jornada!$C$8:$W$37,21,0),0)-M28,0)))</f>
        <v>0</v>
      </c>
      <c r="P28" s="190">
        <f ca="1">IF(HLOOKUP($F28,Jornada!$X$7:$AD$37,VLOOKUP(INDIRECT($C$5),Jornada!$C$8:$W$37,21,0),0)-M28&lt;0,ABS(HLOOKUP($F28,Jornada!$X$7:$AD$37,VLOOKUP(INDIRECT($C$5),Jornada!$C$8:$W$37,21,0),0)-M28),0)</f>
        <v>0</v>
      </c>
      <c r="Q28" s="95">
        <f t="shared" si="0"/>
        <v>0</v>
      </c>
      <c r="R28" s="2">
        <f t="shared" si="2"/>
        <v>0</v>
      </c>
      <c r="S28" s="296"/>
      <c r="T28" s="297"/>
      <c r="U28" s="298"/>
      <c r="X28" s="177"/>
      <c r="AB28" s="177">
        <f t="shared" si="10"/>
        <v>21</v>
      </c>
      <c r="AC28" s="2">
        <f t="shared" si="3"/>
        <v>7</v>
      </c>
      <c r="AG28" s="220">
        <f t="shared" si="4"/>
        <v>0</v>
      </c>
      <c r="AH28" s="220">
        <f ca="1">IF(HLOOKUP($F28,Jornada!$X$7:$AD$37,VLOOKUP(INDIRECT($C$5),Jornada!$C$8:$W$37,21,0),0)=0,0,VLOOKUP(INDIRECT($C$5),Jornada!$C$8:$H$37,4,0))</f>
        <v>0</v>
      </c>
      <c r="AI28" s="155">
        <f ca="1">IF(AND(I28=0,J28=0,OR(H28&lt;&gt;0,K28&lt;&gt;0),HLOOKUP($F28,Jornada!$X$7:$AD$37,VLOOKUP(INDIRECT($C$5),Jornada!$C$8:$W$37,21,0),0)&gt;$AK$5,M28&gt;$AK$5),VLOOKUP(INDIRECT($C$5),Jornada!$C$8:$H$37,6,0),IF(AG28&gt;VLOOKUP(INDIRECT($C$5),Jornada!$C$8:$H$37,6,0),IF(VLOOKUP(INDIRECT($C$5),Jornada!$C$8:$H$37,6,0)&lt;AG28,0,ABS(VLOOKUP(INDIRECT($C$5),Jornada!$C$8:$H$37,6,0))-AG28),0))</f>
        <v>0</v>
      </c>
      <c r="AJ28" s="155">
        <f t="shared" si="5"/>
        <v>1</v>
      </c>
      <c r="AK28" s="155">
        <f t="shared" si="6"/>
        <v>0</v>
      </c>
      <c r="AL28" s="155">
        <f ca="1">HLOOKUP($F28,Jornada!$I$5:$V$37,VLOOKUP(INDIRECT($C$5),Jornada!$C$8:$W$37,21,0)+2,0)</f>
        <v>0</v>
      </c>
      <c r="AM28" s="155">
        <f ca="1">HLOOKUP($F28,Jornada!$I$4:$V$37,VLOOKUP(INDIRECT($C$5),Jornada!$C$8:$W$37,21,0)+3,0)</f>
        <v>0</v>
      </c>
      <c r="AN28" s="155">
        <f t="shared" ca="1" si="7"/>
        <v>0</v>
      </c>
      <c r="AO28" s="155">
        <f t="shared" si="8"/>
        <v>0</v>
      </c>
      <c r="AP28" s="155">
        <f t="shared" si="9"/>
        <v>0</v>
      </c>
    </row>
    <row r="29" spans="1:59" s="2" customFormat="1" ht="30" customHeight="1" thickTop="1" thickBot="1" x14ac:dyDescent="0.25">
      <c r="A29" s="1"/>
      <c r="B29"/>
      <c r="C29" s="172" t="str">
        <f>IF(Funcionários!C28=0,"",Funcionários!C28)</f>
        <v/>
      </c>
      <c r="D29"/>
      <c r="E29" s="115">
        <f>Lanç!E29</f>
        <v>22</v>
      </c>
      <c r="F29" s="189" t="str">
        <f>Lanç!F29</f>
        <v>Dom</v>
      </c>
      <c r="G29" s="81"/>
      <c r="H29" s="94"/>
      <c r="I29" s="94"/>
      <c r="J29" s="94"/>
      <c r="K29" s="94"/>
      <c r="L29" s="10"/>
      <c r="M29" s="95">
        <f t="shared" si="1"/>
        <v>0</v>
      </c>
      <c r="N29" s="96"/>
      <c r="O29" s="95">
        <f ca="1">IF(OR(G29=0,G29="Férias",G29="Falta Justificada",G29="Feriado",G29="Folga (DSR)"),0,IF(G29="Falta Injustificada",HLOOKUP($F29,Jornada!$X$7:$AD$37,VLOOKUP(INDIRECT($C$5),Jornada!$C$8:$W$37,21,0),0),IF(HLOOKUP($F29,Jornada!$X$7:$AD$37,VLOOKUP(INDIRECT($C$5),Jornada!$C$8:$W$37,21,0),0)-M29&gt;0,HLOOKUP($F29,Jornada!$X$7:$AD$37,VLOOKUP(INDIRECT($C$5),Jornada!$C$8:$W$37,21,0),0)-M29,0)))</f>
        <v>0</v>
      </c>
      <c r="P29" s="190">
        <f ca="1">IF(HLOOKUP($F29,Jornada!$X$7:$AD$37,VLOOKUP(INDIRECT($C$5),Jornada!$C$8:$W$37,21,0),0)-M29&lt;0,ABS(HLOOKUP($F29,Jornada!$X$7:$AD$37,VLOOKUP(INDIRECT($C$5),Jornada!$C$8:$W$37,21,0),0)-M29),0)</f>
        <v>0</v>
      </c>
      <c r="Q29" s="95">
        <f t="shared" si="0"/>
        <v>0</v>
      </c>
      <c r="R29" s="2">
        <f t="shared" si="2"/>
        <v>0</v>
      </c>
      <c r="S29" s="13"/>
      <c r="T29" s="74"/>
      <c r="U29" s="74"/>
      <c r="X29" s="177"/>
      <c r="AB29" s="177">
        <f t="shared" si="10"/>
        <v>22</v>
      </c>
      <c r="AC29" s="2">
        <f t="shared" si="3"/>
        <v>1</v>
      </c>
      <c r="AG29" s="220">
        <f t="shared" si="4"/>
        <v>0</v>
      </c>
      <c r="AH29" s="220">
        <f ca="1">IF(HLOOKUP($F29,Jornada!$X$7:$AD$37,VLOOKUP(INDIRECT($C$5),Jornada!$C$8:$W$37,21,0),0)=0,0,VLOOKUP(INDIRECT($C$5),Jornada!$C$8:$H$37,4,0))</f>
        <v>0</v>
      </c>
      <c r="AI29" s="155">
        <f ca="1">IF(AND(I29=0,J29=0,OR(H29&lt;&gt;0,K29&lt;&gt;0),HLOOKUP($F29,Jornada!$X$7:$AD$37,VLOOKUP(INDIRECT($C$5),Jornada!$C$8:$W$37,21,0),0)&gt;$AK$5,M29&gt;$AK$5),VLOOKUP(INDIRECT($C$5),Jornada!$C$8:$H$37,6,0),IF(AG29&gt;VLOOKUP(INDIRECT($C$5),Jornada!$C$8:$H$37,6,0),IF(VLOOKUP(INDIRECT($C$5),Jornada!$C$8:$H$37,6,0)&lt;AG29,0,ABS(VLOOKUP(INDIRECT($C$5),Jornada!$C$8:$H$37,6,0))-AG29),0))</f>
        <v>0</v>
      </c>
      <c r="AJ29" s="155">
        <f t="shared" si="5"/>
        <v>1</v>
      </c>
      <c r="AK29" s="155">
        <f t="shared" si="6"/>
        <v>0</v>
      </c>
      <c r="AL29" s="155">
        <f ca="1">HLOOKUP($F29,Jornada!$I$5:$V$37,VLOOKUP(INDIRECT($C$5),Jornada!$C$8:$W$37,21,0)+2,0)</f>
        <v>0</v>
      </c>
      <c r="AM29" s="155">
        <f ca="1">HLOOKUP($F29,Jornada!$I$4:$V$37,VLOOKUP(INDIRECT($C$5),Jornada!$C$8:$W$37,21,0)+3,0)</f>
        <v>0</v>
      </c>
      <c r="AN29" s="155">
        <f t="shared" ca="1" si="7"/>
        <v>0</v>
      </c>
      <c r="AO29" s="155">
        <f t="shared" si="8"/>
        <v>0</v>
      </c>
      <c r="AP29" s="155">
        <f t="shared" si="9"/>
        <v>0</v>
      </c>
    </row>
    <row r="30" spans="1:59" s="2" customFormat="1" ht="30" customHeight="1" thickTop="1" thickBot="1" x14ac:dyDescent="0.25">
      <c r="A30" s="1"/>
      <c r="B30"/>
      <c r="C30" s="172" t="str">
        <f>IF(Funcionários!C29=0,"",Funcionários!C29)</f>
        <v/>
      </c>
      <c r="D30"/>
      <c r="E30" s="173">
        <f>Lanç!E30</f>
        <v>23</v>
      </c>
      <c r="F30" s="189" t="str">
        <f>Lanç!F30</f>
        <v>Seg</v>
      </c>
      <c r="G30" s="81"/>
      <c r="H30" s="94"/>
      <c r="I30" s="94"/>
      <c r="J30" s="94"/>
      <c r="K30" s="94"/>
      <c r="L30" s="10"/>
      <c r="M30" s="95">
        <f t="shared" si="1"/>
        <v>0</v>
      </c>
      <c r="N30" s="96"/>
      <c r="O30" s="95">
        <f ca="1">IF(OR(G30=0,G30="Férias",G30="Falta Justificada",G30="Feriado",G30="Folga (DSR)"),0,IF(G30="Falta Injustificada",HLOOKUP($F30,Jornada!$X$7:$AD$37,VLOOKUP(INDIRECT($C$5),Jornada!$C$8:$W$37,21,0),0),IF(HLOOKUP($F30,Jornada!$X$7:$AD$37,VLOOKUP(INDIRECT($C$5),Jornada!$C$8:$W$37,21,0),0)-M30&gt;0,HLOOKUP($F30,Jornada!$X$7:$AD$37,VLOOKUP(INDIRECT($C$5),Jornada!$C$8:$W$37,21,0),0)-M30,0)))</f>
        <v>0</v>
      </c>
      <c r="P30" s="190">
        <f ca="1">IF(HLOOKUP($F30,Jornada!$X$7:$AD$37,VLOOKUP(INDIRECT($C$5),Jornada!$C$8:$W$37,21,0),0)-M30&lt;0,ABS(HLOOKUP($F30,Jornada!$X$7:$AD$37,VLOOKUP(INDIRECT($C$5),Jornada!$C$8:$W$37,21,0),0)-M30),0)</f>
        <v>0</v>
      </c>
      <c r="Q30" s="95">
        <f t="shared" si="0"/>
        <v>0</v>
      </c>
      <c r="R30" s="2">
        <f>IF(Q30&gt;$R$7,1,0)</f>
        <v>0</v>
      </c>
      <c r="S30" s="13"/>
      <c r="T30" s="74"/>
      <c r="U30" s="74"/>
      <c r="X30" s="177"/>
      <c r="AB30" s="177">
        <f t="shared" si="10"/>
        <v>23</v>
      </c>
      <c r="AC30" s="2">
        <f>WEEKDAY(AB30)</f>
        <v>2</v>
      </c>
      <c r="AG30" s="220">
        <f t="shared" si="4"/>
        <v>0</v>
      </c>
      <c r="AH30" s="220">
        <f ca="1">IF(HLOOKUP($F30,Jornada!$X$7:$AD$37,VLOOKUP(INDIRECT($C$5),Jornada!$C$8:$W$37,21,0),0)=0,0,VLOOKUP(INDIRECT($C$5),Jornada!$C$8:$H$37,4,0))</f>
        <v>0</v>
      </c>
      <c r="AI30" s="155">
        <f ca="1">IF(AND(I30=0,J30=0,OR(H30&lt;&gt;0,K30&lt;&gt;0),HLOOKUP($F30,Jornada!$X$7:$AD$37,VLOOKUP(INDIRECT($C$5),Jornada!$C$8:$W$37,21,0),0)&gt;$AK$5,M30&gt;$AK$5),VLOOKUP(INDIRECT($C$5),Jornada!$C$8:$H$37,6,0),IF(AG30&gt;VLOOKUP(INDIRECT($C$5),Jornada!$C$8:$H$37,6,0),IF(VLOOKUP(INDIRECT($C$5),Jornada!$C$8:$H$37,6,0)&lt;AG30,0,ABS(VLOOKUP(INDIRECT($C$5),Jornada!$C$8:$H$37,6,0))-AG30),0))</f>
        <v>0</v>
      </c>
      <c r="AJ30" s="155">
        <f>($AJ$7-K30)+H30</f>
        <v>1</v>
      </c>
      <c r="AK30" s="155">
        <f>IF(AJ30&lt;$AK$7,$AK$7-AJ30,$AI$7)</f>
        <v>0</v>
      </c>
      <c r="AL30" s="155">
        <f ca="1">HLOOKUP($F30,Jornada!$I$5:$V$37,VLOOKUP(INDIRECT($C$5),Jornada!$C$8:$W$37,21,0)+2,0)</f>
        <v>0</v>
      </c>
      <c r="AM30" s="155">
        <f ca="1">HLOOKUP($F30,Jornada!$I$4:$V$37,VLOOKUP(INDIRECT($C$5),Jornada!$C$8:$W$37,21,0)+3,0)</f>
        <v>0</v>
      </c>
      <c r="AN30" s="155">
        <f t="shared" ca="1" si="7"/>
        <v>0</v>
      </c>
      <c r="AO30" s="155">
        <f t="shared" si="8"/>
        <v>0</v>
      </c>
      <c r="AP30" s="155">
        <f t="shared" si="9"/>
        <v>0</v>
      </c>
    </row>
    <row r="31" spans="1:59" s="2" customFormat="1" ht="30" customHeight="1" thickTop="1" thickBot="1" x14ac:dyDescent="0.25">
      <c r="A31" s="1"/>
      <c r="B31"/>
      <c r="C31" s="171" t="str">
        <f>IF(Funcionários!C30=0,"",Funcionários!C30)</f>
        <v/>
      </c>
      <c r="D31"/>
      <c r="E31" s="173">
        <f>Lanç!E31</f>
        <v>24</v>
      </c>
      <c r="F31" s="189" t="str">
        <f>Lanç!F31</f>
        <v>Ter</v>
      </c>
      <c r="G31" s="81"/>
      <c r="H31" s="94"/>
      <c r="I31" s="94"/>
      <c r="J31" s="94"/>
      <c r="K31" s="94"/>
      <c r="L31" s="10"/>
      <c r="M31" s="95">
        <f t="shared" si="1"/>
        <v>0</v>
      </c>
      <c r="N31" s="96"/>
      <c r="O31" s="95">
        <f ca="1">IF(OR(G31=0,G31="Férias",G31="Falta Justificada",G31="Feriado",G31="Folga (DSR)"),0,IF(G31="Falta Injustificada",HLOOKUP($F31,Jornada!$X$7:$AD$37,VLOOKUP(INDIRECT($C$5),Jornada!$C$8:$W$37,21,0),0),IF(HLOOKUP($F31,Jornada!$X$7:$AD$37,VLOOKUP(INDIRECT($C$5),Jornada!$C$8:$W$37,21,0),0)-M31&gt;0,HLOOKUP($F31,Jornada!$X$7:$AD$37,VLOOKUP(INDIRECT($C$5),Jornada!$C$8:$W$37,21,0),0)-M31,0)))</f>
        <v>0</v>
      </c>
      <c r="P31" s="190">
        <f ca="1">IF(HLOOKUP($F31,Jornada!$X$7:$AD$37,VLOOKUP(INDIRECT($C$5),Jornada!$C$8:$W$37,21,0),0)-M31&lt;0,ABS(HLOOKUP($F31,Jornada!$X$7:$AD$37,VLOOKUP(INDIRECT($C$5),Jornada!$C$8:$W$37,21,0),0)-M31),0)</f>
        <v>0</v>
      </c>
      <c r="Q31" s="95">
        <f t="shared" si="0"/>
        <v>0</v>
      </c>
      <c r="R31" s="2">
        <f>IF(Q31&gt;$R$7,1,0)</f>
        <v>0</v>
      </c>
      <c r="S31" s="13"/>
      <c r="T31" s="74"/>
      <c r="U31" s="74"/>
      <c r="X31" s="177"/>
      <c r="AB31" s="177">
        <f t="shared" si="10"/>
        <v>24</v>
      </c>
      <c r="AC31" s="2">
        <f>WEEKDAY(AB31)</f>
        <v>3</v>
      </c>
      <c r="AG31" s="220">
        <f t="shared" si="4"/>
        <v>0</v>
      </c>
      <c r="AH31" s="220">
        <f ca="1">IF(HLOOKUP($F31,Jornada!$X$7:$AD$37,VLOOKUP(INDIRECT($C$5),Jornada!$C$8:$W$37,21,0),0)=0,0,VLOOKUP(INDIRECT($C$5),Jornada!$C$8:$H$37,4,0))</f>
        <v>0</v>
      </c>
      <c r="AI31" s="155">
        <f ca="1">IF(AND(I31=0,J31=0,OR(H31&lt;&gt;0,K31&lt;&gt;0),HLOOKUP($F31,Jornada!$X$7:$AD$37,VLOOKUP(INDIRECT($C$5),Jornada!$C$8:$W$37,21,0),0)&gt;$AK$5,M31&gt;$AK$5),VLOOKUP(INDIRECT($C$5),Jornada!$C$8:$H$37,6,0),IF(AG31&gt;VLOOKUP(INDIRECT($C$5),Jornada!$C$8:$H$37,6,0),IF(VLOOKUP(INDIRECT($C$5),Jornada!$C$8:$H$37,6,0)&lt;AG31,0,ABS(VLOOKUP(INDIRECT($C$5),Jornada!$C$8:$H$37,6,0))-AG31),0))</f>
        <v>0</v>
      </c>
      <c r="AJ31" s="155">
        <f>($AJ$7-K31)+H31</f>
        <v>1</v>
      </c>
      <c r="AK31" s="155">
        <f>IF(AJ31&lt;$AK$7,$AK$7-AJ31,$AI$7)</f>
        <v>0</v>
      </c>
      <c r="AL31" s="155">
        <f ca="1">HLOOKUP($F31,Jornada!$I$5:$V$37,VLOOKUP(INDIRECT($C$5),Jornada!$C$8:$W$37,21,0)+2,0)</f>
        <v>0</v>
      </c>
      <c r="AM31" s="155">
        <f ca="1">HLOOKUP($F31,Jornada!$I$4:$V$37,VLOOKUP(INDIRECT($C$5),Jornada!$C$8:$W$37,21,0)+3,0)</f>
        <v>0</v>
      </c>
      <c r="AN31" s="155">
        <f t="shared" ca="1" si="7"/>
        <v>0</v>
      </c>
      <c r="AO31" s="155">
        <f t="shared" si="8"/>
        <v>0</v>
      </c>
      <c r="AP31" s="155">
        <f t="shared" si="9"/>
        <v>0</v>
      </c>
    </row>
    <row r="32" spans="1:59" s="2" customFormat="1" ht="30" customHeight="1" thickTop="1" thickBot="1" x14ac:dyDescent="0.25">
      <c r="A32" s="1"/>
      <c r="B32"/>
      <c r="C32" s="172" t="str">
        <f>IF(Funcionários!C31=0,"",Funcionários!C31)</f>
        <v/>
      </c>
      <c r="D32"/>
      <c r="E32" s="115">
        <f>Lanç!E32</f>
        <v>25</v>
      </c>
      <c r="F32" s="189" t="str">
        <f>Lanç!F32</f>
        <v>Qua</v>
      </c>
      <c r="G32" s="81"/>
      <c r="H32" s="94"/>
      <c r="I32" s="94"/>
      <c r="J32" s="94"/>
      <c r="K32" s="94"/>
      <c r="L32" s="10"/>
      <c r="M32" s="95">
        <f t="shared" si="1"/>
        <v>0</v>
      </c>
      <c r="N32" s="96"/>
      <c r="O32" s="95">
        <f ca="1">IF(OR(G32=0,G32="Férias",G32="Falta Justificada",G32="Feriado",G32="Folga (DSR)"),0,IF(G32="Falta Injustificada",HLOOKUP($F32,Jornada!$X$7:$AD$37,VLOOKUP(INDIRECT($C$5),Jornada!$C$8:$W$37,21,0),0),IF(HLOOKUP($F32,Jornada!$X$7:$AD$37,VLOOKUP(INDIRECT($C$5),Jornada!$C$8:$W$37,21,0),0)-M32&gt;0,HLOOKUP($F32,Jornada!$X$7:$AD$37,VLOOKUP(INDIRECT($C$5),Jornada!$C$8:$W$37,21,0),0)-M32,0)))</f>
        <v>0</v>
      </c>
      <c r="P32" s="190">
        <f ca="1">IF(HLOOKUP($F32,Jornada!$X$7:$AD$37,VLOOKUP(INDIRECT($C$5),Jornada!$C$8:$W$37,21,0),0)-M32&lt;0,ABS(HLOOKUP($F32,Jornada!$X$7:$AD$37,VLOOKUP(INDIRECT($C$5),Jornada!$C$8:$W$37,21,0),0)-M32),0)</f>
        <v>0</v>
      </c>
      <c r="Q32" s="95">
        <f t="shared" si="0"/>
        <v>0</v>
      </c>
      <c r="R32" s="2">
        <f t="shared" si="2"/>
        <v>0</v>
      </c>
      <c r="S32" s="74"/>
      <c r="T32" s="74"/>
      <c r="U32" s="74"/>
      <c r="X32" s="177"/>
      <c r="AB32" s="177">
        <f t="shared" si="10"/>
        <v>25</v>
      </c>
      <c r="AC32" s="2">
        <f t="shared" si="3"/>
        <v>4</v>
      </c>
      <c r="AG32" s="220">
        <f t="shared" si="4"/>
        <v>0</v>
      </c>
      <c r="AH32" s="220">
        <f ca="1">IF(HLOOKUP($F32,Jornada!$X$7:$AD$37,VLOOKUP(INDIRECT($C$5),Jornada!$C$8:$W$37,21,0),0)=0,0,VLOOKUP(INDIRECT($C$5),Jornada!$C$8:$H$37,4,0))</f>
        <v>0</v>
      </c>
      <c r="AI32" s="155">
        <f ca="1">IF(AND(I32=0,J32=0,OR(H32&lt;&gt;0,K32&lt;&gt;0),HLOOKUP($F32,Jornada!$X$7:$AD$37,VLOOKUP(INDIRECT($C$5),Jornada!$C$8:$W$37,21,0),0)&gt;$AK$5,M32&gt;$AK$5),VLOOKUP(INDIRECT($C$5),Jornada!$C$8:$H$37,6,0),IF(AG32&gt;VLOOKUP(INDIRECT($C$5),Jornada!$C$8:$H$37,6,0),IF(VLOOKUP(INDIRECT($C$5),Jornada!$C$8:$H$37,6,0)&lt;AG32,0,ABS(VLOOKUP(INDIRECT($C$5),Jornada!$C$8:$H$37,6,0))-AG32),0))</f>
        <v>0</v>
      </c>
      <c r="AJ32" s="155">
        <f t="shared" si="5"/>
        <v>1</v>
      </c>
      <c r="AK32" s="155">
        <f t="shared" si="6"/>
        <v>0</v>
      </c>
      <c r="AL32" s="155">
        <f ca="1">HLOOKUP($F32,Jornada!$I$5:$V$37,VLOOKUP(INDIRECT($C$5),Jornada!$C$8:$W$37,21,0)+2,0)</f>
        <v>0</v>
      </c>
      <c r="AM32" s="155">
        <f ca="1">HLOOKUP($F32,Jornada!$I$4:$V$37,VLOOKUP(INDIRECT($C$5),Jornada!$C$8:$W$37,21,0)+3,0)</f>
        <v>0</v>
      </c>
      <c r="AN32" s="155">
        <f t="shared" ca="1" si="7"/>
        <v>0</v>
      </c>
      <c r="AO32" s="155">
        <f t="shared" si="8"/>
        <v>0</v>
      </c>
      <c r="AP32" s="155">
        <f t="shared" si="9"/>
        <v>0</v>
      </c>
    </row>
    <row r="33" spans="1:42" s="2" customFormat="1" ht="30" customHeight="1" thickTop="1" thickBot="1" x14ac:dyDescent="0.25">
      <c r="A33" s="1"/>
      <c r="B33"/>
      <c r="C33" s="172" t="str">
        <f>IF(Funcionários!C32=0,"",Funcionários!C32)</f>
        <v/>
      </c>
      <c r="D33"/>
      <c r="E33" s="115">
        <f>Lanç!E33</f>
        <v>26</v>
      </c>
      <c r="F33" s="189" t="str">
        <f>Lanç!F33</f>
        <v>Qui</v>
      </c>
      <c r="G33" s="81"/>
      <c r="H33" s="94"/>
      <c r="I33" s="94"/>
      <c r="J33" s="94"/>
      <c r="K33" s="94"/>
      <c r="L33" s="10"/>
      <c r="M33" s="95">
        <f t="shared" si="1"/>
        <v>0</v>
      </c>
      <c r="N33" s="96"/>
      <c r="O33" s="95">
        <f ca="1">IF(OR(G33=0,G33="Férias",G33="Falta Justificada",G33="Feriado",G33="Folga (DSR)"),0,IF(G33="Falta Injustificada",HLOOKUP($F33,Jornada!$X$7:$AD$37,VLOOKUP(INDIRECT($C$5),Jornada!$C$8:$W$37,21,0),0),IF(HLOOKUP($F33,Jornada!$X$7:$AD$37,VLOOKUP(INDIRECT($C$5),Jornada!$C$8:$W$37,21,0),0)-M33&gt;0,HLOOKUP($F33,Jornada!$X$7:$AD$37,VLOOKUP(INDIRECT($C$5),Jornada!$C$8:$W$37,21,0),0)-M33,0)))</f>
        <v>0</v>
      </c>
      <c r="P33" s="190">
        <f ca="1">IF(HLOOKUP($F33,Jornada!$X$7:$AD$37,VLOOKUP(INDIRECT($C$5),Jornada!$C$8:$W$37,21,0),0)-M33&lt;0,ABS(HLOOKUP($F33,Jornada!$X$7:$AD$37,VLOOKUP(INDIRECT($C$5),Jornada!$C$8:$W$37,21,0),0)-M33),0)</f>
        <v>0</v>
      </c>
      <c r="Q33" s="95">
        <f t="shared" si="0"/>
        <v>0</v>
      </c>
      <c r="R33" s="2">
        <f t="shared" si="2"/>
        <v>0</v>
      </c>
      <c r="S33" s="74"/>
      <c r="T33" s="74"/>
      <c r="U33" s="74"/>
      <c r="X33" s="177"/>
      <c r="AB33" s="177">
        <f t="shared" si="10"/>
        <v>26</v>
      </c>
      <c r="AC33" s="2">
        <f t="shared" si="3"/>
        <v>5</v>
      </c>
      <c r="AG33" s="220">
        <f t="shared" si="4"/>
        <v>0</v>
      </c>
      <c r="AH33" s="220">
        <f ca="1">IF(HLOOKUP($F33,Jornada!$X$7:$AD$37,VLOOKUP(INDIRECT($C$5),Jornada!$C$8:$W$37,21,0),0)=0,0,VLOOKUP(INDIRECT($C$5),Jornada!$C$8:$H$37,4,0))</f>
        <v>0</v>
      </c>
      <c r="AI33" s="155">
        <f ca="1">IF(AND(I33=0,J33=0,OR(H33&lt;&gt;0,K33&lt;&gt;0),HLOOKUP($F33,Jornada!$X$7:$AD$37,VLOOKUP(INDIRECT($C$5),Jornada!$C$8:$W$37,21,0),0)&gt;$AK$5,M33&gt;$AK$5),VLOOKUP(INDIRECT($C$5),Jornada!$C$8:$H$37,6,0),IF(AG33&gt;VLOOKUP(INDIRECT($C$5),Jornada!$C$8:$H$37,6,0),IF(VLOOKUP(INDIRECT($C$5),Jornada!$C$8:$H$37,6,0)&lt;AG33,0,ABS(VLOOKUP(INDIRECT($C$5),Jornada!$C$8:$H$37,6,0))-AG33),0))</f>
        <v>0</v>
      </c>
      <c r="AJ33" s="155">
        <f t="shared" si="5"/>
        <v>1</v>
      </c>
      <c r="AK33" s="155">
        <f t="shared" si="6"/>
        <v>0</v>
      </c>
      <c r="AL33" s="155">
        <f ca="1">HLOOKUP($F33,Jornada!$I$5:$V$37,VLOOKUP(INDIRECT($C$5),Jornada!$C$8:$W$37,21,0)+2,0)</f>
        <v>0</v>
      </c>
      <c r="AM33" s="155">
        <f ca="1">HLOOKUP($F33,Jornada!$I$4:$V$37,VLOOKUP(INDIRECT($C$5),Jornada!$C$8:$W$37,21,0)+3,0)</f>
        <v>0</v>
      </c>
      <c r="AN33" s="155">
        <f t="shared" ca="1" si="7"/>
        <v>0</v>
      </c>
      <c r="AO33" s="155">
        <f t="shared" si="8"/>
        <v>0</v>
      </c>
      <c r="AP33" s="155">
        <f t="shared" si="9"/>
        <v>0</v>
      </c>
    </row>
    <row r="34" spans="1:42" s="2" customFormat="1" ht="30" customHeight="1" thickTop="1" thickBot="1" x14ac:dyDescent="0.25">
      <c r="A34" s="1"/>
      <c r="B34"/>
      <c r="C34" s="172" t="str">
        <f>IF(Funcionários!C33=0,"",Funcionários!C33)</f>
        <v/>
      </c>
      <c r="D34"/>
      <c r="E34" s="115">
        <f>Lanç!E34</f>
        <v>27</v>
      </c>
      <c r="F34" s="189" t="str">
        <f>Lanç!F34</f>
        <v>Sex</v>
      </c>
      <c r="G34" s="81"/>
      <c r="H34" s="94"/>
      <c r="I34" s="94"/>
      <c r="J34" s="94"/>
      <c r="K34" s="94"/>
      <c r="L34" s="10"/>
      <c r="M34" s="95">
        <f t="shared" si="1"/>
        <v>0</v>
      </c>
      <c r="N34" s="96"/>
      <c r="O34" s="95">
        <f ca="1">IF(OR(G34=0,G34="Férias",G34="Falta Justificada",G34="Feriado",G34="Folga (DSR)"),0,IF(G34="Falta Injustificada",HLOOKUP($F34,Jornada!$X$7:$AD$37,VLOOKUP(INDIRECT($C$5),Jornada!$C$8:$W$37,21,0),0),IF(HLOOKUP($F34,Jornada!$X$7:$AD$37,VLOOKUP(INDIRECT($C$5),Jornada!$C$8:$W$37,21,0),0)-M34&gt;0,HLOOKUP($F34,Jornada!$X$7:$AD$37,VLOOKUP(INDIRECT($C$5),Jornada!$C$8:$W$37,21,0),0)-M34,0)))</f>
        <v>0</v>
      </c>
      <c r="P34" s="190">
        <f ca="1">IF(HLOOKUP($F34,Jornada!$X$7:$AD$37,VLOOKUP(INDIRECT($C$5),Jornada!$C$8:$W$37,21,0),0)-M34&lt;0,ABS(HLOOKUP($F34,Jornada!$X$7:$AD$37,VLOOKUP(INDIRECT($C$5),Jornada!$C$8:$W$37,21,0),0)-M34),0)</f>
        <v>0</v>
      </c>
      <c r="Q34" s="95">
        <f t="shared" si="0"/>
        <v>0</v>
      </c>
      <c r="R34" s="2">
        <f t="shared" si="2"/>
        <v>0</v>
      </c>
      <c r="S34" s="74"/>
      <c r="T34" s="74"/>
      <c r="U34" s="74"/>
      <c r="X34" s="177"/>
      <c r="AB34" s="177">
        <f t="shared" si="10"/>
        <v>27</v>
      </c>
      <c r="AC34" s="2">
        <f t="shared" si="3"/>
        <v>6</v>
      </c>
      <c r="AG34" s="220">
        <f t="shared" si="4"/>
        <v>0</v>
      </c>
      <c r="AH34" s="220">
        <f ca="1">IF(HLOOKUP($F34,Jornada!$X$7:$AD$37,VLOOKUP(INDIRECT($C$5),Jornada!$C$8:$W$37,21,0),0)=0,0,VLOOKUP(INDIRECT($C$5),Jornada!$C$8:$H$37,4,0))</f>
        <v>0</v>
      </c>
      <c r="AI34" s="155">
        <f ca="1">IF(AND(I34=0,J34=0,OR(H34&lt;&gt;0,K34&lt;&gt;0),HLOOKUP($F34,Jornada!$X$7:$AD$37,VLOOKUP(INDIRECT($C$5),Jornada!$C$8:$W$37,21,0),0)&gt;$AK$5,M34&gt;$AK$5),VLOOKUP(INDIRECT($C$5),Jornada!$C$8:$H$37,6,0),IF(AG34&gt;VLOOKUP(INDIRECT($C$5),Jornada!$C$8:$H$37,6,0),IF(VLOOKUP(INDIRECT($C$5),Jornada!$C$8:$H$37,6,0)&lt;AG34,0,ABS(VLOOKUP(INDIRECT($C$5),Jornada!$C$8:$H$37,6,0))-AG34),0))</f>
        <v>0</v>
      </c>
      <c r="AJ34" s="155">
        <f t="shared" si="5"/>
        <v>1</v>
      </c>
      <c r="AK34" s="155">
        <f t="shared" si="6"/>
        <v>0</v>
      </c>
      <c r="AL34" s="155">
        <f ca="1">HLOOKUP($F34,Jornada!$I$5:$V$37,VLOOKUP(INDIRECT($C$5),Jornada!$C$8:$W$37,21,0)+2,0)</f>
        <v>0</v>
      </c>
      <c r="AM34" s="155">
        <f ca="1">HLOOKUP($F34,Jornada!$I$4:$V$37,VLOOKUP(INDIRECT($C$5),Jornada!$C$8:$W$37,21,0)+3,0)</f>
        <v>0</v>
      </c>
      <c r="AN34" s="155">
        <f t="shared" ca="1" si="7"/>
        <v>0</v>
      </c>
      <c r="AO34" s="155">
        <f t="shared" si="8"/>
        <v>0</v>
      </c>
      <c r="AP34" s="155">
        <f t="shared" si="9"/>
        <v>0</v>
      </c>
    </row>
    <row r="35" spans="1:42" s="2" customFormat="1" ht="30" customHeight="1" thickTop="1" thickBot="1" x14ac:dyDescent="0.25">
      <c r="A35" s="1"/>
      <c r="B35"/>
      <c r="C35" s="172" t="str">
        <f>IF(Funcionários!C34=0,"",Funcionários!C34)</f>
        <v/>
      </c>
      <c r="D35"/>
      <c r="E35" s="115">
        <f>Lanç!E35</f>
        <v>28</v>
      </c>
      <c r="F35" s="189" t="str">
        <f>Lanç!F35</f>
        <v>Sáb</v>
      </c>
      <c r="G35" s="81"/>
      <c r="H35" s="94"/>
      <c r="I35" s="94"/>
      <c r="J35" s="94"/>
      <c r="K35" s="94"/>
      <c r="L35" s="10"/>
      <c r="M35" s="95">
        <f t="shared" si="1"/>
        <v>0</v>
      </c>
      <c r="N35" s="96"/>
      <c r="O35" s="95">
        <f ca="1">IF(OR(G35=0,G35="Férias",G35="Falta Justificada",G35="Feriado",G35="Folga (DSR)"),0,IF(G35="Falta Injustificada",HLOOKUP($F35,Jornada!$X$7:$AD$37,VLOOKUP(INDIRECT($C$5),Jornada!$C$8:$W$37,21,0),0),IF(HLOOKUP($F35,Jornada!$X$7:$AD$37,VLOOKUP(INDIRECT($C$5),Jornada!$C$8:$W$37,21,0),0)-M35&gt;0,HLOOKUP($F35,Jornada!$X$7:$AD$37,VLOOKUP(INDIRECT($C$5),Jornada!$C$8:$W$37,21,0),0)-M35,0)))</f>
        <v>0</v>
      </c>
      <c r="P35" s="190">
        <f ca="1">IF(HLOOKUP($F35,Jornada!$X$7:$AD$37,VLOOKUP(INDIRECT($C$5),Jornada!$C$8:$W$37,21,0),0)-M35&lt;0,ABS(HLOOKUP($F35,Jornada!$X$7:$AD$37,VLOOKUP(INDIRECT($C$5),Jornada!$C$8:$W$37,21,0),0)-M35),0)</f>
        <v>0</v>
      </c>
      <c r="Q35" s="95">
        <f t="shared" si="0"/>
        <v>0</v>
      </c>
      <c r="R35" s="2">
        <f t="shared" si="2"/>
        <v>0</v>
      </c>
      <c r="S35"/>
      <c r="T35"/>
      <c r="U35"/>
      <c r="X35" s="177"/>
      <c r="AB35" s="177">
        <f>IF(MONTH(AB34+1)&lt;&gt;MONTH(AB34),"",AB34+1)</f>
        <v>28</v>
      </c>
      <c r="AC35" s="2">
        <f t="shared" si="3"/>
        <v>7</v>
      </c>
      <c r="AG35" s="220">
        <f t="shared" si="4"/>
        <v>0</v>
      </c>
      <c r="AH35" s="220">
        <f ca="1">IF(HLOOKUP($F35,Jornada!$X$7:$AD$37,VLOOKUP(INDIRECT($C$5),Jornada!$C$8:$W$37,21,0),0)=0,0,VLOOKUP(INDIRECT($C$5),Jornada!$C$8:$H$37,4,0))</f>
        <v>0</v>
      </c>
      <c r="AI35" s="155">
        <f ca="1">IF(AND(I35=0,J35=0,OR(H35&lt;&gt;0,K35&lt;&gt;0),HLOOKUP($F35,Jornada!$X$7:$AD$37,VLOOKUP(INDIRECT($C$5),Jornada!$C$8:$W$37,21,0),0)&gt;$AK$5,M35&gt;$AK$5),VLOOKUP(INDIRECT($C$5),Jornada!$C$8:$H$37,6,0),IF(AG35&gt;VLOOKUP(INDIRECT($C$5),Jornada!$C$8:$H$37,6,0),IF(VLOOKUP(INDIRECT($C$5),Jornada!$C$8:$H$37,6,0)&lt;AG35,0,ABS(VLOOKUP(INDIRECT($C$5),Jornada!$C$8:$H$37,6,0))-AG35),0))</f>
        <v>0</v>
      </c>
      <c r="AJ35" s="155">
        <f t="shared" si="5"/>
        <v>1</v>
      </c>
      <c r="AK35" s="155">
        <f t="shared" si="6"/>
        <v>0</v>
      </c>
      <c r="AL35" s="155">
        <f ca="1">HLOOKUP($F35,Jornada!$I$5:$V$37,VLOOKUP(INDIRECT($C$5),Jornada!$C$8:$W$37,21,0)+2,0)</f>
        <v>0</v>
      </c>
      <c r="AM35" s="155">
        <f ca="1">HLOOKUP($F35,Jornada!$I$4:$V$37,VLOOKUP(INDIRECT($C$5),Jornada!$C$8:$W$37,21,0)+3,0)</f>
        <v>0</v>
      </c>
      <c r="AN35" s="155">
        <f t="shared" ca="1" si="7"/>
        <v>0</v>
      </c>
      <c r="AO35" s="155">
        <f t="shared" si="8"/>
        <v>0</v>
      </c>
      <c r="AP35" s="155">
        <f t="shared" si="9"/>
        <v>0</v>
      </c>
    </row>
    <row r="36" spans="1:42" s="2" customFormat="1" ht="30" customHeight="1" thickTop="1" thickBot="1" x14ac:dyDescent="0.25">
      <c r="A36" s="1"/>
      <c r="B36"/>
      <c r="C36" s="172" t="str">
        <f>IF(Funcionários!C35=0,"",Funcionários!C35)</f>
        <v/>
      </c>
      <c r="D36"/>
      <c r="E36" s="115">
        <f>Lanç!E36</f>
        <v>29</v>
      </c>
      <c r="F36" s="189" t="str">
        <f>Lanç!F36</f>
        <v>Dom</v>
      </c>
      <c r="G36" s="81"/>
      <c r="H36" s="94"/>
      <c r="I36" s="94"/>
      <c r="J36" s="94"/>
      <c r="K36" s="94"/>
      <c r="L36" s="10"/>
      <c r="M36" s="95">
        <f t="shared" si="1"/>
        <v>0</v>
      </c>
      <c r="N36" s="96"/>
      <c r="O36" s="95">
        <f ca="1">IF(OR(G36=0,G36="Férias",G36="Falta Justificada",G36="Feriado",G36="Folga (DSR)"),0,IF(G36="Falta Injustificada",HLOOKUP($F36,Jornada!$X$7:$AD$37,VLOOKUP(INDIRECT($C$5),Jornada!$C$8:$W$37,21,0),0),IF(HLOOKUP($F36,Jornada!$X$7:$AD$37,VLOOKUP(INDIRECT($C$5),Jornada!$C$8:$W$37,21,0),0)-M36&gt;0,HLOOKUP($F36,Jornada!$X$7:$AD$37,VLOOKUP(INDIRECT($C$5),Jornada!$C$8:$W$37,21,0),0)-M36,0)))</f>
        <v>0</v>
      </c>
      <c r="P36" s="190">
        <f ca="1">IF(HLOOKUP($F36,Jornada!$X$7:$AD$37,VLOOKUP(INDIRECT($C$5),Jornada!$C$8:$W$37,21,0),0)-M36&lt;0,ABS(HLOOKUP($F36,Jornada!$X$7:$AD$37,VLOOKUP(INDIRECT($C$5),Jornada!$C$8:$W$37,21,0),0)-M36),0)</f>
        <v>0</v>
      </c>
      <c r="Q36" s="95">
        <f t="shared" si="0"/>
        <v>0</v>
      </c>
      <c r="R36" s="2">
        <f t="shared" si="2"/>
        <v>0</v>
      </c>
      <c r="S36"/>
      <c r="T36"/>
      <c r="U36"/>
      <c r="X36" s="177"/>
      <c r="AB36" s="177">
        <f>IF(MONTH(AB35+1)&lt;&gt;MONTH(AB35),"",IF(AB35="","",AB35+1))</f>
        <v>29</v>
      </c>
      <c r="AC36" s="2">
        <f>IF(ISERROR(WEEKDAY(AB36)),"",WEEKDAY(AB36))</f>
        <v>1</v>
      </c>
      <c r="AG36" s="220">
        <f t="shared" si="4"/>
        <v>0</v>
      </c>
      <c r="AH36" s="220">
        <f ca="1">IF(HLOOKUP($F36,Jornada!$X$7:$AD$37,VLOOKUP(INDIRECT($C$5),Jornada!$C$8:$W$37,21,0),0)=0,0,VLOOKUP(INDIRECT($C$5),Jornada!$C$8:$H$37,4,0))</f>
        <v>0</v>
      </c>
      <c r="AI36" s="155">
        <f ca="1">IF(AND(I36=0,J36=0,OR(H36&lt;&gt;0,K36&lt;&gt;0),HLOOKUP($F36,Jornada!$X$7:$AD$37,VLOOKUP(INDIRECT($C$5),Jornada!$C$8:$W$37,21,0),0)&gt;$AK$5,M36&gt;$AK$5),VLOOKUP(INDIRECT($C$5),Jornada!$C$8:$H$37,6,0),IF(AG36&gt;VLOOKUP(INDIRECT($C$5),Jornada!$C$8:$H$37,6,0),IF(VLOOKUP(INDIRECT($C$5),Jornada!$C$8:$H$37,6,0)&lt;AG36,0,ABS(VLOOKUP(INDIRECT($C$5),Jornada!$C$8:$H$37,6,0))-AG36),0))</f>
        <v>0</v>
      </c>
      <c r="AJ36" s="155">
        <f t="shared" si="5"/>
        <v>1</v>
      </c>
      <c r="AK36" s="155">
        <f t="shared" si="6"/>
        <v>0</v>
      </c>
      <c r="AL36" s="155">
        <f ca="1">HLOOKUP($F36,Jornada!$I$5:$V$37,VLOOKUP(INDIRECT($C$5),Jornada!$C$8:$W$37,21,0)+2,0)</f>
        <v>0</v>
      </c>
      <c r="AM36" s="155">
        <f ca="1">HLOOKUP($F36,Jornada!$I$4:$V$37,VLOOKUP(INDIRECT($C$5),Jornada!$C$8:$W$37,21,0)+3,0)</f>
        <v>0</v>
      </c>
      <c r="AN36" s="155">
        <f t="shared" ca="1" si="7"/>
        <v>0</v>
      </c>
      <c r="AO36" s="155">
        <f t="shared" si="8"/>
        <v>0</v>
      </c>
      <c r="AP36" s="155">
        <f t="shared" si="9"/>
        <v>0</v>
      </c>
    </row>
    <row r="37" spans="1:42" s="2" customFormat="1" ht="30" customHeight="1" thickTop="1" thickBot="1" x14ac:dyDescent="0.25">
      <c r="A37" s="1"/>
      <c r="B37"/>
      <c r="C37" s="172" t="str">
        <f>IF(Funcionários!C36=0,"",Funcionários!C36)</f>
        <v/>
      </c>
      <c r="D37"/>
      <c r="E37" s="115">
        <f>Lanç!E37</f>
        <v>30</v>
      </c>
      <c r="F37" s="189" t="str">
        <f>Lanç!F37</f>
        <v>Seg</v>
      </c>
      <c r="G37" s="81"/>
      <c r="H37" s="94"/>
      <c r="I37" s="94"/>
      <c r="J37" s="94"/>
      <c r="K37" s="94"/>
      <c r="L37" s="10"/>
      <c r="M37" s="95">
        <f t="shared" si="1"/>
        <v>0</v>
      </c>
      <c r="N37" s="96"/>
      <c r="O37" s="95">
        <f ca="1">IF(OR(G37=0,G37="Férias",G37="Falta Justificada",G37="Feriado",G37="Folga (DSR)"),0,IF(G37="Falta Injustificada",HLOOKUP($F37,Jornada!$X$7:$AD$37,VLOOKUP(INDIRECT($C$5),Jornada!$C$8:$W$37,21,0),0),IF(HLOOKUP($F37,Jornada!$X$7:$AD$37,VLOOKUP(INDIRECT($C$5),Jornada!$C$8:$W$37,21,0),0)-M37&gt;0,HLOOKUP($F37,Jornada!$X$7:$AD$37,VLOOKUP(INDIRECT($C$5),Jornada!$C$8:$W$37,21,0),0)-M37,0)))</f>
        <v>0</v>
      </c>
      <c r="P37" s="190">
        <f ca="1">IF(HLOOKUP($F37,Jornada!$X$7:$AD$37,VLOOKUP(INDIRECT($C$5),Jornada!$C$8:$W$37,21,0),0)-M37&lt;0,ABS(HLOOKUP($F37,Jornada!$X$7:$AD$37,VLOOKUP(INDIRECT($C$5),Jornada!$C$8:$W$37,21,0),0)-M37),0)</f>
        <v>0</v>
      </c>
      <c r="Q37" s="95">
        <f t="shared" si="0"/>
        <v>0</v>
      </c>
      <c r="R37" s="2">
        <f t="shared" si="2"/>
        <v>0</v>
      </c>
      <c r="S37"/>
      <c r="T37"/>
      <c r="U37"/>
      <c r="X37" s="177"/>
      <c r="AB37" s="177">
        <f>IF(AB36="","",IF(MONTH(AB36+1)&lt;&gt;MONTH(AB36),"",AB36+1))</f>
        <v>30</v>
      </c>
      <c r="AC37" s="2">
        <f>IF(ISERROR(WEEKDAY(AB37)),"",WEEKDAY(AB37))</f>
        <v>2</v>
      </c>
      <c r="AG37" s="220">
        <f t="shared" si="4"/>
        <v>0</v>
      </c>
      <c r="AH37" s="220">
        <f ca="1">IF(HLOOKUP($F37,Jornada!$X$7:$AD$37,VLOOKUP(INDIRECT($C$5),Jornada!$C$8:$W$37,21,0),0)=0,0,VLOOKUP(INDIRECT($C$5),Jornada!$C$8:$H$37,4,0))</f>
        <v>0</v>
      </c>
      <c r="AI37" s="155">
        <f ca="1">IF(AND(I37=0,J37=0,OR(H37&lt;&gt;0,K37&lt;&gt;0),HLOOKUP($F37,Jornada!$X$7:$AD$37,VLOOKUP(INDIRECT($C$5),Jornada!$C$8:$W$37,21,0),0)&gt;$AK$5,M37&gt;$AK$5),VLOOKUP(INDIRECT($C$5),Jornada!$C$8:$H$37,6,0),IF(AG37&gt;VLOOKUP(INDIRECT($C$5),Jornada!$C$8:$H$37,6,0),IF(VLOOKUP(INDIRECT($C$5),Jornada!$C$8:$H$37,6,0)&lt;AG37,0,ABS(VLOOKUP(INDIRECT($C$5),Jornada!$C$8:$H$37,6,0))-AG37),0))</f>
        <v>0</v>
      </c>
      <c r="AJ37" s="155">
        <f t="shared" si="5"/>
        <v>1</v>
      </c>
      <c r="AK37" s="155">
        <f t="shared" si="6"/>
        <v>0</v>
      </c>
      <c r="AL37" s="155">
        <f ca="1">HLOOKUP($F37,Jornada!$I$5:$V$37,VLOOKUP(INDIRECT($C$5),Jornada!$C$8:$W$37,21,0)+2,0)</f>
        <v>0</v>
      </c>
      <c r="AM37" s="155">
        <f ca="1">HLOOKUP($F37,Jornada!$I$4:$V$37,VLOOKUP(INDIRECT($C$5),Jornada!$C$8:$W$37,21,0)+3,0)</f>
        <v>0</v>
      </c>
      <c r="AN37" s="155">
        <f t="shared" ca="1" si="7"/>
        <v>0</v>
      </c>
      <c r="AO37" s="155">
        <f t="shared" si="8"/>
        <v>0</v>
      </c>
      <c r="AP37" s="155">
        <f t="shared" si="9"/>
        <v>0</v>
      </c>
    </row>
    <row r="38" spans="1:42" s="2" customFormat="1" ht="30" customHeight="1" thickTop="1" thickBot="1" x14ac:dyDescent="0.25">
      <c r="A38" s="1"/>
      <c r="B38"/>
      <c r="C38"/>
      <c r="D38" s="2">
        <f t="shared" ref="D38" si="11">IF(D37=7,1,D37+1)</f>
        <v>1</v>
      </c>
      <c r="E38" s="210">
        <f>Lanç!E38</f>
        <v>31</v>
      </c>
      <c r="F38" s="210" t="str">
        <f>Lanç!F38</f>
        <v>Ter</v>
      </c>
      <c r="G38" s="81"/>
      <c r="H38" s="94"/>
      <c r="I38" s="94"/>
      <c r="J38" s="94"/>
      <c r="K38" s="94"/>
      <c r="L38" s="197"/>
      <c r="M38" s="95">
        <f t="shared" si="1"/>
        <v>0</v>
      </c>
      <c r="N38" s="196"/>
      <c r="O38" s="95">
        <f ca="1">IF(OR(G38=0,G38="Férias",G38="Falta Justificada",G38="Feriado",G38="Folga (DSR)"),0,IF(G38="Falta Injustificada",HLOOKUP($F38,Jornada!$X$7:$AD$37,VLOOKUP(INDIRECT($C$5),Jornada!$C$8:$W$37,21,0),0),IF(HLOOKUP($F38,Jornada!$X$7:$AD$37,VLOOKUP(INDIRECT($C$5),Jornada!$C$8:$W$37,21,0),0)-M38&gt;0,HLOOKUP($F38,Jornada!$X$7:$AD$37,VLOOKUP(INDIRECT($C$5),Jornada!$C$8:$W$37,21,0),0)-M38,0)))</f>
        <v>0</v>
      </c>
      <c r="P38" s="201">
        <f ca="1">IF(HLOOKUP($F38,Jornada!$X$7:$AD$37,VLOOKUP(INDIRECT($C$5),Jornada!$C$8:$W$37,21,0),0)-M38&lt;0,ABS(HLOOKUP($F38,Jornada!$X$7:$AD$37,VLOOKUP(INDIRECT($C$5),Jornada!$C$8:$W$37,21,0),0)-M38),0)</f>
        <v>0</v>
      </c>
      <c r="Q38" s="95">
        <f t="shared" si="0"/>
        <v>0</v>
      </c>
      <c r="R38" s="2">
        <f t="shared" si="2"/>
        <v>0</v>
      </c>
      <c r="X38" s="177"/>
      <c r="AB38" s="177">
        <f>IF(AB37="","",IF(MONTH(AB37+1)&lt;&gt;MONTH(AB37),"",AB37+1))</f>
        <v>31</v>
      </c>
      <c r="AC38" s="2">
        <f>IF(ISERROR(WEEKDAY(AB38)),"",WEEKDAY(AB38))</f>
        <v>3</v>
      </c>
      <c r="AG38" s="220">
        <f t="shared" si="4"/>
        <v>0</v>
      </c>
      <c r="AH38" s="220">
        <f ca="1">IF(HLOOKUP($F38,Jornada!$X$7:$AD$37,VLOOKUP(INDIRECT($C$5),Jornada!$C$8:$W$37,21,0),0)=0,0,VLOOKUP(INDIRECT($C$5),Jornada!$C$8:$H$37,4,0))</f>
        <v>0</v>
      </c>
      <c r="AI38" s="155">
        <f ca="1">IF(AND(I38=0,J38=0,OR(H38&lt;&gt;0,K38&lt;&gt;0),HLOOKUP($F38,Jornada!$X$7:$AD$37,VLOOKUP(INDIRECT($C$5),Jornada!$C$8:$W$37,21,0),0)&gt;$AK$5,M38&gt;$AK$5),VLOOKUP(INDIRECT($C$5),Jornada!$C$8:$H$37,6,0),IF(AG38&gt;VLOOKUP(INDIRECT($C$5),Jornada!$C$8:$H$37,6,0),IF(VLOOKUP(INDIRECT($C$5),Jornada!$C$8:$H$37,6,0)&lt;AG38,0,ABS(VLOOKUP(INDIRECT($C$5),Jornada!$C$8:$H$37,6,0))-AG38),0))</f>
        <v>0</v>
      </c>
      <c r="AJ38" s="155">
        <f t="shared" si="5"/>
        <v>1</v>
      </c>
      <c r="AK38" s="155">
        <f t="shared" si="6"/>
        <v>0</v>
      </c>
      <c r="AL38" s="155">
        <f ca="1">HLOOKUP($F38,Jornada!$I$5:$V$37,VLOOKUP(INDIRECT($C$5),Jornada!$C$8:$W$37,21,0)+2,0)</f>
        <v>0</v>
      </c>
      <c r="AM38" s="155">
        <f ca="1">HLOOKUP($F38,Jornada!$I$4:$V$37,VLOOKUP(INDIRECT($C$5),Jornada!$C$8:$W$37,21,0)+3,0)</f>
        <v>0</v>
      </c>
      <c r="AN38" s="155">
        <f t="shared" ca="1" si="7"/>
        <v>0</v>
      </c>
      <c r="AO38" s="155">
        <f t="shared" si="8"/>
        <v>0</v>
      </c>
      <c r="AP38" s="155">
        <f t="shared" si="9"/>
        <v>0</v>
      </c>
    </row>
    <row r="39" spans="1:42" s="2" customFormat="1" ht="30" customHeight="1" thickTop="1" x14ac:dyDescent="0.2">
      <c r="A39" s="9"/>
      <c r="B39" s="234"/>
      <c r="C39" s="234"/>
      <c r="D39" s="234"/>
      <c r="E39" s="236">
        <f>EOMONTH(AB8,0)</f>
        <v>31</v>
      </c>
      <c r="F39" s="234">
        <f>DAY(E39)</f>
        <v>31</v>
      </c>
      <c r="G39" s="237">
        <f>COUNTIF(F8:F38,"Dom")+COUNTIF(G8:G38,"Feriado")</f>
        <v>5</v>
      </c>
      <c r="H39" s="238">
        <f>(SUM(Q8:Q38)/(F39-G39))*G39</f>
        <v>0</v>
      </c>
      <c r="I39" s="234"/>
      <c r="J39" s="234"/>
      <c r="K39" s="234"/>
      <c r="L39" s="234"/>
      <c r="M39" s="234"/>
      <c r="Z39" s="219"/>
    </row>
    <row r="40" spans="1:42" s="2" customFormat="1" ht="30" customHeight="1" x14ac:dyDescent="0.2">
      <c r="A40" s="9"/>
      <c r="B40" s="234"/>
      <c r="C40" s="239"/>
      <c r="D40" s="239"/>
      <c r="E40" s="239"/>
      <c r="F40" s="240"/>
      <c r="G40" s="241"/>
      <c r="H40" s="234">
        <f ca="1">IF(INDIRECT($C$5)="",0,VLOOKUP(INDIRECT($C$5),Funcionários!$C$7:$E$36,3,0)+IF(VLOOKUP(INDIRECT($C$5),Jornada!$C$8:$E$37,2,0)="Sim",IF('P Gerais'!$I$8&lt;&gt;0,VLOOKUP(INDIRECT($C$5),Funcionários!$C$7:$E$36,3,0)*'P Gerais'!$L$14,'P Gerais'!$I$8*'P Gerais'!$L$14),0)+IF(VLOOKUP(INDIRECT($C$5),Jornada!$C$8:$E$37,3,0)="Sim",VLOOKUP(INDIRECT($C$5),Funcionários!$C$7:$E$36,3,0)*'P Gerais'!$K$14,0))</f>
        <v>0</v>
      </c>
      <c r="I40" s="234">
        <f ca="1">VLOOKUP(INDIRECT($C$5),Jornada!$C$8:$AF$37,30,0)</f>
        <v>0</v>
      </c>
      <c r="J40" s="234" t="s">
        <v>298</v>
      </c>
      <c r="K40" s="242">
        <f ca="1">IF(I40=0,0,H40/I40)</f>
        <v>0</v>
      </c>
      <c r="L40" s="234"/>
      <c r="M40" s="234"/>
      <c r="Z40" s="219"/>
    </row>
    <row r="41" spans="1:42" s="2" customFormat="1" ht="30" customHeight="1" x14ac:dyDescent="0.2">
      <c r="A41" s="9"/>
      <c r="B41" s="234" t="s">
        <v>52</v>
      </c>
      <c r="C41" s="292" t="s">
        <v>75</v>
      </c>
      <c r="D41" s="292"/>
      <c r="E41" s="292"/>
      <c r="F41" s="243">
        <f t="shared" ref="F41:F47" si="12">SUMIFS($Q$8:$Q$38,$F$8:$F$38,$B41,$G$8:$G$38,"Normal")</f>
        <v>0</v>
      </c>
      <c r="G41" s="244">
        <f>IF($M$41="Sistema de banco de horas",0,'P Gerais'!$C$14)</f>
        <v>0.5</v>
      </c>
      <c r="H41" s="245">
        <f t="shared" ref="H41:H48" ca="1" si="13">IF($M$41="Sistema de banco de horas",0,$K$40*(1+G41)*(F41*24))</f>
        <v>0</v>
      </c>
      <c r="I41" s="243">
        <f t="shared" ref="I41:I47" ca="1" si="14">IF(SUMIF($F$8:$F$38,$B41,$Q$8:$Q$38)-SUMIFS($M$8:$M$38,$F$8:$F$38,$B41,$G$8:$G$38,"Feriado")-SUMIFS($M$8:$M$38,$F$8:$F$38,$B41,$G$8:$G$38,"Folga (DSR)")-SUMIFS($M$8:$M$38,$F$8:$F$38,$B41,$G$8:$G$38,"Férias")-SUMIF($F$8:$F$38,$B41,$AN$8:$AN$38)-SUMIF($F$8:$F$38,$B41,$AO$8:$AO$38)&lt;0,0,SUMIF($F$8:$F$38,$B41,$Q$8:$Q$38)-SUMIFS($M$8:$M$38,$F$8:$F$38,$B41,$G$8:$G$38,"Feriado")-SUMIFS($M$8:$M$38,$F$8:$F$38,$B41,$G$8:$G$38,"Folga (DSR)")-SUMIFS($M$8:$M$38,$F$8:$F$38,$B41,$G$8:$G$38,"Férias")-SUMIF($F$8:$F$38,$B41,$AN$8:$AN$38)-SUMIF($F$8:$F$38,$B41,$AO$8:$AO$38))</f>
        <v>0</v>
      </c>
      <c r="J41" s="245">
        <f ca="1">H41</f>
        <v>0</v>
      </c>
      <c r="K41" s="234"/>
      <c r="L41" s="234"/>
      <c r="M41" s="234">
        <f>'P Gerais'!I10</f>
        <v>0</v>
      </c>
      <c r="Z41" s="219"/>
    </row>
    <row r="42" spans="1:42" s="2" customFormat="1" ht="30" customHeight="1" x14ac:dyDescent="0.2">
      <c r="A42" s="9"/>
      <c r="B42" s="234" t="s">
        <v>53</v>
      </c>
      <c r="C42" s="292" t="s">
        <v>76</v>
      </c>
      <c r="D42" s="292"/>
      <c r="E42" s="292"/>
      <c r="F42" s="243">
        <f t="shared" si="12"/>
        <v>0</v>
      </c>
      <c r="G42" s="244">
        <f>IF($M$41="Sistema de banco de horas",0,'P Gerais'!$C$14)</f>
        <v>0.5</v>
      </c>
      <c r="H42" s="245">
        <f t="shared" ca="1" si="13"/>
        <v>0</v>
      </c>
      <c r="I42" s="243">
        <f t="shared" ca="1" si="14"/>
        <v>0</v>
      </c>
      <c r="J42" s="245">
        <f t="shared" ref="J42:J51" ca="1" si="15">H42</f>
        <v>0</v>
      </c>
      <c r="K42" s="234"/>
      <c r="L42" s="234"/>
      <c r="M42" s="234"/>
      <c r="Z42" s="219"/>
    </row>
    <row r="43" spans="1:42" s="2" customFormat="1" ht="30" customHeight="1" x14ac:dyDescent="0.2">
      <c r="A43" s="9"/>
      <c r="B43" s="234" t="s">
        <v>54</v>
      </c>
      <c r="C43" s="292" t="s">
        <v>77</v>
      </c>
      <c r="D43" s="292"/>
      <c r="E43" s="292"/>
      <c r="F43" s="243">
        <f t="shared" si="12"/>
        <v>0</v>
      </c>
      <c r="G43" s="244">
        <f>IF($M$41="Sistema de banco de horas",0,'P Gerais'!$C$14)</f>
        <v>0.5</v>
      </c>
      <c r="H43" s="245">
        <f t="shared" ca="1" si="13"/>
        <v>0</v>
      </c>
      <c r="I43" s="243">
        <f t="shared" ca="1" si="14"/>
        <v>0</v>
      </c>
      <c r="J43" s="245">
        <f t="shared" ca="1" si="15"/>
        <v>0</v>
      </c>
      <c r="K43" s="234"/>
      <c r="L43" s="234"/>
      <c r="M43" s="234"/>
      <c r="Z43" s="219"/>
    </row>
    <row r="44" spans="1:42" s="2" customFormat="1" ht="30" customHeight="1" x14ac:dyDescent="0.2">
      <c r="A44" s="9"/>
      <c r="B44" s="234" t="s">
        <v>55</v>
      </c>
      <c r="C44" s="292" t="s">
        <v>78</v>
      </c>
      <c r="D44" s="292"/>
      <c r="E44" s="292"/>
      <c r="F44" s="243">
        <f t="shared" si="12"/>
        <v>0</v>
      </c>
      <c r="G44" s="244">
        <f>IF($M$41="Sistema de banco de horas",0,'P Gerais'!$C$14)</f>
        <v>0.5</v>
      </c>
      <c r="H44" s="245">
        <f t="shared" ca="1" si="13"/>
        <v>0</v>
      </c>
      <c r="I44" s="243">
        <f t="shared" ca="1" si="14"/>
        <v>0</v>
      </c>
      <c r="J44" s="245">
        <f t="shared" ca="1" si="15"/>
        <v>0</v>
      </c>
      <c r="K44" s="234"/>
      <c r="L44" s="234"/>
      <c r="M44" s="234"/>
      <c r="Z44" s="219"/>
    </row>
    <row r="45" spans="1:42" s="2" customFormat="1" ht="30" customHeight="1" x14ac:dyDescent="0.2">
      <c r="A45" s="9"/>
      <c r="B45" s="234" t="s">
        <v>56</v>
      </c>
      <c r="C45" s="292" t="s">
        <v>79</v>
      </c>
      <c r="D45" s="292"/>
      <c r="E45" s="292"/>
      <c r="F45" s="243">
        <f t="shared" si="12"/>
        <v>0</v>
      </c>
      <c r="G45" s="244">
        <f>IF($M$41="Sistema de banco de horas",0,'P Gerais'!$C$14)</f>
        <v>0.5</v>
      </c>
      <c r="H45" s="245">
        <f t="shared" ca="1" si="13"/>
        <v>0</v>
      </c>
      <c r="I45" s="243">
        <f t="shared" ca="1" si="14"/>
        <v>0</v>
      </c>
      <c r="J45" s="245">
        <f t="shared" ca="1" si="15"/>
        <v>0</v>
      </c>
      <c r="K45" s="234"/>
      <c r="L45" s="234"/>
      <c r="M45" s="234"/>
      <c r="Z45" s="219"/>
    </row>
    <row r="46" spans="1:42" s="2" customFormat="1" ht="30" customHeight="1" x14ac:dyDescent="0.2">
      <c r="A46" s="9"/>
      <c r="B46" s="234" t="s">
        <v>57</v>
      </c>
      <c r="C46" s="292" t="s">
        <v>82</v>
      </c>
      <c r="D46" s="292"/>
      <c r="E46" s="292"/>
      <c r="F46" s="243">
        <f t="shared" si="12"/>
        <v>0</v>
      </c>
      <c r="G46" s="244">
        <f>IF($M$41="Sistema de banco de horas",0,'P Gerais'!$E$14)</f>
        <v>0.5</v>
      </c>
      <c r="H46" s="245">
        <f t="shared" ca="1" si="13"/>
        <v>0</v>
      </c>
      <c r="I46" s="243">
        <f t="shared" ca="1" si="14"/>
        <v>0</v>
      </c>
      <c r="J46" s="245">
        <f t="shared" ca="1" si="15"/>
        <v>0</v>
      </c>
      <c r="K46" s="234"/>
      <c r="L46" s="234"/>
      <c r="M46" s="234"/>
      <c r="Z46" s="219"/>
    </row>
    <row r="47" spans="1:42" s="2" customFormat="1" ht="30" customHeight="1" x14ac:dyDescent="0.2">
      <c r="A47" s="9"/>
      <c r="B47" s="234" t="s">
        <v>51</v>
      </c>
      <c r="C47" s="292" t="s">
        <v>81</v>
      </c>
      <c r="D47" s="292"/>
      <c r="E47" s="292"/>
      <c r="F47" s="243">
        <f t="shared" si="12"/>
        <v>0</v>
      </c>
      <c r="G47" s="244">
        <f>IF($M$41="Sistema de banco de horas",0,'P Gerais'!$F$14)</f>
        <v>1</v>
      </c>
      <c r="H47" s="245">
        <f t="shared" ca="1" si="13"/>
        <v>0</v>
      </c>
      <c r="I47" s="243">
        <f t="shared" ca="1" si="14"/>
        <v>0</v>
      </c>
      <c r="J47" s="245">
        <f t="shared" ca="1" si="15"/>
        <v>0</v>
      </c>
      <c r="K47" s="234"/>
      <c r="L47" s="234"/>
      <c r="M47" s="234"/>
      <c r="Z47" s="219"/>
    </row>
    <row r="48" spans="1:42" s="2" customFormat="1" ht="30" customHeight="1" x14ac:dyDescent="0.2">
      <c r="A48" s="9"/>
      <c r="B48" s="234"/>
      <c r="C48" s="292" t="s">
        <v>80</v>
      </c>
      <c r="D48" s="292"/>
      <c r="E48" s="292"/>
      <c r="F48" s="243">
        <f>SUMIFS($Q$8:$Q$38,$G$8:$G$38,"Feriado")</f>
        <v>0</v>
      </c>
      <c r="G48" s="244">
        <f>IF($M$41="Sistema de banco de horas",0,'P Gerais'!$I$14)</f>
        <v>1</v>
      </c>
      <c r="H48" s="245">
        <f t="shared" ca="1" si="13"/>
        <v>0</v>
      </c>
      <c r="I48" s="243"/>
      <c r="J48" s="245">
        <f t="shared" ca="1" si="15"/>
        <v>0</v>
      </c>
      <c r="K48" s="234"/>
      <c r="L48" s="234"/>
      <c r="M48" s="234"/>
      <c r="Z48" s="219"/>
    </row>
    <row r="49" spans="1:26" s="2" customFormat="1" ht="15" x14ac:dyDescent="0.2">
      <c r="A49" s="9"/>
      <c r="B49" s="234"/>
      <c r="C49" s="292" t="s">
        <v>146</v>
      </c>
      <c r="D49" s="292"/>
      <c r="E49" s="292"/>
      <c r="F49" s="243">
        <f>SUMIFS($Q$8:$Q$38,$G$8:$G$38,"Folga (DSR)")</f>
        <v>0</v>
      </c>
      <c r="G49" s="244">
        <f>IF($M$41="Sistema de banco de horas",0,'P Gerais'!H14)</f>
        <v>1</v>
      </c>
      <c r="H49" s="245">
        <f ca="1">((F53/(F39-G39))*G39)</f>
        <v>0</v>
      </c>
      <c r="I49" s="243"/>
      <c r="J49" s="245">
        <f t="shared" ca="1" si="15"/>
        <v>0</v>
      </c>
      <c r="K49" s="234"/>
      <c r="L49" s="234"/>
      <c r="M49" s="234"/>
      <c r="Z49" s="219"/>
    </row>
    <row r="50" spans="1:26" s="2" customFormat="1" ht="15" x14ac:dyDescent="0.2">
      <c r="A50" s="9"/>
      <c r="B50" s="234"/>
      <c r="C50" s="292" t="s">
        <v>84</v>
      </c>
      <c r="D50" s="292"/>
      <c r="E50" s="292"/>
      <c r="F50" s="243">
        <f ca="1">IF($M$41="Sistema de banco de horas",(SUM(AI$8:AI$38)*(1+G50)),SUM(AI$8:AI$38))</f>
        <v>0</v>
      </c>
      <c r="G50" s="244">
        <f>IF($M$41="Sistema de banco de horas",0,'P Gerais'!$I$17)</f>
        <v>0.5</v>
      </c>
      <c r="H50" s="245">
        <f ca="1">IF($M$41="Sistema de banco de horas",0,$K$40*(1+G50)*(F50*24))</f>
        <v>0</v>
      </c>
      <c r="I50" s="243">
        <f ca="1">IF(SUM($AN$8:$AO$38)&gt;SUM(AI$8:AI$38),0,SUM(AI$8:AI$38)-SUM($AN$8:$AO$38))</f>
        <v>0</v>
      </c>
      <c r="J50" s="245">
        <f t="shared" ca="1" si="15"/>
        <v>0</v>
      </c>
      <c r="K50" s="234"/>
      <c r="L50" s="234"/>
      <c r="M50" s="234"/>
      <c r="Z50" s="219"/>
    </row>
    <row r="51" spans="1:26" s="2" customFormat="1" ht="15" x14ac:dyDescent="0.2">
      <c r="A51" s="9"/>
      <c r="B51" s="234"/>
      <c r="C51" s="292" t="s">
        <v>85</v>
      </c>
      <c r="D51" s="292"/>
      <c r="E51" s="292"/>
      <c r="F51" s="243">
        <f>IF($M$41="Sistema de banco de horas",(SUM(AK$8:AK$38)*(1+G51)),SUM(AK$8:AK$38))</f>
        <v>0</v>
      </c>
      <c r="G51" s="244">
        <f>IF($M$41="Sistema de banco de horas",0,'P Gerais'!$C$17)</f>
        <v>1</v>
      </c>
      <c r="H51" s="245">
        <f ca="1">IF($M$41="Sistema de banco de horas",0,$K$40*(1+G51)*(F51*24))</f>
        <v>0</v>
      </c>
      <c r="I51" s="243"/>
      <c r="J51" s="245">
        <f t="shared" ca="1" si="15"/>
        <v>0</v>
      </c>
      <c r="K51" s="234"/>
      <c r="L51" s="234"/>
      <c r="M51" s="234"/>
      <c r="Z51" s="219"/>
    </row>
    <row r="52" spans="1:26" s="2" customFormat="1" ht="15" customHeight="1" x14ac:dyDescent="0.2">
      <c r="A52" s="9"/>
      <c r="B52" s="234"/>
      <c r="C52" s="292" t="s">
        <v>87</v>
      </c>
      <c r="D52" s="292"/>
      <c r="E52" s="292"/>
      <c r="F52" s="243">
        <f ca="1">U12</f>
        <v>0</v>
      </c>
      <c r="G52" s="246"/>
      <c r="H52" s="234"/>
      <c r="I52" s="234"/>
      <c r="J52" s="234"/>
      <c r="K52" s="234"/>
      <c r="L52" s="234"/>
      <c r="M52" s="234"/>
      <c r="Z52" s="219"/>
    </row>
    <row r="53" spans="1:26" s="2" customFormat="1" ht="15" x14ac:dyDescent="0.2">
      <c r="A53" s="9"/>
      <c r="B53" s="234"/>
      <c r="C53" s="292" t="s">
        <v>299</v>
      </c>
      <c r="D53" s="292"/>
      <c r="E53" s="292"/>
      <c r="F53" s="247">
        <f ca="1">SUM(H48)+J50+H51+SUM(J41:J47)</f>
        <v>0</v>
      </c>
      <c r="G53" s="248"/>
      <c r="H53" s="234"/>
      <c r="I53" s="234"/>
      <c r="J53" s="234"/>
      <c r="K53" s="234"/>
      <c r="L53" s="234"/>
      <c r="M53" s="234"/>
      <c r="Z53" s="219"/>
    </row>
    <row r="54" spans="1:26" s="2" customFormat="1" ht="15" x14ac:dyDescent="0.2">
      <c r="A54" s="9"/>
      <c r="B54" s="234"/>
      <c r="C54" s="292" t="s">
        <v>88</v>
      </c>
      <c r="D54" s="292"/>
      <c r="E54" s="292"/>
      <c r="F54" s="247">
        <f ca="1">F53+(H49*(1+G49))</f>
        <v>0</v>
      </c>
      <c r="G54" s="248"/>
      <c r="H54" s="249"/>
      <c r="I54" s="234"/>
      <c r="J54" s="234"/>
      <c r="K54" s="234"/>
      <c r="L54" s="234"/>
      <c r="M54" s="234"/>
      <c r="Z54" s="219"/>
    </row>
    <row r="55" spans="1:26" s="2" customFormat="1" ht="15" x14ac:dyDescent="0.2">
      <c r="A55" s="9"/>
      <c r="B55" s="234"/>
      <c r="C55" s="292" t="s">
        <v>89</v>
      </c>
      <c r="D55" s="292"/>
      <c r="E55" s="292"/>
      <c r="F55" s="247">
        <f ca="1">H40+F54</f>
        <v>0</v>
      </c>
      <c r="G55" s="246"/>
      <c r="H55" s="234"/>
      <c r="I55" s="234"/>
      <c r="J55" s="234"/>
      <c r="K55" s="234"/>
      <c r="L55" s="234"/>
      <c r="M55" s="234"/>
      <c r="Z55" s="219"/>
    </row>
    <row r="56" spans="1:26" s="2" customFormat="1" ht="15" x14ac:dyDescent="0.2">
      <c r="A56" s="9"/>
      <c r="B56" s="234"/>
      <c r="C56" s="292" t="s">
        <v>178</v>
      </c>
      <c r="D56" s="292"/>
      <c r="E56" s="292"/>
      <c r="F56" s="243">
        <f>IF($M$41="Sistema de banco de horas",(SUMIF($G$8:$G$38,"Férias",Q8:Q38))*(1+G48),SUMIF($G$8:$G$38,"Férias",Q8:Q38))</f>
        <v>0</v>
      </c>
      <c r="G56" s="246"/>
      <c r="H56" s="234"/>
      <c r="I56" s="234"/>
      <c r="J56" s="234"/>
      <c r="K56" s="234"/>
      <c r="L56" s="234"/>
      <c r="M56" s="234"/>
      <c r="Z56" s="219"/>
    </row>
    <row r="57" spans="1:26" s="2" customFormat="1" ht="15" x14ac:dyDescent="0.2">
      <c r="A57" s="9"/>
      <c r="B57" s="234"/>
      <c r="C57" s="239"/>
      <c r="D57" s="239"/>
      <c r="E57" s="239"/>
      <c r="F57" s="250">
        <f ca="1">U14</f>
        <v>0</v>
      </c>
      <c r="G57" s="246"/>
      <c r="H57" s="234"/>
      <c r="I57" s="234"/>
      <c r="J57" s="234"/>
      <c r="K57" s="234"/>
      <c r="L57" s="234"/>
      <c r="M57" s="234"/>
      <c r="Z57" s="219"/>
    </row>
    <row r="58" spans="1:26" s="2" customFormat="1" ht="15" x14ac:dyDescent="0.2">
      <c r="A58" s="9"/>
      <c r="B58" s="234"/>
      <c r="C58" s="239"/>
      <c r="D58" s="239"/>
      <c r="E58" s="239"/>
      <c r="F58" s="243">
        <f ca="1">SUM(F41:F51)</f>
        <v>0</v>
      </c>
      <c r="G58" s="246"/>
      <c r="H58" s="234"/>
      <c r="I58" s="234"/>
      <c r="J58" s="234"/>
      <c r="K58" s="234"/>
      <c r="L58" s="234"/>
      <c r="M58" s="234"/>
      <c r="Z58" s="219"/>
    </row>
    <row r="59" spans="1:26" s="2" customFormat="1" ht="15" x14ac:dyDescent="0.2">
      <c r="A59" s="9"/>
      <c r="Z59" s="219"/>
    </row>
    <row r="60" spans="1:26" s="2" customFormat="1" ht="15" x14ac:dyDescent="0.2">
      <c r="A60" s="9"/>
      <c r="G60" s="178"/>
      <c r="Z60" s="219"/>
    </row>
    <row r="61" spans="1:26" ht="15" x14ac:dyDescent="0.2"/>
    <row r="62" spans="1:26" ht="15" x14ac:dyDescent="0.2"/>
    <row r="63" spans="1:26" ht="15" x14ac:dyDescent="0.2"/>
    <row r="64" spans="1:26" ht="15" x14ac:dyDescent="0.2"/>
    <row r="65" ht="15" x14ac:dyDescent="0.2"/>
    <row r="66" ht="15" x14ac:dyDescent="0.2"/>
    <row r="67" ht="15" x14ac:dyDescent="0.2"/>
    <row r="68" ht="15" x14ac:dyDescent="0.2"/>
    <row r="69" ht="15" x14ac:dyDescent="0.2"/>
    <row r="70" ht="15" x14ac:dyDescent="0.2"/>
    <row r="71" ht="15" x14ac:dyDescent="0.2"/>
    <row r="72" ht="15" x14ac:dyDescent="0.2"/>
    <row r="73" ht="15" x14ac:dyDescent="0.2"/>
    <row r="74" ht="15" x14ac:dyDescent="0.2"/>
    <row r="75" ht="15" x14ac:dyDescent="0.2"/>
    <row r="76" ht="15" x14ac:dyDescent="0.2"/>
    <row r="77" ht="15" x14ac:dyDescent="0.2"/>
    <row r="78" ht="15" x14ac:dyDescent="0.2"/>
    <row r="79" ht="15" x14ac:dyDescent="0.2"/>
    <row r="80" ht="15" x14ac:dyDescent="0.2"/>
    <row r="81" ht="15" x14ac:dyDescent="0.2"/>
    <row r="82" ht="15" x14ac:dyDescent="0.2"/>
    <row r="83" ht="15" x14ac:dyDescent="0.2"/>
    <row r="84" ht="15" x14ac:dyDescent="0.2"/>
    <row r="85" ht="15" x14ac:dyDescent="0.2"/>
    <row r="86" ht="15" x14ac:dyDescent="0.2"/>
    <row r="87" ht="15" x14ac:dyDescent="0.2"/>
    <row r="88" ht="15" x14ac:dyDescent="0.2"/>
    <row r="89" ht="15" x14ac:dyDescent="0.2"/>
    <row r="90" ht="15" x14ac:dyDescent="0.2"/>
    <row r="91" ht="15" x14ac:dyDescent="0.2"/>
    <row r="92" ht="15" x14ac:dyDescent="0.2"/>
    <row r="93" ht="15" x14ac:dyDescent="0.2"/>
    <row r="94" ht="15" x14ac:dyDescent="0.2"/>
    <row r="95" ht="15" x14ac:dyDescent="0.2"/>
    <row r="96" ht="15" x14ac:dyDescent="0.2"/>
    <row r="97" ht="15" x14ac:dyDescent="0.2"/>
    <row r="98" ht="15" x14ac:dyDescent="0.2"/>
    <row r="99" ht="15" x14ac:dyDescent="0.2"/>
    <row r="100" ht="15" x14ac:dyDescent="0.2"/>
    <row r="101" ht="15" x14ac:dyDescent="0.2"/>
    <row r="102" ht="15" x14ac:dyDescent="0.2"/>
    <row r="103" ht="15" x14ac:dyDescent="0.2"/>
  </sheetData>
  <sheetProtection sheet="1" objects="1" scenarios="1" selectLockedCells="1"/>
  <mergeCells count="34">
    <mergeCell ref="C56:E56"/>
    <mergeCell ref="C48:E48"/>
    <mergeCell ref="C49:E49"/>
    <mergeCell ref="C50:E50"/>
    <mergeCell ref="C52:E52"/>
    <mergeCell ref="C53:E53"/>
    <mergeCell ref="C54:E54"/>
    <mergeCell ref="C51:E51"/>
    <mergeCell ref="C44:E44"/>
    <mergeCell ref="C55:E55"/>
    <mergeCell ref="C45:E45"/>
    <mergeCell ref="C46:E46"/>
    <mergeCell ref="C47:E47"/>
    <mergeCell ref="S22:U22"/>
    <mergeCell ref="C41:E41"/>
    <mergeCell ref="C42:E42"/>
    <mergeCell ref="C43:E43"/>
    <mergeCell ref="S26:U28"/>
    <mergeCell ref="S23:U25"/>
    <mergeCell ref="E7:F7"/>
    <mergeCell ref="I7:J7"/>
    <mergeCell ref="S7:U7"/>
    <mergeCell ref="S8:T9"/>
    <mergeCell ref="U8:U9"/>
    <mergeCell ref="S16:T17"/>
    <mergeCell ref="U16:U17"/>
    <mergeCell ref="S18:T19"/>
    <mergeCell ref="S10:T11"/>
    <mergeCell ref="U10:U11"/>
    <mergeCell ref="S12:T13"/>
    <mergeCell ref="U12:U13"/>
    <mergeCell ref="S14:T15"/>
    <mergeCell ref="U14:U15"/>
    <mergeCell ref="U18:U19"/>
  </mergeCells>
  <conditionalFormatting sqref="M8:M37">
    <cfRule type="cellIs" dxfId="332" priority="126" operator="greaterThan">
      <formula>0</formula>
    </cfRule>
  </conditionalFormatting>
  <conditionalFormatting sqref="L36:L37 N36:N37">
    <cfRule type="expression" dxfId="331" priority="93">
      <formula>AND($E36&lt;$E$35,$E$8=1)</formula>
    </cfRule>
    <cfRule type="expression" dxfId="330" priority="94">
      <formula>AND($E36&gt;=$E$8,$E$8&lt;&gt;1)</formula>
    </cfRule>
  </conditionalFormatting>
  <conditionalFormatting sqref="E36:E38">
    <cfRule type="expression" dxfId="329" priority="91">
      <formula>AND($E36&lt;$E$35,$E$8=1)</formula>
    </cfRule>
    <cfRule type="expression" dxfId="328" priority="92">
      <formula>AND($E36&gt;=$E$8,$E$8&lt;&gt;1)</formula>
    </cfRule>
  </conditionalFormatting>
  <conditionalFormatting sqref="O8:O37">
    <cfRule type="cellIs" dxfId="327" priority="86" operator="greaterThan">
      <formula>0.000001</formula>
    </cfRule>
  </conditionalFormatting>
  <conditionalFormatting sqref="O36:O37">
    <cfRule type="expression" dxfId="326" priority="84">
      <formula>AND($E36&lt;$E$35,$E$8=1)</formula>
    </cfRule>
    <cfRule type="expression" dxfId="325" priority="85">
      <formula>AND($E36&gt;=$E$8,$E$8&lt;&gt;1)</formula>
    </cfRule>
  </conditionalFormatting>
  <conditionalFormatting sqref="F8:F38">
    <cfRule type="containsText" dxfId="324" priority="80" operator="containsText" text="Dom">
      <formula>NOT(ISERROR(SEARCH("Dom",F8)))</formula>
    </cfRule>
    <cfRule type="containsText" dxfId="323" priority="81" operator="containsText" text="Sáb">
      <formula>NOT(ISERROR(SEARCH("Sáb",F8)))</formula>
    </cfRule>
  </conditionalFormatting>
  <conditionalFormatting sqref="Q8:Q37">
    <cfRule type="cellIs" dxfId="322" priority="78" operator="greaterThan">
      <formula>0.000001</formula>
    </cfRule>
  </conditionalFormatting>
  <conditionalFormatting sqref="G8:K35">
    <cfRule type="expression" dxfId="321" priority="48">
      <formula>OR($G8="Férias",$G8="Falta Injustificada")</formula>
    </cfRule>
    <cfRule type="expression" dxfId="320" priority="49">
      <formula>$G8="Folga (DSR)"</formula>
    </cfRule>
    <cfRule type="expression" dxfId="319" priority="50">
      <formula>$G8="Feriado"</formula>
    </cfRule>
    <cfRule type="expression" dxfId="318" priority="51">
      <formula>$F8="Dom"</formula>
    </cfRule>
  </conditionalFormatting>
  <conditionalFormatting sqref="H8:K35">
    <cfRule type="expression" dxfId="317" priority="47">
      <formula>OR($G8="Falta Justificada",$G8="Falta Injustificada")</formula>
    </cfRule>
  </conditionalFormatting>
  <conditionalFormatting sqref="G36:K37">
    <cfRule type="expression" dxfId="316" priority="43">
      <formula>OR($G36="Férias",$G36="Falta Injustificada")</formula>
    </cfRule>
    <cfRule type="expression" dxfId="315" priority="44">
      <formula>$G36="Folga (DSR)"</formula>
    </cfRule>
    <cfRule type="expression" dxfId="314" priority="45">
      <formula>$G36="Feriado"</formula>
    </cfRule>
    <cfRule type="expression" dxfId="313" priority="46">
      <formula>$F36="Dom"</formula>
    </cfRule>
  </conditionalFormatting>
  <conditionalFormatting sqref="G36:K37">
    <cfRule type="expression" dxfId="312" priority="40">
      <formula>AND($E36&lt;$E$35,$E$8=1)</formula>
    </cfRule>
    <cfRule type="expression" dxfId="311" priority="41">
      <formula>AND($E36&gt;=$E$8,$E$8&lt;&gt;1)</formula>
    </cfRule>
  </conditionalFormatting>
  <conditionalFormatting sqref="H36:K37">
    <cfRule type="expression" dxfId="310" priority="42">
      <formula>OR($G36="Falta Justificada",$G36="Falta Injustificada")</formula>
    </cfRule>
  </conditionalFormatting>
  <conditionalFormatting sqref="O38">
    <cfRule type="cellIs" dxfId="309" priority="38" operator="greaterThan">
      <formula>0.000001</formula>
    </cfRule>
  </conditionalFormatting>
  <conditionalFormatting sqref="M38">
    <cfRule type="cellIs" dxfId="308" priority="39" operator="greaterThan">
      <formula>0</formula>
    </cfRule>
  </conditionalFormatting>
  <conditionalFormatting sqref="L38:O38">
    <cfRule type="expression" dxfId="307" priority="37">
      <formula>AND($E38&gt;=$E$8,$E$8&lt;&gt;1)</formula>
    </cfRule>
  </conditionalFormatting>
  <conditionalFormatting sqref="G38:K38">
    <cfRule type="expression" dxfId="306" priority="24">
      <formula>OR($G38="Férias",$G38="Falta Injustificada")</formula>
    </cfRule>
    <cfRule type="expression" dxfId="305" priority="25">
      <formula>$G38="Folga (DSR)"</formula>
    </cfRule>
    <cfRule type="expression" dxfId="304" priority="26">
      <formula>$G38="Feriado"</formula>
    </cfRule>
    <cfRule type="expression" dxfId="303" priority="27">
      <formula>$F38="Dom"</formula>
    </cfRule>
  </conditionalFormatting>
  <conditionalFormatting sqref="H38:K38">
    <cfRule type="expression" dxfId="302" priority="23">
      <formula>OR($G38="Falta Justificada",$G38="Falta Injustificada")</formula>
    </cfRule>
  </conditionalFormatting>
  <conditionalFormatting sqref="Q38">
    <cfRule type="cellIs" dxfId="301" priority="20" operator="greaterThan">
      <formula>0.000001</formula>
    </cfRule>
  </conditionalFormatting>
  <conditionalFormatting sqref="L38:Q38">
    <cfRule type="expression" dxfId="300" priority="36">
      <formula>AND($E38&lt;$E$35,$E$8=1)</formula>
    </cfRule>
  </conditionalFormatting>
  <conditionalFormatting sqref="G38:Q38">
    <cfRule type="expression" dxfId="299" priority="21">
      <formula>AND($E38&lt;$E$35,$E$8=1)</formula>
    </cfRule>
    <cfRule type="expression" dxfId="298" priority="22">
      <formula>AND($E38&gt;=$E$8,$E$8&lt;&gt;1)</formula>
    </cfRule>
  </conditionalFormatting>
  <conditionalFormatting sqref="U10:U11">
    <cfRule type="expression" dxfId="297" priority="8">
      <formula>$V$11="Negativo"</formula>
    </cfRule>
  </conditionalFormatting>
  <conditionalFormatting sqref="U12:U13">
    <cfRule type="expression" dxfId="296" priority="508">
      <formula>$U$14&gt;$F$58</formula>
    </cfRule>
  </conditionalFormatting>
  <conditionalFormatting sqref="F40">
    <cfRule type="expression" dxfId="295" priority="509">
      <formula>$E40="Folga(DSR)"</formula>
    </cfRule>
    <cfRule type="expression" dxfId="294" priority="510">
      <formula>$E40="Feriado"</formula>
    </cfRule>
    <cfRule type="expression" dxfId="293" priority="511">
      <formula>$D40="Dom"</formula>
    </cfRule>
  </conditionalFormatting>
  <dataValidations count="3">
    <dataValidation type="time" allowBlank="1" showInputMessage="1" showErrorMessage="1" sqref="H8:K38">
      <formula1>0</formula1>
      <formula2>0.999988425925926</formula2>
    </dataValidation>
    <dataValidation type="list" allowBlank="1" showInputMessage="1" showErrorMessage="1" sqref="G8:G38">
      <formula1>"Normal,Feriado,Folga (DSR),Falta Justificada,Férias,Falta Injustificada"</formula1>
    </dataValidation>
    <dataValidation type="list" allowBlank="1" showInputMessage="1" showErrorMessage="1" sqref="E9:E35">
      <formula1>"1,5,10,16"</formula1>
    </dataValidation>
  </dataValidations>
  <hyperlinks>
    <hyperlink ref="C8" location="Lanç!A1" display="Lanç!A1"/>
    <hyperlink ref="C9" location="'Lanç (2)'!A1" display="'Lanç (2)'!A1"/>
    <hyperlink ref="C10" location="'Lanç (3)'!A1" display="'Lanç (3)'!A1"/>
    <hyperlink ref="C11" location="'Lanç (4)'!A1" display="'Lanç (4)'!A1"/>
    <hyperlink ref="C12" location="'Lanç (5)'!A1" display="'Lanç (5)'!A1"/>
    <hyperlink ref="C13" location="'Lanç (6)'!A1" display="'Lanç (6)'!A1"/>
    <hyperlink ref="C14" location="'Lanç (7)'!A1" display="'Lanç (7)'!A1"/>
    <hyperlink ref="C15" location="'Lanç (8)'!A1" display="'Lanç (8)'!A1"/>
    <hyperlink ref="C16" location="'Lanç (9)'!A1" display="'Lanç (9)'!A1"/>
    <hyperlink ref="C17" location="'Lanç (10)'!A1" display="'Lanç (10)'!A1"/>
    <hyperlink ref="C18" location="'Lanç (11)'!A1" display="'Lanç (11)'!A1"/>
    <hyperlink ref="C19" location="'Lanç (12)'!A1" display="'Lanç (12)'!A1"/>
    <hyperlink ref="C20" location="'Lanç (13)'!A1" display="'Lanç (13)'!A1"/>
    <hyperlink ref="C21" location="'Lanç (14)'!A1" display="'Lanç (14)'!A1"/>
    <hyperlink ref="C22" location="'Lanç (15)'!A1" display="'Lanç (15)'!A1"/>
    <hyperlink ref="C23" location="'Lanç (16)'!A1" display="'Lanç (16)'!A1"/>
    <hyperlink ref="C24" location="'Lanç (17)'!A1" display="'Lanç (17)'!A1"/>
    <hyperlink ref="C25" location="'Lanç (18)'!A1" display="'Lanç (18)'!A1"/>
    <hyperlink ref="C26" location="'Lanç (19)'!A1" display="'Lanç (19)'!A1"/>
    <hyperlink ref="C27" location="'Lanç (20)'!A1" display="'Lanç (20)'!A1"/>
    <hyperlink ref="C28" location="'Lanç (21)'!A1" display="'Lanç (21)'!A1"/>
    <hyperlink ref="C29" location="'Lanç (22)'!A1" display="'Lanç (22)'!A1"/>
    <hyperlink ref="C30" location="'Lanç (23)'!A1" display="'Lanç (23)'!A1"/>
    <hyperlink ref="C31" location="'Lanç (24)'!A1" display="'Lanç (24)'!A1"/>
    <hyperlink ref="C32" location="'Lanç (25)'!A1" display="'Lanç (25)'!A1"/>
    <hyperlink ref="C33" location="'Lanç (26)'!A1" display="'Lanç (26)'!A1"/>
    <hyperlink ref="C34" location="'Lanç (27)'!A1" display="'Lanç (27)'!A1"/>
    <hyperlink ref="C35" location="'Lanç (28)'!A1" display="'Lanç (28)'!A1"/>
    <hyperlink ref="C36" location="'Lanç (29)'!A1" display="'Lanç (29)'!A1"/>
    <hyperlink ref="C37" location="'Lanç (30)'!A1" display="'Lanç (30)'!A1"/>
  </hyperlinks>
  <printOptions horizontalCentered="1"/>
  <pageMargins left="0.23622047244094502" right="0.23622047244094502" top="0.74803149606299202" bottom="0.74803149606299202" header="0.31496062992126" footer="0.31496062992126"/>
  <pageSetup paperSize="9" scale="53" orientation="portrait" cellComments="atEnd"/>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69" id="{28F7271E-4ACE-464A-91F4-086CEDDAB36E}">
            <xm:f>'P Gerais'!$I$10:$M$10="Pagas em Dinheiro"</xm:f>
            <x14:dxf>
              <font>
                <color theme="0"/>
              </font>
              <fill>
                <patternFill>
                  <bgColor theme="0"/>
                </patternFill>
              </fill>
              <border>
                <left/>
                <right/>
                <top/>
                <bottom/>
              </border>
            </x14:dxf>
          </x14:cfRule>
          <xm:sqref>S10:T13</xm:sqref>
        </x14:conditionalFormatting>
        <x14:conditionalFormatting xmlns:xm="http://schemas.microsoft.com/office/excel/2006/main">
          <x14:cfRule type="expression" priority="68" id="{AC8A162C-47E8-9A4C-AA4A-26FAA542A555}">
            <xm:f>'P Gerais'!$I$10:$M$10="Sistema de banco de horas"</xm:f>
            <x14:dxf>
              <font>
                <color theme="0"/>
              </font>
              <fill>
                <patternFill>
                  <bgColor theme="0"/>
                </patternFill>
              </fill>
              <border>
                <left/>
                <right/>
                <top/>
                <bottom/>
              </border>
            </x14:dxf>
          </x14:cfRule>
          <xm:sqref>S18:T19</xm:sqref>
        </x14:conditionalFormatting>
        <x14:conditionalFormatting xmlns:xm="http://schemas.microsoft.com/office/excel/2006/main">
          <x14:cfRule type="expression" priority="10" id="{4F995240-4217-4F48-99A6-B96F1407B6AA}">
            <xm:f>'P Gerais'!$I$10:$M$10="Sistema de banco de horas"</xm:f>
            <x14:dxf>
              <font>
                <color theme="0"/>
              </font>
              <fill>
                <patternFill>
                  <bgColor theme="0"/>
                </patternFill>
              </fill>
              <border>
                <left/>
                <right/>
                <top/>
                <bottom/>
              </border>
            </x14:dxf>
          </x14:cfRule>
          <xm:sqref>U18:U19</xm:sqref>
        </x14:conditionalFormatting>
        <x14:conditionalFormatting xmlns:xm="http://schemas.microsoft.com/office/excel/2006/main">
          <x14:cfRule type="expression" priority="7" id="{A3898809-3697-934B-B605-FEC1575A51B0}">
            <xm:f>'P Gerais'!$I$10:$M$10="Pagas em Dinheiro"</xm:f>
            <x14:dxf>
              <font>
                <color theme="0"/>
              </font>
              <fill>
                <patternFill>
                  <bgColor theme="0"/>
                </patternFill>
              </fill>
              <border>
                <left/>
                <right/>
                <top/>
                <bottom/>
              </border>
            </x14:dxf>
          </x14:cfRule>
          <xm:sqref>U10:U13</xm:sqref>
        </x14:conditionalFormatting>
      </x14:conditionalFormattings>
    </ext>
  </extLs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27" enableFormatConditionsCalculation="0"/>
  <dimension ref="A1:BG103"/>
  <sheetViews>
    <sheetView showGridLines="0" zoomScale="90" zoomScaleNormal="90" zoomScalePageLayoutView="90" workbookViewId="0">
      <selection activeCell="I12" sqref="I12"/>
    </sheetView>
  </sheetViews>
  <sheetFormatPr baseColWidth="10" defaultColWidth="0" defaultRowHeight="0" customHeight="1" zeroHeight="1" x14ac:dyDescent="0.2"/>
  <cols>
    <col min="1" max="1" width="27.83203125" style="194" customWidth="1"/>
    <col min="2" max="2" width="3.83203125" style="14" customWidth="1"/>
    <col min="3" max="3" width="33.33203125" style="14" customWidth="1"/>
    <col min="4" max="4" width="2.83203125" style="14" customWidth="1"/>
    <col min="5" max="5" width="5.83203125" style="14" customWidth="1"/>
    <col min="6" max="6" width="11.83203125" style="14" customWidth="1"/>
    <col min="7" max="7" width="14.33203125" style="195" customWidth="1"/>
    <col min="8" max="11" width="9.83203125" style="14" customWidth="1"/>
    <col min="12" max="12" width="1.83203125" style="14" customWidth="1"/>
    <col min="13" max="13" width="13.33203125" style="14" customWidth="1"/>
    <col min="14" max="14" width="1.83203125" style="14" customWidth="1"/>
    <col min="15" max="15" width="13.33203125" style="14" customWidth="1"/>
    <col min="16" max="16" width="1.83203125" style="14" customWidth="1"/>
    <col min="17" max="17" width="13.33203125" style="14" customWidth="1"/>
    <col min="18" max="18" width="4.83203125" style="2" bestFit="1" customWidth="1"/>
    <col min="19" max="21" width="11.83203125" style="14" customWidth="1"/>
    <col min="22" max="23" width="8.83203125" style="2" customWidth="1"/>
    <col min="24" max="24" width="11.33203125" style="2" bestFit="1" customWidth="1"/>
    <col min="25" max="25" width="8.83203125" style="2" customWidth="1"/>
    <col min="26" max="26" width="8.1640625" style="219" bestFit="1" customWidth="1"/>
    <col min="27" max="27" width="8.83203125" style="2" customWidth="1"/>
    <col min="28" max="28" width="11.33203125" style="2" bestFit="1" customWidth="1"/>
    <col min="29" max="43" width="8.83203125" style="2" customWidth="1"/>
    <col min="44" max="50" width="11.33203125" style="2" customWidth="1"/>
    <col min="51" max="57" width="11.33203125" style="14" customWidth="1"/>
    <col min="58" max="16384" width="8.83203125" style="14" hidden="1"/>
  </cols>
  <sheetData>
    <row r="1" spans="1:59" s="15" customFormat="1" ht="33.75" customHeight="1" x14ac:dyDescent="0.3">
      <c r="A1" s="56"/>
      <c r="B1" s="3"/>
      <c r="C1" s="4" t="s">
        <v>30</v>
      </c>
      <c r="D1" s="3"/>
      <c r="E1" s="3"/>
      <c r="F1" s="3"/>
      <c r="G1" s="77"/>
      <c r="H1" s="3"/>
      <c r="I1" s="3"/>
      <c r="J1" s="3"/>
      <c r="K1" s="3"/>
      <c r="L1" s="3"/>
      <c r="M1" s="3"/>
      <c r="N1" s="3"/>
      <c r="O1" s="3"/>
      <c r="Q1" s="3"/>
      <c r="S1" s="3"/>
      <c r="T1" s="3"/>
      <c r="U1" s="3"/>
      <c r="Z1" s="174"/>
    </row>
    <row r="2" spans="1:59" s="15" customFormat="1" ht="21.5" customHeight="1" x14ac:dyDescent="0.2">
      <c r="A2" s="1"/>
      <c r="B2" s="3"/>
      <c r="C2" s="3"/>
      <c r="D2" s="3"/>
      <c r="E2" s="3"/>
      <c r="F2" s="3"/>
      <c r="G2" s="77"/>
      <c r="H2" s="3"/>
      <c r="I2" s="3"/>
      <c r="J2" s="3"/>
      <c r="K2" s="3"/>
      <c r="L2" s="3"/>
      <c r="M2" s="3"/>
      <c r="N2" s="3"/>
      <c r="O2" s="3"/>
      <c r="Q2" s="3"/>
      <c r="S2" s="3"/>
      <c r="T2" s="3"/>
      <c r="U2" s="3"/>
      <c r="Z2" s="174"/>
    </row>
    <row r="3" spans="1:59" s="15" customFormat="1" ht="21.5" customHeight="1" x14ac:dyDescent="0.2">
      <c r="A3" s="1"/>
      <c r="B3" s="3"/>
      <c r="C3" s="3"/>
      <c r="D3" s="3"/>
      <c r="E3" s="3"/>
      <c r="F3" s="3"/>
      <c r="G3" s="77"/>
      <c r="H3" s="3"/>
      <c r="I3" s="3"/>
      <c r="J3" s="3"/>
      <c r="K3" s="3"/>
      <c r="L3" s="3"/>
      <c r="M3" s="3"/>
      <c r="N3" s="3"/>
      <c r="O3" s="3"/>
      <c r="Q3" s="3"/>
      <c r="S3" s="3"/>
      <c r="T3" s="3"/>
      <c r="U3" s="3"/>
      <c r="Z3" s="174"/>
    </row>
    <row r="4" spans="1:59" s="2" customFormat="1" ht="30" customHeight="1" x14ac:dyDescent="0.2">
      <c r="A4" s="1"/>
      <c r="B4"/>
      <c r="C4"/>
      <c r="D4"/>
      <c r="E4"/>
      <c r="F4"/>
      <c r="G4" s="78"/>
      <c r="H4"/>
      <c r="I4"/>
      <c r="J4"/>
      <c r="K4"/>
      <c r="L4"/>
      <c r="M4"/>
      <c r="N4"/>
      <c r="O4" s="13"/>
      <c r="Q4"/>
      <c r="S4"/>
      <c r="T4"/>
      <c r="U4"/>
      <c r="Z4" s="219"/>
      <c r="AN4" s="175"/>
    </row>
    <row r="5" spans="1:59" s="2" customFormat="1" ht="30" customHeight="1" x14ac:dyDescent="0.2">
      <c r="A5" s="1"/>
      <c r="B5"/>
      <c r="C5" s="160" t="s">
        <v>208</v>
      </c>
      <c r="D5"/>
      <c r="E5"/>
      <c r="F5"/>
      <c r="G5"/>
      <c r="H5"/>
      <c r="I5"/>
      <c r="J5"/>
      <c r="K5" s="157">
        <f ca="1">IF(ISERROR(VLOOKUP(INDIRECT($C$5),Jornada!$C$8:$F$37,4,0)),0,VLOOKUP(INDIRECT($C$5),Jornada!$C$8:$F$37,4,0))</f>
        <v>0</v>
      </c>
      <c r="L5" s="158"/>
      <c r="M5" s="157">
        <f ca="1">IF(ISERROR(VLOOKUP(INDIRECT($C$5),Jornada!$C$8:$G$37,5,0)),0,VLOOKUP(INDIRECT($C$5),Jornada!$C$8:$G$37,5,0))</f>
        <v>0</v>
      </c>
      <c r="N5"/>
      <c r="O5" s="69"/>
      <c r="Q5"/>
      <c r="S5"/>
      <c r="T5"/>
      <c r="U5" s="12"/>
      <c r="Z5" s="219"/>
      <c r="AC5" s="12"/>
      <c r="AK5" s="179">
        <v>0.25</v>
      </c>
      <c r="AL5" s="155">
        <v>0.91666666666666663</v>
      </c>
      <c r="AM5" s="155">
        <v>0.20833333333333334</v>
      </c>
      <c r="AN5" s="155">
        <v>1</v>
      </c>
      <c r="AO5" s="155">
        <v>0.70833333333333337</v>
      </c>
    </row>
    <row r="6" spans="1:59" s="2" customFormat="1" ht="8" customHeight="1" thickBot="1" x14ac:dyDescent="0.25">
      <c r="A6" s="1"/>
      <c r="B6"/>
      <c r="C6" s="75"/>
      <c r="D6"/>
      <c r="E6"/>
      <c r="F6"/>
      <c r="G6" s="78"/>
      <c r="H6"/>
      <c r="I6"/>
      <c r="J6"/>
      <c r="M6" s="220">
        <v>1</v>
      </c>
      <c r="N6"/>
      <c r="O6" s="11"/>
      <c r="Q6" s="11"/>
      <c r="S6"/>
      <c r="T6"/>
      <c r="Z6" s="176"/>
    </row>
    <row r="7" spans="1:59" s="2" customFormat="1" ht="30" customHeight="1" thickTop="1" thickBot="1" x14ac:dyDescent="0.25">
      <c r="A7" s="1"/>
      <c r="B7"/>
      <c r="C7" s="76" t="s">
        <v>176</v>
      </c>
      <c r="D7"/>
      <c r="E7" s="281" t="str">
        <f>Lanç!E7</f>
        <v>Janeiro</v>
      </c>
      <c r="F7" s="283"/>
      <c r="G7" s="79" t="s">
        <v>58</v>
      </c>
      <c r="H7" s="82" t="s">
        <v>0</v>
      </c>
      <c r="I7" s="293" t="s">
        <v>59</v>
      </c>
      <c r="J7" s="293"/>
      <c r="K7" s="82" t="s">
        <v>60</v>
      </c>
      <c r="L7"/>
      <c r="M7" s="73" t="s">
        <v>61</v>
      </c>
      <c r="N7"/>
      <c r="O7" s="73" t="s">
        <v>62</v>
      </c>
      <c r="Q7" s="73" t="s">
        <v>63</v>
      </c>
      <c r="R7" s="155">
        <v>8.3333333333333329E-2</v>
      </c>
      <c r="S7" s="293" t="s">
        <v>64</v>
      </c>
      <c r="T7" s="293"/>
      <c r="U7" s="293"/>
      <c r="W7" s="2" t="s">
        <v>90</v>
      </c>
      <c r="X7" s="156">
        <v>1</v>
      </c>
      <c r="AB7" s="2">
        <f>VLOOKUP($E$7,$W$7:$X$18,2,0)</f>
        <v>1</v>
      </c>
      <c r="AG7" s="176" t="s">
        <v>167</v>
      </c>
      <c r="AH7" s="176" t="s">
        <v>168</v>
      </c>
      <c r="AI7" s="155">
        <v>0</v>
      </c>
      <c r="AJ7" s="155">
        <v>1</v>
      </c>
      <c r="AK7" s="155">
        <v>0.45833333333333331</v>
      </c>
      <c r="AL7" s="2" t="s">
        <v>0</v>
      </c>
      <c r="AM7" s="2" t="s">
        <v>162</v>
      </c>
      <c r="AN7" s="2" t="s">
        <v>184</v>
      </c>
      <c r="BE7" s="14"/>
      <c r="BF7" s="14"/>
      <c r="BG7" s="14"/>
    </row>
    <row r="8" spans="1:59" s="2" customFormat="1" ht="30" customHeight="1" thickTop="1" thickBot="1" x14ac:dyDescent="0.25">
      <c r="A8" s="1"/>
      <c r="B8"/>
      <c r="C8" s="172" t="str">
        <f>IF(Funcionários!C7=0,"",Funcionários!C7)</f>
        <v/>
      </c>
      <c r="D8"/>
      <c r="E8" s="115">
        <f>Lanç!E8</f>
        <v>1</v>
      </c>
      <c r="F8" s="189" t="str">
        <f>Lanç!F8</f>
        <v>Dom</v>
      </c>
      <c r="G8" s="80"/>
      <c r="H8" s="93"/>
      <c r="I8" s="93"/>
      <c r="J8" s="93"/>
      <c r="K8" s="93"/>
      <c r="L8" s="10"/>
      <c r="M8" s="95">
        <f>IF(AND(H8=K8,H8&lt;&gt;0),$M$6-IF(J8&lt;I8,$AJ$7+J8-I8,J8-I8),IF(H8&gt;K8,(K8+1-H8)-IF(J8&lt;I8,$AJ$7+J8-I8,J8-I8),(K8-H8)-IF(J8&lt;I8,$AJ$7+J8-I8,J8-I8)))</f>
        <v>0</v>
      </c>
      <c r="N8" s="96"/>
      <c r="O8" s="95">
        <f ca="1">IF(OR(G8=0,G8="Férias",G8="Falta Justificada",G8="Feriado",G8="Folga (DSR)"),0,IF(G8="Falta Injustificada",HLOOKUP($F8,Jornada!$X$7:$AD$37,VLOOKUP(INDIRECT($C$5),Jornada!$C$8:$W$37,21,0),0),IF(HLOOKUP($F8,Jornada!$X$7:$AD$37,VLOOKUP(INDIRECT($C$5),Jornada!$C$8:$W$37,21,0),0)-M8&gt;0,HLOOKUP($F8,Jornada!$X$7:$AD$37,VLOOKUP(INDIRECT($C$5),Jornada!$C$8:$W$37,21,0),0)-M8,0)))</f>
        <v>0</v>
      </c>
      <c r="P8" s="190">
        <f ca="1">IF(HLOOKUP($F8,Jornada!$X$7:$AD$37,VLOOKUP(INDIRECT($C$5),Jornada!$C$8:$W$37,21,0),0)-M8&lt;0,ABS(HLOOKUP($F8,Jornada!$X$7:$AD$37,VLOOKUP(INDIRECT($C$5),Jornada!$C$8:$W$37,21,0),0)-M8),0)</f>
        <v>0</v>
      </c>
      <c r="Q8" s="95">
        <f t="shared" ref="Q8:Q38" si="0">IF(G8="Normal",P8,IF(G8=0,0,IF(OR(G8="Feriado",G8="Férias"),IF(H8&gt;K8,(K8+1-H8)-IF(J8&lt;I8,$AJ$7+J8-I8,J8-I8),(K8-H8)-IF(J8&lt;I8,$AJ$7+J8-I8,J8-I8)),IF(G8="Folga (DSR)",IF(H8&gt;K8,(K8+1-H8)-IF(J8&lt;I8,$AJ$7+J8-I8,J8-I8),(K8-H8)-IF(J8&lt;I8,$AJ$7+J8-I8,J8-I8)),IF(G8="Falta Justificada",IF(H8&gt;K8,(K8+1-H8)-IF(J8&lt;I8,$AJ$7+J8-I8,J8-I8),(K8-H8)-IF(J8&lt;I8,$AJ$7+J8-I8,J8-I8)),0)))))</f>
        <v>0</v>
      </c>
      <c r="R8" s="2">
        <f>IF(Q8&gt;$R$7,1,0)</f>
        <v>0</v>
      </c>
      <c r="S8" s="294" t="s">
        <v>65</v>
      </c>
      <c r="T8" s="294"/>
      <c r="U8" s="295">
        <f>SUM(M8:M38)</f>
        <v>0</v>
      </c>
      <c r="W8" s="2" t="s">
        <v>91</v>
      </c>
      <c r="X8" s="156">
        <v>2</v>
      </c>
      <c r="AB8" s="177">
        <f>DATE('P Gerais'!$D$6,AB7,1)</f>
        <v>1</v>
      </c>
      <c r="AC8" s="2">
        <f>WEEKDAY(AB8)</f>
        <v>1</v>
      </c>
      <c r="AE8" s="2">
        <v>1</v>
      </c>
      <c r="AF8" s="2" t="s">
        <v>51</v>
      </c>
      <c r="AG8" s="220">
        <f>IF(J8&lt;I8,$AJ$7+J8-I8,J8-I8)</f>
        <v>0</v>
      </c>
      <c r="AH8" s="220">
        <f ca="1">IF(HLOOKUP($F8,Jornada!$X$7:$AD$37,VLOOKUP(INDIRECT($C$5),Jornada!$C$8:$W$37,21,0),0)=0,0,VLOOKUP(INDIRECT($C$5),Jornada!$C$8:$H$37,4,0))</f>
        <v>0</v>
      </c>
      <c r="AI8" s="155">
        <f ca="1">IF(AND(I8=0,J8=0,OR(H8&lt;&gt;0,K8&lt;&gt;0),HLOOKUP($F8,Jornada!$X$7:$AD$37,VLOOKUP(INDIRECT($C$5),Jornada!$C$8:$W$37,21,0),0)&gt;$AK$5,M8&gt;$AK$5),VLOOKUP(INDIRECT($C$5),Jornada!$C$8:$H$37,6,0),IF(AG8&gt;VLOOKUP(INDIRECT($C$5),Jornada!$C$8:$H$37,6,0),IF(VLOOKUP(INDIRECT($C$5),Jornada!$C$8:$H$37,6,0)&lt;AG8,0,ABS(VLOOKUP(INDIRECT($C$5),Jornada!$C$8:$H$37,6,0))-AG8),0))</f>
        <v>0</v>
      </c>
      <c r="AJ8" s="155">
        <f>($AJ$7-K8)+H8</f>
        <v>1</v>
      </c>
      <c r="AK8" s="155">
        <f>IF(AJ8&lt;$AK$7,$AK$7-AJ8,$AI$7)</f>
        <v>0</v>
      </c>
      <c r="AL8" s="155">
        <f ca="1">HLOOKUP($F8,Jornada!$I$5:$V$37,VLOOKUP(INDIRECT($C$5),Jornada!$C$8:$W$37,21,0)+2,0)</f>
        <v>0</v>
      </c>
      <c r="AM8" s="155">
        <f ca="1">HLOOKUP($F8,Jornada!$I$4:$V$37,VLOOKUP(INDIRECT($C$5),Jornada!$C$8:$W$37,21,0)+3,0)</f>
        <v>0</v>
      </c>
      <c r="AN8" s="155">
        <f ca="1">IF(AND(AL8&gt;=$AL$5,AL8&lt;$AN$5,H8&gt;=$AL$5,H8&lt;AL8),AL8-H8,IF(AND(AL8&gt;$AI$7,AL8&lt;=$AM$5,H8&gt;=$AL$5,H8&lt;=$AN$5),$AN$5-H8+AL8,IF(AND(AL8&gt;=$AI$7,AL8&lt;=$AM$5,H8&gt;=$AI$7,H8&lt;=$AM$5,H8&lt;AL8),H8-AL8,0)))</f>
        <v>0</v>
      </c>
      <c r="AO8" s="155">
        <f>IF(AP8&gt;Q8,0,AP8)</f>
        <v>0</v>
      </c>
      <c r="AP8" s="155">
        <f>IF(Q8=0,0,IF(AND(AM8&gt;=$AL$5,AM8&lt;$AN$5,K8&gt;=$AL$5,K8&lt;$AM$5,K8&gt;AM8),K8-AM8,IF(AND(AM8&gt;=$AL$5,AM8&lt;$AN$5,K8&lt;$AN$5,K8&gt;AM8),K8-$AL$5,IF(AND(AM8&gt;=$AI$7,AM8&lt;$AM$5,K8&lt;$AM$5),K8-AM8,IF(AND(AM8&lt;&gt;AI7,AM8&gt;=$AI$7,AM8&lt;=$AM$5,K8&gt;$AM$5,K8&gt;AM8),$AM$5-AM8,IF(AND(K8&gt;$AL$5,K8&lt;$AN$5),K8-$AL$5,IF(AND(K8&gt;$AI$7,K8&lt;$AM$5),$AN$5-$AL$5+K8,IF(AND(OR(K8&gt;$AL$5,H8&gt;$AO$5),AM8&gt;=$AI$7,AM8&lt;$AM$5,K8&gt;$AM$5),(1+$AM$5-$AL$5)-AG8,0))))))))</f>
        <v>0</v>
      </c>
      <c r="BE8" s="14"/>
      <c r="BF8" s="14"/>
      <c r="BG8" s="14"/>
    </row>
    <row r="9" spans="1:59" s="2" customFormat="1" ht="30" customHeight="1" thickTop="1" thickBot="1" x14ac:dyDescent="0.25">
      <c r="A9" s="1"/>
      <c r="B9"/>
      <c r="C9" s="172" t="str">
        <f>IF(Funcionários!C8=0,"",Funcionários!C8)</f>
        <v/>
      </c>
      <c r="D9"/>
      <c r="E9" s="115">
        <f>Lanç!E9</f>
        <v>2</v>
      </c>
      <c r="F9" s="189" t="str">
        <f>Lanç!F9</f>
        <v>Seg</v>
      </c>
      <c r="G9" s="81"/>
      <c r="H9" s="94"/>
      <c r="I9" s="94"/>
      <c r="J9" s="94"/>
      <c r="K9" s="94"/>
      <c r="L9" s="10"/>
      <c r="M9" s="95">
        <f t="shared" ref="M9:M38" si="1">IF(AND(H9=K9,H9&lt;&gt;0),$M$6-IF(J9&lt;I9,$AJ$7+J9-I9,J9-I9),IF(H9&gt;K9,(K9+1-H9)-IF(J9&lt;I9,$AJ$7+J9-I9,J9-I9),(K9-H9)-IF(J9&lt;I9,$AJ$7+J9-I9,J9-I9)))</f>
        <v>0</v>
      </c>
      <c r="N9" s="96"/>
      <c r="O9" s="95">
        <f ca="1">IF(OR(G9=0,G9="Férias",G9="Falta Justificada",G9="Feriado",G9="Folga (DSR)"),0,IF(G9="Falta Injustificada",HLOOKUP($F9,Jornada!$X$7:$AD$37,VLOOKUP(INDIRECT($C$5),Jornada!$C$8:$W$37,21,0),0),IF(HLOOKUP($F9,Jornada!$X$7:$AD$37,VLOOKUP(INDIRECT($C$5),Jornada!$C$8:$W$37,21,0),0)-M9&gt;0,HLOOKUP($F9,Jornada!$X$7:$AD$37,VLOOKUP(INDIRECT($C$5),Jornada!$C$8:$W$37,21,0),0)-M9,0)))</f>
        <v>0</v>
      </c>
      <c r="P9" s="190">
        <f ca="1">IF(HLOOKUP($F9,Jornada!$X$7:$AD$37,VLOOKUP(INDIRECT($C$5),Jornada!$C$8:$W$37,21,0),0)-M9&lt;0,ABS(HLOOKUP($F9,Jornada!$X$7:$AD$37,VLOOKUP(INDIRECT($C$5),Jornada!$C$8:$W$37,21,0),0)-M9),0)</f>
        <v>0</v>
      </c>
      <c r="Q9" s="95">
        <f t="shared" si="0"/>
        <v>0</v>
      </c>
      <c r="R9" s="2">
        <f t="shared" ref="R9:R38" si="2">IF(Q9&gt;$R$7,1,0)</f>
        <v>0</v>
      </c>
      <c r="S9" s="294"/>
      <c r="T9" s="294"/>
      <c r="U9" s="295"/>
      <c r="W9" s="2" t="s">
        <v>92</v>
      </c>
      <c r="X9" s="156">
        <v>3</v>
      </c>
      <c r="AB9" s="177">
        <f>AB8+1</f>
        <v>2</v>
      </c>
      <c r="AC9" s="2">
        <f t="shared" ref="AC9:AC35" si="3">WEEKDAY(AB9)</f>
        <v>2</v>
      </c>
      <c r="AE9" s="2">
        <v>2</v>
      </c>
      <c r="AF9" s="2" t="s">
        <v>52</v>
      </c>
      <c r="AG9" s="220">
        <f t="shared" ref="AG9:AG38" si="4">IF(J9&lt;I9,$AJ$7+J9-I9,J9-I9)</f>
        <v>0</v>
      </c>
      <c r="AH9" s="220">
        <f ca="1">IF(HLOOKUP($F9,Jornada!$X$7:$AD$37,VLOOKUP(INDIRECT($C$5),Jornada!$C$8:$W$37,21,0),0)=0,0,VLOOKUP(INDIRECT($C$5),Jornada!$C$8:$H$37,4,0))</f>
        <v>0</v>
      </c>
      <c r="AI9" s="155">
        <f ca="1">IF(AND(I9=0,J9=0,OR(H9&lt;&gt;0,K9&lt;&gt;0),HLOOKUP($F9,Jornada!$X$7:$AD$37,VLOOKUP(INDIRECT($C$5),Jornada!$C$8:$W$37,21,0),0)&gt;$AK$5,M9&gt;$AK$5),VLOOKUP(INDIRECT($C$5),Jornada!$C$8:$H$37,6,0),IF(AG9&gt;VLOOKUP(INDIRECT($C$5),Jornada!$C$8:$H$37,6,0),IF(VLOOKUP(INDIRECT($C$5),Jornada!$C$8:$H$37,6,0)&lt;AG9,0,ABS(VLOOKUP(INDIRECT($C$5),Jornada!$C$8:$H$37,6,0))-AG9),0))</f>
        <v>0</v>
      </c>
      <c r="AJ9" s="155">
        <f t="shared" ref="AJ9:AJ38" si="5">($AJ$7-K9)+H9</f>
        <v>1</v>
      </c>
      <c r="AK9" s="155">
        <f t="shared" ref="AK9:AK38" si="6">IF(AJ9&lt;$AK$7,$AK$7-AJ9,$AI$7)</f>
        <v>0</v>
      </c>
      <c r="AL9" s="155">
        <f ca="1">HLOOKUP($F9,Jornada!$I$5:$V$37,VLOOKUP(INDIRECT($C$5),Jornada!$C$8:$W$37,21,0)+2,0)</f>
        <v>0</v>
      </c>
      <c r="AM9" s="155">
        <f ca="1">HLOOKUP($F9,Jornada!$I$4:$V$37,VLOOKUP(INDIRECT($C$5),Jornada!$C$8:$W$37,21,0)+3,0)</f>
        <v>0</v>
      </c>
      <c r="AN9" s="155">
        <f t="shared" ref="AN9:AN38" ca="1" si="7">IF(AND(AL9&gt;=$AL$5,AL9&lt;$AN$5,H9&gt;=$AL$5,H9&lt;AL9),AL9-H9,IF(AND(AL9&gt;$AI$7,AL9&lt;=$AM$5,H9&gt;=$AL$5,H9&lt;=$AN$5),$AN$5-H9+AL9,IF(AND(AL9&gt;=$AI$7,AL9&lt;=$AM$5,H9&gt;=$AI$7,H9&lt;=$AM$5,H9&lt;AL9),H9-AL9,0)))</f>
        <v>0</v>
      </c>
      <c r="AO9" s="155">
        <f t="shared" ref="AO9:AO38" si="8">IF(AP9&gt;Q9,0,AP9)</f>
        <v>0</v>
      </c>
      <c r="AP9" s="155">
        <f t="shared" ref="AP9:AP38" si="9">IF(Q9=0,0,IF(AND(AM9&gt;=$AL$5,AM9&lt;$AN$5,K9&gt;=$AL$5,K9&lt;$AM$5,K9&gt;AM9),K9-AM9,IF(AND(AM9&gt;=$AL$5,AM9&lt;$AN$5,K9&lt;$AN$5,K9&gt;AM9),K9-$AL$5,IF(AND(AM9&gt;=$AI$7,AM9&lt;$AM$5,K9&lt;$AM$5),K9-AM9,IF(AND(AM9&lt;&gt;AI8,AM9&gt;=$AI$7,AM9&lt;=$AM$5,K9&gt;$AM$5,K9&gt;AM9),$AM$5-AM9,IF(AND(K9&gt;$AL$5,K9&lt;$AN$5),K9-$AL$5,IF(AND(K9&gt;$AI$7,K9&lt;$AM$5),$AN$5-$AL$5+K9,IF(AND(OR(K9&gt;$AL$5,H9&gt;$AO$5),AM9&gt;=$AI$7,AM9&lt;$AM$5,K9&gt;$AM$5),(1+$AM$5-$AL$5)-AG9,0))))))))</f>
        <v>0</v>
      </c>
      <c r="BE9" s="14"/>
      <c r="BF9" s="14"/>
      <c r="BG9" s="14"/>
    </row>
    <row r="10" spans="1:59" s="2" customFormat="1" ht="30" customHeight="1" thickTop="1" thickBot="1" x14ac:dyDescent="0.25">
      <c r="A10" s="1"/>
      <c r="B10"/>
      <c r="C10" s="172" t="str">
        <f>IF(Funcionários!C9=0,"",Funcionários!C9)</f>
        <v/>
      </c>
      <c r="D10"/>
      <c r="E10" s="115">
        <f>Lanç!E10</f>
        <v>3</v>
      </c>
      <c r="F10" s="189" t="str">
        <f>Lanç!F10</f>
        <v>Ter</v>
      </c>
      <c r="G10" s="81"/>
      <c r="H10" s="94"/>
      <c r="I10" s="94"/>
      <c r="J10" s="94"/>
      <c r="K10" s="94"/>
      <c r="L10" s="10"/>
      <c r="M10" s="95">
        <f t="shared" si="1"/>
        <v>0</v>
      </c>
      <c r="N10" s="96"/>
      <c r="O10" s="95">
        <f ca="1">IF(OR(G10=0,G10="Férias",G10="Falta Justificada",G10="Feriado",G10="Folga (DSR)"),0,IF(G10="Falta Injustificada",HLOOKUP($F10,Jornada!$X$7:$AD$37,VLOOKUP(INDIRECT($C$5),Jornada!$C$8:$W$37,21,0),0),IF(HLOOKUP($F10,Jornada!$X$7:$AD$37,VLOOKUP(INDIRECT($C$5),Jornada!$C$8:$W$37,21,0),0)-M10&gt;0,HLOOKUP($F10,Jornada!$X$7:$AD$37,VLOOKUP(INDIRECT($C$5),Jornada!$C$8:$W$37,21,0),0)-M10,0)))</f>
        <v>0</v>
      </c>
      <c r="P10" s="190">
        <f ca="1">IF(HLOOKUP($F10,Jornada!$X$7:$AD$37,VLOOKUP(INDIRECT($C$5),Jornada!$C$8:$W$37,21,0),0)-M10&lt;0,ABS(HLOOKUP($F10,Jornada!$X$7:$AD$37,VLOOKUP(INDIRECT($C$5),Jornada!$C$8:$W$37,21,0),0)-M10),0)</f>
        <v>0</v>
      </c>
      <c r="Q10" s="95">
        <f t="shared" si="0"/>
        <v>0</v>
      </c>
      <c r="R10" s="2">
        <f t="shared" si="2"/>
        <v>0</v>
      </c>
      <c r="S10" s="294" t="s">
        <v>66</v>
      </c>
      <c r="T10" s="294"/>
      <c r="U10" s="295">
        <f ca="1">IF(M5="Horas devidas",ABS(-K5+F58-U14),ABS(K5+F58-U14))</f>
        <v>0</v>
      </c>
      <c r="W10" s="2" t="s">
        <v>93</v>
      </c>
      <c r="X10" s="156">
        <v>4</v>
      </c>
      <c r="AB10" s="177">
        <f t="shared" ref="AB10:AB34" si="10">AB9+1</f>
        <v>3</v>
      </c>
      <c r="AC10" s="2">
        <f t="shared" si="3"/>
        <v>3</v>
      </c>
      <c r="AE10" s="2">
        <v>3</v>
      </c>
      <c r="AF10" s="2" t="s">
        <v>53</v>
      </c>
      <c r="AG10" s="220">
        <f t="shared" si="4"/>
        <v>0</v>
      </c>
      <c r="AH10" s="220">
        <f ca="1">IF(HLOOKUP($F10,Jornada!$X$7:$AD$37,VLOOKUP(INDIRECT($C$5),Jornada!$C$8:$W$37,21,0),0)=0,0,VLOOKUP(INDIRECT($C$5),Jornada!$C$8:$H$37,4,0))</f>
        <v>0</v>
      </c>
      <c r="AI10" s="155">
        <f ca="1">IF(AND(I10=0,J10=0,OR(H10&lt;&gt;0,K10&lt;&gt;0),HLOOKUP($F10,Jornada!$X$7:$AD$37,VLOOKUP(INDIRECT($C$5),Jornada!$C$8:$W$37,21,0),0)&gt;$AK$5,M10&gt;$AK$5),VLOOKUP(INDIRECT($C$5),Jornada!$C$8:$H$37,6,0),IF(AG10&gt;VLOOKUP(INDIRECT($C$5),Jornada!$C$8:$H$37,6,0),IF(VLOOKUP(INDIRECT($C$5),Jornada!$C$8:$H$37,6,0)&lt;AG10,0,ABS(VLOOKUP(INDIRECT($C$5),Jornada!$C$8:$H$37,6,0))-AG10),0))</f>
        <v>0</v>
      </c>
      <c r="AJ10" s="155">
        <f t="shared" si="5"/>
        <v>1</v>
      </c>
      <c r="AK10" s="155">
        <f t="shared" si="6"/>
        <v>0</v>
      </c>
      <c r="AL10" s="155">
        <f ca="1">HLOOKUP($F10,Jornada!$I$5:$V$37,VLOOKUP(INDIRECT($C$5),Jornada!$C$8:$W$37,21,0)+2,0)</f>
        <v>0</v>
      </c>
      <c r="AM10" s="155">
        <f ca="1">HLOOKUP($F10,Jornada!$I$4:$V$37,VLOOKUP(INDIRECT($C$5),Jornada!$C$8:$W$37,21,0)+3,0)</f>
        <v>0</v>
      </c>
      <c r="AN10" s="155">
        <f t="shared" ca="1" si="7"/>
        <v>0</v>
      </c>
      <c r="AO10" s="155">
        <f t="shared" si="8"/>
        <v>0</v>
      </c>
      <c r="AP10" s="155">
        <f t="shared" si="9"/>
        <v>0</v>
      </c>
      <c r="BE10" s="14"/>
      <c r="BF10" s="14"/>
      <c r="BG10" s="14"/>
    </row>
    <row r="11" spans="1:59" s="2" customFormat="1" ht="30" customHeight="1" thickTop="1" thickBot="1" x14ac:dyDescent="0.25">
      <c r="A11" s="1"/>
      <c r="B11"/>
      <c r="C11" s="172" t="str">
        <f>IF(Funcionários!C10=0,"",Funcionários!C10)</f>
        <v/>
      </c>
      <c r="D11"/>
      <c r="E11" s="115">
        <f>Lanç!E11</f>
        <v>4</v>
      </c>
      <c r="F11" s="189" t="str">
        <f>Lanç!F11</f>
        <v>Qua</v>
      </c>
      <c r="G11" s="81"/>
      <c r="H11" s="94"/>
      <c r="I11" s="94"/>
      <c r="J11" s="94"/>
      <c r="K11" s="94"/>
      <c r="L11" s="10"/>
      <c r="M11" s="95">
        <f t="shared" si="1"/>
        <v>0</v>
      </c>
      <c r="N11" s="96"/>
      <c r="O11" s="95">
        <f ca="1">IF(OR(G11=0,G11="Férias",G11="Falta Justificada",G11="Feriado",G11="Folga (DSR)"),0,IF(G11="Falta Injustificada",HLOOKUP($F11,Jornada!$X$7:$AD$37,VLOOKUP(INDIRECT($C$5),Jornada!$C$8:$W$37,21,0),0),IF(HLOOKUP($F11,Jornada!$X$7:$AD$37,VLOOKUP(INDIRECT($C$5),Jornada!$C$8:$W$37,21,0),0)-M11&gt;0,HLOOKUP($F11,Jornada!$X$7:$AD$37,VLOOKUP(INDIRECT($C$5),Jornada!$C$8:$W$37,21,0),0)-M11,0)))</f>
        <v>0</v>
      </c>
      <c r="P11" s="190">
        <f ca="1">IF(HLOOKUP($F11,Jornada!$X$7:$AD$37,VLOOKUP(INDIRECT($C$5),Jornada!$C$8:$W$37,21,0),0)-M11&lt;0,ABS(HLOOKUP($F11,Jornada!$X$7:$AD$37,VLOOKUP(INDIRECT($C$5),Jornada!$C$8:$W$37,21,0),0)-M11),0)</f>
        <v>0</v>
      </c>
      <c r="Q11" s="95">
        <f t="shared" si="0"/>
        <v>0</v>
      </c>
      <c r="R11" s="2">
        <f t="shared" si="2"/>
        <v>0</v>
      </c>
      <c r="S11" s="294"/>
      <c r="T11" s="294"/>
      <c r="U11" s="295"/>
      <c r="V11" s="2">
        <f ca="1">IF(AND(K5&gt;U12,M5="Horas devidas"),"Negativo",IF(AND(U12&gt;K5,U14&gt;F58),"Negativo",0))</f>
        <v>0</v>
      </c>
      <c r="W11" s="2" t="s">
        <v>94</v>
      </c>
      <c r="X11" s="156">
        <v>5</v>
      </c>
      <c r="Z11" s="2" t="str">
        <f ca="1">IF(AND(M5="horas extras",Z13="positivo"),"positivo",IF(AND(M5="horas devidas",Z13="Negativo"),"Negativo",IF(AND(Z13="positivo",M5="horas devidas",U12&gt;K5),"Positivo","Negativo")))</f>
        <v>Negativo</v>
      </c>
      <c r="AB11" s="177">
        <f t="shared" si="10"/>
        <v>4</v>
      </c>
      <c r="AC11" s="2">
        <f t="shared" si="3"/>
        <v>4</v>
      </c>
      <c r="AE11" s="2">
        <v>4</v>
      </c>
      <c r="AF11" s="2" t="s">
        <v>54</v>
      </c>
      <c r="AG11" s="220">
        <f t="shared" si="4"/>
        <v>0</v>
      </c>
      <c r="AH11" s="220">
        <f ca="1">IF(HLOOKUP($F11,Jornada!$X$7:$AD$37,VLOOKUP(INDIRECT($C$5),Jornada!$C$8:$W$37,21,0),0)=0,0,VLOOKUP(INDIRECT($C$5),Jornada!$C$8:$H$37,4,0))</f>
        <v>0</v>
      </c>
      <c r="AI11" s="155">
        <f ca="1">IF(AND(I11=0,J11=0,OR(H11&lt;&gt;0,K11&lt;&gt;0),HLOOKUP($F11,Jornada!$X$7:$AD$37,VLOOKUP(INDIRECT($C$5),Jornada!$C$8:$W$37,21,0),0)&gt;$AK$5,M11&gt;$AK$5),VLOOKUP(INDIRECT($C$5),Jornada!$C$8:$H$37,6,0),IF(AG11&gt;VLOOKUP(INDIRECT($C$5),Jornada!$C$8:$H$37,6,0),IF(VLOOKUP(INDIRECT($C$5),Jornada!$C$8:$H$37,6,0)&lt;AG11,0,ABS(VLOOKUP(INDIRECT($C$5),Jornada!$C$8:$H$37,6,0))-AG11),0))</f>
        <v>0</v>
      </c>
      <c r="AJ11" s="155">
        <f t="shared" si="5"/>
        <v>1</v>
      </c>
      <c r="AK11" s="155">
        <f t="shared" si="6"/>
        <v>0</v>
      </c>
      <c r="AL11" s="155">
        <f ca="1">HLOOKUP($F11,Jornada!$I$5:$V$37,VLOOKUP(INDIRECT($C$5),Jornada!$C$8:$W$37,21,0)+2,0)</f>
        <v>0</v>
      </c>
      <c r="AM11" s="155">
        <f ca="1">HLOOKUP($F11,Jornada!$I$4:$V$37,VLOOKUP(INDIRECT($C$5),Jornada!$C$8:$W$37,21,0)+3,0)</f>
        <v>0</v>
      </c>
      <c r="AN11" s="155">
        <f t="shared" ca="1" si="7"/>
        <v>0</v>
      </c>
      <c r="AO11" s="155">
        <f t="shared" si="8"/>
        <v>0</v>
      </c>
      <c r="AP11" s="155">
        <f t="shared" si="9"/>
        <v>0</v>
      </c>
      <c r="BE11" s="14"/>
      <c r="BF11" s="14"/>
      <c r="BG11" s="14"/>
    </row>
    <row r="12" spans="1:59" s="2" customFormat="1" ht="30" customHeight="1" thickTop="1" thickBot="1" x14ac:dyDescent="0.25">
      <c r="A12" s="1"/>
      <c r="B12"/>
      <c r="C12" s="172" t="str">
        <f>IF(Funcionários!C11=0,"",Funcionários!C11)</f>
        <v/>
      </c>
      <c r="D12"/>
      <c r="E12" s="115">
        <f>Lanç!E12</f>
        <v>5</v>
      </c>
      <c r="F12" s="189" t="str">
        <f>Lanç!F12</f>
        <v>Qui</v>
      </c>
      <c r="G12" s="81"/>
      <c r="H12" s="94"/>
      <c r="I12" s="94"/>
      <c r="J12" s="94"/>
      <c r="K12" s="94"/>
      <c r="L12" s="10"/>
      <c r="M12" s="95">
        <f t="shared" si="1"/>
        <v>0</v>
      </c>
      <c r="N12" s="96"/>
      <c r="O12" s="95">
        <f ca="1">IF(OR(G12=0,G12="Férias",G12="Falta Justificada",G12="Feriado",G12="Folga (DSR)"),0,IF(G12="Falta Injustificada",HLOOKUP($F12,Jornada!$X$7:$AD$37,VLOOKUP(INDIRECT($C$5),Jornada!$C$8:$W$37,21,0),0),IF(HLOOKUP($F12,Jornada!$X$7:$AD$37,VLOOKUP(INDIRECT($C$5),Jornada!$C$8:$W$37,21,0),0)-M12&gt;0,HLOOKUP($F12,Jornada!$X$7:$AD$37,VLOOKUP(INDIRECT($C$5),Jornada!$C$8:$W$37,21,0),0)-M12,0)))</f>
        <v>0</v>
      </c>
      <c r="P12" s="190">
        <f ca="1">IF(HLOOKUP($F12,Jornada!$X$7:$AD$37,VLOOKUP(INDIRECT($C$5),Jornada!$C$8:$W$37,21,0),0)-M12&lt;0,ABS(HLOOKUP($F12,Jornada!$X$7:$AD$37,VLOOKUP(INDIRECT($C$5),Jornada!$C$8:$W$37,21,0),0)-M12),0)</f>
        <v>0</v>
      </c>
      <c r="Q12" s="95">
        <f t="shared" si="0"/>
        <v>0</v>
      </c>
      <c r="R12" s="2">
        <f t="shared" si="2"/>
        <v>0</v>
      </c>
      <c r="S12" s="294" t="s">
        <v>175</v>
      </c>
      <c r="T12" s="294"/>
      <c r="U12" s="295">
        <f ca="1">IF(U14&gt;=F58,(U14)-F58,(F58-U14))</f>
        <v>0</v>
      </c>
      <c r="W12" s="2" t="s">
        <v>95</v>
      </c>
      <c r="X12" s="156">
        <v>6</v>
      </c>
      <c r="AB12" s="177">
        <f t="shared" si="10"/>
        <v>5</v>
      </c>
      <c r="AC12" s="2">
        <f t="shared" si="3"/>
        <v>5</v>
      </c>
      <c r="AE12" s="2">
        <v>5</v>
      </c>
      <c r="AF12" s="2" t="s">
        <v>55</v>
      </c>
      <c r="AG12" s="220">
        <f t="shared" si="4"/>
        <v>0</v>
      </c>
      <c r="AH12" s="220">
        <f ca="1">IF(HLOOKUP($F12,Jornada!$X$7:$AD$37,VLOOKUP(INDIRECT($C$5),Jornada!$C$8:$W$37,21,0),0)=0,0,VLOOKUP(INDIRECT($C$5),Jornada!$C$8:$H$37,4,0))</f>
        <v>0</v>
      </c>
      <c r="AI12" s="155">
        <f ca="1">IF(AND(I12=0,J12=0,OR(H12&lt;&gt;0,K12&lt;&gt;0),HLOOKUP($F12,Jornada!$X$7:$AD$37,VLOOKUP(INDIRECT($C$5),Jornada!$C$8:$W$37,21,0),0)&gt;$AK$5,M12&gt;$AK$5),VLOOKUP(INDIRECT($C$5),Jornada!$C$8:$H$37,6,0),IF(AG12&gt;VLOOKUP(INDIRECT($C$5),Jornada!$C$8:$H$37,6,0),IF(VLOOKUP(INDIRECT($C$5),Jornada!$C$8:$H$37,6,0)&lt;AG12,0,ABS(VLOOKUP(INDIRECT($C$5),Jornada!$C$8:$H$37,6,0))-AG12),0))</f>
        <v>0</v>
      </c>
      <c r="AJ12" s="155">
        <f t="shared" si="5"/>
        <v>1</v>
      </c>
      <c r="AK12" s="155">
        <f t="shared" si="6"/>
        <v>0</v>
      </c>
      <c r="AL12" s="155">
        <f ca="1">HLOOKUP($F12,Jornada!$I$5:$V$37,VLOOKUP(INDIRECT($C$5),Jornada!$C$8:$W$37,21,0)+2,0)</f>
        <v>0</v>
      </c>
      <c r="AM12" s="155">
        <f ca="1">HLOOKUP($F12,Jornada!$I$4:$V$37,VLOOKUP(INDIRECT($C$5),Jornada!$C$8:$W$37,21,0)+3,0)</f>
        <v>0</v>
      </c>
      <c r="AN12" s="155">
        <f t="shared" ca="1" si="7"/>
        <v>0</v>
      </c>
      <c r="AO12" s="155">
        <f t="shared" si="8"/>
        <v>0</v>
      </c>
      <c r="AP12" s="155">
        <f t="shared" si="9"/>
        <v>0</v>
      </c>
      <c r="BE12" s="14"/>
      <c r="BF12" s="14"/>
      <c r="BG12" s="14"/>
    </row>
    <row r="13" spans="1:59" s="2" customFormat="1" ht="30" customHeight="1" thickTop="1" thickBot="1" x14ac:dyDescent="0.25">
      <c r="A13" s="1"/>
      <c r="B13"/>
      <c r="C13" s="172" t="str">
        <f>IF(Funcionários!C12=0,"",Funcionários!C12)</f>
        <v/>
      </c>
      <c r="D13"/>
      <c r="E13" s="115">
        <f>Lanç!E13</f>
        <v>6</v>
      </c>
      <c r="F13" s="189" t="str">
        <f>Lanç!F13</f>
        <v>Sex</v>
      </c>
      <c r="G13" s="81"/>
      <c r="H13" s="94"/>
      <c r="I13" s="94"/>
      <c r="J13" s="94"/>
      <c r="K13" s="94"/>
      <c r="L13" s="10"/>
      <c r="M13" s="95">
        <f t="shared" si="1"/>
        <v>0</v>
      </c>
      <c r="N13" s="96"/>
      <c r="O13" s="95">
        <f ca="1">IF(OR(G13=0,G13="Férias",G13="Falta Justificada",G13="Feriado",G13="Folga (DSR)"),0,IF(G13="Falta Injustificada",HLOOKUP($F13,Jornada!$X$7:$AD$37,VLOOKUP(INDIRECT($C$5),Jornada!$C$8:$W$37,21,0),0),IF(HLOOKUP($F13,Jornada!$X$7:$AD$37,VLOOKUP(INDIRECT($C$5),Jornada!$C$8:$W$37,21,0),0)-M13&gt;0,HLOOKUP($F13,Jornada!$X$7:$AD$37,VLOOKUP(INDIRECT($C$5),Jornada!$C$8:$W$37,21,0),0)-M13,0)))</f>
        <v>0</v>
      </c>
      <c r="P13" s="190">
        <f ca="1">IF(HLOOKUP($F13,Jornada!$X$7:$AD$37,VLOOKUP(INDIRECT($C$5),Jornada!$C$8:$W$37,21,0),0)-M13&lt;0,ABS(HLOOKUP($F13,Jornada!$X$7:$AD$37,VLOOKUP(INDIRECT($C$5),Jornada!$C$8:$W$37,21,0),0)-M13),0)</f>
        <v>0</v>
      </c>
      <c r="Q13" s="95">
        <f t="shared" si="0"/>
        <v>0</v>
      </c>
      <c r="R13" s="2">
        <f t="shared" si="2"/>
        <v>0</v>
      </c>
      <c r="S13" s="294"/>
      <c r="T13" s="294"/>
      <c r="U13" s="295"/>
      <c r="W13" s="2" t="s">
        <v>96</v>
      </c>
      <c r="X13" s="156">
        <v>7</v>
      </c>
      <c r="Z13" s="2" t="str">
        <f ca="1">IF(U14&gt;F58,"Negativo","Positivo")</f>
        <v>Positivo</v>
      </c>
      <c r="AB13" s="177">
        <f t="shared" si="10"/>
        <v>6</v>
      </c>
      <c r="AC13" s="2">
        <f t="shared" si="3"/>
        <v>6</v>
      </c>
      <c r="AE13" s="2">
        <v>6</v>
      </c>
      <c r="AF13" s="2" t="s">
        <v>56</v>
      </c>
      <c r="AG13" s="220">
        <f t="shared" si="4"/>
        <v>0</v>
      </c>
      <c r="AH13" s="220">
        <f ca="1">IF(HLOOKUP($F13,Jornada!$X$7:$AD$37,VLOOKUP(INDIRECT($C$5),Jornada!$C$8:$W$37,21,0),0)=0,0,VLOOKUP(INDIRECT($C$5),Jornada!$C$8:$H$37,4,0))</f>
        <v>0</v>
      </c>
      <c r="AI13" s="155">
        <f ca="1">IF(AND(I13=0,J13=0,OR(H13&lt;&gt;0,K13&lt;&gt;0),HLOOKUP($F13,Jornada!$X$7:$AD$37,VLOOKUP(INDIRECT($C$5),Jornada!$C$8:$W$37,21,0),0)&gt;$AK$5,M13&gt;$AK$5),VLOOKUP(INDIRECT($C$5),Jornada!$C$8:$H$37,6,0),IF(AG13&gt;VLOOKUP(INDIRECT($C$5),Jornada!$C$8:$H$37,6,0),IF(VLOOKUP(INDIRECT($C$5),Jornada!$C$8:$H$37,6,0)&lt;AG13,0,ABS(VLOOKUP(INDIRECT($C$5),Jornada!$C$8:$H$37,6,0))-AG13),0))</f>
        <v>0</v>
      </c>
      <c r="AJ13" s="155">
        <f t="shared" si="5"/>
        <v>1</v>
      </c>
      <c r="AK13" s="155">
        <f t="shared" si="6"/>
        <v>0</v>
      </c>
      <c r="AL13" s="155">
        <f ca="1">HLOOKUP($F13,Jornada!$I$5:$V$37,VLOOKUP(INDIRECT($C$5),Jornada!$C$8:$W$37,21,0)+2,0)</f>
        <v>0</v>
      </c>
      <c r="AM13" s="155">
        <f ca="1">HLOOKUP($F13,Jornada!$I$4:$V$37,VLOOKUP(INDIRECT($C$5),Jornada!$C$8:$W$37,21,0)+3,0)</f>
        <v>0</v>
      </c>
      <c r="AN13" s="155">
        <f t="shared" ca="1" si="7"/>
        <v>0</v>
      </c>
      <c r="AO13" s="155">
        <f t="shared" si="8"/>
        <v>0</v>
      </c>
      <c r="AP13" s="155">
        <f t="shared" si="9"/>
        <v>0</v>
      </c>
      <c r="BE13" s="14"/>
      <c r="BF13" s="14"/>
      <c r="BG13" s="14"/>
    </row>
    <row r="14" spans="1:59" s="2" customFormat="1" ht="30" customHeight="1" thickTop="1" thickBot="1" x14ac:dyDescent="0.25">
      <c r="A14" s="1"/>
      <c r="B14"/>
      <c r="C14" s="172" t="str">
        <f>IF(Funcionários!C13=0,"",Funcionários!C13)</f>
        <v/>
      </c>
      <c r="D14"/>
      <c r="E14" s="115">
        <f>Lanç!E14</f>
        <v>7</v>
      </c>
      <c r="F14" s="189" t="str">
        <f>Lanç!F14</f>
        <v>Sáb</v>
      </c>
      <c r="G14" s="81"/>
      <c r="H14" s="94"/>
      <c r="I14" s="94"/>
      <c r="J14" s="94"/>
      <c r="K14" s="94"/>
      <c r="L14" s="10"/>
      <c r="M14" s="95">
        <f t="shared" si="1"/>
        <v>0</v>
      </c>
      <c r="N14" s="96"/>
      <c r="O14" s="95">
        <f ca="1">IF(OR(G14=0,G14="Férias",G14="Falta Justificada",G14="Feriado",G14="Folga (DSR)"),0,IF(G14="Falta Injustificada",HLOOKUP($F14,Jornada!$X$7:$AD$37,VLOOKUP(INDIRECT($C$5),Jornada!$C$8:$W$37,21,0),0),IF(HLOOKUP($F14,Jornada!$X$7:$AD$37,VLOOKUP(INDIRECT($C$5),Jornada!$C$8:$W$37,21,0),0)-M14&gt;0,HLOOKUP($F14,Jornada!$X$7:$AD$37,VLOOKUP(INDIRECT($C$5),Jornada!$C$8:$W$37,21,0),0)-M14,0)))</f>
        <v>0</v>
      </c>
      <c r="P14" s="190">
        <f ca="1">IF(HLOOKUP($F14,Jornada!$X$7:$AD$37,VLOOKUP(INDIRECT($C$5),Jornada!$C$8:$W$37,21,0),0)-M14&lt;0,ABS(HLOOKUP($F14,Jornada!$X$7:$AD$37,VLOOKUP(INDIRECT($C$5),Jornada!$C$8:$W$37,21,0),0)-M14),0)</f>
        <v>0</v>
      </c>
      <c r="Q14" s="95">
        <f t="shared" si="0"/>
        <v>0</v>
      </c>
      <c r="R14" s="2">
        <f t="shared" si="2"/>
        <v>0</v>
      </c>
      <c r="S14" s="294" t="s">
        <v>68</v>
      </c>
      <c r="T14" s="294"/>
      <c r="U14" s="295">
        <f ca="1">SUM(O8:O38)</f>
        <v>0</v>
      </c>
      <c r="W14" s="2" t="s">
        <v>97</v>
      </c>
      <c r="X14" s="156">
        <v>8</v>
      </c>
      <c r="AB14" s="177">
        <f t="shared" si="10"/>
        <v>7</v>
      </c>
      <c r="AC14" s="2">
        <f t="shared" si="3"/>
        <v>7</v>
      </c>
      <c r="AE14" s="2">
        <v>7</v>
      </c>
      <c r="AF14" s="2" t="s">
        <v>57</v>
      </c>
      <c r="AG14" s="220">
        <f t="shared" si="4"/>
        <v>0</v>
      </c>
      <c r="AH14" s="220">
        <f ca="1">IF(HLOOKUP($F14,Jornada!$X$7:$AD$37,VLOOKUP(INDIRECT($C$5),Jornada!$C$8:$W$37,21,0),0)=0,0,VLOOKUP(INDIRECT($C$5),Jornada!$C$8:$H$37,4,0))</f>
        <v>0</v>
      </c>
      <c r="AI14" s="155">
        <f ca="1">IF(AND(I14=0,J14=0,OR(H14&lt;&gt;0,K14&lt;&gt;0),HLOOKUP($F14,Jornada!$X$7:$AD$37,VLOOKUP(INDIRECT($C$5),Jornada!$C$8:$W$37,21,0),0)&gt;$AK$5,M14&gt;$AK$5),VLOOKUP(INDIRECT($C$5),Jornada!$C$8:$H$37,6,0),IF(AG14&gt;VLOOKUP(INDIRECT($C$5),Jornada!$C$8:$H$37,6,0),IF(VLOOKUP(INDIRECT($C$5),Jornada!$C$8:$H$37,6,0)&lt;AG14,0,ABS(VLOOKUP(INDIRECT($C$5),Jornada!$C$8:$H$37,6,0))-AG14),0))</f>
        <v>0</v>
      </c>
      <c r="AJ14" s="155">
        <f t="shared" si="5"/>
        <v>1</v>
      </c>
      <c r="AK14" s="155">
        <f t="shared" si="6"/>
        <v>0</v>
      </c>
      <c r="AL14" s="155">
        <f ca="1">HLOOKUP($F14,Jornada!$I$5:$V$37,VLOOKUP(INDIRECT($C$5),Jornada!$C$8:$W$37,21,0)+2,0)</f>
        <v>0</v>
      </c>
      <c r="AM14" s="155">
        <f ca="1">HLOOKUP($F14,Jornada!$I$4:$V$37,VLOOKUP(INDIRECT($C$5),Jornada!$C$8:$W$37,21,0)+3,0)</f>
        <v>0</v>
      </c>
      <c r="AN14" s="155">
        <f t="shared" ca="1" si="7"/>
        <v>0</v>
      </c>
      <c r="AO14" s="155">
        <f t="shared" si="8"/>
        <v>0</v>
      </c>
      <c r="AP14" s="155">
        <f t="shared" si="9"/>
        <v>0</v>
      </c>
      <c r="BE14" s="14"/>
      <c r="BF14" s="14"/>
      <c r="BG14" s="14"/>
    </row>
    <row r="15" spans="1:59" s="2" customFormat="1" ht="30" customHeight="1" thickTop="1" thickBot="1" x14ac:dyDescent="0.25">
      <c r="A15" s="1"/>
      <c r="B15"/>
      <c r="C15" s="172" t="str">
        <f>IF(Funcionários!C14=0,"",Funcionários!C14)</f>
        <v/>
      </c>
      <c r="D15"/>
      <c r="E15" s="115">
        <f>Lanç!E15</f>
        <v>8</v>
      </c>
      <c r="F15" s="189" t="str">
        <f>Lanç!F15</f>
        <v>Dom</v>
      </c>
      <c r="G15" s="81"/>
      <c r="H15" s="94"/>
      <c r="I15" s="94"/>
      <c r="J15" s="94"/>
      <c r="K15" s="94"/>
      <c r="L15" s="10"/>
      <c r="M15" s="95">
        <f t="shared" si="1"/>
        <v>0</v>
      </c>
      <c r="N15" s="96"/>
      <c r="O15" s="95">
        <f ca="1">IF(OR(G15=0,G15="Férias",G15="Falta Justificada",G15="Feriado",G15="Folga (DSR)"),0,IF(G15="Falta Injustificada",HLOOKUP($F15,Jornada!$X$7:$AD$37,VLOOKUP(INDIRECT($C$5),Jornada!$C$8:$W$37,21,0),0),IF(HLOOKUP($F15,Jornada!$X$7:$AD$37,VLOOKUP(INDIRECT($C$5),Jornada!$C$8:$W$37,21,0),0)-M15&gt;0,HLOOKUP($F15,Jornada!$X$7:$AD$37,VLOOKUP(INDIRECT($C$5),Jornada!$C$8:$W$37,21,0),0)-M15,0)))</f>
        <v>0</v>
      </c>
      <c r="P15" s="190">
        <f ca="1">IF(HLOOKUP($F15,Jornada!$X$7:$AD$37,VLOOKUP(INDIRECT($C$5),Jornada!$C$8:$W$37,21,0),0)-M15&lt;0,ABS(HLOOKUP($F15,Jornada!$X$7:$AD$37,VLOOKUP(INDIRECT($C$5),Jornada!$C$8:$W$37,21,0),0)-M15),0)</f>
        <v>0</v>
      </c>
      <c r="Q15" s="95">
        <f t="shared" si="0"/>
        <v>0</v>
      </c>
      <c r="R15" s="2">
        <f t="shared" si="2"/>
        <v>0</v>
      </c>
      <c r="S15" s="294"/>
      <c r="T15" s="294"/>
      <c r="U15" s="295"/>
      <c r="W15" s="2" t="s">
        <v>98</v>
      </c>
      <c r="X15" s="156">
        <v>9</v>
      </c>
      <c r="AB15" s="177">
        <f t="shared" si="10"/>
        <v>8</v>
      </c>
      <c r="AC15" s="2">
        <f t="shared" si="3"/>
        <v>1</v>
      </c>
      <c r="AG15" s="220">
        <f t="shared" si="4"/>
        <v>0</v>
      </c>
      <c r="AH15" s="220">
        <f ca="1">IF(HLOOKUP($F15,Jornada!$X$7:$AD$37,VLOOKUP(INDIRECT($C$5),Jornada!$C$8:$W$37,21,0),0)=0,0,VLOOKUP(INDIRECT($C$5),Jornada!$C$8:$H$37,4,0))</f>
        <v>0</v>
      </c>
      <c r="AI15" s="155">
        <f ca="1">IF(AND(I15=0,J15=0,OR(H15&lt;&gt;0,K15&lt;&gt;0),HLOOKUP($F15,Jornada!$X$7:$AD$37,VLOOKUP(INDIRECT($C$5),Jornada!$C$8:$W$37,21,0),0)&gt;$AK$5,M15&gt;$AK$5),VLOOKUP(INDIRECT($C$5),Jornada!$C$8:$H$37,6,0),IF(AG15&gt;VLOOKUP(INDIRECT($C$5),Jornada!$C$8:$H$37,6,0),IF(VLOOKUP(INDIRECT($C$5),Jornada!$C$8:$H$37,6,0)&lt;AG15,0,ABS(VLOOKUP(INDIRECT($C$5),Jornada!$C$8:$H$37,6,0))-AG15),0))</f>
        <v>0</v>
      </c>
      <c r="AJ15" s="155">
        <f t="shared" si="5"/>
        <v>1</v>
      </c>
      <c r="AK15" s="155">
        <f t="shared" si="6"/>
        <v>0</v>
      </c>
      <c r="AL15" s="155">
        <f ca="1">HLOOKUP($F15,Jornada!$I$5:$V$37,VLOOKUP(INDIRECT($C$5),Jornada!$C$8:$W$37,21,0)+2,0)</f>
        <v>0</v>
      </c>
      <c r="AM15" s="155">
        <f ca="1">HLOOKUP($F15,Jornada!$I$4:$V$37,VLOOKUP(INDIRECT($C$5),Jornada!$C$8:$W$37,21,0)+3,0)</f>
        <v>0</v>
      </c>
      <c r="AN15" s="155">
        <f t="shared" ca="1" si="7"/>
        <v>0</v>
      </c>
      <c r="AO15" s="155">
        <f t="shared" si="8"/>
        <v>0</v>
      </c>
      <c r="AP15" s="155">
        <f t="shared" si="9"/>
        <v>0</v>
      </c>
      <c r="BE15" s="14"/>
      <c r="BF15" s="14"/>
      <c r="BG15" s="14"/>
    </row>
    <row r="16" spans="1:59" s="2" customFormat="1" ht="30" customHeight="1" thickTop="1" thickBot="1" x14ac:dyDescent="0.25">
      <c r="A16" s="1"/>
      <c r="B16"/>
      <c r="C16" s="172" t="str">
        <f>IF(Funcionários!C15=0,"",Funcionários!C15)</f>
        <v/>
      </c>
      <c r="D16"/>
      <c r="E16" s="115">
        <f>Lanç!E16</f>
        <v>9</v>
      </c>
      <c r="F16" s="189" t="str">
        <f>Lanç!F16</f>
        <v>Seg</v>
      </c>
      <c r="G16" s="81"/>
      <c r="H16" s="94"/>
      <c r="I16" s="94"/>
      <c r="J16" s="94"/>
      <c r="K16" s="94"/>
      <c r="L16" s="10"/>
      <c r="M16" s="95">
        <f t="shared" si="1"/>
        <v>0</v>
      </c>
      <c r="N16" s="96"/>
      <c r="O16" s="95">
        <f ca="1">IF(OR(G16=0,G16="Férias",G16="Falta Justificada",G16="Feriado",G16="Folga (DSR)"),0,IF(G16="Falta Injustificada",HLOOKUP($F16,Jornada!$X$7:$AD$37,VLOOKUP(INDIRECT($C$5),Jornada!$C$8:$W$37,21,0),0),IF(HLOOKUP($F16,Jornada!$X$7:$AD$37,VLOOKUP(INDIRECT($C$5),Jornada!$C$8:$W$37,21,0),0)-M16&gt;0,HLOOKUP($F16,Jornada!$X$7:$AD$37,VLOOKUP(INDIRECT($C$5),Jornada!$C$8:$W$37,21,0),0)-M16,0)))</f>
        <v>0</v>
      </c>
      <c r="P16" s="190">
        <f ca="1">IF(HLOOKUP($F16,Jornada!$X$7:$AD$37,VLOOKUP(INDIRECT($C$5),Jornada!$C$8:$W$37,21,0),0)-M16&lt;0,ABS(HLOOKUP($F16,Jornada!$X$7:$AD$37,VLOOKUP(INDIRECT($C$5),Jornada!$C$8:$W$37,21,0),0)-M16),0)</f>
        <v>0</v>
      </c>
      <c r="Q16" s="95">
        <f t="shared" si="0"/>
        <v>0</v>
      </c>
      <c r="R16" s="2">
        <f t="shared" si="2"/>
        <v>0</v>
      </c>
      <c r="S16" s="294" t="s">
        <v>67</v>
      </c>
      <c r="T16" s="294"/>
      <c r="U16" s="295">
        <f>SUM(Q8:Q38)</f>
        <v>0</v>
      </c>
      <c r="W16" s="2" t="s">
        <v>99</v>
      </c>
      <c r="X16" s="156">
        <v>10</v>
      </c>
      <c r="AB16" s="177">
        <f t="shared" si="10"/>
        <v>9</v>
      </c>
      <c r="AC16" s="2">
        <f t="shared" si="3"/>
        <v>2</v>
      </c>
      <c r="AG16" s="220">
        <f t="shared" si="4"/>
        <v>0</v>
      </c>
      <c r="AH16" s="220">
        <f ca="1">IF(HLOOKUP($F16,Jornada!$X$7:$AD$37,VLOOKUP(INDIRECT($C$5),Jornada!$C$8:$W$37,21,0),0)=0,0,VLOOKUP(INDIRECT($C$5),Jornada!$C$8:$H$37,4,0))</f>
        <v>0</v>
      </c>
      <c r="AI16" s="155">
        <f ca="1">IF(AND(I16=0,J16=0,OR(H16&lt;&gt;0,K16&lt;&gt;0),HLOOKUP($F16,Jornada!$X$7:$AD$37,VLOOKUP(INDIRECT($C$5),Jornada!$C$8:$W$37,21,0),0)&gt;$AK$5,M16&gt;$AK$5),VLOOKUP(INDIRECT($C$5),Jornada!$C$8:$H$37,6,0),IF(AG16&gt;VLOOKUP(INDIRECT($C$5),Jornada!$C$8:$H$37,6,0),IF(VLOOKUP(INDIRECT($C$5),Jornada!$C$8:$H$37,6,0)&lt;AG16,0,ABS(VLOOKUP(INDIRECT($C$5),Jornada!$C$8:$H$37,6,0))-AG16),0))</f>
        <v>0</v>
      </c>
      <c r="AJ16" s="155">
        <f t="shared" si="5"/>
        <v>1</v>
      </c>
      <c r="AK16" s="155">
        <f t="shared" si="6"/>
        <v>0</v>
      </c>
      <c r="AL16" s="155">
        <f ca="1">HLOOKUP($F16,Jornada!$I$5:$V$37,VLOOKUP(INDIRECT($C$5),Jornada!$C$8:$W$37,21,0)+2,0)</f>
        <v>0</v>
      </c>
      <c r="AM16" s="155">
        <f ca="1">HLOOKUP($F16,Jornada!$I$4:$V$37,VLOOKUP(INDIRECT($C$5),Jornada!$C$8:$W$37,21,0)+3,0)</f>
        <v>0</v>
      </c>
      <c r="AN16" s="155">
        <f t="shared" ca="1" si="7"/>
        <v>0</v>
      </c>
      <c r="AO16" s="155">
        <f t="shared" si="8"/>
        <v>0</v>
      </c>
      <c r="AP16" s="155">
        <f t="shared" si="9"/>
        <v>0</v>
      </c>
      <c r="BE16" s="14"/>
      <c r="BF16" s="14"/>
      <c r="BG16" s="14"/>
    </row>
    <row r="17" spans="1:59" s="2" customFormat="1" ht="30" customHeight="1" thickTop="1" thickBot="1" x14ac:dyDescent="0.25">
      <c r="A17" s="1"/>
      <c r="B17"/>
      <c r="C17" s="172" t="str">
        <f>IF(Funcionários!C16=0,"",Funcionários!C16)</f>
        <v/>
      </c>
      <c r="D17"/>
      <c r="E17" s="115">
        <f>Lanç!E17</f>
        <v>10</v>
      </c>
      <c r="F17" s="189" t="str">
        <f>Lanç!F17</f>
        <v>Ter</v>
      </c>
      <c r="G17" s="81"/>
      <c r="H17" s="94"/>
      <c r="I17" s="94"/>
      <c r="J17" s="94"/>
      <c r="K17" s="94"/>
      <c r="L17" s="10"/>
      <c r="M17" s="95">
        <f t="shared" si="1"/>
        <v>0</v>
      </c>
      <c r="N17" s="96"/>
      <c r="O17" s="95">
        <f ca="1">IF(OR(G17=0,G17="Férias",G17="Falta Justificada",G17="Feriado",G17="Folga (DSR)"),0,IF(G17="Falta Injustificada",HLOOKUP($F17,Jornada!$X$7:$AD$37,VLOOKUP(INDIRECT($C$5),Jornada!$C$8:$W$37,21,0),0),IF(HLOOKUP($F17,Jornada!$X$7:$AD$37,VLOOKUP(INDIRECT($C$5),Jornada!$C$8:$W$37,21,0),0)-M17&gt;0,HLOOKUP($F17,Jornada!$X$7:$AD$37,VLOOKUP(INDIRECT($C$5),Jornada!$C$8:$W$37,21,0),0)-M17,0)))</f>
        <v>0</v>
      </c>
      <c r="P17" s="190">
        <f ca="1">IF(HLOOKUP($F17,Jornada!$X$7:$AD$37,VLOOKUP(INDIRECT($C$5),Jornada!$C$8:$W$37,21,0),0)-M17&lt;0,ABS(HLOOKUP($F17,Jornada!$X$7:$AD$37,VLOOKUP(INDIRECT($C$5),Jornada!$C$8:$W$37,21,0),0)-M17),0)</f>
        <v>0</v>
      </c>
      <c r="Q17" s="95">
        <f t="shared" si="0"/>
        <v>0</v>
      </c>
      <c r="R17" s="2">
        <f t="shared" si="2"/>
        <v>0</v>
      </c>
      <c r="S17" s="294"/>
      <c r="T17" s="294"/>
      <c r="U17" s="295"/>
      <c r="W17" s="2" t="s">
        <v>100</v>
      </c>
      <c r="X17" s="156">
        <v>11</v>
      </c>
      <c r="AB17" s="177">
        <f t="shared" si="10"/>
        <v>10</v>
      </c>
      <c r="AC17" s="2">
        <f t="shared" si="3"/>
        <v>3</v>
      </c>
      <c r="AG17" s="220">
        <f t="shared" si="4"/>
        <v>0</v>
      </c>
      <c r="AH17" s="220">
        <f ca="1">IF(HLOOKUP($F17,Jornada!$X$7:$AD$37,VLOOKUP(INDIRECT($C$5),Jornada!$C$8:$W$37,21,0),0)=0,0,VLOOKUP(INDIRECT($C$5),Jornada!$C$8:$H$37,4,0))</f>
        <v>0</v>
      </c>
      <c r="AI17" s="155">
        <f ca="1">IF(AND(I17=0,J17=0,OR(H17&lt;&gt;0,K17&lt;&gt;0),HLOOKUP($F17,Jornada!$X$7:$AD$37,VLOOKUP(INDIRECT($C$5),Jornada!$C$8:$W$37,21,0),0)&gt;$AK$5,M17&gt;$AK$5),VLOOKUP(INDIRECT($C$5),Jornada!$C$8:$H$37,6,0),IF(AG17&gt;VLOOKUP(INDIRECT($C$5),Jornada!$C$8:$H$37,6,0),IF(VLOOKUP(INDIRECT($C$5),Jornada!$C$8:$H$37,6,0)&lt;AG17,0,ABS(VLOOKUP(INDIRECT($C$5),Jornada!$C$8:$H$37,6,0))-AG17),0))</f>
        <v>0</v>
      </c>
      <c r="AJ17" s="155">
        <f t="shared" si="5"/>
        <v>1</v>
      </c>
      <c r="AK17" s="155">
        <f t="shared" si="6"/>
        <v>0</v>
      </c>
      <c r="AL17" s="155">
        <f ca="1">HLOOKUP($F17,Jornada!$I$5:$V$37,VLOOKUP(INDIRECT($C$5),Jornada!$C$8:$W$37,21,0)+2,0)</f>
        <v>0</v>
      </c>
      <c r="AM17" s="155">
        <f ca="1">HLOOKUP($F17,Jornada!$I$4:$V$37,VLOOKUP(INDIRECT($C$5),Jornada!$C$8:$W$37,21,0)+3,0)</f>
        <v>0</v>
      </c>
      <c r="AN17" s="155">
        <f t="shared" ca="1" si="7"/>
        <v>0</v>
      </c>
      <c r="AO17" s="155">
        <f t="shared" si="8"/>
        <v>0</v>
      </c>
      <c r="AP17" s="155">
        <f t="shared" si="9"/>
        <v>0</v>
      </c>
      <c r="BE17" s="14"/>
      <c r="BF17" s="14"/>
      <c r="BG17" s="14"/>
    </row>
    <row r="18" spans="1:59" s="2" customFormat="1" ht="30" customHeight="1" thickTop="1" thickBot="1" x14ac:dyDescent="0.25">
      <c r="A18" s="1"/>
      <c r="B18"/>
      <c r="C18" s="172" t="str">
        <f>IF(Funcionários!C17=0,"",Funcionários!C17)</f>
        <v/>
      </c>
      <c r="D18"/>
      <c r="E18" s="115">
        <f>Lanç!E18</f>
        <v>11</v>
      </c>
      <c r="F18" s="189" t="str">
        <f>Lanç!F18</f>
        <v>Qua</v>
      </c>
      <c r="G18" s="81"/>
      <c r="H18" s="94"/>
      <c r="I18" s="94"/>
      <c r="J18" s="94"/>
      <c r="K18" s="94"/>
      <c r="L18" s="10"/>
      <c r="M18" s="95">
        <f t="shared" si="1"/>
        <v>0</v>
      </c>
      <c r="N18" s="96"/>
      <c r="O18" s="95">
        <f ca="1">IF(OR(G18=0,G18="Férias",G18="Falta Justificada",G18="Feriado",G18="Folga (DSR)"),0,IF(G18="Falta Injustificada",HLOOKUP($F18,Jornada!$X$7:$AD$37,VLOOKUP(INDIRECT($C$5),Jornada!$C$8:$W$37,21,0),0),IF(HLOOKUP($F18,Jornada!$X$7:$AD$37,VLOOKUP(INDIRECT($C$5),Jornada!$C$8:$W$37,21,0),0)-M18&gt;0,HLOOKUP($F18,Jornada!$X$7:$AD$37,VLOOKUP(INDIRECT($C$5),Jornada!$C$8:$W$37,21,0),0)-M18,0)))</f>
        <v>0</v>
      </c>
      <c r="P18" s="190">
        <f ca="1">IF(HLOOKUP($F18,Jornada!$X$7:$AD$37,VLOOKUP(INDIRECT($C$5),Jornada!$C$8:$W$37,21,0),0)-M18&lt;0,ABS(HLOOKUP($F18,Jornada!$X$7:$AD$37,VLOOKUP(INDIRECT($C$5),Jornada!$C$8:$W$37,21,0),0)-M18),0)</f>
        <v>0</v>
      </c>
      <c r="Q18" s="95">
        <f t="shared" si="0"/>
        <v>0</v>
      </c>
      <c r="R18" s="2">
        <f t="shared" si="2"/>
        <v>0</v>
      </c>
      <c r="S18" s="294" t="s">
        <v>69</v>
      </c>
      <c r="T18" s="294"/>
      <c r="U18" s="299">
        <f ca="1">F54</f>
        <v>0</v>
      </c>
      <c r="W18" s="2" t="s">
        <v>101</v>
      </c>
      <c r="X18" s="156">
        <v>12</v>
      </c>
      <c r="AB18" s="177">
        <f t="shared" si="10"/>
        <v>11</v>
      </c>
      <c r="AC18" s="2">
        <f t="shared" si="3"/>
        <v>4</v>
      </c>
      <c r="AG18" s="220">
        <f t="shared" si="4"/>
        <v>0</v>
      </c>
      <c r="AH18" s="220">
        <f ca="1">IF(HLOOKUP($F18,Jornada!$X$7:$AD$37,VLOOKUP(INDIRECT($C$5),Jornada!$C$8:$W$37,21,0),0)=0,0,VLOOKUP(INDIRECT($C$5),Jornada!$C$8:$H$37,4,0))</f>
        <v>0</v>
      </c>
      <c r="AI18" s="155">
        <f ca="1">IF(AND(I18=0,J18=0,OR(H18&lt;&gt;0,K18&lt;&gt;0),HLOOKUP($F18,Jornada!$X$7:$AD$37,VLOOKUP(INDIRECT($C$5),Jornada!$C$8:$W$37,21,0),0)&gt;$AK$5,M18&gt;$AK$5),VLOOKUP(INDIRECT($C$5),Jornada!$C$8:$H$37,6,0),IF(AG18&gt;VLOOKUP(INDIRECT($C$5),Jornada!$C$8:$H$37,6,0),IF(VLOOKUP(INDIRECT($C$5),Jornada!$C$8:$H$37,6,0)&lt;AG18,0,ABS(VLOOKUP(INDIRECT($C$5),Jornada!$C$8:$H$37,6,0))-AG18),0))</f>
        <v>0</v>
      </c>
      <c r="AJ18" s="155">
        <f t="shared" si="5"/>
        <v>1</v>
      </c>
      <c r="AK18" s="155">
        <f t="shared" si="6"/>
        <v>0</v>
      </c>
      <c r="AL18" s="155">
        <f ca="1">HLOOKUP($F18,Jornada!$I$5:$V$37,VLOOKUP(INDIRECT($C$5),Jornada!$C$8:$W$37,21,0)+2,0)</f>
        <v>0</v>
      </c>
      <c r="AM18" s="155">
        <f ca="1">HLOOKUP($F18,Jornada!$I$4:$V$37,VLOOKUP(INDIRECT($C$5),Jornada!$C$8:$W$37,21,0)+3,0)</f>
        <v>0</v>
      </c>
      <c r="AN18" s="155">
        <f t="shared" ca="1" si="7"/>
        <v>0</v>
      </c>
      <c r="AO18" s="155">
        <f t="shared" si="8"/>
        <v>0</v>
      </c>
      <c r="AP18" s="155">
        <f t="shared" si="9"/>
        <v>0</v>
      </c>
      <c r="BE18" s="14"/>
      <c r="BF18" s="14"/>
      <c r="BG18" s="14"/>
    </row>
    <row r="19" spans="1:59" s="2" customFormat="1" ht="30" customHeight="1" thickTop="1" thickBot="1" x14ac:dyDescent="0.25">
      <c r="A19" s="1"/>
      <c r="B19"/>
      <c r="C19" s="172" t="str">
        <f>IF(Funcionários!C18=0,"",Funcionários!C18)</f>
        <v/>
      </c>
      <c r="D19"/>
      <c r="E19" s="115">
        <f>Lanç!E19</f>
        <v>12</v>
      </c>
      <c r="F19" s="189" t="str">
        <f>Lanç!F19</f>
        <v>Qui</v>
      </c>
      <c r="G19" s="81"/>
      <c r="H19" s="94"/>
      <c r="I19" s="94"/>
      <c r="J19" s="94"/>
      <c r="K19" s="94"/>
      <c r="L19" s="10"/>
      <c r="M19" s="95">
        <f t="shared" si="1"/>
        <v>0</v>
      </c>
      <c r="N19" s="96"/>
      <c r="O19" s="95">
        <f ca="1">IF(OR(G19=0,G19="Férias",G19="Falta Justificada",G19="Feriado",G19="Folga (DSR)"),0,IF(G19="Falta Injustificada",HLOOKUP($F19,Jornada!$X$7:$AD$37,VLOOKUP(INDIRECT($C$5),Jornada!$C$8:$W$37,21,0),0),IF(HLOOKUP($F19,Jornada!$X$7:$AD$37,VLOOKUP(INDIRECT($C$5),Jornada!$C$8:$W$37,21,0),0)-M19&gt;0,HLOOKUP($F19,Jornada!$X$7:$AD$37,VLOOKUP(INDIRECT($C$5),Jornada!$C$8:$W$37,21,0),0)-M19,0)))</f>
        <v>0</v>
      </c>
      <c r="P19" s="190">
        <f ca="1">IF(HLOOKUP($F19,Jornada!$X$7:$AD$37,VLOOKUP(INDIRECT($C$5),Jornada!$C$8:$W$37,21,0),0)-M19&lt;0,ABS(HLOOKUP($F19,Jornada!$X$7:$AD$37,VLOOKUP(INDIRECT($C$5),Jornada!$C$8:$W$37,21,0),0)-M19),0)</f>
        <v>0</v>
      </c>
      <c r="Q19" s="95">
        <f t="shared" si="0"/>
        <v>0</v>
      </c>
      <c r="R19" s="2">
        <f t="shared" si="2"/>
        <v>0</v>
      </c>
      <c r="S19" s="294"/>
      <c r="T19" s="294"/>
      <c r="U19" s="299"/>
      <c r="X19" s="177"/>
      <c r="AB19" s="177">
        <f t="shared" si="10"/>
        <v>12</v>
      </c>
      <c r="AC19" s="2">
        <f t="shared" si="3"/>
        <v>5</v>
      </c>
      <c r="AG19" s="220">
        <f t="shared" si="4"/>
        <v>0</v>
      </c>
      <c r="AH19" s="220">
        <f ca="1">IF(HLOOKUP($F19,Jornada!$X$7:$AD$37,VLOOKUP(INDIRECT($C$5),Jornada!$C$8:$W$37,21,0),0)=0,0,VLOOKUP(INDIRECT($C$5),Jornada!$C$8:$H$37,4,0))</f>
        <v>0</v>
      </c>
      <c r="AI19" s="155">
        <f ca="1">IF(AND(I19=0,J19=0,OR(H19&lt;&gt;0,K19&lt;&gt;0),HLOOKUP($F19,Jornada!$X$7:$AD$37,VLOOKUP(INDIRECT($C$5),Jornada!$C$8:$W$37,21,0),0)&gt;$AK$5,M19&gt;$AK$5),VLOOKUP(INDIRECT($C$5),Jornada!$C$8:$H$37,6,0),IF(AG19&gt;VLOOKUP(INDIRECT($C$5),Jornada!$C$8:$H$37,6,0),IF(VLOOKUP(INDIRECT($C$5),Jornada!$C$8:$H$37,6,0)&lt;AG19,0,ABS(VLOOKUP(INDIRECT($C$5),Jornada!$C$8:$H$37,6,0))-AG19),0))</f>
        <v>0</v>
      </c>
      <c r="AJ19" s="155">
        <f t="shared" si="5"/>
        <v>1</v>
      </c>
      <c r="AK19" s="155">
        <f t="shared" si="6"/>
        <v>0</v>
      </c>
      <c r="AL19" s="155">
        <f ca="1">HLOOKUP($F19,Jornada!$I$5:$V$37,VLOOKUP(INDIRECT($C$5),Jornada!$C$8:$W$37,21,0)+2,0)</f>
        <v>0</v>
      </c>
      <c r="AM19" s="155">
        <f ca="1">HLOOKUP($F19,Jornada!$I$4:$V$37,VLOOKUP(INDIRECT($C$5),Jornada!$C$8:$W$37,21,0)+3,0)</f>
        <v>0</v>
      </c>
      <c r="AN19" s="155">
        <f t="shared" ca="1" si="7"/>
        <v>0</v>
      </c>
      <c r="AO19" s="155">
        <f t="shared" si="8"/>
        <v>0</v>
      </c>
      <c r="AP19" s="155">
        <f t="shared" si="9"/>
        <v>0</v>
      </c>
      <c r="BE19" s="14"/>
      <c r="BF19" s="14"/>
      <c r="BG19" s="14"/>
    </row>
    <row r="20" spans="1:59" s="2" customFormat="1" ht="30" customHeight="1" thickTop="1" thickBot="1" x14ac:dyDescent="0.25">
      <c r="A20" s="1"/>
      <c r="B20"/>
      <c r="C20" s="172" t="str">
        <f>IF(Funcionários!C19=0,"",Funcionários!C19)</f>
        <v/>
      </c>
      <c r="D20"/>
      <c r="E20" s="115">
        <f>Lanç!E20</f>
        <v>13</v>
      </c>
      <c r="F20" s="189" t="str">
        <f>Lanç!F20</f>
        <v>Sex</v>
      </c>
      <c r="G20" s="81"/>
      <c r="H20" s="94"/>
      <c r="I20" s="94"/>
      <c r="J20" s="94"/>
      <c r="K20" s="94"/>
      <c r="L20" s="10"/>
      <c r="M20" s="95">
        <f t="shared" si="1"/>
        <v>0</v>
      </c>
      <c r="N20" s="96"/>
      <c r="O20" s="95">
        <f ca="1">IF(OR(G20=0,G20="Férias",G20="Falta Justificada",G20="Feriado",G20="Folga (DSR)"),0,IF(G20="Falta Injustificada",HLOOKUP($F20,Jornada!$X$7:$AD$37,VLOOKUP(INDIRECT($C$5),Jornada!$C$8:$W$37,21,0),0),IF(HLOOKUP($F20,Jornada!$X$7:$AD$37,VLOOKUP(INDIRECT($C$5),Jornada!$C$8:$W$37,21,0),0)-M20&gt;0,HLOOKUP($F20,Jornada!$X$7:$AD$37,VLOOKUP(INDIRECT($C$5),Jornada!$C$8:$W$37,21,0),0)-M20,0)))</f>
        <v>0</v>
      </c>
      <c r="P20" s="190">
        <f ca="1">IF(HLOOKUP($F20,Jornada!$X$7:$AD$37,VLOOKUP(INDIRECT($C$5),Jornada!$C$8:$W$37,21,0),0)-M20&lt;0,ABS(HLOOKUP($F20,Jornada!$X$7:$AD$37,VLOOKUP(INDIRECT($C$5),Jornada!$C$8:$W$37,21,0),0)-M20),0)</f>
        <v>0</v>
      </c>
      <c r="Q20" s="95">
        <f t="shared" si="0"/>
        <v>0</v>
      </c>
      <c r="R20" s="2">
        <f t="shared" si="2"/>
        <v>0</v>
      </c>
      <c r="S20"/>
      <c r="T20"/>
      <c r="U20"/>
      <c r="X20" s="177"/>
      <c r="AB20" s="177">
        <f t="shared" si="10"/>
        <v>13</v>
      </c>
      <c r="AC20" s="2">
        <f t="shared" si="3"/>
        <v>6</v>
      </c>
      <c r="AG20" s="220">
        <f t="shared" si="4"/>
        <v>0</v>
      </c>
      <c r="AH20" s="220">
        <f ca="1">IF(HLOOKUP($F20,Jornada!$X$7:$AD$37,VLOOKUP(INDIRECT($C$5),Jornada!$C$8:$W$37,21,0),0)=0,0,VLOOKUP(INDIRECT($C$5),Jornada!$C$8:$H$37,4,0))</f>
        <v>0</v>
      </c>
      <c r="AI20" s="155">
        <f ca="1">IF(AND(I20=0,J20=0,OR(H20&lt;&gt;0,K20&lt;&gt;0),HLOOKUP($F20,Jornada!$X$7:$AD$37,VLOOKUP(INDIRECT($C$5),Jornada!$C$8:$W$37,21,0),0)&gt;$AK$5,M20&gt;$AK$5),VLOOKUP(INDIRECT($C$5),Jornada!$C$8:$H$37,6,0),IF(AG20&gt;VLOOKUP(INDIRECT($C$5),Jornada!$C$8:$H$37,6,0),IF(VLOOKUP(INDIRECT($C$5),Jornada!$C$8:$H$37,6,0)&lt;AG20,0,ABS(VLOOKUP(INDIRECT($C$5),Jornada!$C$8:$H$37,6,0))-AG20),0))</f>
        <v>0</v>
      </c>
      <c r="AJ20" s="155">
        <f t="shared" si="5"/>
        <v>1</v>
      </c>
      <c r="AK20" s="155">
        <f t="shared" si="6"/>
        <v>0</v>
      </c>
      <c r="AL20" s="155">
        <f ca="1">HLOOKUP($F20,Jornada!$I$5:$V$37,VLOOKUP(INDIRECT($C$5),Jornada!$C$8:$W$37,21,0)+2,0)</f>
        <v>0</v>
      </c>
      <c r="AM20" s="155">
        <f ca="1">HLOOKUP($F20,Jornada!$I$4:$V$37,VLOOKUP(INDIRECT($C$5),Jornada!$C$8:$W$37,21,0)+3,0)</f>
        <v>0</v>
      </c>
      <c r="AN20" s="155">
        <f t="shared" ca="1" si="7"/>
        <v>0</v>
      </c>
      <c r="AO20" s="155">
        <f t="shared" si="8"/>
        <v>0</v>
      </c>
      <c r="AP20" s="155">
        <f t="shared" si="9"/>
        <v>0</v>
      </c>
      <c r="BE20" s="14"/>
      <c r="BF20" s="14"/>
      <c r="BG20" s="14"/>
    </row>
    <row r="21" spans="1:59" s="2" customFormat="1" ht="30" customHeight="1" thickTop="1" thickBot="1" x14ac:dyDescent="0.25">
      <c r="A21" s="1"/>
      <c r="B21"/>
      <c r="C21" s="172" t="str">
        <f>IF(Funcionários!C20=0,"",Funcionários!C20)</f>
        <v/>
      </c>
      <c r="D21"/>
      <c r="E21" s="115">
        <f>Lanç!E21</f>
        <v>14</v>
      </c>
      <c r="F21" s="189" t="str">
        <f>Lanç!F21</f>
        <v>Sáb</v>
      </c>
      <c r="G21" s="81"/>
      <c r="H21" s="94"/>
      <c r="I21" s="94"/>
      <c r="J21" s="94"/>
      <c r="K21" s="94"/>
      <c r="L21" s="10"/>
      <c r="M21" s="95">
        <f t="shared" si="1"/>
        <v>0</v>
      </c>
      <c r="N21" s="96"/>
      <c r="O21" s="95">
        <f ca="1">IF(OR(G21=0,G21="Férias",G21="Falta Justificada",G21="Feriado",G21="Folga (DSR)"),0,IF(G21="Falta Injustificada",HLOOKUP($F21,Jornada!$X$7:$AD$37,VLOOKUP(INDIRECT($C$5),Jornada!$C$8:$W$37,21,0),0),IF(HLOOKUP($F21,Jornada!$X$7:$AD$37,VLOOKUP(INDIRECT($C$5),Jornada!$C$8:$W$37,21,0),0)-M21&gt;0,HLOOKUP($F21,Jornada!$X$7:$AD$37,VLOOKUP(INDIRECT($C$5),Jornada!$C$8:$W$37,21,0),0)-M21,0)))</f>
        <v>0</v>
      </c>
      <c r="P21" s="190">
        <f ca="1">IF(HLOOKUP($F21,Jornada!$X$7:$AD$37,VLOOKUP(INDIRECT($C$5),Jornada!$C$8:$W$37,21,0),0)-M21&lt;0,ABS(HLOOKUP($F21,Jornada!$X$7:$AD$37,VLOOKUP(INDIRECT($C$5),Jornada!$C$8:$W$37,21,0),0)-M21),0)</f>
        <v>0</v>
      </c>
      <c r="Q21" s="95">
        <f t="shared" si="0"/>
        <v>0</v>
      </c>
      <c r="R21" s="2">
        <f t="shared" si="2"/>
        <v>0</v>
      </c>
      <c r="S21"/>
      <c r="T21"/>
      <c r="U21"/>
      <c r="X21" s="177"/>
      <c r="AB21" s="177">
        <f t="shared" si="10"/>
        <v>14</v>
      </c>
      <c r="AC21" s="2">
        <f t="shared" si="3"/>
        <v>7</v>
      </c>
      <c r="AG21" s="220">
        <f t="shared" si="4"/>
        <v>0</v>
      </c>
      <c r="AH21" s="220">
        <f ca="1">IF(HLOOKUP($F21,Jornada!$X$7:$AD$37,VLOOKUP(INDIRECT($C$5),Jornada!$C$8:$W$37,21,0),0)=0,0,VLOOKUP(INDIRECT($C$5),Jornada!$C$8:$H$37,4,0))</f>
        <v>0</v>
      </c>
      <c r="AI21" s="155">
        <f ca="1">IF(AND(I21=0,J21=0,OR(H21&lt;&gt;0,K21&lt;&gt;0),HLOOKUP($F21,Jornada!$X$7:$AD$37,VLOOKUP(INDIRECT($C$5),Jornada!$C$8:$W$37,21,0),0)&gt;$AK$5,M21&gt;$AK$5),VLOOKUP(INDIRECT($C$5),Jornada!$C$8:$H$37,6,0),IF(AG21&gt;VLOOKUP(INDIRECT($C$5),Jornada!$C$8:$H$37,6,0),IF(VLOOKUP(INDIRECT($C$5),Jornada!$C$8:$H$37,6,0)&lt;AG21,0,ABS(VLOOKUP(INDIRECT($C$5),Jornada!$C$8:$H$37,6,0))-AG21),0))</f>
        <v>0</v>
      </c>
      <c r="AJ21" s="155">
        <f t="shared" si="5"/>
        <v>1</v>
      </c>
      <c r="AK21" s="155">
        <f t="shared" si="6"/>
        <v>0</v>
      </c>
      <c r="AL21" s="155">
        <f ca="1">HLOOKUP($F21,Jornada!$I$5:$V$37,VLOOKUP(INDIRECT($C$5),Jornada!$C$8:$W$37,21,0)+2,0)</f>
        <v>0</v>
      </c>
      <c r="AM21" s="155">
        <f ca="1">HLOOKUP($F21,Jornada!$I$4:$V$37,VLOOKUP(INDIRECT($C$5),Jornada!$C$8:$W$37,21,0)+3,0)</f>
        <v>0</v>
      </c>
      <c r="AN21" s="155">
        <f t="shared" ca="1" si="7"/>
        <v>0</v>
      </c>
      <c r="AO21" s="155">
        <f t="shared" si="8"/>
        <v>0</v>
      </c>
      <c r="AP21" s="155">
        <f t="shared" si="9"/>
        <v>0</v>
      </c>
      <c r="BE21" s="14"/>
      <c r="BF21" s="14"/>
      <c r="BG21" s="14"/>
    </row>
    <row r="22" spans="1:59" s="2" customFormat="1" ht="30" customHeight="1" thickTop="1" thickBot="1" x14ac:dyDescent="0.25">
      <c r="A22" s="1"/>
      <c r="B22"/>
      <c r="C22" s="172" t="str">
        <f>IF(Funcionários!C21=0,"",Funcionários!C21)</f>
        <v/>
      </c>
      <c r="D22"/>
      <c r="E22" s="115">
        <f>Lanç!E22</f>
        <v>15</v>
      </c>
      <c r="F22" s="189" t="str">
        <f>Lanç!F22</f>
        <v>Dom</v>
      </c>
      <c r="G22" s="81"/>
      <c r="H22" s="94"/>
      <c r="I22" s="94"/>
      <c r="J22" s="94"/>
      <c r="K22" s="94"/>
      <c r="L22" s="10"/>
      <c r="M22" s="95">
        <f t="shared" si="1"/>
        <v>0</v>
      </c>
      <c r="N22" s="96"/>
      <c r="O22" s="95">
        <f ca="1">IF(OR(G22=0,G22="Férias",G22="Falta Justificada",G22="Feriado",G22="Folga (DSR)"),0,IF(G22="Falta Injustificada",HLOOKUP($F22,Jornada!$X$7:$AD$37,VLOOKUP(INDIRECT($C$5),Jornada!$C$8:$W$37,21,0),0),IF(HLOOKUP($F22,Jornada!$X$7:$AD$37,VLOOKUP(INDIRECT($C$5),Jornada!$C$8:$W$37,21,0),0)-M22&gt;0,HLOOKUP($F22,Jornada!$X$7:$AD$37,VLOOKUP(INDIRECT($C$5),Jornada!$C$8:$W$37,21,0),0)-M22,0)))</f>
        <v>0</v>
      </c>
      <c r="P22" s="190">
        <f ca="1">IF(HLOOKUP($F22,Jornada!$X$7:$AD$37,VLOOKUP(INDIRECT($C$5),Jornada!$C$8:$W$37,21,0),0)-M22&lt;0,ABS(HLOOKUP($F22,Jornada!$X$7:$AD$37,VLOOKUP(INDIRECT($C$5),Jornada!$C$8:$W$37,21,0),0)-M22),0)</f>
        <v>0</v>
      </c>
      <c r="Q22" s="95">
        <f t="shared" si="0"/>
        <v>0</v>
      </c>
      <c r="R22" s="2">
        <f t="shared" si="2"/>
        <v>0</v>
      </c>
      <c r="S22" s="300" t="s">
        <v>63</v>
      </c>
      <c r="T22" s="301"/>
      <c r="U22" s="302"/>
      <c r="X22" s="177"/>
      <c r="AB22" s="177">
        <f t="shared" si="10"/>
        <v>15</v>
      </c>
      <c r="AC22" s="2">
        <f t="shared" si="3"/>
        <v>1</v>
      </c>
      <c r="AG22" s="220">
        <f t="shared" si="4"/>
        <v>0</v>
      </c>
      <c r="AH22" s="220">
        <f ca="1">IF(HLOOKUP($F22,Jornada!$X$7:$AD$37,VLOOKUP(INDIRECT($C$5),Jornada!$C$8:$W$37,21,0),0)=0,0,VLOOKUP(INDIRECT($C$5),Jornada!$C$8:$H$37,4,0))</f>
        <v>0</v>
      </c>
      <c r="AI22" s="155">
        <f ca="1">IF(AND(I22=0,J22=0,OR(H22&lt;&gt;0,K22&lt;&gt;0),HLOOKUP($F22,Jornada!$X$7:$AD$37,VLOOKUP(INDIRECT($C$5),Jornada!$C$8:$W$37,21,0),0)&gt;$AK$5,M22&gt;$AK$5),VLOOKUP(INDIRECT($C$5),Jornada!$C$8:$H$37,6,0),IF(AG22&gt;VLOOKUP(INDIRECT($C$5),Jornada!$C$8:$H$37,6,0),IF(VLOOKUP(INDIRECT($C$5),Jornada!$C$8:$H$37,6,0)&lt;AG22,0,ABS(VLOOKUP(INDIRECT($C$5),Jornada!$C$8:$H$37,6,0))-AG22),0))</f>
        <v>0</v>
      </c>
      <c r="AJ22" s="155">
        <f t="shared" si="5"/>
        <v>1</v>
      </c>
      <c r="AK22" s="155">
        <f t="shared" si="6"/>
        <v>0</v>
      </c>
      <c r="AL22" s="155">
        <f ca="1">HLOOKUP($F22,Jornada!$I$5:$V$37,VLOOKUP(INDIRECT($C$5),Jornada!$C$8:$W$37,21,0)+2,0)</f>
        <v>0</v>
      </c>
      <c r="AM22" s="155">
        <f ca="1">HLOOKUP($F22,Jornada!$I$4:$V$37,VLOOKUP(INDIRECT($C$5),Jornada!$C$8:$W$37,21,0)+3,0)</f>
        <v>0</v>
      </c>
      <c r="AN22" s="155">
        <f t="shared" ca="1" si="7"/>
        <v>0</v>
      </c>
      <c r="AO22" s="155">
        <f t="shared" si="8"/>
        <v>0</v>
      </c>
      <c r="AP22" s="155">
        <f t="shared" si="9"/>
        <v>0</v>
      </c>
      <c r="BE22" s="14"/>
      <c r="BF22" s="14"/>
      <c r="BG22" s="14"/>
    </row>
    <row r="23" spans="1:59" s="2" customFormat="1" ht="30" customHeight="1" thickTop="1" thickBot="1" x14ac:dyDescent="0.25">
      <c r="A23" s="1"/>
      <c r="B23"/>
      <c r="C23" s="172" t="str">
        <f>IF(Funcionários!C22=0,"",Funcionários!C22)</f>
        <v/>
      </c>
      <c r="D23"/>
      <c r="E23" s="115">
        <f>Lanç!E23</f>
        <v>16</v>
      </c>
      <c r="F23" s="189" t="str">
        <f>Lanç!F23</f>
        <v>Seg</v>
      </c>
      <c r="G23" s="81"/>
      <c r="H23" s="94"/>
      <c r="I23" s="94"/>
      <c r="J23" s="94"/>
      <c r="K23" s="94"/>
      <c r="L23" s="10"/>
      <c r="M23" s="95">
        <f t="shared" si="1"/>
        <v>0</v>
      </c>
      <c r="N23" s="96"/>
      <c r="O23" s="95">
        <f ca="1">IF(OR(G23=0,G23="Férias",G23="Falta Justificada",G23="Feriado",G23="Folga (DSR)"),0,IF(G23="Falta Injustificada",HLOOKUP($F23,Jornada!$X$7:$AD$37,VLOOKUP(INDIRECT($C$5),Jornada!$C$8:$W$37,21,0),0),IF(HLOOKUP($F23,Jornada!$X$7:$AD$37,VLOOKUP(INDIRECT($C$5),Jornada!$C$8:$W$37,21,0),0)-M23&gt;0,HLOOKUP($F23,Jornada!$X$7:$AD$37,VLOOKUP(INDIRECT($C$5),Jornada!$C$8:$W$37,21,0),0)-M23,0)))</f>
        <v>0</v>
      </c>
      <c r="P23" s="190">
        <f ca="1">IF(HLOOKUP($F23,Jornada!$X$7:$AD$37,VLOOKUP(INDIRECT($C$5),Jornada!$C$8:$W$37,21,0),0)-M23&lt;0,ABS(HLOOKUP($F23,Jornada!$X$7:$AD$37,VLOOKUP(INDIRECT($C$5),Jornada!$C$8:$W$37,21,0),0)-M23),0)</f>
        <v>0</v>
      </c>
      <c r="Q23" s="95">
        <f t="shared" si="0"/>
        <v>0</v>
      </c>
      <c r="R23" s="2">
        <f t="shared" si="2"/>
        <v>0</v>
      </c>
      <c r="S23" s="296" t="str">
        <f>IF(SUM(R8:R38)&gt;0,"Segundo o art 59 da CLT, o máximo de horas extras permitidas por dia são 2 horas.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T23" s="297"/>
      <c r="U23" s="298"/>
      <c r="X23" s="177"/>
      <c r="AB23" s="177">
        <f t="shared" si="10"/>
        <v>16</v>
      </c>
      <c r="AC23" s="2">
        <f t="shared" si="3"/>
        <v>2</v>
      </c>
      <c r="AG23" s="220">
        <f t="shared" si="4"/>
        <v>0</v>
      </c>
      <c r="AH23" s="220">
        <f ca="1">IF(HLOOKUP($F23,Jornada!$X$7:$AD$37,VLOOKUP(INDIRECT($C$5),Jornada!$C$8:$W$37,21,0),0)=0,0,VLOOKUP(INDIRECT($C$5),Jornada!$C$8:$H$37,4,0))</f>
        <v>0</v>
      </c>
      <c r="AI23" s="155">
        <f ca="1">IF(AND(I23=0,J23=0,OR(H23&lt;&gt;0,K23&lt;&gt;0),HLOOKUP($F23,Jornada!$X$7:$AD$37,VLOOKUP(INDIRECT($C$5),Jornada!$C$8:$W$37,21,0),0)&gt;$AK$5,M23&gt;$AK$5),VLOOKUP(INDIRECT($C$5),Jornada!$C$8:$H$37,6,0),IF(AG23&gt;VLOOKUP(INDIRECT($C$5),Jornada!$C$8:$H$37,6,0),IF(VLOOKUP(INDIRECT($C$5),Jornada!$C$8:$H$37,6,0)&lt;AG23,0,ABS(VLOOKUP(INDIRECT($C$5),Jornada!$C$8:$H$37,6,0))-AG23),0))</f>
        <v>0</v>
      </c>
      <c r="AJ23" s="155">
        <f t="shared" si="5"/>
        <v>1</v>
      </c>
      <c r="AK23" s="155">
        <f t="shared" si="6"/>
        <v>0</v>
      </c>
      <c r="AL23" s="155">
        <f ca="1">HLOOKUP($F23,Jornada!$I$5:$V$37,VLOOKUP(INDIRECT($C$5),Jornada!$C$8:$W$37,21,0)+2,0)</f>
        <v>0</v>
      </c>
      <c r="AM23" s="155">
        <f ca="1">HLOOKUP($F23,Jornada!$I$4:$V$37,VLOOKUP(INDIRECT($C$5),Jornada!$C$8:$W$37,21,0)+3,0)</f>
        <v>0</v>
      </c>
      <c r="AN23" s="155">
        <f t="shared" ca="1" si="7"/>
        <v>0</v>
      </c>
      <c r="AO23" s="155">
        <f t="shared" si="8"/>
        <v>0</v>
      </c>
      <c r="AP23" s="155">
        <f t="shared" si="9"/>
        <v>0</v>
      </c>
      <c r="BE23" s="14"/>
      <c r="BF23" s="14"/>
      <c r="BG23" s="14"/>
    </row>
    <row r="24" spans="1:59" s="2" customFormat="1" ht="30" customHeight="1" thickTop="1" thickBot="1" x14ac:dyDescent="0.25">
      <c r="A24" s="1"/>
      <c r="B24"/>
      <c r="C24" s="172" t="str">
        <f>IF(Funcionários!C23=0,"",Funcionários!C23)</f>
        <v/>
      </c>
      <c r="D24"/>
      <c r="E24" s="115">
        <f>Lanç!E24</f>
        <v>17</v>
      </c>
      <c r="F24" s="189" t="str">
        <f>Lanç!F24</f>
        <v>Ter</v>
      </c>
      <c r="G24" s="81"/>
      <c r="H24" s="94"/>
      <c r="I24" s="94"/>
      <c r="J24" s="94"/>
      <c r="K24" s="94"/>
      <c r="L24" s="10"/>
      <c r="M24" s="95">
        <f t="shared" si="1"/>
        <v>0</v>
      </c>
      <c r="N24" s="96"/>
      <c r="O24" s="95">
        <f ca="1">IF(OR(G24=0,G24="Férias",G24="Falta Justificada",G24="Feriado",G24="Folga (DSR)"),0,IF(G24="Falta Injustificada",HLOOKUP($F24,Jornada!$X$7:$AD$37,VLOOKUP(INDIRECT($C$5),Jornada!$C$8:$W$37,21,0),0),IF(HLOOKUP($F24,Jornada!$X$7:$AD$37,VLOOKUP(INDIRECT($C$5),Jornada!$C$8:$W$37,21,0),0)-M24&gt;0,HLOOKUP($F24,Jornada!$X$7:$AD$37,VLOOKUP(INDIRECT($C$5),Jornada!$C$8:$W$37,21,0),0)-M24,0)))</f>
        <v>0</v>
      </c>
      <c r="P24" s="190">
        <f ca="1">IF(HLOOKUP($F24,Jornada!$X$7:$AD$37,VLOOKUP(INDIRECT($C$5),Jornada!$C$8:$W$37,21,0),0)-M24&lt;0,ABS(HLOOKUP($F24,Jornada!$X$7:$AD$37,VLOOKUP(INDIRECT($C$5),Jornada!$C$8:$W$37,21,0),0)-M24),0)</f>
        <v>0</v>
      </c>
      <c r="Q24" s="95">
        <f t="shared" si="0"/>
        <v>0</v>
      </c>
      <c r="R24" s="2">
        <f t="shared" si="2"/>
        <v>0</v>
      </c>
      <c r="S24" s="296"/>
      <c r="T24" s="297"/>
      <c r="U24" s="298"/>
      <c r="X24" s="177"/>
      <c r="AB24" s="177">
        <f t="shared" si="10"/>
        <v>17</v>
      </c>
      <c r="AC24" s="2">
        <f t="shared" si="3"/>
        <v>3</v>
      </c>
      <c r="AG24" s="220">
        <f t="shared" si="4"/>
        <v>0</v>
      </c>
      <c r="AH24" s="220">
        <f ca="1">IF(HLOOKUP($F24,Jornada!$X$7:$AD$37,VLOOKUP(INDIRECT($C$5),Jornada!$C$8:$W$37,21,0),0)=0,0,VLOOKUP(INDIRECT($C$5),Jornada!$C$8:$H$37,4,0))</f>
        <v>0</v>
      </c>
      <c r="AI24" s="155">
        <f ca="1">IF(AND(I24=0,J24=0,OR(H24&lt;&gt;0,K24&lt;&gt;0),HLOOKUP($F24,Jornada!$X$7:$AD$37,VLOOKUP(INDIRECT($C$5),Jornada!$C$8:$W$37,21,0),0)&gt;$AK$5,M24&gt;$AK$5),VLOOKUP(INDIRECT($C$5),Jornada!$C$8:$H$37,6,0),IF(AG24&gt;VLOOKUP(INDIRECT($C$5),Jornada!$C$8:$H$37,6,0),IF(VLOOKUP(INDIRECT($C$5),Jornada!$C$8:$H$37,6,0)&lt;AG24,0,ABS(VLOOKUP(INDIRECT($C$5),Jornada!$C$8:$H$37,6,0))-AG24),0))</f>
        <v>0</v>
      </c>
      <c r="AJ24" s="155">
        <f t="shared" si="5"/>
        <v>1</v>
      </c>
      <c r="AK24" s="155">
        <f t="shared" si="6"/>
        <v>0</v>
      </c>
      <c r="AL24" s="155">
        <f ca="1">HLOOKUP($F24,Jornada!$I$5:$V$37,VLOOKUP(INDIRECT($C$5),Jornada!$C$8:$W$37,21,0)+2,0)</f>
        <v>0</v>
      </c>
      <c r="AM24" s="155">
        <f ca="1">HLOOKUP($F24,Jornada!$I$4:$V$37,VLOOKUP(INDIRECT($C$5),Jornada!$C$8:$W$37,21,0)+3,0)</f>
        <v>0</v>
      </c>
      <c r="AN24" s="155">
        <f t="shared" ca="1" si="7"/>
        <v>0</v>
      </c>
      <c r="AO24" s="155">
        <f t="shared" si="8"/>
        <v>0</v>
      </c>
      <c r="AP24" s="155">
        <f t="shared" si="9"/>
        <v>0</v>
      </c>
      <c r="BE24" s="14"/>
      <c r="BF24" s="14"/>
      <c r="BG24" s="14"/>
    </row>
    <row r="25" spans="1:59" s="2" customFormat="1" ht="30" customHeight="1" thickTop="1" thickBot="1" x14ac:dyDescent="0.25">
      <c r="A25" s="1"/>
      <c r="B25"/>
      <c r="C25" s="172" t="str">
        <f>IF(Funcionários!C24=0,"",Funcionários!C24)</f>
        <v/>
      </c>
      <c r="D25"/>
      <c r="E25" s="115">
        <f>Lanç!E25</f>
        <v>18</v>
      </c>
      <c r="F25" s="189" t="str">
        <f>Lanç!F25</f>
        <v>Qua</v>
      </c>
      <c r="G25" s="81"/>
      <c r="H25" s="94"/>
      <c r="I25" s="94"/>
      <c r="J25" s="94"/>
      <c r="K25" s="94"/>
      <c r="L25" s="10"/>
      <c r="M25" s="95">
        <f t="shared" si="1"/>
        <v>0</v>
      </c>
      <c r="N25" s="96"/>
      <c r="O25" s="95">
        <f ca="1">IF(OR(G25=0,G25="Férias",G25="Falta Justificada",G25="Feriado",G25="Folga (DSR)"),0,IF(G25="Falta Injustificada",HLOOKUP($F25,Jornada!$X$7:$AD$37,VLOOKUP(INDIRECT($C$5),Jornada!$C$8:$W$37,21,0),0),IF(HLOOKUP($F25,Jornada!$X$7:$AD$37,VLOOKUP(INDIRECT($C$5),Jornada!$C$8:$W$37,21,0),0)-M25&gt;0,HLOOKUP($F25,Jornada!$X$7:$AD$37,VLOOKUP(INDIRECT($C$5),Jornada!$C$8:$W$37,21,0),0)-M25,0)))</f>
        <v>0</v>
      </c>
      <c r="P25" s="190">
        <f ca="1">IF(HLOOKUP($F25,Jornada!$X$7:$AD$37,VLOOKUP(INDIRECT($C$5),Jornada!$C$8:$W$37,21,0),0)-M25&lt;0,ABS(HLOOKUP($F25,Jornada!$X$7:$AD$37,VLOOKUP(INDIRECT($C$5),Jornada!$C$8:$W$37,21,0),0)-M25),0)</f>
        <v>0</v>
      </c>
      <c r="Q25" s="95">
        <f t="shared" si="0"/>
        <v>0</v>
      </c>
      <c r="R25" s="2">
        <f t="shared" si="2"/>
        <v>0</v>
      </c>
      <c r="S25" s="296"/>
      <c r="T25" s="297"/>
      <c r="U25" s="298"/>
      <c r="X25" s="177"/>
      <c r="Z25" s="2">
        <f>IF(SUM(R8:R38)&gt;0,1,0)</f>
        <v>0</v>
      </c>
      <c r="AB25" s="177">
        <f t="shared" si="10"/>
        <v>18</v>
      </c>
      <c r="AC25" s="2">
        <f t="shared" si="3"/>
        <v>4</v>
      </c>
      <c r="AG25" s="220">
        <f t="shared" si="4"/>
        <v>0</v>
      </c>
      <c r="AH25" s="220">
        <f ca="1">IF(HLOOKUP($F25,Jornada!$X$7:$AD$37,VLOOKUP(INDIRECT($C$5),Jornada!$C$8:$W$37,21,0),0)=0,0,VLOOKUP(INDIRECT($C$5),Jornada!$C$8:$H$37,4,0))</f>
        <v>0</v>
      </c>
      <c r="AI25" s="155">
        <f ca="1">IF(AND(I25=0,J25=0,OR(H25&lt;&gt;0,K25&lt;&gt;0),HLOOKUP($F25,Jornada!$X$7:$AD$37,VLOOKUP(INDIRECT($C$5),Jornada!$C$8:$W$37,21,0),0)&gt;$AK$5,M25&gt;$AK$5),VLOOKUP(INDIRECT($C$5),Jornada!$C$8:$H$37,6,0),IF(AG25&gt;VLOOKUP(INDIRECT($C$5),Jornada!$C$8:$H$37,6,0),IF(VLOOKUP(INDIRECT($C$5),Jornada!$C$8:$H$37,6,0)&lt;AG25,0,ABS(VLOOKUP(INDIRECT($C$5),Jornada!$C$8:$H$37,6,0))-AG25),0))</f>
        <v>0</v>
      </c>
      <c r="AJ25" s="155">
        <f t="shared" si="5"/>
        <v>1</v>
      </c>
      <c r="AK25" s="155">
        <f t="shared" si="6"/>
        <v>0</v>
      </c>
      <c r="AL25" s="155">
        <f ca="1">HLOOKUP($F25,Jornada!$I$5:$V$37,VLOOKUP(INDIRECT($C$5),Jornada!$C$8:$W$37,21,0)+2,0)</f>
        <v>0</v>
      </c>
      <c r="AM25" s="155">
        <f ca="1">HLOOKUP($F25,Jornada!$I$4:$V$37,VLOOKUP(INDIRECT($C$5),Jornada!$C$8:$W$37,21,0)+3,0)</f>
        <v>0</v>
      </c>
      <c r="AN25" s="155">
        <f t="shared" ca="1" si="7"/>
        <v>0</v>
      </c>
      <c r="AO25" s="155">
        <f t="shared" si="8"/>
        <v>0</v>
      </c>
      <c r="AP25" s="155">
        <f t="shared" si="9"/>
        <v>0</v>
      </c>
      <c r="BE25" s="14"/>
      <c r="BF25" s="14"/>
      <c r="BG25" s="14"/>
    </row>
    <row r="26" spans="1:59" s="2" customFormat="1" ht="30" customHeight="1" thickTop="1" thickBot="1" x14ac:dyDescent="0.25">
      <c r="A26" s="1"/>
      <c r="B26"/>
      <c r="C26" s="172" t="str">
        <f>IF(Funcionários!C25=0,"",Funcionários!C25)</f>
        <v/>
      </c>
      <c r="D26"/>
      <c r="E26" s="115">
        <f>Lanç!E26</f>
        <v>19</v>
      </c>
      <c r="F26" s="189" t="str">
        <f>Lanç!F26</f>
        <v>Qui</v>
      </c>
      <c r="G26" s="81"/>
      <c r="H26" s="94"/>
      <c r="I26" s="94"/>
      <c r="J26" s="94"/>
      <c r="K26" s="94"/>
      <c r="L26" s="10"/>
      <c r="M26" s="95">
        <f t="shared" si="1"/>
        <v>0</v>
      </c>
      <c r="N26" s="96"/>
      <c r="O26" s="95">
        <f ca="1">IF(OR(G26=0,G26="Férias",G26="Falta Justificada",G26="Feriado",G26="Folga (DSR)"),0,IF(G26="Falta Injustificada",HLOOKUP($F26,Jornada!$X$7:$AD$37,VLOOKUP(INDIRECT($C$5),Jornada!$C$8:$W$37,21,0),0),IF(HLOOKUP($F26,Jornada!$X$7:$AD$37,VLOOKUP(INDIRECT($C$5),Jornada!$C$8:$W$37,21,0),0)-M26&gt;0,HLOOKUP($F26,Jornada!$X$7:$AD$37,VLOOKUP(INDIRECT($C$5),Jornada!$C$8:$W$37,21,0),0)-M26,0)))</f>
        <v>0</v>
      </c>
      <c r="P26" s="190">
        <f ca="1">IF(HLOOKUP($F26,Jornada!$X$7:$AD$37,VLOOKUP(INDIRECT($C$5),Jornada!$C$8:$W$37,21,0),0)-M26&lt;0,ABS(HLOOKUP($F26,Jornada!$X$7:$AD$37,VLOOKUP(INDIRECT($C$5),Jornada!$C$8:$W$37,21,0),0)-M26),0)</f>
        <v>0</v>
      </c>
      <c r="Q26" s="95">
        <f t="shared" si="0"/>
        <v>0</v>
      </c>
      <c r="R26" s="2">
        <f t="shared" si="2"/>
        <v>0</v>
      </c>
      <c r="S26" s="296" t="str">
        <f>IF(COUNTIF(G8:G38,"Folga (DSR)")&lt;DAY(E39)/8,"O mês não está contemplando um DSR (Descanso Semanal Remunerado) por semana. Isso pode configurar uma irregularidade segundo as leis trabalhistas.","Parabéns!! Sua folha de pagamento contempla uma DSR por semana conforme a lei trabalhista.")</f>
        <v>O mês não está contemplando um DSR (Descanso Semanal Remunerado) por semana. Isso pode configurar uma irregularidade segundo as leis trabalhistas.</v>
      </c>
      <c r="T26" s="297"/>
      <c r="U26" s="298"/>
      <c r="X26" s="177"/>
      <c r="AB26" s="177">
        <f t="shared" si="10"/>
        <v>19</v>
      </c>
      <c r="AC26" s="2">
        <f t="shared" si="3"/>
        <v>5</v>
      </c>
      <c r="AG26" s="220">
        <f t="shared" si="4"/>
        <v>0</v>
      </c>
      <c r="AH26" s="220">
        <f ca="1">IF(HLOOKUP($F26,Jornada!$X$7:$AD$37,VLOOKUP(INDIRECT($C$5),Jornada!$C$8:$W$37,21,0),0)=0,0,VLOOKUP(INDIRECT($C$5),Jornada!$C$8:$H$37,4,0))</f>
        <v>0</v>
      </c>
      <c r="AI26" s="155">
        <f ca="1">IF(AND(I26=0,J26=0,OR(H26&lt;&gt;0,K26&lt;&gt;0),HLOOKUP($F26,Jornada!$X$7:$AD$37,VLOOKUP(INDIRECT($C$5),Jornada!$C$8:$W$37,21,0),0)&gt;$AK$5,M26&gt;$AK$5),VLOOKUP(INDIRECT($C$5),Jornada!$C$8:$H$37,6,0),IF(AG26&gt;VLOOKUP(INDIRECT($C$5),Jornada!$C$8:$H$37,6,0),IF(VLOOKUP(INDIRECT($C$5),Jornada!$C$8:$H$37,6,0)&lt;AG26,0,ABS(VLOOKUP(INDIRECT($C$5),Jornada!$C$8:$H$37,6,0))-AG26),0))</f>
        <v>0</v>
      </c>
      <c r="AJ26" s="155">
        <f t="shared" si="5"/>
        <v>1</v>
      </c>
      <c r="AK26" s="155">
        <f t="shared" si="6"/>
        <v>0</v>
      </c>
      <c r="AL26" s="155">
        <f ca="1">HLOOKUP($F26,Jornada!$I$5:$V$37,VLOOKUP(INDIRECT($C$5),Jornada!$C$8:$W$37,21,0)+2,0)</f>
        <v>0</v>
      </c>
      <c r="AM26" s="155">
        <f ca="1">HLOOKUP($F26,Jornada!$I$4:$V$37,VLOOKUP(INDIRECT($C$5),Jornada!$C$8:$W$37,21,0)+3,0)</f>
        <v>0</v>
      </c>
      <c r="AN26" s="155">
        <f t="shared" ca="1" si="7"/>
        <v>0</v>
      </c>
      <c r="AO26" s="155">
        <f t="shared" si="8"/>
        <v>0</v>
      </c>
      <c r="AP26" s="155">
        <f t="shared" si="9"/>
        <v>0</v>
      </c>
      <c r="BE26" s="14"/>
      <c r="BF26" s="14"/>
      <c r="BG26" s="14"/>
    </row>
    <row r="27" spans="1:59" s="2" customFormat="1" ht="30" customHeight="1" thickTop="1" thickBot="1" x14ac:dyDescent="0.25">
      <c r="A27" s="1"/>
      <c r="B27"/>
      <c r="C27" s="172" t="str">
        <f>IF(Funcionários!C26=0,"",Funcionários!C26)</f>
        <v/>
      </c>
      <c r="D27"/>
      <c r="E27" s="115">
        <f>Lanç!E27</f>
        <v>20</v>
      </c>
      <c r="F27" s="189" t="str">
        <f>Lanç!F27</f>
        <v>Sex</v>
      </c>
      <c r="G27" s="81"/>
      <c r="H27" s="94"/>
      <c r="I27" s="94"/>
      <c r="J27" s="94"/>
      <c r="K27" s="94"/>
      <c r="L27" s="10"/>
      <c r="M27" s="95">
        <f t="shared" si="1"/>
        <v>0</v>
      </c>
      <c r="N27" s="96"/>
      <c r="O27" s="95">
        <f ca="1">IF(OR(G27=0,G27="Férias",G27="Falta Justificada",G27="Feriado",G27="Folga (DSR)"),0,IF(G27="Falta Injustificada",HLOOKUP($F27,Jornada!$X$7:$AD$37,VLOOKUP(INDIRECT($C$5),Jornada!$C$8:$W$37,21,0),0),IF(HLOOKUP($F27,Jornada!$X$7:$AD$37,VLOOKUP(INDIRECT($C$5),Jornada!$C$8:$W$37,21,0),0)-M27&gt;0,HLOOKUP($F27,Jornada!$X$7:$AD$37,VLOOKUP(INDIRECT($C$5),Jornada!$C$8:$W$37,21,0),0)-M27,0)))</f>
        <v>0</v>
      </c>
      <c r="P27" s="190">
        <f ca="1">IF(HLOOKUP($F27,Jornada!$X$7:$AD$37,VLOOKUP(INDIRECT($C$5),Jornada!$C$8:$W$37,21,0),0)-M27&lt;0,ABS(HLOOKUP($F27,Jornada!$X$7:$AD$37,VLOOKUP(INDIRECT($C$5),Jornada!$C$8:$W$37,21,0),0)-M27),0)</f>
        <v>0</v>
      </c>
      <c r="Q27" s="95">
        <f t="shared" si="0"/>
        <v>0</v>
      </c>
      <c r="R27" s="2">
        <f t="shared" si="2"/>
        <v>0</v>
      </c>
      <c r="S27" s="296"/>
      <c r="T27" s="297"/>
      <c r="U27" s="298"/>
      <c r="X27" s="177"/>
      <c r="AB27" s="177">
        <f t="shared" si="10"/>
        <v>20</v>
      </c>
      <c r="AC27" s="2">
        <f t="shared" si="3"/>
        <v>6</v>
      </c>
      <c r="AG27" s="220">
        <f t="shared" si="4"/>
        <v>0</v>
      </c>
      <c r="AH27" s="220">
        <f ca="1">IF(HLOOKUP($F27,Jornada!$X$7:$AD$37,VLOOKUP(INDIRECT($C$5),Jornada!$C$8:$W$37,21,0),0)=0,0,VLOOKUP(INDIRECT($C$5),Jornada!$C$8:$H$37,4,0))</f>
        <v>0</v>
      </c>
      <c r="AI27" s="155">
        <f ca="1">IF(AND(I27=0,J27=0,OR(H27&lt;&gt;0,K27&lt;&gt;0),HLOOKUP($F27,Jornada!$X$7:$AD$37,VLOOKUP(INDIRECT($C$5),Jornada!$C$8:$W$37,21,0),0)&gt;$AK$5,M27&gt;$AK$5),VLOOKUP(INDIRECT($C$5),Jornada!$C$8:$H$37,6,0),IF(AG27&gt;VLOOKUP(INDIRECT($C$5),Jornada!$C$8:$H$37,6,0),IF(VLOOKUP(INDIRECT($C$5),Jornada!$C$8:$H$37,6,0)&lt;AG27,0,ABS(VLOOKUP(INDIRECT($C$5),Jornada!$C$8:$H$37,6,0))-AG27),0))</f>
        <v>0</v>
      </c>
      <c r="AJ27" s="155">
        <f t="shared" si="5"/>
        <v>1</v>
      </c>
      <c r="AK27" s="155">
        <f t="shared" si="6"/>
        <v>0</v>
      </c>
      <c r="AL27" s="155">
        <f ca="1">HLOOKUP($F27,Jornada!$I$5:$V$37,VLOOKUP(INDIRECT($C$5),Jornada!$C$8:$W$37,21,0)+2,0)</f>
        <v>0</v>
      </c>
      <c r="AM27" s="155">
        <f ca="1">HLOOKUP($F27,Jornada!$I$4:$V$37,VLOOKUP(INDIRECT($C$5),Jornada!$C$8:$W$37,21,0)+3,0)</f>
        <v>0</v>
      </c>
      <c r="AN27" s="155">
        <f t="shared" ca="1" si="7"/>
        <v>0</v>
      </c>
      <c r="AO27" s="155">
        <f t="shared" si="8"/>
        <v>0</v>
      </c>
      <c r="AP27" s="155">
        <f t="shared" si="9"/>
        <v>0</v>
      </c>
    </row>
    <row r="28" spans="1:59" s="2" customFormat="1" ht="30" customHeight="1" thickTop="1" thickBot="1" x14ac:dyDescent="0.25">
      <c r="A28" s="1"/>
      <c r="B28"/>
      <c r="C28" s="172" t="str">
        <f>IF(Funcionários!C27=0,"",Funcionários!C27)</f>
        <v/>
      </c>
      <c r="D28"/>
      <c r="E28" s="115">
        <f>Lanç!E28</f>
        <v>21</v>
      </c>
      <c r="F28" s="189" t="str">
        <f>Lanç!F28</f>
        <v>Sáb</v>
      </c>
      <c r="G28" s="81"/>
      <c r="H28" s="94"/>
      <c r="I28" s="94"/>
      <c r="J28" s="94"/>
      <c r="K28" s="94"/>
      <c r="L28" s="10"/>
      <c r="M28" s="95">
        <f t="shared" si="1"/>
        <v>0</v>
      </c>
      <c r="N28" s="96"/>
      <c r="O28" s="95">
        <f ca="1">IF(OR(G28=0,G28="Férias",G28="Falta Justificada",G28="Feriado",G28="Folga (DSR)"),0,IF(G28="Falta Injustificada",HLOOKUP($F28,Jornada!$X$7:$AD$37,VLOOKUP(INDIRECT($C$5),Jornada!$C$8:$W$37,21,0),0),IF(HLOOKUP($F28,Jornada!$X$7:$AD$37,VLOOKUP(INDIRECT($C$5),Jornada!$C$8:$W$37,21,0),0)-M28&gt;0,HLOOKUP($F28,Jornada!$X$7:$AD$37,VLOOKUP(INDIRECT($C$5),Jornada!$C$8:$W$37,21,0),0)-M28,0)))</f>
        <v>0</v>
      </c>
      <c r="P28" s="190">
        <f ca="1">IF(HLOOKUP($F28,Jornada!$X$7:$AD$37,VLOOKUP(INDIRECT($C$5),Jornada!$C$8:$W$37,21,0),0)-M28&lt;0,ABS(HLOOKUP($F28,Jornada!$X$7:$AD$37,VLOOKUP(INDIRECT($C$5),Jornada!$C$8:$W$37,21,0),0)-M28),0)</f>
        <v>0</v>
      </c>
      <c r="Q28" s="95">
        <f t="shared" si="0"/>
        <v>0</v>
      </c>
      <c r="R28" s="2">
        <f t="shared" si="2"/>
        <v>0</v>
      </c>
      <c r="S28" s="296"/>
      <c r="T28" s="297"/>
      <c r="U28" s="298"/>
      <c r="X28" s="177"/>
      <c r="AB28" s="177">
        <f t="shared" si="10"/>
        <v>21</v>
      </c>
      <c r="AC28" s="2">
        <f t="shared" si="3"/>
        <v>7</v>
      </c>
      <c r="AG28" s="220">
        <f t="shared" si="4"/>
        <v>0</v>
      </c>
      <c r="AH28" s="220">
        <f ca="1">IF(HLOOKUP($F28,Jornada!$X$7:$AD$37,VLOOKUP(INDIRECT($C$5),Jornada!$C$8:$W$37,21,0),0)=0,0,VLOOKUP(INDIRECT($C$5),Jornada!$C$8:$H$37,4,0))</f>
        <v>0</v>
      </c>
      <c r="AI28" s="155">
        <f ca="1">IF(AND(I28=0,J28=0,OR(H28&lt;&gt;0,K28&lt;&gt;0),HLOOKUP($F28,Jornada!$X$7:$AD$37,VLOOKUP(INDIRECT($C$5),Jornada!$C$8:$W$37,21,0),0)&gt;$AK$5,M28&gt;$AK$5),VLOOKUP(INDIRECT($C$5),Jornada!$C$8:$H$37,6,0),IF(AG28&gt;VLOOKUP(INDIRECT($C$5),Jornada!$C$8:$H$37,6,0),IF(VLOOKUP(INDIRECT($C$5),Jornada!$C$8:$H$37,6,0)&lt;AG28,0,ABS(VLOOKUP(INDIRECT($C$5),Jornada!$C$8:$H$37,6,0))-AG28),0))</f>
        <v>0</v>
      </c>
      <c r="AJ28" s="155">
        <f t="shared" si="5"/>
        <v>1</v>
      </c>
      <c r="AK28" s="155">
        <f t="shared" si="6"/>
        <v>0</v>
      </c>
      <c r="AL28" s="155">
        <f ca="1">HLOOKUP($F28,Jornada!$I$5:$V$37,VLOOKUP(INDIRECT($C$5),Jornada!$C$8:$W$37,21,0)+2,0)</f>
        <v>0</v>
      </c>
      <c r="AM28" s="155">
        <f ca="1">HLOOKUP($F28,Jornada!$I$4:$V$37,VLOOKUP(INDIRECT($C$5),Jornada!$C$8:$W$37,21,0)+3,0)</f>
        <v>0</v>
      </c>
      <c r="AN28" s="155">
        <f t="shared" ca="1" si="7"/>
        <v>0</v>
      </c>
      <c r="AO28" s="155">
        <f t="shared" si="8"/>
        <v>0</v>
      </c>
      <c r="AP28" s="155">
        <f t="shared" si="9"/>
        <v>0</v>
      </c>
    </row>
    <row r="29" spans="1:59" s="2" customFormat="1" ht="30" customHeight="1" thickTop="1" thickBot="1" x14ac:dyDescent="0.25">
      <c r="A29" s="1"/>
      <c r="B29"/>
      <c r="C29" s="172" t="str">
        <f>IF(Funcionários!C28=0,"",Funcionários!C28)</f>
        <v/>
      </c>
      <c r="D29"/>
      <c r="E29" s="115">
        <f>Lanç!E29</f>
        <v>22</v>
      </c>
      <c r="F29" s="189" t="str">
        <f>Lanç!F29</f>
        <v>Dom</v>
      </c>
      <c r="G29" s="81"/>
      <c r="H29" s="94"/>
      <c r="I29" s="94"/>
      <c r="J29" s="94"/>
      <c r="K29" s="94"/>
      <c r="L29" s="10"/>
      <c r="M29" s="95">
        <f t="shared" si="1"/>
        <v>0</v>
      </c>
      <c r="N29" s="96"/>
      <c r="O29" s="95">
        <f ca="1">IF(OR(G29=0,G29="Férias",G29="Falta Justificada",G29="Feriado",G29="Folga (DSR)"),0,IF(G29="Falta Injustificada",HLOOKUP($F29,Jornada!$X$7:$AD$37,VLOOKUP(INDIRECT($C$5),Jornada!$C$8:$W$37,21,0),0),IF(HLOOKUP($F29,Jornada!$X$7:$AD$37,VLOOKUP(INDIRECT($C$5),Jornada!$C$8:$W$37,21,0),0)-M29&gt;0,HLOOKUP($F29,Jornada!$X$7:$AD$37,VLOOKUP(INDIRECT($C$5),Jornada!$C$8:$W$37,21,0),0)-M29,0)))</f>
        <v>0</v>
      </c>
      <c r="P29" s="190">
        <f ca="1">IF(HLOOKUP($F29,Jornada!$X$7:$AD$37,VLOOKUP(INDIRECT($C$5),Jornada!$C$8:$W$37,21,0),0)-M29&lt;0,ABS(HLOOKUP($F29,Jornada!$X$7:$AD$37,VLOOKUP(INDIRECT($C$5),Jornada!$C$8:$W$37,21,0),0)-M29),0)</f>
        <v>0</v>
      </c>
      <c r="Q29" s="95">
        <f t="shared" si="0"/>
        <v>0</v>
      </c>
      <c r="R29" s="2">
        <f t="shared" si="2"/>
        <v>0</v>
      </c>
      <c r="S29" s="13"/>
      <c r="T29" s="74"/>
      <c r="U29" s="74"/>
      <c r="X29" s="177"/>
      <c r="AB29" s="177">
        <f t="shared" si="10"/>
        <v>22</v>
      </c>
      <c r="AC29" s="2">
        <f t="shared" si="3"/>
        <v>1</v>
      </c>
      <c r="AG29" s="220">
        <f t="shared" si="4"/>
        <v>0</v>
      </c>
      <c r="AH29" s="220">
        <f ca="1">IF(HLOOKUP($F29,Jornada!$X$7:$AD$37,VLOOKUP(INDIRECT($C$5),Jornada!$C$8:$W$37,21,0),0)=0,0,VLOOKUP(INDIRECT($C$5),Jornada!$C$8:$H$37,4,0))</f>
        <v>0</v>
      </c>
      <c r="AI29" s="155">
        <f ca="1">IF(AND(I29=0,J29=0,OR(H29&lt;&gt;0,K29&lt;&gt;0),HLOOKUP($F29,Jornada!$X$7:$AD$37,VLOOKUP(INDIRECT($C$5),Jornada!$C$8:$W$37,21,0),0)&gt;$AK$5,M29&gt;$AK$5),VLOOKUP(INDIRECT($C$5),Jornada!$C$8:$H$37,6,0),IF(AG29&gt;VLOOKUP(INDIRECT($C$5),Jornada!$C$8:$H$37,6,0),IF(VLOOKUP(INDIRECT($C$5),Jornada!$C$8:$H$37,6,0)&lt;AG29,0,ABS(VLOOKUP(INDIRECT($C$5),Jornada!$C$8:$H$37,6,0))-AG29),0))</f>
        <v>0</v>
      </c>
      <c r="AJ29" s="155">
        <f t="shared" si="5"/>
        <v>1</v>
      </c>
      <c r="AK29" s="155">
        <f t="shared" si="6"/>
        <v>0</v>
      </c>
      <c r="AL29" s="155">
        <f ca="1">HLOOKUP($F29,Jornada!$I$5:$V$37,VLOOKUP(INDIRECT($C$5),Jornada!$C$8:$W$37,21,0)+2,0)</f>
        <v>0</v>
      </c>
      <c r="AM29" s="155">
        <f ca="1">HLOOKUP($F29,Jornada!$I$4:$V$37,VLOOKUP(INDIRECT($C$5),Jornada!$C$8:$W$37,21,0)+3,0)</f>
        <v>0</v>
      </c>
      <c r="AN29" s="155">
        <f t="shared" ca="1" si="7"/>
        <v>0</v>
      </c>
      <c r="AO29" s="155">
        <f t="shared" si="8"/>
        <v>0</v>
      </c>
      <c r="AP29" s="155">
        <f t="shared" si="9"/>
        <v>0</v>
      </c>
    </row>
    <row r="30" spans="1:59" s="2" customFormat="1" ht="30" customHeight="1" thickTop="1" thickBot="1" x14ac:dyDescent="0.25">
      <c r="A30" s="1"/>
      <c r="B30"/>
      <c r="C30" s="172" t="str">
        <f>IF(Funcionários!C29=0,"",Funcionários!C29)</f>
        <v/>
      </c>
      <c r="D30"/>
      <c r="E30" s="173">
        <f>Lanç!E30</f>
        <v>23</v>
      </c>
      <c r="F30" s="189" t="str">
        <f>Lanç!F30</f>
        <v>Seg</v>
      </c>
      <c r="G30" s="81"/>
      <c r="H30" s="94"/>
      <c r="I30" s="94"/>
      <c r="J30" s="94"/>
      <c r="K30" s="94"/>
      <c r="L30" s="10"/>
      <c r="M30" s="95">
        <f t="shared" si="1"/>
        <v>0</v>
      </c>
      <c r="N30" s="96"/>
      <c r="O30" s="95">
        <f ca="1">IF(OR(G30=0,G30="Férias",G30="Falta Justificada",G30="Feriado",G30="Folga (DSR)"),0,IF(G30="Falta Injustificada",HLOOKUP($F30,Jornada!$X$7:$AD$37,VLOOKUP(INDIRECT($C$5),Jornada!$C$8:$W$37,21,0),0),IF(HLOOKUP($F30,Jornada!$X$7:$AD$37,VLOOKUP(INDIRECT($C$5),Jornada!$C$8:$W$37,21,0),0)-M30&gt;0,HLOOKUP($F30,Jornada!$X$7:$AD$37,VLOOKUP(INDIRECT($C$5),Jornada!$C$8:$W$37,21,0),0)-M30,0)))</f>
        <v>0</v>
      </c>
      <c r="P30" s="190">
        <f ca="1">IF(HLOOKUP($F30,Jornada!$X$7:$AD$37,VLOOKUP(INDIRECT($C$5),Jornada!$C$8:$W$37,21,0),0)-M30&lt;0,ABS(HLOOKUP($F30,Jornada!$X$7:$AD$37,VLOOKUP(INDIRECT($C$5),Jornada!$C$8:$W$37,21,0),0)-M30),0)</f>
        <v>0</v>
      </c>
      <c r="Q30" s="95">
        <f t="shared" si="0"/>
        <v>0</v>
      </c>
      <c r="R30" s="2">
        <f>IF(Q30&gt;$R$7,1,0)</f>
        <v>0</v>
      </c>
      <c r="S30" s="13"/>
      <c r="T30" s="74"/>
      <c r="U30" s="74"/>
      <c r="X30" s="177"/>
      <c r="AB30" s="177">
        <f t="shared" si="10"/>
        <v>23</v>
      </c>
      <c r="AC30" s="2">
        <f>WEEKDAY(AB30)</f>
        <v>2</v>
      </c>
      <c r="AG30" s="220">
        <f t="shared" si="4"/>
        <v>0</v>
      </c>
      <c r="AH30" s="220">
        <f ca="1">IF(HLOOKUP($F30,Jornada!$X$7:$AD$37,VLOOKUP(INDIRECT($C$5),Jornada!$C$8:$W$37,21,0),0)=0,0,VLOOKUP(INDIRECT($C$5),Jornada!$C$8:$H$37,4,0))</f>
        <v>0</v>
      </c>
      <c r="AI30" s="155">
        <f ca="1">IF(AND(I30=0,J30=0,OR(H30&lt;&gt;0,K30&lt;&gt;0),HLOOKUP($F30,Jornada!$X$7:$AD$37,VLOOKUP(INDIRECT($C$5),Jornada!$C$8:$W$37,21,0),0)&gt;$AK$5,M30&gt;$AK$5),VLOOKUP(INDIRECT($C$5),Jornada!$C$8:$H$37,6,0),IF(AG30&gt;VLOOKUP(INDIRECT($C$5),Jornada!$C$8:$H$37,6,0),IF(VLOOKUP(INDIRECT($C$5),Jornada!$C$8:$H$37,6,0)&lt;AG30,0,ABS(VLOOKUP(INDIRECT($C$5),Jornada!$C$8:$H$37,6,0))-AG30),0))</f>
        <v>0</v>
      </c>
      <c r="AJ30" s="155">
        <f>($AJ$7-K30)+H30</f>
        <v>1</v>
      </c>
      <c r="AK30" s="155">
        <f>IF(AJ30&lt;$AK$7,$AK$7-AJ30,$AI$7)</f>
        <v>0</v>
      </c>
      <c r="AL30" s="155">
        <f ca="1">HLOOKUP($F30,Jornada!$I$5:$V$37,VLOOKUP(INDIRECT($C$5),Jornada!$C$8:$W$37,21,0)+2,0)</f>
        <v>0</v>
      </c>
      <c r="AM30" s="155">
        <f ca="1">HLOOKUP($F30,Jornada!$I$4:$V$37,VLOOKUP(INDIRECT($C$5),Jornada!$C$8:$W$37,21,0)+3,0)</f>
        <v>0</v>
      </c>
      <c r="AN30" s="155">
        <f t="shared" ca="1" si="7"/>
        <v>0</v>
      </c>
      <c r="AO30" s="155">
        <f t="shared" si="8"/>
        <v>0</v>
      </c>
      <c r="AP30" s="155">
        <f t="shared" si="9"/>
        <v>0</v>
      </c>
    </row>
    <row r="31" spans="1:59" s="2" customFormat="1" ht="30" customHeight="1" thickTop="1" thickBot="1" x14ac:dyDescent="0.25">
      <c r="A31" s="1"/>
      <c r="B31"/>
      <c r="C31" s="172" t="str">
        <f>IF(Funcionários!C30=0,"",Funcionários!C30)</f>
        <v/>
      </c>
      <c r="D31"/>
      <c r="E31" s="173">
        <f>Lanç!E31</f>
        <v>24</v>
      </c>
      <c r="F31" s="189" t="str">
        <f>Lanç!F31</f>
        <v>Ter</v>
      </c>
      <c r="G31" s="81"/>
      <c r="H31" s="94"/>
      <c r="I31" s="94"/>
      <c r="J31" s="94"/>
      <c r="K31" s="94"/>
      <c r="L31" s="10"/>
      <c r="M31" s="95">
        <f t="shared" si="1"/>
        <v>0</v>
      </c>
      <c r="N31" s="96"/>
      <c r="O31" s="95">
        <f ca="1">IF(OR(G31=0,G31="Férias",G31="Falta Justificada",G31="Feriado",G31="Folga (DSR)"),0,IF(G31="Falta Injustificada",HLOOKUP($F31,Jornada!$X$7:$AD$37,VLOOKUP(INDIRECT($C$5),Jornada!$C$8:$W$37,21,0),0),IF(HLOOKUP($F31,Jornada!$X$7:$AD$37,VLOOKUP(INDIRECT($C$5),Jornada!$C$8:$W$37,21,0),0)-M31&gt;0,HLOOKUP($F31,Jornada!$X$7:$AD$37,VLOOKUP(INDIRECT($C$5),Jornada!$C$8:$W$37,21,0),0)-M31,0)))</f>
        <v>0</v>
      </c>
      <c r="P31" s="190">
        <f ca="1">IF(HLOOKUP($F31,Jornada!$X$7:$AD$37,VLOOKUP(INDIRECT($C$5),Jornada!$C$8:$W$37,21,0),0)-M31&lt;0,ABS(HLOOKUP($F31,Jornada!$X$7:$AD$37,VLOOKUP(INDIRECT($C$5),Jornada!$C$8:$W$37,21,0),0)-M31),0)</f>
        <v>0</v>
      </c>
      <c r="Q31" s="95">
        <f t="shared" si="0"/>
        <v>0</v>
      </c>
      <c r="R31" s="2">
        <f>IF(Q31&gt;$R$7,1,0)</f>
        <v>0</v>
      </c>
      <c r="S31" s="13"/>
      <c r="T31" s="74"/>
      <c r="U31" s="74"/>
      <c r="X31" s="177"/>
      <c r="AB31" s="177">
        <f t="shared" si="10"/>
        <v>24</v>
      </c>
      <c r="AC31" s="2">
        <f>WEEKDAY(AB31)</f>
        <v>3</v>
      </c>
      <c r="AG31" s="220">
        <f t="shared" si="4"/>
        <v>0</v>
      </c>
      <c r="AH31" s="220">
        <f ca="1">IF(HLOOKUP($F31,Jornada!$X$7:$AD$37,VLOOKUP(INDIRECT($C$5),Jornada!$C$8:$W$37,21,0),0)=0,0,VLOOKUP(INDIRECT($C$5),Jornada!$C$8:$H$37,4,0))</f>
        <v>0</v>
      </c>
      <c r="AI31" s="155">
        <f ca="1">IF(AND(I31=0,J31=0,OR(H31&lt;&gt;0,K31&lt;&gt;0),HLOOKUP($F31,Jornada!$X$7:$AD$37,VLOOKUP(INDIRECT($C$5),Jornada!$C$8:$W$37,21,0),0)&gt;$AK$5,M31&gt;$AK$5),VLOOKUP(INDIRECT($C$5),Jornada!$C$8:$H$37,6,0),IF(AG31&gt;VLOOKUP(INDIRECT($C$5),Jornada!$C$8:$H$37,6,0),IF(VLOOKUP(INDIRECT($C$5),Jornada!$C$8:$H$37,6,0)&lt;AG31,0,ABS(VLOOKUP(INDIRECT($C$5),Jornada!$C$8:$H$37,6,0))-AG31),0))</f>
        <v>0</v>
      </c>
      <c r="AJ31" s="155">
        <f>($AJ$7-K31)+H31</f>
        <v>1</v>
      </c>
      <c r="AK31" s="155">
        <f>IF(AJ31&lt;$AK$7,$AK$7-AJ31,$AI$7)</f>
        <v>0</v>
      </c>
      <c r="AL31" s="155">
        <f ca="1">HLOOKUP($F31,Jornada!$I$5:$V$37,VLOOKUP(INDIRECT($C$5),Jornada!$C$8:$W$37,21,0)+2,0)</f>
        <v>0</v>
      </c>
      <c r="AM31" s="155">
        <f ca="1">HLOOKUP($F31,Jornada!$I$4:$V$37,VLOOKUP(INDIRECT($C$5),Jornada!$C$8:$W$37,21,0)+3,0)</f>
        <v>0</v>
      </c>
      <c r="AN31" s="155">
        <f t="shared" ca="1" si="7"/>
        <v>0</v>
      </c>
      <c r="AO31" s="155">
        <f t="shared" si="8"/>
        <v>0</v>
      </c>
      <c r="AP31" s="155">
        <f t="shared" si="9"/>
        <v>0</v>
      </c>
    </row>
    <row r="32" spans="1:59" s="2" customFormat="1" ht="30" customHeight="1" thickTop="1" thickBot="1" x14ac:dyDescent="0.25">
      <c r="A32" s="1"/>
      <c r="B32"/>
      <c r="C32" s="171" t="str">
        <f>IF(Funcionários!C31=0,"",Funcionários!C31)</f>
        <v/>
      </c>
      <c r="D32"/>
      <c r="E32" s="115">
        <f>Lanç!E32</f>
        <v>25</v>
      </c>
      <c r="F32" s="189" t="str">
        <f>Lanç!F32</f>
        <v>Qua</v>
      </c>
      <c r="G32" s="81"/>
      <c r="H32" s="94"/>
      <c r="I32" s="94"/>
      <c r="J32" s="94"/>
      <c r="K32" s="94"/>
      <c r="L32" s="10"/>
      <c r="M32" s="95">
        <f t="shared" si="1"/>
        <v>0</v>
      </c>
      <c r="N32" s="96"/>
      <c r="O32" s="95">
        <f ca="1">IF(OR(G32=0,G32="Férias",G32="Falta Justificada",G32="Feriado",G32="Folga (DSR)"),0,IF(G32="Falta Injustificada",HLOOKUP($F32,Jornada!$X$7:$AD$37,VLOOKUP(INDIRECT($C$5),Jornada!$C$8:$W$37,21,0),0),IF(HLOOKUP($F32,Jornada!$X$7:$AD$37,VLOOKUP(INDIRECT($C$5),Jornada!$C$8:$W$37,21,0),0)-M32&gt;0,HLOOKUP($F32,Jornada!$X$7:$AD$37,VLOOKUP(INDIRECT($C$5),Jornada!$C$8:$W$37,21,0),0)-M32,0)))</f>
        <v>0</v>
      </c>
      <c r="P32" s="190">
        <f ca="1">IF(HLOOKUP($F32,Jornada!$X$7:$AD$37,VLOOKUP(INDIRECT($C$5),Jornada!$C$8:$W$37,21,0),0)-M32&lt;0,ABS(HLOOKUP($F32,Jornada!$X$7:$AD$37,VLOOKUP(INDIRECT($C$5),Jornada!$C$8:$W$37,21,0),0)-M32),0)</f>
        <v>0</v>
      </c>
      <c r="Q32" s="95">
        <f t="shared" si="0"/>
        <v>0</v>
      </c>
      <c r="R32" s="2">
        <f t="shared" si="2"/>
        <v>0</v>
      </c>
      <c r="S32" s="74"/>
      <c r="T32" s="74"/>
      <c r="U32" s="74"/>
      <c r="X32" s="177"/>
      <c r="AB32" s="177">
        <f t="shared" si="10"/>
        <v>25</v>
      </c>
      <c r="AC32" s="2">
        <f t="shared" si="3"/>
        <v>4</v>
      </c>
      <c r="AG32" s="220">
        <f t="shared" si="4"/>
        <v>0</v>
      </c>
      <c r="AH32" s="220">
        <f ca="1">IF(HLOOKUP($F32,Jornada!$X$7:$AD$37,VLOOKUP(INDIRECT($C$5),Jornada!$C$8:$W$37,21,0),0)=0,0,VLOOKUP(INDIRECT($C$5),Jornada!$C$8:$H$37,4,0))</f>
        <v>0</v>
      </c>
      <c r="AI32" s="155">
        <f ca="1">IF(AND(I32=0,J32=0,OR(H32&lt;&gt;0,K32&lt;&gt;0),HLOOKUP($F32,Jornada!$X$7:$AD$37,VLOOKUP(INDIRECT($C$5),Jornada!$C$8:$W$37,21,0),0)&gt;$AK$5,M32&gt;$AK$5),VLOOKUP(INDIRECT($C$5),Jornada!$C$8:$H$37,6,0),IF(AG32&gt;VLOOKUP(INDIRECT($C$5),Jornada!$C$8:$H$37,6,0),IF(VLOOKUP(INDIRECT($C$5),Jornada!$C$8:$H$37,6,0)&lt;AG32,0,ABS(VLOOKUP(INDIRECT($C$5),Jornada!$C$8:$H$37,6,0))-AG32),0))</f>
        <v>0</v>
      </c>
      <c r="AJ32" s="155">
        <f t="shared" si="5"/>
        <v>1</v>
      </c>
      <c r="AK32" s="155">
        <f t="shared" si="6"/>
        <v>0</v>
      </c>
      <c r="AL32" s="155">
        <f ca="1">HLOOKUP($F32,Jornada!$I$5:$V$37,VLOOKUP(INDIRECT($C$5),Jornada!$C$8:$W$37,21,0)+2,0)</f>
        <v>0</v>
      </c>
      <c r="AM32" s="155">
        <f ca="1">HLOOKUP($F32,Jornada!$I$4:$V$37,VLOOKUP(INDIRECT($C$5),Jornada!$C$8:$W$37,21,0)+3,0)</f>
        <v>0</v>
      </c>
      <c r="AN32" s="155">
        <f t="shared" ca="1" si="7"/>
        <v>0</v>
      </c>
      <c r="AO32" s="155">
        <f t="shared" si="8"/>
        <v>0</v>
      </c>
      <c r="AP32" s="155">
        <f t="shared" si="9"/>
        <v>0</v>
      </c>
    </row>
    <row r="33" spans="1:42" s="2" customFormat="1" ht="30" customHeight="1" thickTop="1" thickBot="1" x14ac:dyDescent="0.25">
      <c r="A33" s="1"/>
      <c r="B33"/>
      <c r="C33" s="172" t="str">
        <f>IF(Funcionários!C32=0,"",Funcionários!C32)</f>
        <v/>
      </c>
      <c r="D33"/>
      <c r="E33" s="115">
        <f>Lanç!E33</f>
        <v>26</v>
      </c>
      <c r="F33" s="189" t="str">
        <f>Lanç!F33</f>
        <v>Qui</v>
      </c>
      <c r="G33" s="81"/>
      <c r="H33" s="94"/>
      <c r="I33" s="94"/>
      <c r="J33" s="94"/>
      <c r="K33" s="94"/>
      <c r="L33" s="10"/>
      <c r="M33" s="95">
        <f t="shared" si="1"/>
        <v>0</v>
      </c>
      <c r="N33" s="96"/>
      <c r="O33" s="95">
        <f ca="1">IF(OR(G33=0,G33="Férias",G33="Falta Justificada",G33="Feriado",G33="Folga (DSR)"),0,IF(G33="Falta Injustificada",HLOOKUP($F33,Jornada!$X$7:$AD$37,VLOOKUP(INDIRECT($C$5),Jornada!$C$8:$W$37,21,0),0),IF(HLOOKUP($F33,Jornada!$X$7:$AD$37,VLOOKUP(INDIRECT($C$5),Jornada!$C$8:$W$37,21,0),0)-M33&gt;0,HLOOKUP($F33,Jornada!$X$7:$AD$37,VLOOKUP(INDIRECT($C$5),Jornada!$C$8:$W$37,21,0),0)-M33,0)))</f>
        <v>0</v>
      </c>
      <c r="P33" s="190">
        <f ca="1">IF(HLOOKUP($F33,Jornada!$X$7:$AD$37,VLOOKUP(INDIRECT($C$5),Jornada!$C$8:$W$37,21,0),0)-M33&lt;0,ABS(HLOOKUP($F33,Jornada!$X$7:$AD$37,VLOOKUP(INDIRECT($C$5),Jornada!$C$8:$W$37,21,0),0)-M33),0)</f>
        <v>0</v>
      </c>
      <c r="Q33" s="95">
        <f t="shared" si="0"/>
        <v>0</v>
      </c>
      <c r="R33" s="2">
        <f t="shared" si="2"/>
        <v>0</v>
      </c>
      <c r="S33" s="74"/>
      <c r="T33" s="74"/>
      <c r="U33" s="74"/>
      <c r="X33" s="177"/>
      <c r="AB33" s="177">
        <f t="shared" si="10"/>
        <v>26</v>
      </c>
      <c r="AC33" s="2">
        <f t="shared" si="3"/>
        <v>5</v>
      </c>
      <c r="AG33" s="220">
        <f t="shared" si="4"/>
        <v>0</v>
      </c>
      <c r="AH33" s="220">
        <f ca="1">IF(HLOOKUP($F33,Jornada!$X$7:$AD$37,VLOOKUP(INDIRECT($C$5),Jornada!$C$8:$W$37,21,0),0)=0,0,VLOOKUP(INDIRECT($C$5),Jornada!$C$8:$H$37,4,0))</f>
        <v>0</v>
      </c>
      <c r="AI33" s="155">
        <f ca="1">IF(AND(I33=0,J33=0,OR(H33&lt;&gt;0,K33&lt;&gt;0),HLOOKUP($F33,Jornada!$X$7:$AD$37,VLOOKUP(INDIRECT($C$5),Jornada!$C$8:$W$37,21,0),0)&gt;$AK$5,M33&gt;$AK$5),VLOOKUP(INDIRECT($C$5),Jornada!$C$8:$H$37,6,0),IF(AG33&gt;VLOOKUP(INDIRECT($C$5),Jornada!$C$8:$H$37,6,0),IF(VLOOKUP(INDIRECT($C$5),Jornada!$C$8:$H$37,6,0)&lt;AG33,0,ABS(VLOOKUP(INDIRECT($C$5),Jornada!$C$8:$H$37,6,0))-AG33),0))</f>
        <v>0</v>
      </c>
      <c r="AJ33" s="155">
        <f t="shared" si="5"/>
        <v>1</v>
      </c>
      <c r="AK33" s="155">
        <f t="shared" si="6"/>
        <v>0</v>
      </c>
      <c r="AL33" s="155">
        <f ca="1">HLOOKUP($F33,Jornada!$I$5:$V$37,VLOOKUP(INDIRECT($C$5),Jornada!$C$8:$W$37,21,0)+2,0)</f>
        <v>0</v>
      </c>
      <c r="AM33" s="155">
        <f ca="1">HLOOKUP($F33,Jornada!$I$4:$V$37,VLOOKUP(INDIRECT($C$5),Jornada!$C$8:$W$37,21,0)+3,0)</f>
        <v>0</v>
      </c>
      <c r="AN33" s="155">
        <f t="shared" ca="1" si="7"/>
        <v>0</v>
      </c>
      <c r="AO33" s="155">
        <f t="shared" si="8"/>
        <v>0</v>
      </c>
      <c r="AP33" s="155">
        <f t="shared" si="9"/>
        <v>0</v>
      </c>
    </row>
    <row r="34" spans="1:42" s="2" customFormat="1" ht="30" customHeight="1" thickTop="1" thickBot="1" x14ac:dyDescent="0.25">
      <c r="A34" s="1"/>
      <c r="B34"/>
      <c r="C34" s="172" t="str">
        <f>IF(Funcionários!C33=0,"",Funcionários!C33)</f>
        <v/>
      </c>
      <c r="D34"/>
      <c r="E34" s="115">
        <f>Lanç!E34</f>
        <v>27</v>
      </c>
      <c r="F34" s="189" t="str">
        <f>Lanç!F34</f>
        <v>Sex</v>
      </c>
      <c r="G34" s="81"/>
      <c r="H34" s="94"/>
      <c r="I34" s="94"/>
      <c r="J34" s="94"/>
      <c r="K34" s="94"/>
      <c r="L34" s="10"/>
      <c r="M34" s="95">
        <f t="shared" si="1"/>
        <v>0</v>
      </c>
      <c r="N34" s="96"/>
      <c r="O34" s="95">
        <f ca="1">IF(OR(G34=0,G34="Férias",G34="Falta Justificada",G34="Feriado",G34="Folga (DSR)"),0,IF(G34="Falta Injustificada",HLOOKUP($F34,Jornada!$X$7:$AD$37,VLOOKUP(INDIRECT($C$5),Jornada!$C$8:$W$37,21,0),0),IF(HLOOKUP($F34,Jornada!$X$7:$AD$37,VLOOKUP(INDIRECT($C$5),Jornada!$C$8:$W$37,21,0),0)-M34&gt;0,HLOOKUP($F34,Jornada!$X$7:$AD$37,VLOOKUP(INDIRECT($C$5),Jornada!$C$8:$W$37,21,0),0)-M34,0)))</f>
        <v>0</v>
      </c>
      <c r="P34" s="190">
        <f ca="1">IF(HLOOKUP($F34,Jornada!$X$7:$AD$37,VLOOKUP(INDIRECT($C$5),Jornada!$C$8:$W$37,21,0),0)-M34&lt;0,ABS(HLOOKUP($F34,Jornada!$X$7:$AD$37,VLOOKUP(INDIRECT($C$5),Jornada!$C$8:$W$37,21,0),0)-M34),0)</f>
        <v>0</v>
      </c>
      <c r="Q34" s="95">
        <f t="shared" si="0"/>
        <v>0</v>
      </c>
      <c r="R34" s="2">
        <f t="shared" si="2"/>
        <v>0</v>
      </c>
      <c r="S34" s="74"/>
      <c r="T34" s="74"/>
      <c r="U34" s="74"/>
      <c r="X34" s="177"/>
      <c r="AB34" s="177">
        <f t="shared" si="10"/>
        <v>27</v>
      </c>
      <c r="AC34" s="2">
        <f t="shared" si="3"/>
        <v>6</v>
      </c>
      <c r="AG34" s="220">
        <f t="shared" si="4"/>
        <v>0</v>
      </c>
      <c r="AH34" s="220">
        <f ca="1">IF(HLOOKUP($F34,Jornada!$X$7:$AD$37,VLOOKUP(INDIRECT($C$5),Jornada!$C$8:$W$37,21,0),0)=0,0,VLOOKUP(INDIRECT($C$5),Jornada!$C$8:$H$37,4,0))</f>
        <v>0</v>
      </c>
      <c r="AI34" s="155">
        <f ca="1">IF(AND(I34=0,J34=0,OR(H34&lt;&gt;0,K34&lt;&gt;0),HLOOKUP($F34,Jornada!$X$7:$AD$37,VLOOKUP(INDIRECT($C$5),Jornada!$C$8:$W$37,21,0),0)&gt;$AK$5,M34&gt;$AK$5),VLOOKUP(INDIRECT($C$5),Jornada!$C$8:$H$37,6,0),IF(AG34&gt;VLOOKUP(INDIRECT($C$5),Jornada!$C$8:$H$37,6,0),IF(VLOOKUP(INDIRECT($C$5),Jornada!$C$8:$H$37,6,0)&lt;AG34,0,ABS(VLOOKUP(INDIRECT($C$5),Jornada!$C$8:$H$37,6,0))-AG34),0))</f>
        <v>0</v>
      </c>
      <c r="AJ34" s="155">
        <f t="shared" si="5"/>
        <v>1</v>
      </c>
      <c r="AK34" s="155">
        <f t="shared" si="6"/>
        <v>0</v>
      </c>
      <c r="AL34" s="155">
        <f ca="1">HLOOKUP($F34,Jornada!$I$5:$V$37,VLOOKUP(INDIRECT($C$5),Jornada!$C$8:$W$37,21,0)+2,0)</f>
        <v>0</v>
      </c>
      <c r="AM34" s="155">
        <f ca="1">HLOOKUP($F34,Jornada!$I$4:$V$37,VLOOKUP(INDIRECT($C$5),Jornada!$C$8:$W$37,21,0)+3,0)</f>
        <v>0</v>
      </c>
      <c r="AN34" s="155">
        <f t="shared" ca="1" si="7"/>
        <v>0</v>
      </c>
      <c r="AO34" s="155">
        <f t="shared" si="8"/>
        <v>0</v>
      </c>
      <c r="AP34" s="155">
        <f t="shared" si="9"/>
        <v>0</v>
      </c>
    </row>
    <row r="35" spans="1:42" s="2" customFormat="1" ht="30" customHeight="1" thickTop="1" thickBot="1" x14ac:dyDescent="0.25">
      <c r="A35" s="1"/>
      <c r="B35"/>
      <c r="C35" s="172" t="str">
        <f>IF(Funcionários!C34=0,"",Funcionários!C34)</f>
        <v/>
      </c>
      <c r="D35"/>
      <c r="E35" s="115">
        <f>Lanç!E35</f>
        <v>28</v>
      </c>
      <c r="F35" s="189" t="str">
        <f>Lanç!F35</f>
        <v>Sáb</v>
      </c>
      <c r="G35" s="81"/>
      <c r="H35" s="94"/>
      <c r="I35" s="94"/>
      <c r="J35" s="94"/>
      <c r="K35" s="94"/>
      <c r="L35" s="10"/>
      <c r="M35" s="95">
        <f t="shared" si="1"/>
        <v>0</v>
      </c>
      <c r="N35" s="96"/>
      <c r="O35" s="95">
        <f ca="1">IF(OR(G35=0,G35="Férias",G35="Falta Justificada",G35="Feriado",G35="Folga (DSR)"),0,IF(G35="Falta Injustificada",HLOOKUP($F35,Jornada!$X$7:$AD$37,VLOOKUP(INDIRECT($C$5),Jornada!$C$8:$W$37,21,0),0),IF(HLOOKUP($F35,Jornada!$X$7:$AD$37,VLOOKUP(INDIRECT($C$5),Jornada!$C$8:$W$37,21,0),0)-M35&gt;0,HLOOKUP($F35,Jornada!$X$7:$AD$37,VLOOKUP(INDIRECT($C$5),Jornada!$C$8:$W$37,21,0),0)-M35,0)))</f>
        <v>0</v>
      </c>
      <c r="P35" s="190">
        <f ca="1">IF(HLOOKUP($F35,Jornada!$X$7:$AD$37,VLOOKUP(INDIRECT($C$5),Jornada!$C$8:$W$37,21,0),0)-M35&lt;0,ABS(HLOOKUP($F35,Jornada!$X$7:$AD$37,VLOOKUP(INDIRECT($C$5),Jornada!$C$8:$W$37,21,0),0)-M35),0)</f>
        <v>0</v>
      </c>
      <c r="Q35" s="95">
        <f t="shared" si="0"/>
        <v>0</v>
      </c>
      <c r="R35" s="2">
        <f t="shared" si="2"/>
        <v>0</v>
      </c>
      <c r="S35"/>
      <c r="T35"/>
      <c r="U35"/>
      <c r="X35" s="177"/>
      <c r="AB35" s="177">
        <f>IF(MONTH(AB34+1)&lt;&gt;MONTH(AB34),"",AB34+1)</f>
        <v>28</v>
      </c>
      <c r="AC35" s="2">
        <f t="shared" si="3"/>
        <v>7</v>
      </c>
      <c r="AG35" s="220">
        <f t="shared" si="4"/>
        <v>0</v>
      </c>
      <c r="AH35" s="220">
        <f ca="1">IF(HLOOKUP($F35,Jornada!$X$7:$AD$37,VLOOKUP(INDIRECT($C$5),Jornada!$C$8:$W$37,21,0),0)=0,0,VLOOKUP(INDIRECT($C$5),Jornada!$C$8:$H$37,4,0))</f>
        <v>0</v>
      </c>
      <c r="AI35" s="155">
        <f ca="1">IF(AND(I35=0,J35=0,OR(H35&lt;&gt;0,K35&lt;&gt;0),HLOOKUP($F35,Jornada!$X$7:$AD$37,VLOOKUP(INDIRECT($C$5),Jornada!$C$8:$W$37,21,0),0)&gt;$AK$5,M35&gt;$AK$5),VLOOKUP(INDIRECT($C$5),Jornada!$C$8:$H$37,6,0),IF(AG35&gt;VLOOKUP(INDIRECT($C$5),Jornada!$C$8:$H$37,6,0),IF(VLOOKUP(INDIRECT($C$5),Jornada!$C$8:$H$37,6,0)&lt;AG35,0,ABS(VLOOKUP(INDIRECT($C$5),Jornada!$C$8:$H$37,6,0))-AG35),0))</f>
        <v>0</v>
      </c>
      <c r="AJ35" s="155">
        <f t="shared" si="5"/>
        <v>1</v>
      </c>
      <c r="AK35" s="155">
        <f t="shared" si="6"/>
        <v>0</v>
      </c>
      <c r="AL35" s="155">
        <f ca="1">HLOOKUP($F35,Jornada!$I$5:$V$37,VLOOKUP(INDIRECT($C$5),Jornada!$C$8:$W$37,21,0)+2,0)</f>
        <v>0</v>
      </c>
      <c r="AM35" s="155">
        <f ca="1">HLOOKUP($F35,Jornada!$I$4:$V$37,VLOOKUP(INDIRECT($C$5),Jornada!$C$8:$W$37,21,0)+3,0)</f>
        <v>0</v>
      </c>
      <c r="AN35" s="155">
        <f t="shared" ca="1" si="7"/>
        <v>0</v>
      </c>
      <c r="AO35" s="155">
        <f t="shared" si="8"/>
        <v>0</v>
      </c>
      <c r="AP35" s="155">
        <f t="shared" si="9"/>
        <v>0</v>
      </c>
    </row>
    <row r="36" spans="1:42" s="2" customFormat="1" ht="30" customHeight="1" thickTop="1" thickBot="1" x14ac:dyDescent="0.25">
      <c r="A36" s="1"/>
      <c r="B36"/>
      <c r="C36" s="172" t="str">
        <f>IF(Funcionários!C35=0,"",Funcionários!C35)</f>
        <v/>
      </c>
      <c r="D36"/>
      <c r="E36" s="115">
        <f>Lanç!E36</f>
        <v>29</v>
      </c>
      <c r="F36" s="189" t="str">
        <f>Lanç!F36</f>
        <v>Dom</v>
      </c>
      <c r="G36" s="81"/>
      <c r="H36" s="94"/>
      <c r="I36" s="94"/>
      <c r="J36" s="94"/>
      <c r="K36" s="94"/>
      <c r="L36" s="10"/>
      <c r="M36" s="95">
        <f t="shared" si="1"/>
        <v>0</v>
      </c>
      <c r="N36" s="96"/>
      <c r="O36" s="95">
        <f ca="1">IF(OR(G36=0,G36="Férias",G36="Falta Justificada",G36="Feriado",G36="Folga (DSR)"),0,IF(G36="Falta Injustificada",HLOOKUP($F36,Jornada!$X$7:$AD$37,VLOOKUP(INDIRECT($C$5),Jornada!$C$8:$W$37,21,0),0),IF(HLOOKUP($F36,Jornada!$X$7:$AD$37,VLOOKUP(INDIRECT($C$5),Jornada!$C$8:$W$37,21,0),0)-M36&gt;0,HLOOKUP($F36,Jornada!$X$7:$AD$37,VLOOKUP(INDIRECT($C$5),Jornada!$C$8:$W$37,21,0),0)-M36,0)))</f>
        <v>0</v>
      </c>
      <c r="P36" s="190">
        <f ca="1">IF(HLOOKUP($F36,Jornada!$X$7:$AD$37,VLOOKUP(INDIRECT($C$5),Jornada!$C$8:$W$37,21,0),0)-M36&lt;0,ABS(HLOOKUP($F36,Jornada!$X$7:$AD$37,VLOOKUP(INDIRECT($C$5),Jornada!$C$8:$W$37,21,0),0)-M36),0)</f>
        <v>0</v>
      </c>
      <c r="Q36" s="95">
        <f t="shared" si="0"/>
        <v>0</v>
      </c>
      <c r="R36" s="2">
        <f t="shared" si="2"/>
        <v>0</v>
      </c>
      <c r="S36"/>
      <c r="T36"/>
      <c r="U36"/>
      <c r="X36" s="177"/>
      <c r="AB36" s="177">
        <f>IF(MONTH(AB35+1)&lt;&gt;MONTH(AB35),"",IF(AB35="","",AB35+1))</f>
        <v>29</v>
      </c>
      <c r="AC36" s="2">
        <f>IF(ISERROR(WEEKDAY(AB36)),"",WEEKDAY(AB36))</f>
        <v>1</v>
      </c>
      <c r="AG36" s="220">
        <f t="shared" si="4"/>
        <v>0</v>
      </c>
      <c r="AH36" s="220">
        <f ca="1">IF(HLOOKUP($F36,Jornada!$X$7:$AD$37,VLOOKUP(INDIRECT($C$5),Jornada!$C$8:$W$37,21,0),0)=0,0,VLOOKUP(INDIRECT($C$5),Jornada!$C$8:$H$37,4,0))</f>
        <v>0</v>
      </c>
      <c r="AI36" s="155">
        <f ca="1">IF(AND(I36=0,J36=0,OR(H36&lt;&gt;0,K36&lt;&gt;0),HLOOKUP($F36,Jornada!$X$7:$AD$37,VLOOKUP(INDIRECT($C$5),Jornada!$C$8:$W$37,21,0),0)&gt;$AK$5,M36&gt;$AK$5),VLOOKUP(INDIRECT($C$5),Jornada!$C$8:$H$37,6,0),IF(AG36&gt;VLOOKUP(INDIRECT($C$5),Jornada!$C$8:$H$37,6,0),IF(VLOOKUP(INDIRECT($C$5),Jornada!$C$8:$H$37,6,0)&lt;AG36,0,ABS(VLOOKUP(INDIRECT($C$5),Jornada!$C$8:$H$37,6,0))-AG36),0))</f>
        <v>0</v>
      </c>
      <c r="AJ36" s="155">
        <f t="shared" si="5"/>
        <v>1</v>
      </c>
      <c r="AK36" s="155">
        <f t="shared" si="6"/>
        <v>0</v>
      </c>
      <c r="AL36" s="155">
        <f ca="1">HLOOKUP($F36,Jornada!$I$5:$V$37,VLOOKUP(INDIRECT($C$5),Jornada!$C$8:$W$37,21,0)+2,0)</f>
        <v>0</v>
      </c>
      <c r="AM36" s="155">
        <f ca="1">HLOOKUP($F36,Jornada!$I$4:$V$37,VLOOKUP(INDIRECT($C$5),Jornada!$C$8:$W$37,21,0)+3,0)</f>
        <v>0</v>
      </c>
      <c r="AN36" s="155">
        <f t="shared" ca="1" si="7"/>
        <v>0</v>
      </c>
      <c r="AO36" s="155">
        <f t="shared" si="8"/>
        <v>0</v>
      </c>
      <c r="AP36" s="155">
        <f t="shared" si="9"/>
        <v>0</v>
      </c>
    </row>
    <row r="37" spans="1:42" s="2" customFormat="1" ht="30" customHeight="1" thickTop="1" thickBot="1" x14ac:dyDescent="0.25">
      <c r="A37" s="1"/>
      <c r="B37"/>
      <c r="C37" s="172" t="str">
        <f>IF(Funcionários!C36=0,"",Funcionários!C36)</f>
        <v/>
      </c>
      <c r="D37"/>
      <c r="E37" s="115">
        <f>Lanç!E37</f>
        <v>30</v>
      </c>
      <c r="F37" s="189" t="str">
        <f>Lanç!F37</f>
        <v>Seg</v>
      </c>
      <c r="G37" s="81"/>
      <c r="H37" s="94"/>
      <c r="I37" s="94"/>
      <c r="J37" s="94"/>
      <c r="K37" s="94"/>
      <c r="L37" s="10"/>
      <c r="M37" s="95">
        <f t="shared" si="1"/>
        <v>0</v>
      </c>
      <c r="N37" s="96"/>
      <c r="O37" s="95">
        <f ca="1">IF(OR(G37=0,G37="Férias",G37="Falta Justificada",G37="Feriado",G37="Folga (DSR)"),0,IF(G37="Falta Injustificada",HLOOKUP($F37,Jornada!$X$7:$AD$37,VLOOKUP(INDIRECT($C$5),Jornada!$C$8:$W$37,21,0),0),IF(HLOOKUP($F37,Jornada!$X$7:$AD$37,VLOOKUP(INDIRECT($C$5),Jornada!$C$8:$W$37,21,0),0)-M37&gt;0,HLOOKUP($F37,Jornada!$X$7:$AD$37,VLOOKUP(INDIRECT($C$5),Jornada!$C$8:$W$37,21,0),0)-M37,0)))</f>
        <v>0</v>
      </c>
      <c r="P37" s="190">
        <f ca="1">IF(HLOOKUP($F37,Jornada!$X$7:$AD$37,VLOOKUP(INDIRECT($C$5),Jornada!$C$8:$W$37,21,0),0)-M37&lt;0,ABS(HLOOKUP($F37,Jornada!$X$7:$AD$37,VLOOKUP(INDIRECT($C$5),Jornada!$C$8:$W$37,21,0),0)-M37),0)</f>
        <v>0</v>
      </c>
      <c r="Q37" s="95">
        <f t="shared" si="0"/>
        <v>0</v>
      </c>
      <c r="R37" s="2">
        <f t="shared" si="2"/>
        <v>0</v>
      </c>
      <c r="S37"/>
      <c r="T37"/>
      <c r="U37"/>
      <c r="X37" s="177"/>
      <c r="AB37" s="177">
        <f>IF(AB36="","",IF(MONTH(AB36+1)&lt;&gt;MONTH(AB36),"",AB36+1))</f>
        <v>30</v>
      </c>
      <c r="AC37" s="2">
        <f>IF(ISERROR(WEEKDAY(AB37)),"",WEEKDAY(AB37))</f>
        <v>2</v>
      </c>
      <c r="AG37" s="220">
        <f t="shared" si="4"/>
        <v>0</v>
      </c>
      <c r="AH37" s="220">
        <f ca="1">IF(HLOOKUP($F37,Jornada!$X$7:$AD$37,VLOOKUP(INDIRECT($C$5),Jornada!$C$8:$W$37,21,0),0)=0,0,VLOOKUP(INDIRECT($C$5),Jornada!$C$8:$H$37,4,0))</f>
        <v>0</v>
      </c>
      <c r="AI37" s="155">
        <f ca="1">IF(AND(I37=0,J37=0,OR(H37&lt;&gt;0,K37&lt;&gt;0),HLOOKUP($F37,Jornada!$X$7:$AD$37,VLOOKUP(INDIRECT($C$5),Jornada!$C$8:$W$37,21,0),0)&gt;$AK$5,M37&gt;$AK$5),VLOOKUP(INDIRECT($C$5),Jornada!$C$8:$H$37,6,0),IF(AG37&gt;VLOOKUP(INDIRECT($C$5),Jornada!$C$8:$H$37,6,0),IF(VLOOKUP(INDIRECT($C$5),Jornada!$C$8:$H$37,6,0)&lt;AG37,0,ABS(VLOOKUP(INDIRECT($C$5),Jornada!$C$8:$H$37,6,0))-AG37),0))</f>
        <v>0</v>
      </c>
      <c r="AJ37" s="155">
        <f t="shared" si="5"/>
        <v>1</v>
      </c>
      <c r="AK37" s="155">
        <f t="shared" si="6"/>
        <v>0</v>
      </c>
      <c r="AL37" s="155">
        <f ca="1">HLOOKUP($F37,Jornada!$I$5:$V$37,VLOOKUP(INDIRECT($C$5),Jornada!$C$8:$W$37,21,0)+2,0)</f>
        <v>0</v>
      </c>
      <c r="AM37" s="155">
        <f ca="1">HLOOKUP($F37,Jornada!$I$4:$V$37,VLOOKUP(INDIRECT($C$5),Jornada!$C$8:$W$37,21,0)+3,0)</f>
        <v>0</v>
      </c>
      <c r="AN37" s="155">
        <f t="shared" ca="1" si="7"/>
        <v>0</v>
      </c>
      <c r="AO37" s="155">
        <f t="shared" si="8"/>
        <v>0</v>
      </c>
      <c r="AP37" s="155">
        <f t="shared" si="9"/>
        <v>0</v>
      </c>
    </row>
    <row r="38" spans="1:42" s="2" customFormat="1" ht="30" customHeight="1" thickTop="1" thickBot="1" x14ac:dyDescent="0.25">
      <c r="A38" s="1"/>
      <c r="B38"/>
      <c r="C38"/>
      <c r="D38" s="2">
        <f t="shared" ref="D38" si="11">IF(D37=7,1,D37+1)</f>
        <v>1</v>
      </c>
      <c r="E38" s="210">
        <f>Lanç!E38</f>
        <v>31</v>
      </c>
      <c r="F38" s="210" t="str">
        <f>Lanç!F38</f>
        <v>Ter</v>
      </c>
      <c r="G38" s="81"/>
      <c r="H38" s="94"/>
      <c r="I38" s="94"/>
      <c r="J38" s="94"/>
      <c r="K38" s="94"/>
      <c r="L38" s="197"/>
      <c r="M38" s="95">
        <f t="shared" si="1"/>
        <v>0</v>
      </c>
      <c r="N38" s="196"/>
      <c r="O38" s="95">
        <f ca="1">IF(OR(G38=0,G38="Férias",G38="Falta Justificada",G38="Feriado",G38="Folga (DSR)"),0,IF(G38="Falta Injustificada",HLOOKUP($F38,Jornada!$X$7:$AD$37,VLOOKUP(INDIRECT($C$5),Jornada!$C$8:$W$37,21,0),0),IF(HLOOKUP($F38,Jornada!$X$7:$AD$37,VLOOKUP(INDIRECT($C$5),Jornada!$C$8:$W$37,21,0),0)-M38&gt;0,HLOOKUP($F38,Jornada!$X$7:$AD$37,VLOOKUP(INDIRECT($C$5),Jornada!$C$8:$W$37,21,0),0)-M38,0)))</f>
        <v>0</v>
      </c>
      <c r="P38" s="201">
        <f ca="1">IF(HLOOKUP($F38,Jornada!$X$7:$AD$37,VLOOKUP(INDIRECT($C$5),Jornada!$C$8:$W$37,21,0),0)-M38&lt;0,ABS(HLOOKUP($F38,Jornada!$X$7:$AD$37,VLOOKUP(INDIRECT($C$5),Jornada!$C$8:$W$37,21,0),0)-M38),0)</f>
        <v>0</v>
      </c>
      <c r="Q38" s="95">
        <f t="shared" si="0"/>
        <v>0</v>
      </c>
      <c r="R38" s="2">
        <f t="shared" si="2"/>
        <v>0</v>
      </c>
      <c r="X38" s="177"/>
      <c r="AB38" s="177">
        <f>IF(AB37="","",IF(MONTH(AB37+1)&lt;&gt;MONTH(AB37),"",AB37+1))</f>
        <v>31</v>
      </c>
      <c r="AC38" s="2">
        <f>IF(ISERROR(WEEKDAY(AB38)),"",WEEKDAY(AB38))</f>
        <v>3</v>
      </c>
      <c r="AG38" s="220">
        <f t="shared" si="4"/>
        <v>0</v>
      </c>
      <c r="AH38" s="220">
        <f ca="1">IF(HLOOKUP($F38,Jornada!$X$7:$AD$37,VLOOKUP(INDIRECT($C$5),Jornada!$C$8:$W$37,21,0),0)=0,0,VLOOKUP(INDIRECT($C$5),Jornada!$C$8:$H$37,4,0))</f>
        <v>0</v>
      </c>
      <c r="AI38" s="155">
        <f ca="1">IF(AND(I38=0,J38=0,OR(H38&lt;&gt;0,K38&lt;&gt;0),HLOOKUP($F38,Jornada!$X$7:$AD$37,VLOOKUP(INDIRECT($C$5),Jornada!$C$8:$W$37,21,0),0)&gt;$AK$5,M38&gt;$AK$5),VLOOKUP(INDIRECT($C$5),Jornada!$C$8:$H$37,6,0),IF(AG38&gt;VLOOKUP(INDIRECT($C$5),Jornada!$C$8:$H$37,6,0),IF(VLOOKUP(INDIRECT($C$5),Jornada!$C$8:$H$37,6,0)&lt;AG38,0,ABS(VLOOKUP(INDIRECT($C$5),Jornada!$C$8:$H$37,6,0))-AG38),0))</f>
        <v>0</v>
      </c>
      <c r="AJ38" s="155">
        <f t="shared" si="5"/>
        <v>1</v>
      </c>
      <c r="AK38" s="155">
        <f t="shared" si="6"/>
        <v>0</v>
      </c>
      <c r="AL38" s="155">
        <f ca="1">HLOOKUP($F38,Jornada!$I$5:$V$37,VLOOKUP(INDIRECT($C$5),Jornada!$C$8:$W$37,21,0)+2,0)</f>
        <v>0</v>
      </c>
      <c r="AM38" s="155">
        <f ca="1">HLOOKUP($F38,Jornada!$I$4:$V$37,VLOOKUP(INDIRECT($C$5),Jornada!$C$8:$W$37,21,0)+3,0)</f>
        <v>0</v>
      </c>
      <c r="AN38" s="155">
        <f t="shared" ca="1" si="7"/>
        <v>0</v>
      </c>
      <c r="AO38" s="155">
        <f t="shared" si="8"/>
        <v>0</v>
      </c>
      <c r="AP38" s="155">
        <f t="shared" si="9"/>
        <v>0</v>
      </c>
    </row>
    <row r="39" spans="1:42" s="2" customFormat="1" ht="30" customHeight="1" thickTop="1" x14ac:dyDescent="0.2">
      <c r="A39" s="9"/>
      <c r="B39" s="234"/>
      <c r="C39" s="234"/>
      <c r="D39" s="234"/>
      <c r="E39" s="236">
        <f>EOMONTH(AB8,0)</f>
        <v>31</v>
      </c>
      <c r="F39" s="234">
        <f>DAY(E39)</f>
        <v>31</v>
      </c>
      <c r="G39" s="237">
        <f>COUNTIF(F8:F38,"Dom")+COUNTIF(G8:G38,"Feriado")</f>
        <v>5</v>
      </c>
      <c r="H39" s="238">
        <f>(SUM(Q8:Q38)/(F39-G39))*G39</f>
        <v>0</v>
      </c>
      <c r="I39" s="234"/>
      <c r="J39" s="234"/>
      <c r="K39" s="234"/>
      <c r="L39" s="234"/>
      <c r="M39" s="234"/>
      <c r="Z39" s="219"/>
    </row>
    <row r="40" spans="1:42" s="2" customFormat="1" ht="30" customHeight="1" x14ac:dyDescent="0.2">
      <c r="A40" s="9"/>
      <c r="B40" s="234"/>
      <c r="C40" s="239"/>
      <c r="D40" s="239"/>
      <c r="E40" s="239"/>
      <c r="F40" s="240"/>
      <c r="G40" s="241"/>
      <c r="H40" s="234">
        <f ca="1">IF(INDIRECT($C$5)="",0,VLOOKUP(INDIRECT($C$5),Funcionários!$C$7:$E$36,3,0)+IF(VLOOKUP(INDIRECT($C$5),Jornada!$C$8:$E$37,2,0)="Sim",IF('P Gerais'!$I$8&lt;&gt;0,VLOOKUP(INDIRECT($C$5),Funcionários!$C$7:$E$36,3,0)*'P Gerais'!$L$14,'P Gerais'!$I$8*'P Gerais'!$L$14),0)+IF(VLOOKUP(INDIRECT($C$5),Jornada!$C$8:$E$37,3,0)="Sim",VLOOKUP(INDIRECT($C$5),Funcionários!$C$7:$E$36,3,0)*'P Gerais'!$K$14,0))</f>
        <v>0</v>
      </c>
      <c r="I40" s="234">
        <f ca="1">VLOOKUP(INDIRECT($C$5),Jornada!$C$8:$AF$37,30,0)</f>
        <v>0</v>
      </c>
      <c r="J40" s="234" t="s">
        <v>298</v>
      </c>
      <c r="K40" s="242">
        <f ca="1">IF(I40=0,0,H40/I40)</f>
        <v>0</v>
      </c>
      <c r="L40" s="234"/>
      <c r="M40" s="234"/>
      <c r="Z40" s="219"/>
    </row>
    <row r="41" spans="1:42" s="2" customFormat="1" ht="30" customHeight="1" x14ac:dyDescent="0.2">
      <c r="A41" s="9"/>
      <c r="B41" s="234" t="s">
        <v>52</v>
      </c>
      <c r="C41" s="292" t="s">
        <v>75</v>
      </c>
      <c r="D41" s="292"/>
      <c r="E41" s="292"/>
      <c r="F41" s="243">
        <f t="shared" ref="F41:F47" si="12">SUMIFS($Q$8:$Q$38,$F$8:$F$38,$B41,$G$8:$G$38,"Normal")</f>
        <v>0</v>
      </c>
      <c r="G41" s="244">
        <f>IF($M$41="Sistema de banco de horas",0,'P Gerais'!$C$14)</f>
        <v>0.5</v>
      </c>
      <c r="H41" s="245">
        <f t="shared" ref="H41:H48" ca="1" si="13">IF($M$41="Sistema de banco de horas",0,$K$40*(1+G41)*(F41*24))</f>
        <v>0</v>
      </c>
      <c r="I41" s="243">
        <f t="shared" ref="I41:I47" ca="1" si="14">IF(SUMIF($F$8:$F$38,$B41,$Q$8:$Q$38)-SUMIFS($M$8:$M$38,$F$8:$F$38,$B41,$G$8:$G$38,"Feriado")-SUMIFS($M$8:$M$38,$F$8:$F$38,$B41,$G$8:$G$38,"Folga (DSR)")-SUMIFS($M$8:$M$38,$F$8:$F$38,$B41,$G$8:$G$38,"Férias")-SUMIF($F$8:$F$38,$B41,$AN$8:$AN$38)-SUMIF($F$8:$F$38,$B41,$AO$8:$AO$38)&lt;0,0,SUMIF($F$8:$F$38,$B41,$Q$8:$Q$38)-SUMIFS($M$8:$M$38,$F$8:$F$38,$B41,$G$8:$G$38,"Feriado")-SUMIFS($M$8:$M$38,$F$8:$F$38,$B41,$G$8:$G$38,"Folga (DSR)")-SUMIFS($M$8:$M$38,$F$8:$F$38,$B41,$G$8:$G$38,"Férias")-SUMIF($F$8:$F$38,$B41,$AN$8:$AN$38)-SUMIF($F$8:$F$38,$B41,$AO$8:$AO$38))</f>
        <v>0</v>
      </c>
      <c r="J41" s="245">
        <f ca="1">H41</f>
        <v>0</v>
      </c>
      <c r="K41" s="234"/>
      <c r="L41" s="234"/>
      <c r="M41" s="234">
        <f>'P Gerais'!I10</f>
        <v>0</v>
      </c>
      <c r="Z41" s="219"/>
    </row>
    <row r="42" spans="1:42" s="2" customFormat="1" ht="30" customHeight="1" x14ac:dyDescent="0.2">
      <c r="A42" s="9"/>
      <c r="B42" s="234" t="s">
        <v>53</v>
      </c>
      <c r="C42" s="292" t="s">
        <v>76</v>
      </c>
      <c r="D42" s="292"/>
      <c r="E42" s="292"/>
      <c r="F42" s="243">
        <f t="shared" si="12"/>
        <v>0</v>
      </c>
      <c r="G42" s="244">
        <f>IF($M$41="Sistema de banco de horas",0,'P Gerais'!$C$14)</f>
        <v>0.5</v>
      </c>
      <c r="H42" s="245">
        <f t="shared" ca="1" si="13"/>
        <v>0</v>
      </c>
      <c r="I42" s="243">
        <f t="shared" ca="1" si="14"/>
        <v>0</v>
      </c>
      <c r="J42" s="245">
        <f t="shared" ref="J42:J51" ca="1" si="15">H42</f>
        <v>0</v>
      </c>
      <c r="K42" s="234"/>
      <c r="L42" s="234"/>
      <c r="M42" s="234"/>
      <c r="Z42" s="219"/>
    </row>
    <row r="43" spans="1:42" s="2" customFormat="1" ht="30" customHeight="1" x14ac:dyDescent="0.2">
      <c r="A43" s="9"/>
      <c r="B43" s="234" t="s">
        <v>54</v>
      </c>
      <c r="C43" s="292" t="s">
        <v>77</v>
      </c>
      <c r="D43" s="292"/>
      <c r="E43" s="292"/>
      <c r="F43" s="243">
        <f t="shared" si="12"/>
        <v>0</v>
      </c>
      <c r="G43" s="244">
        <f>IF($M$41="Sistema de banco de horas",0,'P Gerais'!$C$14)</f>
        <v>0.5</v>
      </c>
      <c r="H43" s="245">
        <f t="shared" ca="1" si="13"/>
        <v>0</v>
      </c>
      <c r="I43" s="243">
        <f t="shared" ca="1" si="14"/>
        <v>0</v>
      </c>
      <c r="J43" s="245">
        <f t="shared" ca="1" si="15"/>
        <v>0</v>
      </c>
      <c r="K43" s="234"/>
      <c r="L43" s="234"/>
      <c r="M43" s="234"/>
      <c r="Z43" s="219"/>
    </row>
    <row r="44" spans="1:42" s="2" customFormat="1" ht="30" customHeight="1" x14ac:dyDescent="0.2">
      <c r="A44" s="9"/>
      <c r="B44" s="234" t="s">
        <v>55</v>
      </c>
      <c r="C44" s="292" t="s">
        <v>78</v>
      </c>
      <c r="D44" s="292"/>
      <c r="E44" s="292"/>
      <c r="F44" s="243">
        <f t="shared" si="12"/>
        <v>0</v>
      </c>
      <c r="G44" s="244">
        <f>IF($M$41="Sistema de banco de horas",0,'P Gerais'!$C$14)</f>
        <v>0.5</v>
      </c>
      <c r="H44" s="245">
        <f t="shared" ca="1" si="13"/>
        <v>0</v>
      </c>
      <c r="I44" s="243">
        <f t="shared" ca="1" si="14"/>
        <v>0</v>
      </c>
      <c r="J44" s="245">
        <f t="shared" ca="1" si="15"/>
        <v>0</v>
      </c>
      <c r="K44" s="234"/>
      <c r="L44" s="234"/>
      <c r="M44" s="234"/>
      <c r="Z44" s="219"/>
    </row>
    <row r="45" spans="1:42" s="2" customFormat="1" ht="30" customHeight="1" x14ac:dyDescent="0.2">
      <c r="A45" s="9"/>
      <c r="B45" s="234" t="s">
        <v>56</v>
      </c>
      <c r="C45" s="292" t="s">
        <v>79</v>
      </c>
      <c r="D45" s="292"/>
      <c r="E45" s="292"/>
      <c r="F45" s="243">
        <f t="shared" si="12"/>
        <v>0</v>
      </c>
      <c r="G45" s="244">
        <f>IF($M$41="Sistema de banco de horas",0,'P Gerais'!$C$14)</f>
        <v>0.5</v>
      </c>
      <c r="H45" s="245">
        <f t="shared" ca="1" si="13"/>
        <v>0</v>
      </c>
      <c r="I45" s="243">
        <f t="shared" ca="1" si="14"/>
        <v>0</v>
      </c>
      <c r="J45" s="245">
        <f t="shared" ca="1" si="15"/>
        <v>0</v>
      </c>
      <c r="K45" s="234"/>
      <c r="L45" s="234"/>
      <c r="M45" s="234"/>
      <c r="Z45" s="219"/>
    </row>
    <row r="46" spans="1:42" s="2" customFormat="1" ht="30" customHeight="1" x14ac:dyDescent="0.2">
      <c r="A46" s="9"/>
      <c r="B46" s="234" t="s">
        <v>57</v>
      </c>
      <c r="C46" s="292" t="s">
        <v>82</v>
      </c>
      <c r="D46" s="292"/>
      <c r="E46" s="292"/>
      <c r="F46" s="243">
        <f t="shared" si="12"/>
        <v>0</v>
      </c>
      <c r="G46" s="244">
        <f>IF($M$41="Sistema de banco de horas",0,'P Gerais'!$E$14)</f>
        <v>0.5</v>
      </c>
      <c r="H46" s="245">
        <f t="shared" ca="1" si="13"/>
        <v>0</v>
      </c>
      <c r="I46" s="243">
        <f t="shared" ca="1" si="14"/>
        <v>0</v>
      </c>
      <c r="J46" s="245">
        <f t="shared" ca="1" si="15"/>
        <v>0</v>
      </c>
      <c r="K46" s="234"/>
      <c r="L46" s="234"/>
      <c r="M46" s="234"/>
      <c r="Z46" s="219"/>
    </row>
    <row r="47" spans="1:42" s="2" customFormat="1" ht="30" customHeight="1" x14ac:dyDescent="0.2">
      <c r="A47" s="9"/>
      <c r="B47" s="234" t="s">
        <v>51</v>
      </c>
      <c r="C47" s="292" t="s">
        <v>81</v>
      </c>
      <c r="D47" s="292"/>
      <c r="E47" s="292"/>
      <c r="F47" s="243">
        <f t="shared" si="12"/>
        <v>0</v>
      </c>
      <c r="G47" s="244">
        <f>IF($M$41="Sistema de banco de horas",0,'P Gerais'!$F$14)</f>
        <v>1</v>
      </c>
      <c r="H47" s="245">
        <f t="shared" ca="1" si="13"/>
        <v>0</v>
      </c>
      <c r="I47" s="243">
        <f t="shared" ca="1" si="14"/>
        <v>0</v>
      </c>
      <c r="J47" s="245">
        <f t="shared" ca="1" si="15"/>
        <v>0</v>
      </c>
      <c r="K47" s="234"/>
      <c r="L47" s="234"/>
      <c r="M47" s="234"/>
      <c r="Z47" s="219"/>
    </row>
    <row r="48" spans="1:42" s="2" customFormat="1" ht="30" customHeight="1" x14ac:dyDescent="0.2">
      <c r="A48" s="9"/>
      <c r="B48" s="234"/>
      <c r="C48" s="292" t="s">
        <v>80</v>
      </c>
      <c r="D48" s="292"/>
      <c r="E48" s="292"/>
      <c r="F48" s="243">
        <f>SUMIFS($Q$8:$Q$38,$G$8:$G$38,"Feriado")</f>
        <v>0</v>
      </c>
      <c r="G48" s="244">
        <f>IF($M$41="Sistema de banco de horas",0,'P Gerais'!$I$14)</f>
        <v>1</v>
      </c>
      <c r="H48" s="245">
        <f t="shared" ca="1" si="13"/>
        <v>0</v>
      </c>
      <c r="I48" s="243"/>
      <c r="J48" s="245">
        <f t="shared" ca="1" si="15"/>
        <v>0</v>
      </c>
      <c r="K48" s="234"/>
      <c r="L48" s="234"/>
      <c r="M48" s="234"/>
      <c r="Z48" s="219"/>
    </row>
    <row r="49" spans="1:26" s="2" customFormat="1" ht="15" x14ac:dyDescent="0.2">
      <c r="A49" s="9"/>
      <c r="B49" s="234"/>
      <c r="C49" s="292" t="s">
        <v>146</v>
      </c>
      <c r="D49" s="292"/>
      <c r="E49" s="292"/>
      <c r="F49" s="243">
        <f>SUMIFS($Q$8:$Q$38,$G$8:$G$38,"Folga (DSR)")</f>
        <v>0</v>
      </c>
      <c r="G49" s="244">
        <f>IF($M$41="Sistema de banco de horas",0,'P Gerais'!H14)</f>
        <v>1</v>
      </c>
      <c r="H49" s="245">
        <f ca="1">((F53/(F39-G39))*G39)</f>
        <v>0</v>
      </c>
      <c r="I49" s="243"/>
      <c r="J49" s="245">
        <f t="shared" ca="1" si="15"/>
        <v>0</v>
      </c>
      <c r="K49" s="234"/>
      <c r="L49" s="234"/>
      <c r="M49" s="234"/>
      <c r="Z49" s="219"/>
    </row>
    <row r="50" spans="1:26" s="2" customFormat="1" ht="15" x14ac:dyDescent="0.2">
      <c r="A50" s="9"/>
      <c r="B50" s="234"/>
      <c r="C50" s="292" t="s">
        <v>84</v>
      </c>
      <c r="D50" s="292"/>
      <c r="E50" s="292"/>
      <c r="F50" s="243">
        <f ca="1">IF($M$41="Sistema de banco de horas",(SUM(AI$8:AI$38)*(1+G50)),SUM(AI$8:AI$38))</f>
        <v>0</v>
      </c>
      <c r="G50" s="244">
        <f>IF($M$41="Sistema de banco de horas",0,'P Gerais'!$I$17)</f>
        <v>0.5</v>
      </c>
      <c r="H50" s="245">
        <f ca="1">IF($M$41="Sistema de banco de horas",0,$K$40*(1+G50)*(F50*24))</f>
        <v>0</v>
      </c>
      <c r="I50" s="243">
        <f ca="1">IF(SUM($AN$8:$AO$38)&gt;SUM(AI$8:AI$38),0,SUM(AI$8:AI$38)-SUM($AN$8:$AO$38))</f>
        <v>0</v>
      </c>
      <c r="J50" s="245">
        <f t="shared" ca="1" si="15"/>
        <v>0</v>
      </c>
      <c r="K50" s="234"/>
      <c r="L50" s="234"/>
      <c r="M50" s="234"/>
      <c r="Z50" s="219"/>
    </row>
    <row r="51" spans="1:26" s="2" customFormat="1" ht="15" x14ac:dyDescent="0.2">
      <c r="A51" s="9"/>
      <c r="B51" s="234"/>
      <c r="C51" s="292" t="s">
        <v>85</v>
      </c>
      <c r="D51" s="292"/>
      <c r="E51" s="292"/>
      <c r="F51" s="243">
        <f>IF($M$41="Sistema de banco de horas",(SUM(AK$8:AK$38)*(1+G51)),SUM(AK$8:AK$38))</f>
        <v>0</v>
      </c>
      <c r="G51" s="244">
        <f>IF($M$41="Sistema de banco de horas",0,'P Gerais'!$C$17)</f>
        <v>1</v>
      </c>
      <c r="H51" s="245">
        <f ca="1">IF($M$41="Sistema de banco de horas",0,$K$40*(1+G51)*(F51*24))</f>
        <v>0</v>
      </c>
      <c r="I51" s="243"/>
      <c r="J51" s="245">
        <f t="shared" ca="1" si="15"/>
        <v>0</v>
      </c>
      <c r="K51" s="234"/>
      <c r="L51" s="234"/>
      <c r="M51" s="234"/>
      <c r="Z51" s="219"/>
    </row>
    <row r="52" spans="1:26" s="2" customFormat="1" ht="15" customHeight="1" x14ac:dyDescent="0.2">
      <c r="A52" s="9"/>
      <c r="B52" s="234"/>
      <c r="C52" s="292" t="s">
        <v>87</v>
      </c>
      <c r="D52" s="292"/>
      <c r="E52" s="292"/>
      <c r="F52" s="243">
        <f ca="1">U12</f>
        <v>0</v>
      </c>
      <c r="G52" s="246"/>
      <c r="H52" s="234"/>
      <c r="I52" s="234"/>
      <c r="J52" s="234"/>
      <c r="K52" s="234"/>
      <c r="L52" s="234"/>
      <c r="M52" s="234"/>
      <c r="Z52" s="219"/>
    </row>
    <row r="53" spans="1:26" s="2" customFormat="1" ht="15" x14ac:dyDescent="0.2">
      <c r="A53" s="9"/>
      <c r="B53" s="234"/>
      <c r="C53" s="292" t="s">
        <v>299</v>
      </c>
      <c r="D53" s="292"/>
      <c r="E53" s="292"/>
      <c r="F53" s="247">
        <f ca="1">SUM(H48)+J50+H51+SUM(J41:J47)</f>
        <v>0</v>
      </c>
      <c r="G53" s="248"/>
      <c r="H53" s="234"/>
      <c r="I53" s="234"/>
      <c r="J53" s="234"/>
      <c r="K53" s="234"/>
      <c r="L53" s="234"/>
      <c r="M53" s="234"/>
      <c r="Z53" s="219"/>
    </row>
    <row r="54" spans="1:26" s="2" customFormat="1" ht="15" x14ac:dyDescent="0.2">
      <c r="A54" s="9"/>
      <c r="B54" s="234"/>
      <c r="C54" s="292" t="s">
        <v>88</v>
      </c>
      <c r="D54" s="292"/>
      <c r="E54" s="292"/>
      <c r="F54" s="247">
        <f ca="1">F53+(H49*(1+G49))</f>
        <v>0</v>
      </c>
      <c r="G54" s="248"/>
      <c r="H54" s="249"/>
      <c r="I54" s="234"/>
      <c r="J54" s="234"/>
      <c r="K54" s="234"/>
      <c r="L54" s="234"/>
      <c r="M54" s="234"/>
      <c r="Z54" s="219"/>
    </row>
    <row r="55" spans="1:26" s="2" customFormat="1" ht="15" x14ac:dyDescent="0.2">
      <c r="A55" s="9"/>
      <c r="B55" s="234"/>
      <c r="C55" s="292" t="s">
        <v>89</v>
      </c>
      <c r="D55" s="292"/>
      <c r="E55" s="292"/>
      <c r="F55" s="247">
        <f ca="1">H40+F54</f>
        <v>0</v>
      </c>
      <c r="G55" s="246"/>
      <c r="H55" s="234"/>
      <c r="I55" s="234"/>
      <c r="J55" s="234"/>
      <c r="K55" s="234"/>
      <c r="L55" s="234"/>
      <c r="M55" s="234"/>
      <c r="Z55" s="219"/>
    </row>
    <row r="56" spans="1:26" s="2" customFormat="1" ht="15" x14ac:dyDescent="0.2">
      <c r="A56" s="9"/>
      <c r="B56" s="234"/>
      <c r="C56" s="292" t="s">
        <v>178</v>
      </c>
      <c r="D56" s="292"/>
      <c r="E56" s="292"/>
      <c r="F56" s="243">
        <f>IF($M$41="Sistema de banco de horas",(SUMIF($G$8:$G$38,"Férias",Q8:Q38))*(1+G48),SUMIF($G$8:$G$38,"Férias",Q8:Q38))</f>
        <v>0</v>
      </c>
      <c r="G56" s="246"/>
      <c r="H56" s="234"/>
      <c r="I56" s="234"/>
      <c r="J56" s="234"/>
      <c r="K56" s="234"/>
      <c r="L56" s="234"/>
      <c r="M56" s="234"/>
      <c r="Z56" s="219"/>
    </row>
    <row r="57" spans="1:26" s="2" customFormat="1" ht="15" x14ac:dyDescent="0.2">
      <c r="A57" s="9"/>
      <c r="B57" s="234"/>
      <c r="C57" s="239"/>
      <c r="D57" s="239"/>
      <c r="E57" s="239"/>
      <c r="F57" s="250">
        <f ca="1">U14</f>
        <v>0</v>
      </c>
      <c r="G57" s="246"/>
      <c r="H57" s="234"/>
      <c r="I57" s="234"/>
      <c r="J57" s="234"/>
      <c r="K57" s="234"/>
      <c r="L57" s="234"/>
      <c r="M57" s="234"/>
      <c r="Z57" s="219"/>
    </row>
    <row r="58" spans="1:26" s="2" customFormat="1" ht="15" x14ac:dyDescent="0.2">
      <c r="A58" s="9"/>
      <c r="B58" s="234"/>
      <c r="C58" s="239"/>
      <c r="D58" s="239"/>
      <c r="E58" s="239"/>
      <c r="F58" s="243">
        <f ca="1">SUM(F41:F51)</f>
        <v>0</v>
      </c>
      <c r="G58" s="246"/>
      <c r="H58" s="234"/>
      <c r="I58" s="234"/>
      <c r="J58" s="234"/>
      <c r="K58" s="234"/>
      <c r="L58" s="234"/>
      <c r="M58" s="234"/>
      <c r="Z58" s="219"/>
    </row>
    <row r="59" spans="1:26" s="2" customFormat="1" ht="15" x14ac:dyDescent="0.2">
      <c r="A59" s="9"/>
      <c r="Z59" s="219"/>
    </row>
    <row r="60" spans="1:26" s="2" customFormat="1" ht="15" x14ac:dyDescent="0.2">
      <c r="A60" s="9"/>
      <c r="G60" s="178"/>
      <c r="Z60" s="219"/>
    </row>
    <row r="61" spans="1:26" ht="15" x14ac:dyDescent="0.2"/>
    <row r="62" spans="1:26" ht="15" x14ac:dyDescent="0.2"/>
    <row r="63" spans="1:26" ht="15" x14ac:dyDescent="0.2"/>
    <row r="64" spans="1:26" ht="15" x14ac:dyDescent="0.2"/>
    <row r="65" ht="15" x14ac:dyDescent="0.2"/>
    <row r="66" ht="15" x14ac:dyDescent="0.2"/>
    <row r="67" ht="15" x14ac:dyDescent="0.2"/>
    <row r="68" ht="15" x14ac:dyDescent="0.2"/>
    <row r="69" ht="15" x14ac:dyDescent="0.2"/>
    <row r="70" ht="15" x14ac:dyDescent="0.2"/>
    <row r="71" ht="15" x14ac:dyDescent="0.2"/>
    <row r="72" ht="15" x14ac:dyDescent="0.2"/>
    <row r="73" ht="15" x14ac:dyDescent="0.2"/>
    <row r="74" ht="15" x14ac:dyDescent="0.2"/>
    <row r="75" ht="15" x14ac:dyDescent="0.2"/>
    <row r="76" ht="15" x14ac:dyDescent="0.2"/>
    <row r="77" ht="15" x14ac:dyDescent="0.2"/>
    <row r="78" ht="15" x14ac:dyDescent="0.2"/>
    <row r="79" ht="15" x14ac:dyDescent="0.2"/>
    <row r="80" ht="15" x14ac:dyDescent="0.2"/>
    <row r="81" ht="15" x14ac:dyDescent="0.2"/>
    <row r="82" ht="15" x14ac:dyDescent="0.2"/>
    <row r="83" ht="15" x14ac:dyDescent="0.2"/>
    <row r="84" ht="15" x14ac:dyDescent="0.2"/>
    <row r="85" ht="15" x14ac:dyDescent="0.2"/>
    <row r="86" ht="15" x14ac:dyDescent="0.2"/>
    <row r="87" ht="15" x14ac:dyDescent="0.2"/>
    <row r="88" ht="15" x14ac:dyDescent="0.2"/>
    <row r="89" ht="15" x14ac:dyDescent="0.2"/>
    <row r="90" ht="15" x14ac:dyDescent="0.2"/>
    <row r="91" ht="15" x14ac:dyDescent="0.2"/>
    <row r="92" ht="15" x14ac:dyDescent="0.2"/>
    <row r="93" ht="15" x14ac:dyDescent="0.2"/>
    <row r="94" ht="15" x14ac:dyDescent="0.2"/>
    <row r="95" ht="15" x14ac:dyDescent="0.2"/>
    <row r="96" ht="15" x14ac:dyDescent="0.2"/>
    <row r="97" ht="15" x14ac:dyDescent="0.2"/>
    <row r="98" ht="15" x14ac:dyDescent="0.2"/>
    <row r="99" ht="15" x14ac:dyDescent="0.2"/>
    <row r="100" ht="15" x14ac:dyDescent="0.2"/>
    <row r="101" ht="15" x14ac:dyDescent="0.2"/>
    <row r="102" ht="15" x14ac:dyDescent="0.2"/>
    <row r="103" ht="15" x14ac:dyDescent="0.2"/>
  </sheetData>
  <sheetProtection sheet="1" objects="1" scenarios="1" selectLockedCells="1"/>
  <mergeCells count="34">
    <mergeCell ref="C56:E56"/>
    <mergeCell ref="C48:E48"/>
    <mergeCell ref="C49:E49"/>
    <mergeCell ref="C50:E50"/>
    <mergeCell ref="C52:E52"/>
    <mergeCell ref="C53:E53"/>
    <mergeCell ref="C54:E54"/>
    <mergeCell ref="C51:E51"/>
    <mergeCell ref="C44:E44"/>
    <mergeCell ref="C55:E55"/>
    <mergeCell ref="C45:E45"/>
    <mergeCell ref="C46:E46"/>
    <mergeCell ref="C47:E47"/>
    <mergeCell ref="S22:U22"/>
    <mergeCell ref="C41:E41"/>
    <mergeCell ref="C42:E42"/>
    <mergeCell ref="C43:E43"/>
    <mergeCell ref="S26:U28"/>
    <mergeCell ref="S23:U25"/>
    <mergeCell ref="E7:F7"/>
    <mergeCell ref="I7:J7"/>
    <mergeCell ref="S7:U7"/>
    <mergeCell ref="S8:T9"/>
    <mergeCell ref="U8:U9"/>
    <mergeCell ref="S16:T17"/>
    <mergeCell ref="U16:U17"/>
    <mergeCell ref="S18:T19"/>
    <mergeCell ref="S10:T11"/>
    <mergeCell ref="U10:U11"/>
    <mergeCell ref="S12:T13"/>
    <mergeCell ref="U12:U13"/>
    <mergeCell ref="S14:T15"/>
    <mergeCell ref="U14:U15"/>
    <mergeCell ref="U18:U19"/>
  </mergeCells>
  <conditionalFormatting sqref="M8:M37">
    <cfRule type="cellIs" dxfId="288" priority="126" operator="greaterThan">
      <formula>0</formula>
    </cfRule>
  </conditionalFormatting>
  <conditionalFormatting sqref="L36:L37 N36:N37">
    <cfRule type="expression" dxfId="287" priority="93">
      <formula>AND($E36&lt;$E$35,$E$8=1)</formula>
    </cfRule>
    <cfRule type="expression" dxfId="286" priority="94">
      <formula>AND($E36&gt;=$E$8,$E$8&lt;&gt;1)</formula>
    </cfRule>
  </conditionalFormatting>
  <conditionalFormatting sqref="E36:E38">
    <cfRule type="expression" dxfId="285" priority="91">
      <formula>AND($E36&lt;$E$35,$E$8=1)</formula>
    </cfRule>
    <cfRule type="expression" dxfId="284" priority="92">
      <formula>AND($E36&gt;=$E$8,$E$8&lt;&gt;1)</formula>
    </cfRule>
  </conditionalFormatting>
  <conditionalFormatting sqref="O8:O37">
    <cfRule type="cellIs" dxfId="283" priority="86" operator="greaterThan">
      <formula>0.000001</formula>
    </cfRule>
  </conditionalFormatting>
  <conditionalFormatting sqref="O36:O37">
    <cfRule type="expression" dxfId="282" priority="84">
      <formula>AND($E36&lt;$E$35,$E$8=1)</formula>
    </cfRule>
    <cfRule type="expression" dxfId="281" priority="85">
      <formula>AND($E36&gt;=$E$8,$E$8&lt;&gt;1)</formula>
    </cfRule>
  </conditionalFormatting>
  <conditionalFormatting sqref="F8:F38">
    <cfRule type="containsText" dxfId="280" priority="80" operator="containsText" text="Dom">
      <formula>NOT(ISERROR(SEARCH("Dom",F8)))</formula>
    </cfRule>
    <cfRule type="containsText" dxfId="279" priority="81" operator="containsText" text="Sáb">
      <formula>NOT(ISERROR(SEARCH("Sáb",F8)))</formula>
    </cfRule>
  </conditionalFormatting>
  <conditionalFormatting sqref="Q8:Q37">
    <cfRule type="cellIs" dxfId="278" priority="78" operator="greaterThan">
      <formula>0.000001</formula>
    </cfRule>
  </conditionalFormatting>
  <conditionalFormatting sqref="G8:K35">
    <cfRule type="expression" dxfId="277" priority="48">
      <formula>OR($G8="Férias",$G8="Falta Injustificada")</formula>
    </cfRule>
    <cfRule type="expression" dxfId="276" priority="49">
      <formula>$G8="Folga (DSR)"</formula>
    </cfRule>
    <cfRule type="expression" dxfId="275" priority="50">
      <formula>$G8="Feriado"</formula>
    </cfRule>
    <cfRule type="expression" dxfId="274" priority="51">
      <formula>$F8="Dom"</formula>
    </cfRule>
  </conditionalFormatting>
  <conditionalFormatting sqref="H8:K35">
    <cfRule type="expression" dxfId="273" priority="47">
      <formula>OR($G8="Falta Justificada",$G8="Falta Injustificada")</formula>
    </cfRule>
  </conditionalFormatting>
  <conditionalFormatting sqref="G36:K37">
    <cfRule type="expression" dxfId="272" priority="43">
      <formula>OR($G36="Férias",$G36="Falta Injustificada")</formula>
    </cfRule>
    <cfRule type="expression" dxfId="271" priority="44">
      <formula>$G36="Folga (DSR)"</formula>
    </cfRule>
    <cfRule type="expression" dxfId="270" priority="45">
      <formula>$G36="Feriado"</formula>
    </cfRule>
    <cfRule type="expression" dxfId="269" priority="46">
      <formula>$F36="Dom"</formula>
    </cfRule>
  </conditionalFormatting>
  <conditionalFormatting sqref="G36:K37">
    <cfRule type="expression" dxfId="268" priority="40">
      <formula>AND($E36&lt;$E$35,$E$8=1)</formula>
    </cfRule>
    <cfRule type="expression" dxfId="267" priority="41">
      <formula>AND($E36&gt;=$E$8,$E$8&lt;&gt;1)</formula>
    </cfRule>
  </conditionalFormatting>
  <conditionalFormatting sqref="H36:K37">
    <cfRule type="expression" dxfId="266" priority="42">
      <formula>OR($G36="Falta Justificada",$G36="Falta Injustificada")</formula>
    </cfRule>
  </conditionalFormatting>
  <conditionalFormatting sqref="O38">
    <cfRule type="cellIs" dxfId="265" priority="38" operator="greaterThan">
      <formula>0.000001</formula>
    </cfRule>
  </conditionalFormatting>
  <conditionalFormatting sqref="M38">
    <cfRule type="cellIs" dxfId="264" priority="39" operator="greaterThan">
      <formula>0</formula>
    </cfRule>
  </conditionalFormatting>
  <conditionalFormatting sqref="L38:O38">
    <cfRule type="expression" dxfId="263" priority="37">
      <formula>AND($E38&gt;=$E$8,$E$8&lt;&gt;1)</formula>
    </cfRule>
  </conditionalFormatting>
  <conditionalFormatting sqref="G38:K38">
    <cfRule type="expression" dxfId="262" priority="24">
      <formula>OR($G38="Férias",$G38="Falta Injustificada")</formula>
    </cfRule>
    <cfRule type="expression" dxfId="261" priority="25">
      <formula>$G38="Folga (DSR)"</formula>
    </cfRule>
    <cfRule type="expression" dxfId="260" priority="26">
      <formula>$G38="Feriado"</formula>
    </cfRule>
    <cfRule type="expression" dxfId="259" priority="27">
      <formula>$F38="Dom"</formula>
    </cfRule>
  </conditionalFormatting>
  <conditionalFormatting sqref="H38:K38">
    <cfRule type="expression" dxfId="258" priority="23">
      <formula>OR($G38="Falta Justificada",$G38="Falta Injustificada")</formula>
    </cfRule>
  </conditionalFormatting>
  <conditionalFormatting sqref="Q38">
    <cfRule type="cellIs" dxfId="257" priority="20" operator="greaterThan">
      <formula>0.000001</formula>
    </cfRule>
  </conditionalFormatting>
  <conditionalFormatting sqref="L38:Q38">
    <cfRule type="expression" dxfId="256" priority="36">
      <formula>AND($E38&lt;$E$35,$E$8=1)</formula>
    </cfRule>
  </conditionalFormatting>
  <conditionalFormatting sqref="G38:Q38">
    <cfRule type="expression" dxfId="255" priority="21">
      <formula>AND($E38&lt;$E$35,$E$8=1)</formula>
    </cfRule>
    <cfRule type="expression" dxfId="254" priority="22">
      <formula>AND($E38&gt;=$E$8,$E$8&lt;&gt;1)</formula>
    </cfRule>
  </conditionalFormatting>
  <conditionalFormatting sqref="U10:U11">
    <cfRule type="expression" dxfId="253" priority="8">
      <formula>$V$11="Negativo"</formula>
    </cfRule>
  </conditionalFormatting>
  <conditionalFormatting sqref="U12:U13">
    <cfRule type="expression" dxfId="252" priority="504">
      <formula>$U$14&gt;$F$58</formula>
    </cfRule>
  </conditionalFormatting>
  <conditionalFormatting sqref="F40">
    <cfRule type="expression" dxfId="251" priority="505">
      <formula>$E40="Folga(DSR)"</formula>
    </cfRule>
    <cfRule type="expression" dxfId="250" priority="506">
      <formula>$E40="Feriado"</formula>
    </cfRule>
    <cfRule type="expression" dxfId="249" priority="507">
      <formula>$D40="Dom"</formula>
    </cfRule>
  </conditionalFormatting>
  <dataValidations count="3">
    <dataValidation type="list" allowBlank="1" showInputMessage="1" showErrorMessage="1" sqref="G8:G38">
      <formula1>"Normal,Feriado,Folga (DSR),Falta Justificada,Férias,Falta Injustificada"</formula1>
    </dataValidation>
    <dataValidation type="time" allowBlank="1" showInputMessage="1" showErrorMessage="1" sqref="H8:K38">
      <formula1>0</formula1>
      <formula2>0.999988425925926</formula2>
    </dataValidation>
    <dataValidation type="list" allowBlank="1" showInputMessage="1" showErrorMessage="1" sqref="E9:E35">
      <formula1>"1,5,10,16"</formula1>
    </dataValidation>
  </dataValidations>
  <hyperlinks>
    <hyperlink ref="C8" location="Lanç!A1" display="Lanç!A1"/>
    <hyperlink ref="C9" location="'Lanç (2)'!A1" display="'Lanç (2)'!A1"/>
    <hyperlink ref="C10" location="'Lanç (3)'!A1" display="'Lanç (3)'!A1"/>
    <hyperlink ref="C11" location="'Lanç (4)'!A1" display="'Lanç (4)'!A1"/>
    <hyperlink ref="C12" location="'Lanç (5)'!A1" display="'Lanç (5)'!A1"/>
    <hyperlink ref="C13" location="'Lanç (6)'!A1" display="'Lanç (6)'!A1"/>
    <hyperlink ref="C14" location="'Lanç (7)'!A1" display="'Lanç (7)'!A1"/>
    <hyperlink ref="C15" location="'Lanç (8)'!A1" display="'Lanç (8)'!A1"/>
    <hyperlink ref="C16" location="'Lanç (9)'!A1" display="'Lanç (9)'!A1"/>
    <hyperlink ref="C17" location="'Lanç (10)'!A1" display="'Lanç (10)'!A1"/>
    <hyperlink ref="C18" location="'Lanç (11)'!A1" display="'Lanç (11)'!A1"/>
    <hyperlink ref="C19" location="'Lanç (12)'!A1" display="'Lanç (12)'!A1"/>
    <hyperlink ref="C20" location="'Lanç (13)'!A1" display="'Lanç (13)'!A1"/>
    <hyperlink ref="C21" location="'Lanç (14)'!A1" display="'Lanç (14)'!A1"/>
    <hyperlink ref="C22" location="'Lanç (15)'!A1" display="'Lanç (15)'!A1"/>
    <hyperlink ref="C23" location="'Lanç (16)'!A1" display="'Lanç (16)'!A1"/>
    <hyperlink ref="C24" location="'Lanç (17)'!A1" display="'Lanç (17)'!A1"/>
    <hyperlink ref="C25" location="'Lanç (18)'!A1" display="'Lanç (18)'!A1"/>
    <hyperlink ref="C26" location="'Lanç (19)'!A1" display="'Lanç (19)'!A1"/>
    <hyperlink ref="C27" location="'Lanç (20)'!A1" display="'Lanç (20)'!A1"/>
    <hyperlink ref="C28" location="'Lanç (21)'!A1" display="'Lanç (21)'!A1"/>
    <hyperlink ref="C29" location="'Lanç (22)'!A1" display="'Lanç (22)'!A1"/>
    <hyperlink ref="C30" location="'Lanç (23)'!A1" display="'Lanç (23)'!A1"/>
    <hyperlink ref="C31" location="'Lanç (24)'!A1" display="'Lanç (24)'!A1"/>
    <hyperlink ref="C32" location="'Lanç (25)'!A1" display="'Lanç (25)'!A1"/>
    <hyperlink ref="C33" location="'Lanç (26)'!A1" display="'Lanç (26)'!A1"/>
    <hyperlink ref="C34" location="'Lanç (27)'!A1" display="'Lanç (27)'!A1"/>
    <hyperlink ref="C35" location="'Lanç (28)'!A1" display="'Lanç (28)'!A1"/>
    <hyperlink ref="C36" location="'Lanç (29)'!A1" display="'Lanç (29)'!A1"/>
    <hyperlink ref="C37" location="'Lanç (30)'!A1" display="'Lanç (30)'!A1"/>
  </hyperlinks>
  <printOptions horizontalCentered="1"/>
  <pageMargins left="0.23622047244094502" right="0.23622047244094502" top="0.74803149606299202" bottom="0.74803149606299202" header="0.31496062992126" footer="0.31496062992126"/>
  <pageSetup paperSize="9" scale="53" orientation="portrait" cellComments="atEnd"/>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69" id="{E3B6B0ED-107D-F241-B87E-85D20DB09F7C}">
            <xm:f>'P Gerais'!$I$10:$M$10="Pagas em Dinheiro"</xm:f>
            <x14:dxf>
              <font>
                <color theme="0"/>
              </font>
              <fill>
                <patternFill>
                  <bgColor theme="0"/>
                </patternFill>
              </fill>
              <border>
                <left/>
                <right/>
                <top/>
                <bottom/>
              </border>
            </x14:dxf>
          </x14:cfRule>
          <xm:sqref>S10:T13</xm:sqref>
        </x14:conditionalFormatting>
        <x14:conditionalFormatting xmlns:xm="http://schemas.microsoft.com/office/excel/2006/main">
          <x14:cfRule type="expression" priority="68" id="{19FA83F2-5517-644C-BA41-057D4C195A51}">
            <xm:f>'P Gerais'!$I$10:$M$10="Sistema de banco de horas"</xm:f>
            <x14:dxf>
              <font>
                <color theme="0"/>
              </font>
              <fill>
                <patternFill>
                  <bgColor theme="0"/>
                </patternFill>
              </fill>
              <border>
                <left/>
                <right/>
                <top/>
                <bottom/>
              </border>
            </x14:dxf>
          </x14:cfRule>
          <xm:sqref>S18:T19</xm:sqref>
        </x14:conditionalFormatting>
        <x14:conditionalFormatting xmlns:xm="http://schemas.microsoft.com/office/excel/2006/main">
          <x14:cfRule type="expression" priority="10" id="{82082969-3083-0343-9138-D6275B75A4AA}">
            <xm:f>'P Gerais'!$I$10:$M$10="Sistema de banco de horas"</xm:f>
            <x14:dxf>
              <font>
                <color theme="0"/>
              </font>
              <fill>
                <patternFill>
                  <bgColor theme="0"/>
                </patternFill>
              </fill>
              <border>
                <left/>
                <right/>
                <top/>
                <bottom/>
              </border>
            </x14:dxf>
          </x14:cfRule>
          <xm:sqref>U18:U19</xm:sqref>
        </x14:conditionalFormatting>
        <x14:conditionalFormatting xmlns:xm="http://schemas.microsoft.com/office/excel/2006/main">
          <x14:cfRule type="expression" priority="7" id="{9975E2C1-3016-364D-9BA5-7503C43C1848}">
            <xm:f>'P Gerais'!$I$10:$M$10="Pagas em Dinheiro"</xm:f>
            <x14:dxf>
              <font>
                <color theme="0"/>
              </font>
              <fill>
                <patternFill>
                  <bgColor theme="0"/>
                </patternFill>
              </fill>
              <border>
                <left/>
                <right/>
                <top/>
                <bottom/>
              </border>
            </x14:dxf>
          </x14:cfRule>
          <xm:sqref>U10:U13</xm:sqref>
        </x14:conditionalFormatting>
      </x14:conditionalFormattings>
    </ext>
  </extLs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28" enableFormatConditionsCalculation="0"/>
  <dimension ref="A1:BG103"/>
  <sheetViews>
    <sheetView showGridLines="0" zoomScale="90" zoomScaleNormal="90" zoomScalePageLayoutView="90" workbookViewId="0">
      <selection activeCell="I12" sqref="I12"/>
    </sheetView>
  </sheetViews>
  <sheetFormatPr baseColWidth="10" defaultColWidth="0" defaultRowHeight="0" customHeight="1" zeroHeight="1" x14ac:dyDescent="0.2"/>
  <cols>
    <col min="1" max="1" width="27.83203125" style="194" customWidth="1"/>
    <col min="2" max="2" width="3.83203125" style="14" customWidth="1"/>
    <col min="3" max="3" width="33.33203125" style="14" customWidth="1"/>
    <col min="4" max="4" width="2.83203125" style="14" customWidth="1"/>
    <col min="5" max="5" width="5.83203125" style="14" customWidth="1"/>
    <col min="6" max="6" width="11.83203125" style="14" customWidth="1"/>
    <col min="7" max="7" width="14.33203125" style="195" customWidth="1"/>
    <col min="8" max="11" width="9.83203125" style="14" customWidth="1"/>
    <col min="12" max="12" width="1.83203125" style="14" customWidth="1"/>
    <col min="13" max="13" width="13.33203125" style="14" customWidth="1"/>
    <col min="14" max="14" width="1.83203125" style="14" customWidth="1"/>
    <col min="15" max="15" width="13.33203125" style="14" customWidth="1"/>
    <col min="16" max="16" width="1.83203125" style="14" customWidth="1"/>
    <col min="17" max="17" width="13.33203125" style="14" customWidth="1"/>
    <col min="18" max="18" width="4.83203125" style="2" bestFit="1" customWidth="1"/>
    <col min="19" max="21" width="11.83203125" style="14" customWidth="1"/>
    <col min="22" max="23" width="8.83203125" style="2" customWidth="1"/>
    <col min="24" max="24" width="11.33203125" style="2" bestFit="1" customWidth="1"/>
    <col min="25" max="25" width="8.83203125" style="2" customWidth="1"/>
    <col min="26" max="26" width="8.1640625" style="219" bestFit="1" customWidth="1"/>
    <col min="27" max="27" width="8.83203125" style="2" customWidth="1"/>
    <col min="28" max="28" width="11.33203125" style="2" bestFit="1" customWidth="1"/>
    <col min="29" max="43" width="8.83203125" style="2" customWidth="1"/>
    <col min="44" max="50" width="11.33203125" style="2" customWidth="1"/>
    <col min="51" max="57" width="11.33203125" style="14" customWidth="1"/>
    <col min="58" max="16384" width="8.83203125" style="14" hidden="1"/>
  </cols>
  <sheetData>
    <row r="1" spans="1:59" s="15" customFormat="1" ht="33.75" customHeight="1" x14ac:dyDescent="0.3">
      <c r="A1" s="56"/>
      <c r="B1" s="3"/>
      <c r="C1" s="4" t="s">
        <v>30</v>
      </c>
      <c r="D1" s="3"/>
      <c r="E1" s="3"/>
      <c r="F1" s="3"/>
      <c r="G1" s="77"/>
      <c r="H1" s="3"/>
      <c r="I1" s="3"/>
      <c r="J1" s="3"/>
      <c r="K1" s="3"/>
      <c r="L1" s="3"/>
      <c r="M1" s="3"/>
      <c r="N1" s="3"/>
      <c r="O1" s="3"/>
      <c r="Q1" s="3"/>
      <c r="S1" s="3"/>
      <c r="T1" s="3"/>
      <c r="U1" s="3"/>
      <c r="Z1" s="174"/>
    </row>
    <row r="2" spans="1:59" s="15" customFormat="1" ht="21.5" customHeight="1" x14ac:dyDescent="0.2">
      <c r="A2" s="1"/>
      <c r="B2" s="3"/>
      <c r="C2" s="3"/>
      <c r="D2" s="3"/>
      <c r="E2" s="3"/>
      <c r="F2" s="3"/>
      <c r="G2" s="77"/>
      <c r="H2" s="3"/>
      <c r="I2" s="3"/>
      <c r="J2" s="3"/>
      <c r="K2" s="3"/>
      <c r="L2" s="3"/>
      <c r="M2" s="3"/>
      <c r="N2" s="3"/>
      <c r="O2" s="3"/>
      <c r="Q2" s="3"/>
      <c r="S2" s="3"/>
      <c r="T2" s="3"/>
      <c r="U2" s="3"/>
      <c r="Z2" s="174"/>
    </row>
    <row r="3" spans="1:59" s="15" customFormat="1" ht="21.5" customHeight="1" x14ac:dyDescent="0.2">
      <c r="A3" s="1"/>
      <c r="B3" s="3"/>
      <c r="C3" s="3"/>
      <c r="D3" s="3"/>
      <c r="E3" s="3"/>
      <c r="F3" s="3"/>
      <c r="G3" s="77"/>
      <c r="H3" s="3"/>
      <c r="I3" s="3"/>
      <c r="J3" s="3"/>
      <c r="K3" s="3"/>
      <c r="L3" s="3"/>
      <c r="M3" s="3"/>
      <c r="N3" s="3"/>
      <c r="O3" s="3"/>
      <c r="Q3" s="3"/>
      <c r="S3" s="3"/>
      <c r="T3" s="3"/>
      <c r="U3" s="3"/>
      <c r="Z3" s="174"/>
    </row>
    <row r="4" spans="1:59" s="2" customFormat="1" ht="30" customHeight="1" x14ac:dyDescent="0.2">
      <c r="A4" s="1"/>
      <c r="B4"/>
      <c r="C4"/>
      <c r="D4"/>
      <c r="E4"/>
      <c r="F4"/>
      <c r="G4" s="78"/>
      <c r="H4"/>
      <c r="I4"/>
      <c r="J4"/>
      <c r="K4"/>
      <c r="L4"/>
      <c r="M4"/>
      <c r="N4"/>
      <c r="O4" s="13"/>
      <c r="Q4"/>
      <c r="S4"/>
      <c r="T4"/>
      <c r="U4"/>
      <c r="Z4" s="219"/>
      <c r="AN4" s="175"/>
    </row>
    <row r="5" spans="1:59" s="2" customFormat="1" ht="30" customHeight="1" x14ac:dyDescent="0.2">
      <c r="A5" s="1"/>
      <c r="B5"/>
      <c r="C5" s="160" t="s">
        <v>209</v>
      </c>
      <c r="D5"/>
      <c r="E5"/>
      <c r="F5"/>
      <c r="G5"/>
      <c r="H5"/>
      <c r="I5"/>
      <c r="J5"/>
      <c r="K5" s="157">
        <f ca="1">IF(ISERROR(VLOOKUP(INDIRECT($C$5),Jornada!$C$8:$F$37,4,0)),0,VLOOKUP(INDIRECT($C$5),Jornada!$C$8:$F$37,4,0))</f>
        <v>0</v>
      </c>
      <c r="L5" s="158"/>
      <c r="M5" s="157">
        <f ca="1">IF(ISERROR(VLOOKUP(INDIRECT($C$5),Jornada!$C$8:$G$37,5,0)),0,VLOOKUP(INDIRECT($C$5),Jornada!$C$8:$G$37,5,0))</f>
        <v>0</v>
      </c>
      <c r="N5"/>
      <c r="O5" s="69"/>
      <c r="Q5"/>
      <c r="S5"/>
      <c r="T5"/>
      <c r="U5" s="12"/>
      <c r="Z5" s="219"/>
      <c r="AC5" s="12"/>
      <c r="AK5" s="179">
        <v>0.25</v>
      </c>
      <c r="AL5" s="155">
        <v>0.91666666666666663</v>
      </c>
      <c r="AM5" s="155">
        <v>0.20833333333333334</v>
      </c>
      <c r="AN5" s="155">
        <v>1</v>
      </c>
      <c r="AO5" s="155">
        <v>0.70833333333333337</v>
      </c>
    </row>
    <row r="6" spans="1:59" s="2" customFormat="1" ht="8" customHeight="1" thickBot="1" x14ac:dyDescent="0.25">
      <c r="A6" s="1"/>
      <c r="B6"/>
      <c r="C6" s="75"/>
      <c r="D6"/>
      <c r="E6"/>
      <c r="F6"/>
      <c r="G6" s="78"/>
      <c r="H6"/>
      <c r="I6"/>
      <c r="J6"/>
      <c r="M6" s="220">
        <v>1</v>
      </c>
      <c r="N6"/>
      <c r="O6" s="11"/>
      <c r="Q6" s="11"/>
      <c r="S6"/>
      <c r="T6"/>
      <c r="Z6" s="176"/>
    </row>
    <row r="7" spans="1:59" s="2" customFormat="1" ht="30" customHeight="1" thickTop="1" thickBot="1" x14ac:dyDescent="0.25">
      <c r="A7" s="1"/>
      <c r="B7"/>
      <c r="C7" s="76" t="s">
        <v>176</v>
      </c>
      <c r="D7"/>
      <c r="E7" s="281" t="str">
        <f>Lanç!E7</f>
        <v>Janeiro</v>
      </c>
      <c r="F7" s="283"/>
      <c r="G7" s="79" t="s">
        <v>58</v>
      </c>
      <c r="H7" s="82" t="s">
        <v>0</v>
      </c>
      <c r="I7" s="293" t="s">
        <v>59</v>
      </c>
      <c r="J7" s="293"/>
      <c r="K7" s="82" t="s">
        <v>60</v>
      </c>
      <c r="L7"/>
      <c r="M7" s="73" t="s">
        <v>61</v>
      </c>
      <c r="N7"/>
      <c r="O7" s="73" t="s">
        <v>62</v>
      </c>
      <c r="Q7" s="73" t="s">
        <v>63</v>
      </c>
      <c r="R7" s="155">
        <v>8.3333333333333329E-2</v>
      </c>
      <c r="S7" s="293" t="s">
        <v>64</v>
      </c>
      <c r="T7" s="293"/>
      <c r="U7" s="293"/>
      <c r="W7" s="2" t="s">
        <v>90</v>
      </c>
      <c r="X7" s="156">
        <v>1</v>
      </c>
      <c r="AB7" s="2">
        <f>VLOOKUP($E$7,$W$7:$X$18,2,0)</f>
        <v>1</v>
      </c>
      <c r="AG7" s="176" t="s">
        <v>167</v>
      </c>
      <c r="AH7" s="176" t="s">
        <v>168</v>
      </c>
      <c r="AI7" s="155">
        <v>0</v>
      </c>
      <c r="AJ7" s="155">
        <v>1</v>
      </c>
      <c r="AK7" s="155">
        <v>0.45833333333333331</v>
      </c>
      <c r="AL7" s="2" t="s">
        <v>0</v>
      </c>
      <c r="AM7" s="2" t="s">
        <v>162</v>
      </c>
      <c r="AN7" s="2" t="s">
        <v>184</v>
      </c>
      <c r="BE7" s="14"/>
      <c r="BF7" s="14"/>
      <c r="BG7" s="14"/>
    </row>
    <row r="8" spans="1:59" s="2" customFormat="1" ht="30" customHeight="1" thickTop="1" thickBot="1" x14ac:dyDescent="0.25">
      <c r="A8" s="1"/>
      <c r="B8"/>
      <c r="C8" s="172" t="str">
        <f>IF(Funcionários!C7=0,"",Funcionários!C7)</f>
        <v/>
      </c>
      <c r="D8"/>
      <c r="E8" s="115">
        <f>Lanç!E8</f>
        <v>1</v>
      </c>
      <c r="F8" s="189" t="str">
        <f>Lanç!F8</f>
        <v>Dom</v>
      </c>
      <c r="G8" s="80"/>
      <c r="H8" s="93"/>
      <c r="I8" s="93"/>
      <c r="J8" s="93"/>
      <c r="K8" s="93"/>
      <c r="L8" s="10"/>
      <c r="M8" s="95">
        <f>IF(AND(H8=K8,H8&lt;&gt;0),$M$6-IF(J8&lt;I8,$AJ$7+J8-I8,J8-I8),IF(H8&gt;K8,(K8+1-H8)-IF(J8&lt;I8,$AJ$7+J8-I8,J8-I8),(K8-H8)-IF(J8&lt;I8,$AJ$7+J8-I8,J8-I8)))</f>
        <v>0</v>
      </c>
      <c r="N8" s="96"/>
      <c r="O8" s="95">
        <f ca="1">IF(OR(G8=0,G8="Férias",G8="Falta Justificada",G8="Feriado",G8="Folga (DSR)"),0,IF(G8="Falta Injustificada",HLOOKUP($F8,Jornada!$X$7:$AD$37,VLOOKUP(INDIRECT($C$5),Jornada!$C$8:$W$37,21,0),0),IF(HLOOKUP($F8,Jornada!$X$7:$AD$37,VLOOKUP(INDIRECT($C$5),Jornada!$C$8:$W$37,21,0),0)-M8&gt;0,HLOOKUP($F8,Jornada!$X$7:$AD$37,VLOOKUP(INDIRECT($C$5),Jornada!$C$8:$W$37,21,0),0)-M8,0)))</f>
        <v>0</v>
      </c>
      <c r="P8" s="190">
        <f ca="1">IF(HLOOKUP($F8,Jornada!$X$7:$AD$37,VLOOKUP(INDIRECT($C$5),Jornada!$C$8:$W$37,21,0),0)-M8&lt;0,ABS(HLOOKUP($F8,Jornada!$X$7:$AD$37,VLOOKUP(INDIRECT($C$5),Jornada!$C$8:$W$37,21,0),0)-M8),0)</f>
        <v>0</v>
      </c>
      <c r="Q8" s="95">
        <f t="shared" ref="Q8:Q38" si="0">IF(G8="Normal",P8,IF(G8=0,0,IF(OR(G8="Feriado",G8="Férias"),IF(H8&gt;K8,(K8+1-H8)-IF(J8&lt;I8,$AJ$7+J8-I8,J8-I8),(K8-H8)-IF(J8&lt;I8,$AJ$7+J8-I8,J8-I8)),IF(G8="Folga (DSR)",IF(H8&gt;K8,(K8+1-H8)-IF(J8&lt;I8,$AJ$7+J8-I8,J8-I8),(K8-H8)-IF(J8&lt;I8,$AJ$7+J8-I8,J8-I8)),IF(G8="Falta Justificada",IF(H8&gt;K8,(K8+1-H8)-IF(J8&lt;I8,$AJ$7+J8-I8,J8-I8),(K8-H8)-IF(J8&lt;I8,$AJ$7+J8-I8,J8-I8)),0)))))</f>
        <v>0</v>
      </c>
      <c r="R8" s="2">
        <f>IF(Q8&gt;$R$7,1,0)</f>
        <v>0</v>
      </c>
      <c r="S8" s="294" t="s">
        <v>65</v>
      </c>
      <c r="T8" s="294"/>
      <c r="U8" s="295">
        <f>SUM(M8:M38)</f>
        <v>0</v>
      </c>
      <c r="W8" s="2" t="s">
        <v>91</v>
      </c>
      <c r="X8" s="156">
        <v>2</v>
      </c>
      <c r="AB8" s="177">
        <f>DATE('P Gerais'!$D$6,AB7,1)</f>
        <v>1</v>
      </c>
      <c r="AC8" s="2">
        <f>WEEKDAY(AB8)</f>
        <v>1</v>
      </c>
      <c r="AE8" s="2">
        <v>1</v>
      </c>
      <c r="AF8" s="2" t="s">
        <v>51</v>
      </c>
      <c r="AG8" s="220">
        <f>IF(J8&lt;I8,$AJ$7+J8-I8,J8-I8)</f>
        <v>0</v>
      </c>
      <c r="AH8" s="220">
        <f ca="1">IF(HLOOKUP($F8,Jornada!$X$7:$AD$37,VLOOKUP(INDIRECT($C$5),Jornada!$C$8:$W$37,21,0),0)=0,0,VLOOKUP(INDIRECT($C$5),Jornada!$C$8:$H$37,4,0))</f>
        <v>0</v>
      </c>
      <c r="AI8" s="155">
        <f ca="1">IF(AND(I8=0,J8=0,OR(H8&lt;&gt;0,K8&lt;&gt;0),HLOOKUP($F8,Jornada!$X$7:$AD$37,VLOOKUP(INDIRECT($C$5),Jornada!$C$8:$W$37,21,0),0)&gt;$AK$5,M8&gt;$AK$5),VLOOKUP(INDIRECT($C$5),Jornada!$C$8:$H$37,6,0),IF(AG8&gt;VLOOKUP(INDIRECT($C$5),Jornada!$C$8:$H$37,6,0),IF(VLOOKUP(INDIRECT($C$5),Jornada!$C$8:$H$37,6,0)&lt;AG8,0,ABS(VLOOKUP(INDIRECT($C$5),Jornada!$C$8:$H$37,6,0))-AG8),0))</f>
        <v>0</v>
      </c>
      <c r="AJ8" s="155">
        <f>($AJ$7-K8)+H8</f>
        <v>1</v>
      </c>
      <c r="AK8" s="155">
        <f>IF(AJ8&lt;$AK$7,$AK$7-AJ8,$AI$7)</f>
        <v>0</v>
      </c>
      <c r="AL8" s="155">
        <f ca="1">HLOOKUP($F8,Jornada!$I$5:$V$37,VLOOKUP(INDIRECT($C$5),Jornada!$C$8:$W$37,21,0)+2,0)</f>
        <v>0</v>
      </c>
      <c r="AM8" s="155">
        <f ca="1">HLOOKUP($F8,Jornada!$I$4:$V$37,VLOOKUP(INDIRECT($C$5),Jornada!$C$8:$W$37,21,0)+3,0)</f>
        <v>0</v>
      </c>
      <c r="AN8" s="155">
        <f ca="1">IF(AND(AL8&gt;=$AL$5,AL8&lt;$AN$5,H8&gt;=$AL$5,H8&lt;AL8),AL8-H8,IF(AND(AL8&gt;$AI$7,AL8&lt;=$AM$5,H8&gt;=$AL$5,H8&lt;=$AN$5),$AN$5-H8+AL8,IF(AND(AL8&gt;=$AI$7,AL8&lt;=$AM$5,H8&gt;=$AI$7,H8&lt;=$AM$5,H8&lt;AL8),H8-AL8,0)))</f>
        <v>0</v>
      </c>
      <c r="AO8" s="155">
        <f>IF(AP8&gt;Q8,0,AP8)</f>
        <v>0</v>
      </c>
      <c r="AP8" s="155">
        <f>IF(Q8=0,0,IF(AND(AM8&gt;=$AL$5,AM8&lt;$AN$5,K8&gt;=$AL$5,K8&lt;$AM$5,K8&gt;AM8),K8-AM8,IF(AND(AM8&gt;=$AL$5,AM8&lt;$AN$5,K8&lt;$AN$5,K8&gt;AM8),K8-$AL$5,IF(AND(AM8&gt;=$AI$7,AM8&lt;$AM$5,K8&lt;$AM$5),K8-AM8,IF(AND(AM8&lt;&gt;AI7,AM8&gt;=$AI$7,AM8&lt;=$AM$5,K8&gt;$AM$5,K8&gt;AM8),$AM$5-AM8,IF(AND(K8&gt;$AL$5,K8&lt;$AN$5),K8-$AL$5,IF(AND(K8&gt;$AI$7,K8&lt;$AM$5),$AN$5-$AL$5+K8,IF(AND(OR(K8&gt;$AL$5,H8&gt;$AO$5),AM8&gt;=$AI$7,AM8&lt;$AM$5,K8&gt;$AM$5),(1+$AM$5-$AL$5)-AG8,0))))))))</f>
        <v>0</v>
      </c>
      <c r="BE8" s="14"/>
      <c r="BF8" s="14"/>
      <c r="BG8" s="14"/>
    </row>
    <row r="9" spans="1:59" s="2" customFormat="1" ht="30" customHeight="1" thickTop="1" thickBot="1" x14ac:dyDescent="0.25">
      <c r="A9" s="1"/>
      <c r="B9"/>
      <c r="C9" s="172" t="str">
        <f>IF(Funcionários!C8=0,"",Funcionários!C8)</f>
        <v/>
      </c>
      <c r="D9"/>
      <c r="E9" s="115">
        <f>Lanç!E9</f>
        <v>2</v>
      </c>
      <c r="F9" s="189" t="str">
        <f>Lanç!F9</f>
        <v>Seg</v>
      </c>
      <c r="G9" s="81"/>
      <c r="H9" s="94"/>
      <c r="I9" s="94"/>
      <c r="J9" s="94"/>
      <c r="K9" s="94"/>
      <c r="L9" s="10"/>
      <c r="M9" s="95">
        <f t="shared" ref="M9:M38" si="1">IF(AND(H9=K9,H9&lt;&gt;0),$M$6-IF(J9&lt;I9,$AJ$7+J9-I9,J9-I9),IF(H9&gt;K9,(K9+1-H9)-IF(J9&lt;I9,$AJ$7+J9-I9,J9-I9),(K9-H9)-IF(J9&lt;I9,$AJ$7+J9-I9,J9-I9)))</f>
        <v>0</v>
      </c>
      <c r="N9" s="96"/>
      <c r="O9" s="95">
        <f ca="1">IF(OR(G9=0,G9="Férias",G9="Falta Justificada",G9="Feriado",G9="Folga (DSR)"),0,IF(G9="Falta Injustificada",HLOOKUP($F9,Jornada!$X$7:$AD$37,VLOOKUP(INDIRECT($C$5),Jornada!$C$8:$W$37,21,0),0),IF(HLOOKUP($F9,Jornada!$X$7:$AD$37,VLOOKUP(INDIRECT($C$5),Jornada!$C$8:$W$37,21,0),0)-M9&gt;0,HLOOKUP($F9,Jornada!$X$7:$AD$37,VLOOKUP(INDIRECT($C$5),Jornada!$C$8:$W$37,21,0),0)-M9,0)))</f>
        <v>0</v>
      </c>
      <c r="P9" s="190">
        <f ca="1">IF(HLOOKUP($F9,Jornada!$X$7:$AD$37,VLOOKUP(INDIRECT($C$5),Jornada!$C$8:$W$37,21,0),0)-M9&lt;0,ABS(HLOOKUP($F9,Jornada!$X$7:$AD$37,VLOOKUP(INDIRECT($C$5),Jornada!$C$8:$W$37,21,0),0)-M9),0)</f>
        <v>0</v>
      </c>
      <c r="Q9" s="95">
        <f t="shared" si="0"/>
        <v>0</v>
      </c>
      <c r="R9" s="2">
        <f t="shared" ref="R9:R38" si="2">IF(Q9&gt;$R$7,1,0)</f>
        <v>0</v>
      </c>
      <c r="S9" s="294"/>
      <c r="T9" s="294"/>
      <c r="U9" s="295"/>
      <c r="W9" s="2" t="s">
        <v>92</v>
      </c>
      <c r="X9" s="156">
        <v>3</v>
      </c>
      <c r="AB9" s="177">
        <f>AB8+1</f>
        <v>2</v>
      </c>
      <c r="AC9" s="2">
        <f t="shared" ref="AC9:AC35" si="3">WEEKDAY(AB9)</f>
        <v>2</v>
      </c>
      <c r="AE9" s="2">
        <v>2</v>
      </c>
      <c r="AF9" s="2" t="s">
        <v>52</v>
      </c>
      <c r="AG9" s="220">
        <f t="shared" ref="AG9:AG38" si="4">IF(J9&lt;I9,$AJ$7+J9-I9,J9-I9)</f>
        <v>0</v>
      </c>
      <c r="AH9" s="220">
        <f ca="1">IF(HLOOKUP($F9,Jornada!$X$7:$AD$37,VLOOKUP(INDIRECT($C$5),Jornada!$C$8:$W$37,21,0),0)=0,0,VLOOKUP(INDIRECT($C$5),Jornada!$C$8:$H$37,4,0))</f>
        <v>0</v>
      </c>
      <c r="AI9" s="155">
        <f ca="1">IF(AND(I9=0,J9=0,OR(H9&lt;&gt;0,K9&lt;&gt;0),HLOOKUP($F9,Jornada!$X$7:$AD$37,VLOOKUP(INDIRECT($C$5),Jornada!$C$8:$W$37,21,0),0)&gt;$AK$5,M9&gt;$AK$5),VLOOKUP(INDIRECT($C$5),Jornada!$C$8:$H$37,6,0),IF(AG9&gt;VLOOKUP(INDIRECT($C$5),Jornada!$C$8:$H$37,6,0),IF(VLOOKUP(INDIRECT($C$5),Jornada!$C$8:$H$37,6,0)&lt;AG9,0,ABS(VLOOKUP(INDIRECT($C$5),Jornada!$C$8:$H$37,6,0))-AG9),0))</f>
        <v>0</v>
      </c>
      <c r="AJ9" s="155">
        <f t="shared" ref="AJ9:AJ38" si="5">($AJ$7-K9)+H9</f>
        <v>1</v>
      </c>
      <c r="AK9" s="155">
        <f t="shared" ref="AK9:AK38" si="6">IF(AJ9&lt;$AK$7,$AK$7-AJ9,$AI$7)</f>
        <v>0</v>
      </c>
      <c r="AL9" s="155">
        <f ca="1">HLOOKUP($F9,Jornada!$I$5:$V$37,VLOOKUP(INDIRECT($C$5),Jornada!$C$8:$W$37,21,0)+2,0)</f>
        <v>0</v>
      </c>
      <c r="AM9" s="155">
        <f ca="1">HLOOKUP($F9,Jornada!$I$4:$V$37,VLOOKUP(INDIRECT($C$5),Jornada!$C$8:$W$37,21,0)+3,0)</f>
        <v>0</v>
      </c>
      <c r="AN9" s="155">
        <f t="shared" ref="AN9:AN38" ca="1" si="7">IF(AND(AL9&gt;=$AL$5,AL9&lt;$AN$5,H9&gt;=$AL$5,H9&lt;AL9),AL9-H9,IF(AND(AL9&gt;$AI$7,AL9&lt;=$AM$5,H9&gt;=$AL$5,H9&lt;=$AN$5),$AN$5-H9+AL9,IF(AND(AL9&gt;=$AI$7,AL9&lt;=$AM$5,H9&gt;=$AI$7,H9&lt;=$AM$5,H9&lt;AL9),H9-AL9,0)))</f>
        <v>0</v>
      </c>
      <c r="AO9" s="155">
        <f t="shared" ref="AO9:AO38" si="8">IF(AP9&gt;Q9,0,AP9)</f>
        <v>0</v>
      </c>
      <c r="AP9" s="155">
        <f t="shared" ref="AP9:AP38" si="9">IF(Q9=0,0,IF(AND(AM9&gt;=$AL$5,AM9&lt;$AN$5,K9&gt;=$AL$5,K9&lt;$AM$5,K9&gt;AM9),K9-AM9,IF(AND(AM9&gt;=$AL$5,AM9&lt;$AN$5,K9&lt;$AN$5,K9&gt;AM9),K9-$AL$5,IF(AND(AM9&gt;=$AI$7,AM9&lt;$AM$5,K9&lt;$AM$5),K9-AM9,IF(AND(AM9&lt;&gt;AI8,AM9&gt;=$AI$7,AM9&lt;=$AM$5,K9&gt;$AM$5,K9&gt;AM9),$AM$5-AM9,IF(AND(K9&gt;$AL$5,K9&lt;$AN$5),K9-$AL$5,IF(AND(K9&gt;$AI$7,K9&lt;$AM$5),$AN$5-$AL$5+K9,IF(AND(OR(K9&gt;$AL$5,H9&gt;$AO$5),AM9&gt;=$AI$7,AM9&lt;$AM$5,K9&gt;$AM$5),(1+$AM$5-$AL$5)-AG9,0))))))))</f>
        <v>0</v>
      </c>
      <c r="BE9" s="14"/>
      <c r="BF9" s="14"/>
      <c r="BG9" s="14"/>
    </row>
    <row r="10" spans="1:59" s="2" customFormat="1" ht="30" customHeight="1" thickTop="1" thickBot="1" x14ac:dyDescent="0.25">
      <c r="A10" s="1"/>
      <c r="B10"/>
      <c r="C10" s="172" t="str">
        <f>IF(Funcionários!C9=0,"",Funcionários!C9)</f>
        <v/>
      </c>
      <c r="D10"/>
      <c r="E10" s="115">
        <f>Lanç!E10</f>
        <v>3</v>
      </c>
      <c r="F10" s="189" t="str">
        <f>Lanç!F10</f>
        <v>Ter</v>
      </c>
      <c r="G10" s="81"/>
      <c r="H10" s="94"/>
      <c r="I10" s="94"/>
      <c r="J10" s="94"/>
      <c r="K10" s="94"/>
      <c r="L10" s="10"/>
      <c r="M10" s="95">
        <f t="shared" si="1"/>
        <v>0</v>
      </c>
      <c r="N10" s="96"/>
      <c r="O10" s="95">
        <f ca="1">IF(OR(G10=0,G10="Férias",G10="Falta Justificada",G10="Feriado",G10="Folga (DSR)"),0,IF(G10="Falta Injustificada",HLOOKUP($F10,Jornada!$X$7:$AD$37,VLOOKUP(INDIRECT($C$5),Jornada!$C$8:$W$37,21,0),0),IF(HLOOKUP($F10,Jornada!$X$7:$AD$37,VLOOKUP(INDIRECT($C$5),Jornada!$C$8:$W$37,21,0),0)-M10&gt;0,HLOOKUP($F10,Jornada!$X$7:$AD$37,VLOOKUP(INDIRECT($C$5),Jornada!$C$8:$W$37,21,0),0)-M10,0)))</f>
        <v>0</v>
      </c>
      <c r="P10" s="190">
        <f ca="1">IF(HLOOKUP($F10,Jornada!$X$7:$AD$37,VLOOKUP(INDIRECT($C$5),Jornada!$C$8:$W$37,21,0),0)-M10&lt;0,ABS(HLOOKUP($F10,Jornada!$X$7:$AD$37,VLOOKUP(INDIRECT($C$5),Jornada!$C$8:$W$37,21,0),0)-M10),0)</f>
        <v>0</v>
      </c>
      <c r="Q10" s="95">
        <f t="shared" si="0"/>
        <v>0</v>
      </c>
      <c r="R10" s="2">
        <f t="shared" si="2"/>
        <v>0</v>
      </c>
      <c r="S10" s="294" t="s">
        <v>66</v>
      </c>
      <c r="T10" s="294"/>
      <c r="U10" s="295">
        <f ca="1">IF(M5="Horas devidas",ABS(-K5+F58-U14),ABS(K5+F58-U14))</f>
        <v>0</v>
      </c>
      <c r="W10" s="2" t="s">
        <v>93</v>
      </c>
      <c r="X10" s="156">
        <v>4</v>
      </c>
      <c r="AB10" s="177">
        <f t="shared" ref="AB10:AB34" si="10">AB9+1</f>
        <v>3</v>
      </c>
      <c r="AC10" s="2">
        <f t="shared" si="3"/>
        <v>3</v>
      </c>
      <c r="AE10" s="2">
        <v>3</v>
      </c>
      <c r="AF10" s="2" t="s">
        <v>53</v>
      </c>
      <c r="AG10" s="220">
        <f t="shared" si="4"/>
        <v>0</v>
      </c>
      <c r="AH10" s="220">
        <f ca="1">IF(HLOOKUP($F10,Jornada!$X$7:$AD$37,VLOOKUP(INDIRECT($C$5),Jornada!$C$8:$W$37,21,0),0)=0,0,VLOOKUP(INDIRECT($C$5),Jornada!$C$8:$H$37,4,0))</f>
        <v>0</v>
      </c>
      <c r="AI10" s="155">
        <f ca="1">IF(AND(I10=0,J10=0,OR(H10&lt;&gt;0,K10&lt;&gt;0),HLOOKUP($F10,Jornada!$X$7:$AD$37,VLOOKUP(INDIRECT($C$5),Jornada!$C$8:$W$37,21,0),0)&gt;$AK$5,M10&gt;$AK$5),VLOOKUP(INDIRECT($C$5),Jornada!$C$8:$H$37,6,0),IF(AG10&gt;VLOOKUP(INDIRECT($C$5),Jornada!$C$8:$H$37,6,0),IF(VLOOKUP(INDIRECT($C$5),Jornada!$C$8:$H$37,6,0)&lt;AG10,0,ABS(VLOOKUP(INDIRECT($C$5),Jornada!$C$8:$H$37,6,0))-AG10),0))</f>
        <v>0</v>
      </c>
      <c r="AJ10" s="155">
        <f t="shared" si="5"/>
        <v>1</v>
      </c>
      <c r="AK10" s="155">
        <f t="shared" si="6"/>
        <v>0</v>
      </c>
      <c r="AL10" s="155">
        <f ca="1">HLOOKUP($F10,Jornada!$I$5:$V$37,VLOOKUP(INDIRECT($C$5),Jornada!$C$8:$W$37,21,0)+2,0)</f>
        <v>0</v>
      </c>
      <c r="AM10" s="155">
        <f ca="1">HLOOKUP($F10,Jornada!$I$4:$V$37,VLOOKUP(INDIRECT($C$5),Jornada!$C$8:$W$37,21,0)+3,0)</f>
        <v>0</v>
      </c>
      <c r="AN10" s="155">
        <f t="shared" ca="1" si="7"/>
        <v>0</v>
      </c>
      <c r="AO10" s="155">
        <f t="shared" si="8"/>
        <v>0</v>
      </c>
      <c r="AP10" s="155">
        <f t="shared" si="9"/>
        <v>0</v>
      </c>
      <c r="BE10" s="14"/>
      <c r="BF10" s="14"/>
      <c r="BG10" s="14"/>
    </row>
    <row r="11" spans="1:59" s="2" customFormat="1" ht="30" customHeight="1" thickTop="1" thickBot="1" x14ac:dyDescent="0.25">
      <c r="A11" s="1"/>
      <c r="B11"/>
      <c r="C11" s="172" t="str">
        <f>IF(Funcionários!C10=0,"",Funcionários!C10)</f>
        <v/>
      </c>
      <c r="D11"/>
      <c r="E11" s="115">
        <f>Lanç!E11</f>
        <v>4</v>
      </c>
      <c r="F11" s="189" t="str">
        <f>Lanç!F11</f>
        <v>Qua</v>
      </c>
      <c r="G11" s="81"/>
      <c r="H11" s="94"/>
      <c r="I11" s="94"/>
      <c r="J11" s="94"/>
      <c r="K11" s="94"/>
      <c r="L11" s="10"/>
      <c r="M11" s="95">
        <f t="shared" si="1"/>
        <v>0</v>
      </c>
      <c r="N11" s="96"/>
      <c r="O11" s="95">
        <f ca="1">IF(OR(G11=0,G11="Férias",G11="Falta Justificada",G11="Feriado",G11="Folga (DSR)"),0,IF(G11="Falta Injustificada",HLOOKUP($F11,Jornada!$X$7:$AD$37,VLOOKUP(INDIRECT($C$5),Jornada!$C$8:$W$37,21,0),0),IF(HLOOKUP($F11,Jornada!$X$7:$AD$37,VLOOKUP(INDIRECT($C$5),Jornada!$C$8:$W$37,21,0),0)-M11&gt;0,HLOOKUP($F11,Jornada!$X$7:$AD$37,VLOOKUP(INDIRECT($C$5),Jornada!$C$8:$W$37,21,0),0)-M11,0)))</f>
        <v>0</v>
      </c>
      <c r="P11" s="190">
        <f ca="1">IF(HLOOKUP($F11,Jornada!$X$7:$AD$37,VLOOKUP(INDIRECT($C$5),Jornada!$C$8:$W$37,21,0),0)-M11&lt;0,ABS(HLOOKUP($F11,Jornada!$X$7:$AD$37,VLOOKUP(INDIRECT($C$5),Jornada!$C$8:$W$37,21,0),0)-M11),0)</f>
        <v>0</v>
      </c>
      <c r="Q11" s="95">
        <f t="shared" si="0"/>
        <v>0</v>
      </c>
      <c r="R11" s="2">
        <f t="shared" si="2"/>
        <v>0</v>
      </c>
      <c r="S11" s="294"/>
      <c r="T11" s="294"/>
      <c r="U11" s="295"/>
      <c r="V11" s="2">
        <f ca="1">IF(AND(K5&gt;U12,M5="Horas devidas"),"Negativo",IF(AND(U12&gt;K5,U14&gt;F58),"Negativo",0))</f>
        <v>0</v>
      </c>
      <c r="W11" s="2" t="s">
        <v>94</v>
      </c>
      <c r="X11" s="156">
        <v>5</v>
      </c>
      <c r="Z11" s="2" t="str">
        <f ca="1">IF(AND(M5="horas extras",Z13="positivo"),"positivo",IF(AND(M5="horas devidas",Z13="Negativo"),"Negativo",IF(AND(Z13="positivo",M5="horas devidas",U12&gt;K5),"Positivo","Negativo")))</f>
        <v>Negativo</v>
      </c>
      <c r="AB11" s="177">
        <f t="shared" si="10"/>
        <v>4</v>
      </c>
      <c r="AC11" s="2">
        <f t="shared" si="3"/>
        <v>4</v>
      </c>
      <c r="AE11" s="2">
        <v>4</v>
      </c>
      <c r="AF11" s="2" t="s">
        <v>54</v>
      </c>
      <c r="AG11" s="220">
        <f t="shared" si="4"/>
        <v>0</v>
      </c>
      <c r="AH11" s="220">
        <f ca="1">IF(HLOOKUP($F11,Jornada!$X$7:$AD$37,VLOOKUP(INDIRECT($C$5),Jornada!$C$8:$W$37,21,0),0)=0,0,VLOOKUP(INDIRECT($C$5),Jornada!$C$8:$H$37,4,0))</f>
        <v>0</v>
      </c>
      <c r="AI11" s="155">
        <f ca="1">IF(AND(I11=0,J11=0,OR(H11&lt;&gt;0,K11&lt;&gt;0),HLOOKUP($F11,Jornada!$X$7:$AD$37,VLOOKUP(INDIRECT($C$5),Jornada!$C$8:$W$37,21,0),0)&gt;$AK$5,M11&gt;$AK$5),VLOOKUP(INDIRECT($C$5),Jornada!$C$8:$H$37,6,0),IF(AG11&gt;VLOOKUP(INDIRECT($C$5),Jornada!$C$8:$H$37,6,0),IF(VLOOKUP(INDIRECT($C$5),Jornada!$C$8:$H$37,6,0)&lt;AG11,0,ABS(VLOOKUP(INDIRECT($C$5),Jornada!$C$8:$H$37,6,0))-AG11),0))</f>
        <v>0</v>
      </c>
      <c r="AJ11" s="155">
        <f t="shared" si="5"/>
        <v>1</v>
      </c>
      <c r="AK11" s="155">
        <f t="shared" si="6"/>
        <v>0</v>
      </c>
      <c r="AL11" s="155">
        <f ca="1">HLOOKUP($F11,Jornada!$I$5:$V$37,VLOOKUP(INDIRECT($C$5),Jornada!$C$8:$W$37,21,0)+2,0)</f>
        <v>0</v>
      </c>
      <c r="AM11" s="155">
        <f ca="1">HLOOKUP($F11,Jornada!$I$4:$V$37,VLOOKUP(INDIRECT($C$5),Jornada!$C$8:$W$37,21,0)+3,0)</f>
        <v>0</v>
      </c>
      <c r="AN11" s="155">
        <f t="shared" ca="1" si="7"/>
        <v>0</v>
      </c>
      <c r="AO11" s="155">
        <f t="shared" si="8"/>
        <v>0</v>
      </c>
      <c r="AP11" s="155">
        <f t="shared" si="9"/>
        <v>0</v>
      </c>
      <c r="BE11" s="14"/>
      <c r="BF11" s="14"/>
      <c r="BG11" s="14"/>
    </row>
    <row r="12" spans="1:59" s="2" customFormat="1" ht="30" customHeight="1" thickTop="1" thickBot="1" x14ac:dyDescent="0.25">
      <c r="A12" s="1"/>
      <c r="B12"/>
      <c r="C12" s="172" t="str">
        <f>IF(Funcionários!C11=0,"",Funcionários!C11)</f>
        <v/>
      </c>
      <c r="D12"/>
      <c r="E12" s="115">
        <f>Lanç!E12</f>
        <v>5</v>
      </c>
      <c r="F12" s="189" t="str">
        <f>Lanç!F12</f>
        <v>Qui</v>
      </c>
      <c r="G12" s="81"/>
      <c r="H12" s="94"/>
      <c r="I12" s="94"/>
      <c r="J12" s="94"/>
      <c r="K12" s="94"/>
      <c r="L12" s="10"/>
      <c r="M12" s="95">
        <f t="shared" si="1"/>
        <v>0</v>
      </c>
      <c r="N12" s="96"/>
      <c r="O12" s="95">
        <f ca="1">IF(OR(G12=0,G12="Férias",G12="Falta Justificada",G12="Feriado",G12="Folga (DSR)"),0,IF(G12="Falta Injustificada",HLOOKUP($F12,Jornada!$X$7:$AD$37,VLOOKUP(INDIRECT($C$5),Jornada!$C$8:$W$37,21,0),0),IF(HLOOKUP($F12,Jornada!$X$7:$AD$37,VLOOKUP(INDIRECT($C$5),Jornada!$C$8:$W$37,21,0),0)-M12&gt;0,HLOOKUP($F12,Jornada!$X$7:$AD$37,VLOOKUP(INDIRECT($C$5),Jornada!$C$8:$W$37,21,0),0)-M12,0)))</f>
        <v>0</v>
      </c>
      <c r="P12" s="190">
        <f ca="1">IF(HLOOKUP($F12,Jornada!$X$7:$AD$37,VLOOKUP(INDIRECT($C$5),Jornada!$C$8:$W$37,21,0),0)-M12&lt;0,ABS(HLOOKUP($F12,Jornada!$X$7:$AD$37,VLOOKUP(INDIRECT($C$5),Jornada!$C$8:$W$37,21,0),0)-M12),0)</f>
        <v>0</v>
      </c>
      <c r="Q12" s="95">
        <f t="shared" si="0"/>
        <v>0</v>
      </c>
      <c r="R12" s="2">
        <f t="shared" si="2"/>
        <v>0</v>
      </c>
      <c r="S12" s="294" t="s">
        <v>175</v>
      </c>
      <c r="T12" s="294"/>
      <c r="U12" s="295">
        <f ca="1">IF(U14&gt;=F58,(U14)-F58,(F58-U14))</f>
        <v>0</v>
      </c>
      <c r="W12" s="2" t="s">
        <v>95</v>
      </c>
      <c r="X12" s="156">
        <v>6</v>
      </c>
      <c r="AB12" s="177">
        <f t="shared" si="10"/>
        <v>5</v>
      </c>
      <c r="AC12" s="2">
        <f t="shared" si="3"/>
        <v>5</v>
      </c>
      <c r="AE12" s="2">
        <v>5</v>
      </c>
      <c r="AF12" s="2" t="s">
        <v>55</v>
      </c>
      <c r="AG12" s="220">
        <f t="shared" si="4"/>
        <v>0</v>
      </c>
      <c r="AH12" s="220">
        <f ca="1">IF(HLOOKUP($F12,Jornada!$X$7:$AD$37,VLOOKUP(INDIRECT($C$5),Jornada!$C$8:$W$37,21,0),0)=0,0,VLOOKUP(INDIRECT($C$5),Jornada!$C$8:$H$37,4,0))</f>
        <v>0</v>
      </c>
      <c r="AI12" s="155">
        <f ca="1">IF(AND(I12=0,J12=0,OR(H12&lt;&gt;0,K12&lt;&gt;0),HLOOKUP($F12,Jornada!$X$7:$AD$37,VLOOKUP(INDIRECT($C$5),Jornada!$C$8:$W$37,21,0),0)&gt;$AK$5,M12&gt;$AK$5),VLOOKUP(INDIRECT($C$5),Jornada!$C$8:$H$37,6,0),IF(AG12&gt;VLOOKUP(INDIRECT($C$5),Jornada!$C$8:$H$37,6,0),IF(VLOOKUP(INDIRECT($C$5),Jornada!$C$8:$H$37,6,0)&lt;AG12,0,ABS(VLOOKUP(INDIRECT($C$5),Jornada!$C$8:$H$37,6,0))-AG12),0))</f>
        <v>0</v>
      </c>
      <c r="AJ12" s="155">
        <f t="shared" si="5"/>
        <v>1</v>
      </c>
      <c r="AK12" s="155">
        <f t="shared" si="6"/>
        <v>0</v>
      </c>
      <c r="AL12" s="155">
        <f ca="1">HLOOKUP($F12,Jornada!$I$5:$V$37,VLOOKUP(INDIRECT($C$5),Jornada!$C$8:$W$37,21,0)+2,0)</f>
        <v>0</v>
      </c>
      <c r="AM12" s="155">
        <f ca="1">HLOOKUP($F12,Jornada!$I$4:$V$37,VLOOKUP(INDIRECT($C$5),Jornada!$C$8:$W$37,21,0)+3,0)</f>
        <v>0</v>
      </c>
      <c r="AN12" s="155">
        <f t="shared" ca="1" si="7"/>
        <v>0</v>
      </c>
      <c r="AO12" s="155">
        <f t="shared" si="8"/>
        <v>0</v>
      </c>
      <c r="AP12" s="155">
        <f t="shared" si="9"/>
        <v>0</v>
      </c>
      <c r="BE12" s="14"/>
      <c r="BF12" s="14"/>
      <c r="BG12" s="14"/>
    </row>
    <row r="13" spans="1:59" s="2" customFormat="1" ht="30" customHeight="1" thickTop="1" thickBot="1" x14ac:dyDescent="0.25">
      <c r="A13" s="1"/>
      <c r="B13"/>
      <c r="C13" s="172" t="str">
        <f>IF(Funcionários!C12=0,"",Funcionários!C12)</f>
        <v/>
      </c>
      <c r="D13"/>
      <c r="E13" s="115">
        <f>Lanç!E13</f>
        <v>6</v>
      </c>
      <c r="F13" s="189" t="str">
        <f>Lanç!F13</f>
        <v>Sex</v>
      </c>
      <c r="G13" s="81"/>
      <c r="H13" s="94"/>
      <c r="I13" s="94"/>
      <c r="J13" s="94"/>
      <c r="K13" s="94"/>
      <c r="L13" s="10"/>
      <c r="M13" s="95">
        <f t="shared" si="1"/>
        <v>0</v>
      </c>
      <c r="N13" s="96"/>
      <c r="O13" s="95">
        <f ca="1">IF(OR(G13=0,G13="Férias",G13="Falta Justificada",G13="Feriado",G13="Folga (DSR)"),0,IF(G13="Falta Injustificada",HLOOKUP($F13,Jornada!$X$7:$AD$37,VLOOKUP(INDIRECT($C$5),Jornada!$C$8:$W$37,21,0),0),IF(HLOOKUP($F13,Jornada!$X$7:$AD$37,VLOOKUP(INDIRECT($C$5),Jornada!$C$8:$W$37,21,0),0)-M13&gt;0,HLOOKUP($F13,Jornada!$X$7:$AD$37,VLOOKUP(INDIRECT($C$5),Jornada!$C$8:$W$37,21,0),0)-M13,0)))</f>
        <v>0</v>
      </c>
      <c r="P13" s="190">
        <f ca="1">IF(HLOOKUP($F13,Jornada!$X$7:$AD$37,VLOOKUP(INDIRECT($C$5),Jornada!$C$8:$W$37,21,0),0)-M13&lt;0,ABS(HLOOKUP($F13,Jornada!$X$7:$AD$37,VLOOKUP(INDIRECT($C$5),Jornada!$C$8:$W$37,21,0),0)-M13),0)</f>
        <v>0</v>
      </c>
      <c r="Q13" s="95">
        <f t="shared" si="0"/>
        <v>0</v>
      </c>
      <c r="R13" s="2">
        <f t="shared" si="2"/>
        <v>0</v>
      </c>
      <c r="S13" s="294"/>
      <c r="T13" s="294"/>
      <c r="U13" s="295"/>
      <c r="W13" s="2" t="s">
        <v>96</v>
      </c>
      <c r="X13" s="156">
        <v>7</v>
      </c>
      <c r="Z13" s="2" t="str">
        <f ca="1">IF(U14&gt;F58,"Negativo","Positivo")</f>
        <v>Positivo</v>
      </c>
      <c r="AB13" s="177">
        <f t="shared" si="10"/>
        <v>6</v>
      </c>
      <c r="AC13" s="2">
        <f t="shared" si="3"/>
        <v>6</v>
      </c>
      <c r="AE13" s="2">
        <v>6</v>
      </c>
      <c r="AF13" s="2" t="s">
        <v>56</v>
      </c>
      <c r="AG13" s="220">
        <f t="shared" si="4"/>
        <v>0</v>
      </c>
      <c r="AH13" s="220">
        <f ca="1">IF(HLOOKUP($F13,Jornada!$X$7:$AD$37,VLOOKUP(INDIRECT($C$5),Jornada!$C$8:$W$37,21,0),0)=0,0,VLOOKUP(INDIRECT($C$5),Jornada!$C$8:$H$37,4,0))</f>
        <v>0</v>
      </c>
      <c r="AI13" s="155">
        <f ca="1">IF(AND(I13=0,J13=0,OR(H13&lt;&gt;0,K13&lt;&gt;0),HLOOKUP($F13,Jornada!$X$7:$AD$37,VLOOKUP(INDIRECT($C$5),Jornada!$C$8:$W$37,21,0),0)&gt;$AK$5,M13&gt;$AK$5),VLOOKUP(INDIRECT($C$5),Jornada!$C$8:$H$37,6,0),IF(AG13&gt;VLOOKUP(INDIRECT($C$5),Jornada!$C$8:$H$37,6,0),IF(VLOOKUP(INDIRECT($C$5),Jornada!$C$8:$H$37,6,0)&lt;AG13,0,ABS(VLOOKUP(INDIRECT($C$5),Jornada!$C$8:$H$37,6,0))-AG13),0))</f>
        <v>0</v>
      </c>
      <c r="AJ13" s="155">
        <f t="shared" si="5"/>
        <v>1</v>
      </c>
      <c r="AK13" s="155">
        <f t="shared" si="6"/>
        <v>0</v>
      </c>
      <c r="AL13" s="155">
        <f ca="1">HLOOKUP($F13,Jornada!$I$5:$V$37,VLOOKUP(INDIRECT($C$5),Jornada!$C$8:$W$37,21,0)+2,0)</f>
        <v>0</v>
      </c>
      <c r="AM13" s="155">
        <f ca="1">HLOOKUP($F13,Jornada!$I$4:$V$37,VLOOKUP(INDIRECT($C$5),Jornada!$C$8:$W$37,21,0)+3,0)</f>
        <v>0</v>
      </c>
      <c r="AN13" s="155">
        <f t="shared" ca="1" si="7"/>
        <v>0</v>
      </c>
      <c r="AO13" s="155">
        <f t="shared" si="8"/>
        <v>0</v>
      </c>
      <c r="AP13" s="155">
        <f t="shared" si="9"/>
        <v>0</v>
      </c>
      <c r="BE13" s="14"/>
      <c r="BF13" s="14"/>
      <c r="BG13" s="14"/>
    </row>
    <row r="14" spans="1:59" s="2" customFormat="1" ht="30" customHeight="1" thickTop="1" thickBot="1" x14ac:dyDescent="0.25">
      <c r="A14" s="1"/>
      <c r="B14"/>
      <c r="C14" s="172" t="str">
        <f>IF(Funcionários!C13=0,"",Funcionários!C13)</f>
        <v/>
      </c>
      <c r="D14"/>
      <c r="E14" s="115">
        <f>Lanç!E14</f>
        <v>7</v>
      </c>
      <c r="F14" s="189" t="str">
        <f>Lanç!F14</f>
        <v>Sáb</v>
      </c>
      <c r="G14" s="81"/>
      <c r="H14" s="94"/>
      <c r="I14" s="94"/>
      <c r="J14" s="94"/>
      <c r="K14" s="94"/>
      <c r="L14" s="10"/>
      <c r="M14" s="95">
        <f t="shared" si="1"/>
        <v>0</v>
      </c>
      <c r="N14" s="96"/>
      <c r="O14" s="95">
        <f ca="1">IF(OR(G14=0,G14="Férias",G14="Falta Justificada",G14="Feriado",G14="Folga (DSR)"),0,IF(G14="Falta Injustificada",HLOOKUP($F14,Jornada!$X$7:$AD$37,VLOOKUP(INDIRECT($C$5),Jornada!$C$8:$W$37,21,0),0),IF(HLOOKUP($F14,Jornada!$X$7:$AD$37,VLOOKUP(INDIRECT($C$5),Jornada!$C$8:$W$37,21,0),0)-M14&gt;0,HLOOKUP($F14,Jornada!$X$7:$AD$37,VLOOKUP(INDIRECT($C$5),Jornada!$C$8:$W$37,21,0),0)-M14,0)))</f>
        <v>0</v>
      </c>
      <c r="P14" s="190">
        <f ca="1">IF(HLOOKUP($F14,Jornada!$X$7:$AD$37,VLOOKUP(INDIRECT($C$5),Jornada!$C$8:$W$37,21,0),0)-M14&lt;0,ABS(HLOOKUP($F14,Jornada!$X$7:$AD$37,VLOOKUP(INDIRECT($C$5),Jornada!$C$8:$W$37,21,0),0)-M14),0)</f>
        <v>0</v>
      </c>
      <c r="Q14" s="95">
        <f t="shared" si="0"/>
        <v>0</v>
      </c>
      <c r="R14" s="2">
        <f t="shared" si="2"/>
        <v>0</v>
      </c>
      <c r="S14" s="294" t="s">
        <v>68</v>
      </c>
      <c r="T14" s="294"/>
      <c r="U14" s="295">
        <f ca="1">SUM(O8:O38)</f>
        <v>0</v>
      </c>
      <c r="W14" s="2" t="s">
        <v>97</v>
      </c>
      <c r="X14" s="156">
        <v>8</v>
      </c>
      <c r="AB14" s="177">
        <f t="shared" si="10"/>
        <v>7</v>
      </c>
      <c r="AC14" s="2">
        <f t="shared" si="3"/>
        <v>7</v>
      </c>
      <c r="AE14" s="2">
        <v>7</v>
      </c>
      <c r="AF14" s="2" t="s">
        <v>57</v>
      </c>
      <c r="AG14" s="220">
        <f t="shared" si="4"/>
        <v>0</v>
      </c>
      <c r="AH14" s="220">
        <f ca="1">IF(HLOOKUP($F14,Jornada!$X$7:$AD$37,VLOOKUP(INDIRECT($C$5),Jornada!$C$8:$W$37,21,0),0)=0,0,VLOOKUP(INDIRECT($C$5),Jornada!$C$8:$H$37,4,0))</f>
        <v>0</v>
      </c>
      <c r="AI14" s="155">
        <f ca="1">IF(AND(I14=0,J14=0,OR(H14&lt;&gt;0,K14&lt;&gt;0),HLOOKUP($F14,Jornada!$X$7:$AD$37,VLOOKUP(INDIRECT($C$5),Jornada!$C$8:$W$37,21,0),0)&gt;$AK$5,M14&gt;$AK$5),VLOOKUP(INDIRECT($C$5),Jornada!$C$8:$H$37,6,0),IF(AG14&gt;VLOOKUP(INDIRECT($C$5),Jornada!$C$8:$H$37,6,0),IF(VLOOKUP(INDIRECT($C$5),Jornada!$C$8:$H$37,6,0)&lt;AG14,0,ABS(VLOOKUP(INDIRECT($C$5),Jornada!$C$8:$H$37,6,0))-AG14),0))</f>
        <v>0</v>
      </c>
      <c r="AJ14" s="155">
        <f t="shared" si="5"/>
        <v>1</v>
      </c>
      <c r="AK14" s="155">
        <f t="shared" si="6"/>
        <v>0</v>
      </c>
      <c r="AL14" s="155">
        <f ca="1">HLOOKUP($F14,Jornada!$I$5:$V$37,VLOOKUP(INDIRECT($C$5),Jornada!$C$8:$W$37,21,0)+2,0)</f>
        <v>0</v>
      </c>
      <c r="AM14" s="155">
        <f ca="1">HLOOKUP($F14,Jornada!$I$4:$V$37,VLOOKUP(INDIRECT($C$5),Jornada!$C$8:$W$37,21,0)+3,0)</f>
        <v>0</v>
      </c>
      <c r="AN14" s="155">
        <f t="shared" ca="1" si="7"/>
        <v>0</v>
      </c>
      <c r="AO14" s="155">
        <f t="shared" si="8"/>
        <v>0</v>
      </c>
      <c r="AP14" s="155">
        <f t="shared" si="9"/>
        <v>0</v>
      </c>
      <c r="BE14" s="14"/>
      <c r="BF14" s="14"/>
      <c r="BG14" s="14"/>
    </row>
    <row r="15" spans="1:59" s="2" customFormat="1" ht="30" customHeight="1" thickTop="1" thickBot="1" x14ac:dyDescent="0.25">
      <c r="A15" s="1"/>
      <c r="B15"/>
      <c r="C15" s="172" t="str">
        <f>IF(Funcionários!C14=0,"",Funcionários!C14)</f>
        <v/>
      </c>
      <c r="D15"/>
      <c r="E15" s="115">
        <f>Lanç!E15</f>
        <v>8</v>
      </c>
      <c r="F15" s="189" t="str">
        <f>Lanç!F15</f>
        <v>Dom</v>
      </c>
      <c r="G15" s="81"/>
      <c r="H15" s="94"/>
      <c r="I15" s="94"/>
      <c r="J15" s="94"/>
      <c r="K15" s="94"/>
      <c r="L15" s="10"/>
      <c r="M15" s="95">
        <f t="shared" si="1"/>
        <v>0</v>
      </c>
      <c r="N15" s="96"/>
      <c r="O15" s="95">
        <f ca="1">IF(OR(G15=0,G15="Férias",G15="Falta Justificada",G15="Feriado",G15="Folga (DSR)"),0,IF(G15="Falta Injustificada",HLOOKUP($F15,Jornada!$X$7:$AD$37,VLOOKUP(INDIRECT($C$5),Jornada!$C$8:$W$37,21,0),0),IF(HLOOKUP($F15,Jornada!$X$7:$AD$37,VLOOKUP(INDIRECT($C$5),Jornada!$C$8:$W$37,21,0),0)-M15&gt;0,HLOOKUP($F15,Jornada!$X$7:$AD$37,VLOOKUP(INDIRECT($C$5),Jornada!$C$8:$W$37,21,0),0)-M15,0)))</f>
        <v>0</v>
      </c>
      <c r="P15" s="190">
        <f ca="1">IF(HLOOKUP($F15,Jornada!$X$7:$AD$37,VLOOKUP(INDIRECT($C$5),Jornada!$C$8:$W$37,21,0),0)-M15&lt;0,ABS(HLOOKUP($F15,Jornada!$X$7:$AD$37,VLOOKUP(INDIRECT($C$5),Jornada!$C$8:$W$37,21,0),0)-M15),0)</f>
        <v>0</v>
      </c>
      <c r="Q15" s="95">
        <f t="shared" si="0"/>
        <v>0</v>
      </c>
      <c r="R15" s="2">
        <f t="shared" si="2"/>
        <v>0</v>
      </c>
      <c r="S15" s="294"/>
      <c r="T15" s="294"/>
      <c r="U15" s="295"/>
      <c r="W15" s="2" t="s">
        <v>98</v>
      </c>
      <c r="X15" s="156">
        <v>9</v>
      </c>
      <c r="AB15" s="177">
        <f t="shared" si="10"/>
        <v>8</v>
      </c>
      <c r="AC15" s="2">
        <f t="shared" si="3"/>
        <v>1</v>
      </c>
      <c r="AG15" s="220">
        <f t="shared" si="4"/>
        <v>0</v>
      </c>
      <c r="AH15" s="220">
        <f ca="1">IF(HLOOKUP($F15,Jornada!$X$7:$AD$37,VLOOKUP(INDIRECT($C$5),Jornada!$C$8:$W$37,21,0),0)=0,0,VLOOKUP(INDIRECT($C$5),Jornada!$C$8:$H$37,4,0))</f>
        <v>0</v>
      </c>
      <c r="AI15" s="155">
        <f ca="1">IF(AND(I15=0,J15=0,OR(H15&lt;&gt;0,K15&lt;&gt;0),HLOOKUP($F15,Jornada!$X$7:$AD$37,VLOOKUP(INDIRECT($C$5),Jornada!$C$8:$W$37,21,0),0)&gt;$AK$5,M15&gt;$AK$5),VLOOKUP(INDIRECT($C$5),Jornada!$C$8:$H$37,6,0),IF(AG15&gt;VLOOKUP(INDIRECT($C$5),Jornada!$C$8:$H$37,6,0),IF(VLOOKUP(INDIRECT($C$5),Jornada!$C$8:$H$37,6,0)&lt;AG15,0,ABS(VLOOKUP(INDIRECT($C$5),Jornada!$C$8:$H$37,6,0))-AG15),0))</f>
        <v>0</v>
      </c>
      <c r="AJ15" s="155">
        <f t="shared" si="5"/>
        <v>1</v>
      </c>
      <c r="AK15" s="155">
        <f t="shared" si="6"/>
        <v>0</v>
      </c>
      <c r="AL15" s="155">
        <f ca="1">HLOOKUP($F15,Jornada!$I$5:$V$37,VLOOKUP(INDIRECT($C$5),Jornada!$C$8:$W$37,21,0)+2,0)</f>
        <v>0</v>
      </c>
      <c r="AM15" s="155">
        <f ca="1">HLOOKUP($F15,Jornada!$I$4:$V$37,VLOOKUP(INDIRECT($C$5),Jornada!$C$8:$W$37,21,0)+3,0)</f>
        <v>0</v>
      </c>
      <c r="AN15" s="155">
        <f t="shared" ca="1" si="7"/>
        <v>0</v>
      </c>
      <c r="AO15" s="155">
        <f t="shared" si="8"/>
        <v>0</v>
      </c>
      <c r="AP15" s="155">
        <f t="shared" si="9"/>
        <v>0</v>
      </c>
      <c r="BE15" s="14"/>
      <c r="BF15" s="14"/>
      <c r="BG15" s="14"/>
    </row>
    <row r="16" spans="1:59" s="2" customFormat="1" ht="30" customHeight="1" thickTop="1" thickBot="1" x14ac:dyDescent="0.25">
      <c r="A16" s="1"/>
      <c r="B16"/>
      <c r="C16" s="172" t="str">
        <f>IF(Funcionários!C15=0,"",Funcionários!C15)</f>
        <v/>
      </c>
      <c r="D16"/>
      <c r="E16" s="115">
        <f>Lanç!E16</f>
        <v>9</v>
      </c>
      <c r="F16" s="189" t="str">
        <f>Lanç!F16</f>
        <v>Seg</v>
      </c>
      <c r="G16" s="81"/>
      <c r="H16" s="94"/>
      <c r="I16" s="94"/>
      <c r="J16" s="94"/>
      <c r="K16" s="94"/>
      <c r="L16" s="10"/>
      <c r="M16" s="95">
        <f t="shared" si="1"/>
        <v>0</v>
      </c>
      <c r="N16" s="96"/>
      <c r="O16" s="95">
        <f ca="1">IF(OR(G16=0,G16="Férias",G16="Falta Justificada",G16="Feriado",G16="Folga (DSR)"),0,IF(G16="Falta Injustificada",HLOOKUP($F16,Jornada!$X$7:$AD$37,VLOOKUP(INDIRECT($C$5),Jornada!$C$8:$W$37,21,0),0),IF(HLOOKUP($F16,Jornada!$X$7:$AD$37,VLOOKUP(INDIRECT($C$5),Jornada!$C$8:$W$37,21,0),0)-M16&gt;0,HLOOKUP($F16,Jornada!$X$7:$AD$37,VLOOKUP(INDIRECT($C$5),Jornada!$C$8:$W$37,21,0),0)-M16,0)))</f>
        <v>0</v>
      </c>
      <c r="P16" s="190">
        <f ca="1">IF(HLOOKUP($F16,Jornada!$X$7:$AD$37,VLOOKUP(INDIRECT($C$5),Jornada!$C$8:$W$37,21,0),0)-M16&lt;0,ABS(HLOOKUP($F16,Jornada!$X$7:$AD$37,VLOOKUP(INDIRECT($C$5),Jornada!$C$8:$W$37,21,0),0)-M16),0)</f>
        <v>0</v>
      </c>
      <c r="Q16" s="95">
        <f t="shared" si="0"/>
        <v>0</v>
      </c>
      <c r="R16" s="2">
        <f t="shared" si="2"/>
        <v>0</v>
      </c>
      <c r="S16" s="294" t="s">
        <v>67</v>
      </c>
      <c r="T16" s="294"/>
      <c r="U16" s="295">
        <f>SUM(Q8:Q38)</f>
        <v>0</v>
      </c>
      <c r="W16" s="2" t="s">
        <v>99</v>
      </c>
      <c r="X16" s="156">
        <v>10</v>
      </c>
      <c r="AB16" s="177">
        <f t="shared" si="10"/>
        <v>9</v>
      </c>
      <c r="AC16" s="2">
        <f t="shared" si="3"/>
        <v>2</v>
      </c>
      <c r="AG16" s="220">
        <f t="shared" si="4"/>
        <v>0</v>
      </c>
      <c r="AH16" s="220">
        <f ca="1">IF(HLOOKUP($F16,Jornada!$X$7:$AD$37,VLOOKUP(INDIRECT($C$5),Jornada!$C$8:$W$37,21,0),0)=0,0,VLOOKUP(INDIRECT($C$5),Jornada!$C$8:$H$37,4,0))</f>
        <v>0</v>
      </c>
      <c r="AI16" s="155">
        <f ca="1">IF(AND(I16=0,J16=0,OR(H16&lt;&gt;0,K16&lt;&gt;0),HLOOKUP($F16,Jornada!$X$7:$AD$37,VLOOKUP(INDIRECT($C$5),Jornada!$C$8:$W$37,21,0),0)&gt;$AK$5,M16&gt;$AK$5),VLOOKUP(INDIRECT($C$5),Jornada!$C$8:$H$37,6,0),IF(AG16&gt;VLOOKUP(INDIRECT($C$5),Jornada!$C$8:$H$37,6,0),IF(VLOOKUP(INDIRECT($C$5),Jornada!$C$8:$H$37,6,0)&lt;AG16,0,ABS(VLOOKUP(INDIRECT($C$5),Jornada!$C$8:$H$37,6,0))-AG16),0))</f>
        <v>0</v>
      </c>
      <c r="AJ16" s="155">
        <f t="shared" si="5"/>
        <v>1</v>
      </c>
      <c r="AK16" s="155">
        <f t="shared" si="6"/>
        <v>0</v>
      </c>
      <c r="AL16" s="155">
        <f ca="1">HLOOKUP($F16,Jornada!$I$5:$V$37,VLOOKUP(INDIRECT($C$5),Jornada!$C$8:$W$37,21,0)+2,0)</f>
        <v>0</v>
      </c>
      <c r="AM16" s="155">
        <f ca="1">HLOOKUP($F16,Jornada!$I$4:$V$37,VLOOKUP(INDIRECT($C$5),Jornada!$C$8:$W$37,21,0)+3,0)</f>
        <v>0</v>
      </c>
      <c r="AN16" s="155">
        <f t="shared" ca="1" si="7"/>
        <v>0</v>
      </c>
      <c r="AO16" s="155">
        <f t="shared" si="8"/>
        <v>0</v>
      </c>
      <c r="AP16" s="155">
        <f t="shared" si="9"/>
        <v>0</v>
      </c>
      <c r="BE16" s="14"/>
      <c r="BF16" s="14"/>
      <c r="BG16" s="14"/>
    </row>
    <row r="17" spans="1:59" s="2" customFormat="1" ht="30" customHeight="1" thickTop="1" thickBot="1" x14ac:dyDescent="0.25">
      <c r="A17" s="1"/>
      <c r="B17"/>
      <c r="C17" s="172" t="str">
        <f>IF(Funcionários!C16=0,"",Funcionários!C16)</f>
        <v/>
      </c>
      <c r="D17"/>
      <c r="E17" s="115">
        <f>Lanç!E17</f>
        <v>10</v>
      </c>
      <c r="F17" s="189" t="str">
        <f>Lanç!F17</f>
        <v>Ter</v>
      </c>
      <c r="G17" s="81"/>
      <c r="H17" s="94"/>
      <c r="I17" s="94"/>
      <c r="J17" s="94"/>
      <c r="K17" s="94"/>
      <c r="L17" s="10"/>
      <c r="M17" s="95">
        <f t="shared" si="1"/>
        <v>0</v>
      </c>
      <c r="N17" s="96"/>
      <c r="O17" s="95">
        <f ca="1">IF(OR(G17=0,G17="Férias",G17="Falta Justificada",G17="Feriado",G17="Folga (DSR)"),0,IF(G17="Falta Injustificada",HLOOKUP($F17,Jornada!$X$7:$AD$37,VLOOKUP(INDIRECT($C$5),Jornada!$C$8:$W$37,21,0),0),IF(HLOOKUP($F17,Jornada!$X$7:$AD$37,VLOOKUP(INDIRECT($C$5),Jornada!$C$8:$W$37,21,0),0)-M17&gt;0,HLOOKUP($F17,Jornada!$X$7:$AD$37,VLOOKUP(INDIRECT($C$5),Jornada!$C$8:$W$37,21,0),0)-M17,0)))</f>
        <v>0</v>
      </c>
      <c r="P17" s="190">
        <f ca="1">IF(HLOOKUP($F17,Jornada!$X$7:$AD$37,VLOOKUP(INDIRECT($C$5),Jornada!$C$8:$W$37,21,0),0)-M17&lt;0,ABS(HLOOKUP($F17,Jornada!$X$7:$AD$37,VLOOKUP(INDIRECT($C$5),Jornada!$C$8:$W$37,21,0),0)-M17),0)</f>
        <v>0</v>
      </c>
      <c r="Q17" s="95">
        <f t="shared" si="0"/>
        <v>0</v>
      </c>
      <c r="R17" s="2">
        <f t="shared" si="2"/>
        <v>0</v>
      </c>
      <c r="S17" s="294"/>
      <c r="T17" s="294"/>
      <c r="U17" s="295"/>
      <c r="W17" s="2" t="s">
        <v>100</v>
      </c>
      <c r="X17" s="156">
        <v>11</v>
      </c>
      <c r="AB17" s="177">
        <f t="shared" si="10"/>
        <v>10</v>
      </c>
      <c r="AC17" s="2">
        <f t="shared" si="3"/>
        <v>3</v>
      </c>
      <c r="AG17" s="220">
        <f t="shared" si="4"/>
        <v>0</v>
      </c>
      <c r="AH17" s="220">
        <f ca="1">IF(HLOOKUP($F17,Jornada!$X$7:$AD$37,VLOOKUP(INDIRECT($C$5),Jornada!$C$8:$W$37,21,0),0)=0,0,VLOOKUP(INDIRECT($C$5),Jornada!$C$8:$H$37,4,0))</f>
        <v>0</v>
      </c>
      <c r="AI17" s="155">
        <f ca="1">IF(AND(I17=0,J17=0,OR(H17&lt;&gt;0,K17&lt;&gt;0),HLOOKUP($F17,Jornada!$X$7:$AD$37,VLOOKUP(INDIRECT($C$5),Jornada!$C$8:$W$37,21,0),0)&gt;$AK$5,M17&gt;$AK$5),VLOOKUP(INDIRECT($C$5),Jornada!$C$8:$H$37,6,0),IF(AG17&gt;VLOOKUP(INDIRECT($C$5),Jornada!$C$8:$H$37,6,0),IF(VLOOKUP(INDIRECT($C$5),Jornada!$C$8:$H$37,6,0)&lt;AG17,0,ABS(VLOOKUP(INDIRECT($C$5),Jornada!$C$8:$H$37,6,0))-AG17),0))</f>
        <v>0</v>
      </c>
      <c r="AJ17" s="155">
        <f t="shared" si="5"/>
        <v>1</v>
      </c>
      <c r="AK17" s="155">
        <f t="shared" si="6"/>
        <v>0</v>
      </c>
      <c r="AL17" s="155">
        <f ca="1">HLOOKUP($F17,Jornada!$I$5:$V$37,VLOOKUP(INDIRECT($C$5),Jornada!$C$8:$W$37,21,0)+2,0)</f>
        <v>0</v>
      </c>
      <c r="AM17" s="155">
        <f ca="1">HLOOKUP($F17,Jornada!$I$4:$V$37,VLOOKUP(INDIRECT($C$5),Jornada!$C$8:$W$37,21,0)+3,0)</f>
        <v>0</v>
      </c>
      <c r="AN17" s="155">
        <f t="shared" ca="1" si="7"/>
        <v>0</v>
      </c>
      <c r="AO17" s="155">
        <f t="shared" si="8"/>
        <v>0</v>
      </c>
      <c r="AP17" s="155">
        <f t="shared" si="9"/>
        <v>0</v>
      </c>
      <c r="BE17" s="14"/>
      <c r="BF17" s="14"/>
      <c r="BG17" s="14"/>
    </row>
    <row r="18" spans="1:59" s="2" customFormat="1" ht="30" customHeight="1" thickTop="1" thickBot="1" x14ac:dyDescent="0.25">
      <c r="A18" s="1"/>
      <c r="B18"/>
      <c r="C18" s="172" t="str">
        <f>IF(Funcionários!C17=0,"",Funcionários!C17)</f>
        <v/>
      </c>
      <c r="D18"/>
      <c r="E18" s="115">
        <f>Lanç!E18</f>
        <v>11</v>
      </c>
      <c r="F18" s="189" t="str">
        <f>Lanç!F18</f>
        <v>Qua</v>
      </c>
      <c r="G18" s="81"/>
      <c r="H18" s="94"/>
      <c r="I18" s="94"/>
      <c r="J18" s="94"/>
      <c r="K18" s="94"/>
      <c r="L18" s="10"/>
      <c r="M18" s="95">
        <f t="shared" si="1"/>
        <v>0</v>
      </c>
      <c r="N18" s="96"/>
      <c r="O18" s="95">
        <f ca="1">IF(OR(G18=0,G18="Férias",G18="Falta Justificada",G18="Feriado",G18="Folga (DSR)"),0,IF(G18="Falta Injustificada",HLOOKUP($F18,Jornada!$X$7:$AD$37,VLOOKUP(INDIRECT($C$5),Jornada!$C$8:$W$37,21,0),0),IF(HLOOKUP($F18,Jornada!$X$7:$AD$37,VLOOKUP(INDIRECT($C$5),Jornada!$C$8:$W$37,21,0),0)-M18&gt;0,HLOOKUP($F18,Jornada!$X$7:$AD$37,VLOOKUP(INDIRECT($C$5),Jornada!$C$8:$W$37,21,0),0)-M18,0)))</f>
        <v>0</v>
      </c>
      <c r="P18" s="190">
        <f ca="1">IF(HLOOKUP($F18,Jornada!$X$7:$AD$37,VLOOKUP(INDIRECT($C$5),Jornada!$C$8:$W$37,21,0),0)-M18&lt;0,ABS(HLOOKUP($F18,Jornada!$X$7:$AD$37,VLOOKUP(INDIRECT($C$5),Jornada!$C$8:$W$37,21,0),0)-M18),0)</f>
        <v>0</v>
      </c>
      <c r="Q18" s="95">
        <f t="shared" si="0"/>
        <v>0</v>
      </c>
      <c r="R18" s="2">
        <f t="shared" si="2"/>
        <v>0</v>
      </c>
      <c r="S18" s="294" t="s">
        <v>69</v>
      </c>
      <c r="T18" s="294"/>
      <c r="U18" s="299">
        <f ca="1">F54</f>
        <v>0</v>
      </c>
      <c r="W18" s="2" t="s">
        <v>101</v>
      </c>
      <c r="X18" s="156">
        <v>12</v>
      </c>
      <c r="AB18" s="177">
        <f t="shared" si="10"/>
        <v>11</v>
      </c>
      <c r="AC18" s="2">
        <f t="shared" si="3"/>
        <v>4</v>
      </c>
      <c r="AG18" s="220">
        <f t="shared" si="4"/>
        <v>0</v>
      </c>
      <c r="AH18" s="220">
        <f ca="1">IF(HLOOKUP($F18,Jornada!$X$7:$AD$37,VLOOKUP(INDIRECT($C$5),Jornada!$C$8:$W$37,21,0),0)=0,0,VLOOKUP(INDIRECT($C$5),Jornada!$C$8:$H$37,4,0))</f>
        <v>0</v>
      </c>
      <c r="AI18" s="155">
        <f ca="1">IF(AND(I18=0,J18=0,OR(H18&lt;&gt;0,K18&lt;&gt;0),HLOOKUP($F18,Jornada!$X$7:$AD$37,VLOOKUP(INDIRECT($C$5),Jornada!$C$8:$W$37,21,0),0)&gt;$AK$5,M18&gt;$AK$5),VLOOKUP(INDIRECT($C$5),Jornada!$C$8:$H$37,6,0),IF(AG18&gt;VLOOKUP(INDIRECT($C$5),Jornada!$C$8:$H$37,6,0),IF(VLOOKUP(INDIRECT($C$5),Jornada!$C$8:$H$37,6,0)&lt;AG18,0,ABS(VLOOKUP(INDIRECT($C$5),Jornada!$C$8:$H$37,6,0))-AG18),0))</f>
        <v>0</v>
      </c>
      <c r="AJ18" s="155">
        <f t="shared" si="5"/>
        <v>1</v>
      </c>
      <c r="AK18" s="155">
        <f t="shared" si="6"/>
        <v>0</v>
      </c>
      <c r="AL18" s="155">
        <f ca="1">HLOOKUP($F18,Jornada!$I$5:$V$37,VLOOKUP(INDIRECT($C$5),Jornada!$C$8:$W$37,21,0)+2,0)</f>
        <v>0</v>
      </c>
      <c r="AM18" s="155">
        <f ca="1">HLOOKUP($F18,Jornada!$I$4:$V$37,VLOOKUP(INDIRECT($C$5),Jornada!$C$8:$W$37,21,0)+3,0)</f>
        <v>0</v>
      </c>
      <c r="AN18" s="155">
        <f t="shared" ca="1" si="7"/>
        <v>0</v>
      </c>
      <c r="AO18" s="155">
        <f t="shared" si="8"/>
        <v>0</v>
      </c>
      <c r="AP18" s="155">
        <f t="shared" si="9"/>
        <v>0</v>
      </c>
      <c r="BE18" s="14"/>
      <c r="BF18" s="14"/>
      <c r="BG18" s="14"/>
    </row>
    <row r="19" spans="1:59" s="2" customFormat="1" ht="30" customHeight="1" thickTop="1" thickBot="1" x14ac:dyDescent="0.25">
      <c r="A19" s="1"/>
      <c r="B19"/>
      <c r="C19" s="172" t="str">
        <f>IF(Funcionários!C18=0,"",Funcionários!C18)</f>
        <v/>
      </c>
      <c r="D19"/>
      <c r="E19" s="115">
        <f>Lanç!E19</f>
        <v>12</v>
      </c>
      <c r="F19" s="189" t="str">
        <f>Lanç!F19</f>
        <v>Qui</v>
      </c>
      <c r="G19" s="81"/>
      <c r="H19" s="94"/>
      <c r="I19" s="94"/>
      <c r="J19" s="94"/>
      <c r="K19" s="94"/>
      <c r="L19" s="10"/>
      <c r="M19" s="95">
        <f t="shared" si="1"/>
        <v>0</v>
      </c>
      <c r="N19" s="96"/>
      <c r="O19" s="95">
        <f ca="1">IF(OR(G19=0,G19="Férias",G19="Falta Justificada",G19="Feriado",G19="Folga (DSR)"),0,IF(G19="Falta Injustificada",HLOOKUP($F19,Jornada!$X$7:$AD$37,VLOOKUP(INDIRECT($C$5),Jornada!$C$8:$W$37,21,0),0),IF(HLOOKUP($F19,Jornada!$X$7:$AD$37,VLOOKUP(INDIRECT($C$5),Jornada!$C$8:$W$37,21,0),0)-M19&gt;0,HLOOKUP($F19,Jornada!$X$7:$AD$37,VLOOKUP(INDIRECT($C$5),Jornada!$C$8:$W$37,21,0),0)-M19,0)))</f>
        <v>0</v>
      </c>
      <c r="P19" s="190">
        <f ca="1">IF(HLOOKUP($F19,Jornada!$X$7:$AD$37,VLOOKUP(INDIRECT($C$5),Jornada!$C$8:$W$37,21,0),0)-M19&lt;0,ABS(HLOOKUP($F19,Jornada!$X$7:$AD$37,VLOOKUP(INDIRECT($C$5),Jornada!$C$8:$W$37,21,0),0)-M19),0)</f>
        <v>0</v>
      </c>
      <c r="Q19" s="95">
        <f t="shared" si="0"/>
        <v>0</v>
      </c>
      <c r="R19" s="2">
        <f t="shared" si="2"/>
        <v>0</v>
      </c>
      <c r="S19" s="294"/>
      <c r="T19" s="294"/>
      <c r="U19" s="299"/>
      <c r="X19" s="177"/>
      <c r="AB19" s="177">
        <f t="shared" si="10"/>
        <v>12</v>
      </c>
      <c r="AC19" s="2">
        <f t="shared" si="3"/>
        <v>5</v>
      </c>
      <c r="AG19" s="220">
        <f t="shared" si="4"/>
        <v>0</v>
      </c>
      <c r="AH19" s="220">
        <f ca="1">IF(HLOOKUP($F19,Jornada!$X$7:$AD$37,VLOOKUP(INDIRECT($C$5),Jornada!$C$8:$W$37,21,0),0)=0,0,VLOOKUP(INDIRECT($C$5),Jornada!$C$8:$H$37,4,0))</f>
        <v>0</v>
      </c>
      <c r="AI19" s="155">
        <f ca="1">IF(AND(I19=0,J19=0,OR(H19&lt;&gt;0,K19&lt;&gt;0),HLOOKUP($F19,Jornada!$X$7:$AD$37,VLOOKUP(INDIRECT($C$5),Jornada!$C$8:$W$37,21,0),0)&gt;$AK$5,M19&gt;$AK$5),VLOOKUP(INDIRECT($C$5),Jornada!$C$8:$H$37,6,0),IF(AG19&gt;VLOOKUP(INDIRECT($C$5),Jornada!$C$8:$H$37,6,0),IF(VLOOKUP(INDIRECT($C$5),Jornada!$C$8:$H$37,6,0)&lt;AG19,0,ABS(VLOOKUP(INDIRECT($C$5),Jornada!$C$8:$H$37,6,0))-AG19),0))</f>
        <v>0</v>
      </c>
      <c r="AJ19" s="155">
        <f t="shared" si="5"/>
        <v>1</v>
      </c>
      <c r="AK19" s="155">
        <f t="shared" si="6"/>
        <v>0</v>
      </c>
      <c r="AL19" s="155">
        <f ca="1">HLOOKUP($F19,Jornada!$I$5:$V$37,VLOOKUP(INDIRECT($C$5),Jornada!$C$8:$W$37,21,0)+2,0)</f>
        <v>0</v>
      </c>
      <c r="AM19" s="155">
        <f ca="1">HLOOKUP($F19,Jornada!$I$4:$V$37,VLOOKUP(INDIRECT($C$5),Jornada!$C$8:$W$37,21,0)+3,0)</f>
        <v>0</v>
      </c>
      <c r="AN19" s="155">
        <f t="shared" ca="1" si="7"/>
        <v>0</v>
      </c>
      <c r="AO19" s="155">
        <f t="shared" si="8"/>
        <v>0</v>
      </c>
      <c r="AP19" s="155">
        <f t="shared" si="9"/>
        <v>0</v>
      </c>
      <c r="BE19" s="14"/>
      <c r="BF19" s="14"/>
      <c r="BG19" s="14"/>
    </row>
    <row r="20" spans="1:59" s="2" customFormat="1" ht="30" customHeight="1" thickTop="1" thickBot="1" x14ac:dyDescent="0.25">
      <c r="A20" s="1"/>
      <c r="B20"/>
      <c r="C20" s="172" t="str">
        <f>IF(Funcionários!C19=0,"",Funcionários!C19)</f>
        <v/>
      </c>
      <c r="D20"/>
      <c r="E20" s="115">
        <f>Lanç!E20</f>
        <v>13</v>
      </c>
      <c r="F20" s="189" t="str">
        <f>Lanç!F20</f>
        <v>Sex</v>
      </c>
      <c r="G20" s="81"/>
      <c r="H20" s="94"/>
      <c r="I20" s="94"/>
      <c r="J20" s="94"/>
      <c r="K20" s="94"/>
      <c r="L20" s="10"/>
      <c r="M20" s="95">
        <f t="shared" si="1"/>
        <v>0</v>
      </c>
      <c r="N20" s="96"/>
      <c r="O20" s="95">
        <f ca="1">IF(OR(G20=0,G20="Férias",G20="Falta Justificada",G20="Feriado",G20="Folga (DSR)"),0,IF(G20="Falta Injustificada",HLOOKUP($F20,Jornada!$X$7:$AD$37,VLOOKUP(INDIRECT($C$5),Jornada!$C$8:$W$37,21,0),0),IF(HLOOKUP($F20,Jornada!$X$7:$AD$37,VLOOKUP(INDIRECT($C$5),Jornada!$C$8:$W$37,21,0),0)-M20&gt;0,HLOOKUP($F20,Jornada!$X$7:$AD$37,VLOOKUP(INDIRECT($C$5),Jornada!$C$8:$W$37,21,0),0)-M20,0)))</f>
        <v>0</v>
      </c>
      <c r="P20" s="190">
        <f ca="1">IF(HLOOKUP($F20,Jornada!$X$7:$AD$37,VLOOKUP(INDIRECT($C$5),Jornada!$C$8:$W$37,21,0),0)-M20&lt;0,ABS(HLOOKUP($F20,Jornada!$X$7:$AD$37,VLOOKUP(INDIRECT($C$5),Jornada!$C$8:$W$37,21,0),0)-M20),0)</f>
        <v>0</v>
      </c>
      <c r="Q20" s="95">
        <f t="shared" si="0"/>
        <v>0</v>
      </c>
      <c r="R20" s="2">
        <f t="shared" si="2"/>
        <v>0</v>
      </c>
      <c r="S20"/>
      <c r="T20"/>
      <c r="U20"/>
      <c r="X20" s="177"/>
      <c r="AB20" s="177">
        <f t="shared" si="10"/>
        <v>13</v>
      </c>
      <c r="AC20" s="2">
        <f t="shared" si="3"/>
        <v>6</v>
      </c>
      <c r="AG20" s="220">
        <f t="shared" si="4"/>
        <v>0</v>
      </c>
      <c r="AH20" s="220">
        <f ca="1">IF(HLOOKUP($F20,Jornada!$X$7:$AD$37,VLOOKUP(INDIRECT($C$5),Jornada!$C$8:$W$37,21,0),0)=0,0,VLOOKUP(INDIRECT($C$5),Jornada!$C$8:$H$37,4,0))</f>
        <v>0</v>
      </c>
      <c r="AI20" s="155">
        <f ca="1">IF(AND(I20=0,J20=0,OR(H20&lt;&gt;0,K20&lt;&gt;0),HLOOKUP($F20,Jornada!$X$7:$AD$37,VLOOKUP(INDIRECT($C$5),Jornada!$C$8:$W$37,21,0),0)&gt;$AK$5,M20&gt;$AK$5),VLOOKUP(INDIRECT($C$5),Jornada!$C$8:$H$37,6,0),IF(AG20&gt;VLOOKUP(INDIRECT($C$5),Jornada!$C$8:$H$37,6,0),IF(VLOOKUP(INDIRECT($C$5),Jornada!$C$8:$H$37,6,0)&lt;AG20,0,ABS(VLOOKUP(INDIRECT($C$5),Jornada!$C$8:$H$37,6,0))-AG20),0))</f>
        <v>0</v>
      </c>
      <c r="AJ20" s="155">
        <f t="shared" si="5"/>
        <v>1</v>
      </c>
      <c r="AK20" s="155">
        <f t="shared" si="6"/>
        <v>0</v>
      </c>
      <c r="AL20" s="155">
        <f ca="1">HLOOKUP($F20,Jornada!$I$5:$V$37,VLOOKUP(INDIRECT($C$5),Jornada!$C$8:$W$37,21,0)+2,0)</f>
        <v>0</v>
      </c>
      <c r="AM20" s="155">
        <f ca="1">HLOOKUP($F20,Jornada!$I$4:$V$37,VLOOKUP(INDIRECT($C$5),Jornada!$C$8:$W$37,21,0)+3,0)</f>
        <v>0</v>
      </c>
      <c r="AN20" s="155">
        <f t="shared" ca="1" si="7"/>
        <v>0</v>
      </c>
      <c r="AO20" s="155">
        <f t="shared" si="8"/>
        <v>0</v>
      </c>
      <c r="AP20" s="155">
        <f t="shared" si="9"/>
        <v>0</v>
      </c>
      <c r="BE20" s="14"/>
      <c r="BF20" s="14"/>
      <c r="BG20" s="14"/>
    </row>
    <row r="21" spans="1:59" s="2" customFormat="1" ht="30" customHeight="1" thickTop="1" thickBot="1" x14ac:dyDescent="0.25">
      <c r="A21" s="1"/>
      <c r="B21"/>
      <c r="C21" s="172" t="str">
        <f>IF(Funcionários!C20=0,"",Funcionários!C20)</f>
        <v/>
      </c>
      <c r="D21"/>
      <c r="E21" s="115">
        <f>Lanç!E21</f>
        <v>14</v>
      </c>
      <c r="F21" s="189" t="str">
        <f>Lanç!F21</f>
        <v>Sáb</v>
      </c>
      <c r="G21" s="81"/>
      <c r="H21" s="94"/>
      <c r="I21" s="94"/>
      <c r="J21" s="94"/>
      <c r="K21" s="94"/>
      <c r="L21" s="10"/>
      <c r="M21" s="95">
        <f t="shared" si="1"/>
        <v>0</v>
      </c>
      <c r="N21" s="96"/>
      <c r="O21" s="95">
        <f ca="1">IF(OR(G21=0,G21="Férias",G21="Falta Justificada",G21="Feriado",G21="Folga (DSR)"),0,IF(G21="Falta Injustificada",HLOOKUP($F21,Jornada!$X$7:$AD$37,VLOOKUP(INDIRECT($C$5),Jornada!$C$8:$W$37,21,0),0),IF(HLOOKUP($F21,Jornada!$X$7:$AD$37,VLOOKUP(INDIRECT($C$5),Jornada!$C$8:$W$37,21,0),0)-M21&gt;0,HLOOKUP($F21,Jornada!$X$7:$AD$37,VLOOKUP(INDIRECT($C$5),Jornada!$C$8:$W$37,21,0),0)-M21,0)))</f>
        <v>0</v>
      </c>
      <c r="P21" s="190">
        <f ca="1">IF(HLOOKUP($F21,Jornada!$X$7:$AD$37,VLOOKUP(INDIRECT($C$5),Jornada!$C$8:$W$37,21,0),0)-M21&lt;0,ABS(HLOOKUP($F21,Jornada!$X$7:$AD$37,VLOOKUP(INDIRECT($C$5),Jornada!$C$8:$W$37,21,0),0)-M21),0)</f>
        <v>0</v>
      </c>
      <c r="Q21" s="95">
        <f t="shared" si="0"/>
        <v>0</v>
      </c>
      <c r="R21" s="2">
        <f t="shared" si="2"/>
        <v>0</v>
      </c>
      <c r="S21"/>
      <c r="T21"/>
      <c r="U21"/>
      <c r="X21" s="177"/>
      <c r="AB21" s="177">
        <f t="shared" si="10"/>
        <v>14</v>
      </c>
      <c r="AC21" s="2">
        <f t="shared" si="3"/>
        <v>7</v>
      </c>
      <c r="AG21" s="220">
        <f t="shared" si="4"/>
        <v>0</v>
      </c>
      <c r="AH21" s="220">
        <f ca="1">IF(HLOOKUP($F21,Jornada!$X$7:$AD$37,VLOOKUP(INDIRECT($C$5),Jornada!$C$8:$W$37,21,0),0)=0,0,VLOOKUP(INDIRECT($C$5),Jornada!$C$8:$H$37,4,0))</f>
        <v>0</v>
      </c>
      <c r="AI21" s="155">
        <f ca="1">IF(AND(I21=0,J21=0,OR(H21&lt;&gt;0,K21&lt;&gt;0),HLOOKUP($F21,Jornada!$X$7:$AD$37,VLOOKUP(INDIRECT($C$5),Jornada!$C$8:$W$37,21,0),0)&gt;$AK$5,M21&gt;$AK$5),VLOOKUP(INDIRECT($C$5),Jornada!$C$8:$H$37,6,0),IF(AG21&gt;VLOOKUP(INDIRECT($C$5),Jornada!$C$8:$H$37,6,0),IF(VLOOKUP(INDIRECT($C$5),Jornada!$C$8:$H$37,6,0)&lt;AG21,0,ABS(VLOOKUP(INDIRECT($C$5),Jornada!$C$8:$H$37,6,0))-AG21),0))</f>
        <v>0</v>
      </c>
      <c r="AJ21" s="155">
        <f t="shared" si="5"/>
        <v>1</v>
      </c>
      <c r="AK21" s="155">
        <f t="shared" si="6"/>
        <v>0</v>
      </c>
      <c r="AL21" s="155">
        <f ca="1">HLOOKUP($F21,Jornada!$I$5:$V$37,VLOOKUP(INDIRECT($C$5),Jornada!$C$8:$W$37,21,0)+2,0)</f>
        <v>0</v>
      </c>
      <c r="AM21" s="155">
        <f ca="1">HLOOKUP($F21,Jornada!$I$4:$V$37,VLOOKUP(INDIRECT($C$5),Jornada!$C$8:$W$37,21,0)+3,0)</f>
        <v>0</v>
      </c>
      <c r="AN21" s="155">
        <f t="shared" ca="1" si="7"/>
        <v>0</v>
      </c>
      <c r="AO21" s="155">
        <f t="shared" si="8"/>
        <v>0</v>
      </c>
      <c r="AP21" s="155">
        <f t="shared" si="9"/>
        <v>0</v>
      </c>
      <c r="BE21" s="14"/>
      <c r="BF21" s="14"/>
      <c r="BG21" s="14"/>
    </row>
    <row r="22" spans="1:59" s="2" customFormat="1" ht="30" customHeight="1" thickTop="1" thickBot="1" x14ac:dyDescent="0.25">
      <c r="A22" s="1"/>
      <c r="B22"/>
      <c r="C22" s="172" t="str">
        <f>IF(Funcionários!C21=0,"",Funcionários!C21)</f>
        <v/>
      </c>
      <c r="D22"/>
      <c r="E22" s="115">
        <f>Lanç!E22</f>
        <v>15</v>
      </c>
      <c r="F22" s="189" t="str">
        <f>Lanç!F22</f>
        <v>Dom</v>
      </c>
      <c r="G22" s="81"/>
      <c r="H22" s="94"/>
      <c r="I22" s="94"/>
      <c r="J22" s="94"/>
      <c r="K22" s="94"/>
      <c r="L22" s="10"/>
      <c r="M22" s="95">
        <f t="shared" si="1"/>
        <v>0</v>
      </c>
      <c r="N22" s="96"/>
      <c r="O22" s="95">
        <f ca="1">IF(OR(G22=0,G22="Férias",G22="Falta Justificada",G22="Feriado",G22="Folga (DSR)"),0,IF(G22="Falta Injustificada",HLOOKUP($F22,Jornada!$X$7:$AD$37,VLOOKUP(INDIRECT($C$5),Jornada!$C$8:$W$37,21,0),0),IF(HLOOKUP($F22,Jornada!$X$7:$AD$37,VLOOKUP(INDIRECT($C$5),Jornada!$C$8:$W$37,21,0),0)-M22&gt;0,HLOOKUP($F22,Jornada!$X$7:$AD$37,VLOOKUP(INDIRECT($C$5),Jornada!$C$8:$W$37,21,0),0)-M22,0)))</f>
        <v>0</v>
      </c>
      <c r="P22" s="190">
        <f ca="1">IF(HLOOKUP($F22,Jornada!$X$7:$AD$37,VLOOKUP(INDIRECT($C$5),Jornada!$C$8:$W$37,21,0),0)-M22&lt;0,ABS(HLOOKUP($F22,Jornada!$X$7:$AD$37,VLOOKUP(INDIRECT($C$5),Jornada!$C$8:$W$37,21,0),0)-M22),0)</f>
        <v>0</v>
      </c>
      <c r="Q22" s="95">
        <f t="shared" si="0"/>
        <v>0</v>
      </c>
      <c r="R22" s="2">
        <f t="shared" si="2"/>
        <v>0</v>
      </c>
      <c r="S22" s="300" t="s">
        <v>63</v>
      </c>
      <c r="T22" s="301"/>
      <c r="U22" s="302"/>
      <c r="X22" s="177"/>
      <c r="AB22" s="177">
        <f t="shared" si="10"/>
        <v>15</v>
      </c>
      <c r="AC22" s="2">
        <f t="shared" si="3"/>
        <v>1</v>
      </c>
      <c r="AG22" s="220">
        <f t="shared" si="4"/>
        <v>0</v>
      </c>
      <c r="AH22" s="220">
        <f ca="1">IF(HLOOKUP($F22,Jornada!$X$7:$AD$37,VLOOKUP(INDIRECT($C$5),Jornada!$C$8:$W$37,21,0),0)=0,0,VLOOKUP(INDIRECT($C$5),Jornada!$C$8:$H$37,4,0))</f>
        <v>0</v>
      </c>
      <c r="AI22" s="155">
        <f ca="1">IF(AND(I22=0,J22=0,OR(H22&lt;&gt;0,K22&lt;&gt;0),HLOOKUP($F22,Jornada!$X$7:$AD$37,VLOOKUP(INDIRECT($C$5),Jornada!$C$8:$W$37,21,0),0)&gt;$AK$5,M22&gt;$AK$5),VLOOKUP(INDIRECT($C$5),Jornada!$C$8:$H$37,6,0),IF(AG22&gt;VLOOKUP(INDIRECT($C$5),Jornada!$C$8:$H$37,6,0),IF(VLOOKUP(INDIRECT($C$5),Jornada!$C$8:$H$37,6,0)&lt;AG22,0,ABS(VLOOKUP(INDIRECT($C$5),Jornada!$C$8:$H$37,6,0))-AG22),0))</f>
        <v>0</v>
      </c>
      <c r="AJ22" s="155">
        <f t="shared" si="5"/>
        <v>1</v>
      </c>
      <c r="AK22" s="155">
        <f t="shared" si="6"/>
        <v>0</v>
      </c>
      <c r="AL22" s="155">
        <f ca="1">HLOOKUP($F22,Jornada!$I$5:$V$37,VLOOKUP(INDIRECT($C$5),Jornada!$C$8:$W$37,21,0)+2,0)</f>
        <v>0</v>
      </c>
      <c r="AM22" s="155">
        <f ca="1">HLOOKUP($F22,Jornada!$I$4:$V$37,VLOOKUP(INDIRECT($C$5),Jornada!$C$8:$W$37,21,0)+3,0)</f>
        <v>0</v>
      </c>
      <c r="AN22" s="155">
        <f t="shared" ca="1" si="7"/>
        <v>0</v>
      </c>
      <c r="AO22" s="155">
        <f t="shared" si="8"/>
        <v>0</v>
      </c>
      <c r="AP22" s="155">
        <f t="shared" si="9"/>
        <v>0</v>
      </c>
      <c r="BE22" s="14"/>
      <c r="BF22" s="14"/>
      <c r="BG22" s="14"/>
    </row>
    <row r="23" spans="1:59" s="2" customFormat="1" ht="30" customHeight="1" thickTop="1" thickBot="1" x14ac:dyDescent="0.25">
      <c r="A23" s="1"/>
      <c r="B23"/>
      <c r="C23" s="172" t="str">
        <f>IF(Funcionários!C22=0,"",Funcionários!C22)</f>
        <v/>
      </c>
      <c r="D23"/>
      <c r="E23" s="115">
        <f>Lanç!E23</f>
        <v>16</v>
      </c>
      <c r="F23" s="189" t="str">
        <f>Lanç!F23</f>
        <v>Seg</v>
      </c>
      <c r="G23" s="81"/>
      <c r="H23" s="94"/>
      <c r="I23" s="94"/>
      <c r="J23" s="94"/>
      <c r="K23" s="94"/>
      <c r="L23" s="10"/>
      <c r="M23" s="95">
        <f t="shared" si="1"/>
        <v>0</v>
      </c>
      <c r="N23" s="96"/>
      <c r="O23" s="95">
        <f ca="1">IF(OR(G23=0,G23="Férias",G23="Falta Justificada",G23="Feriado",G23="Folga (DSR)"),0,IF(G23="Falta Injustificada",HLOOKUP($F23,Jornada!$X$7:$AD$37,VLOOKUP(INDIRECT($C$5),Jornada!$C$8:$W$37,21,0),0),IF(HLOOKUP($F23,Jornada!$X$7:$AD$37,VLOOKUP(INDIRECT($C$5),Jornada!$C$8:$W$37,21,0),0)-M23&gt;0,HLOOKUP($F23,Jornada!$X$7:$AD$37,VLOOKUP(INDIRECT($C$5),Jornada!$C$8:$W$37,21,0),0)-M23,0)))</f>
        <v>0</v>
      </c>
      <c r="P23" s="190">
        <f ca="1">IF(HLOOKUP($F23,Jornada!$X$7:$AD$37,VLOOKUP(INDIRECT($C$5),Jornada!$C$8:$W$37,21,0),0)-M23&lt;0,ABS(HLOOKUP($F23,Jornada!$X$7:$AD$37,VLOOKUP(INDIRECT($C$5),Jornada!$C$8:$W$37,21,0),0)-M23),0)</f>
        <v>0</v>
      </c>
      <c r="Q23" s="95">
        <f t="shared" si="0"/>
        <v>0</v>
      </c>
      <c r="R23" s="2">
        <f t="shared" si="2"/>
        <v>0</v>
      </c>
      <c r="S23" s="296" t="str">
        <f>IF(SUM(R8:R38)&gt;0,"Segundo o art 59 da CLT, o máximo de horas extras permitidas por dia são 2 horas.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T23" s="297"/>
      <c r="U23" s="298"/>
      <c r="X23" s="177"/>
      <c r="AB23" s="177">
        <f t="shared" si="10"/>
        <v>16</v>
      </c>
      <c r="AC23" s="2">
        <f t="shared" si="3"/>
        <v>2</v>
      </c>
      <c r="AG23" s="220">
        <f t="shared" si="4"/>
        <v>0</v>
      </c>
      <c r="AH23" s="220">
        <f ca="1">IF(HLOOKUP($F23,Jornada!$X$7:$AD$37,VLOOKUP(INDIRECT($C$5),Jornada!$C$8:$W$37,21,0),0)=0,0,VLOOKUP(INDIRECT($C$5),Jornada!$C$8:$H$37,4,0))</f>
        <v>0</v>
      </c>
      <c r="AI23" s="155">
        <f ca="1">IF(AND(I23=0,J23=0,OR(H23&lt;&gt;0,K23&lt;&gt;0),HLOOKUP($F23,Jornada!$X$7:$AD$37,VLOOKUP(INDIRECT($C$5),Jornada!$C$8:$W$37,21,0),0)&gt;$AK$5,M23&gt;$AK$5),VLOOKUP(INDIRECT($C$5),Jornada!$C$8:$H$37,6,0),IF(AG23&gt;VLOOKUP(INDIRECT($C$5),Jornada!$C$8:$H$37,6,0),IF(VLOOKUP(INDIRECT($C$5),Jornada!$C$8:$H$37,6,0)&lt;AG23,0,ABS(VLOOKUP(INDIRECT($C$5),Jornada!$C$8:$H$37,6,0))-AG23),0))</f>
        <v>0</v>
      </c>
      <c r="AJ23" s="155">
        <f t="shared" si="5"/>
        <v>1</v>
      </c>
      <c r="AK23" s="155">
        <f t="shared" si="6"/>
        <v>0</v>
      </c>
      <c r="AL23" s="155">
        <f ca="1">HLOOKUP($F23,Jornada!$I$5:$V$37,VLOOKUP(INDIRECT($C$5),Jornada!$C$8:$W$37,21,0)+2,0)</f>
        <v>0</v>
      </c>
      <c r="AM23" s="155">
        <f ca="1">HLOOKUP($F23,Jornada!$I$4:$V$37,VLOOKUP(INDIRECT($C$5),Jornada!$C$8:$W$37,21,0)+3,0)</f>
        <v>0</v>
      </c>
      <c r="AN23" s="155">
        <f t="shared" ca="1" si="7"/>
        <v>0</v>
      </c>
      <c r="AO23" s="155">
        <f t="shared" si="8"/>
        <v>0</v>
      </c>
      <c r="AP23" s="155">
        <f t="shared" si="9"/>
        <v>0</v>
      </c>
      <c r="BE23" s="14"/>
      <c r="BF23" s="14"/>
      <c r="BG23" s="14"/>
    </row>
    <row r="24" spans="1:59" s="2" customFormat="1" ht="30" customHeight="1" thickTop="1" thickBot="1" x14ac:dyDescent="0.25">
      <c r="A24" s="1"/>
      <c r="B24"/>
      <c r="C24" s="172" t="str">
        <f>IF(Funcionários!C23=0,"",Funcionários!C23)</f>
        <v/>
      </c>
      <c r="D24"/>
      <c r="E24" s="115">
        <f>Lanç!E24</f>
        <v>17</v>
      </c>
      <c r="F24" s="189" t="str">
        <f>Lanç!F24</f>
        <v>Ter</v>
      </c>
      <c r="G24" s="81"/>
      <c r="H24" s="94"/>
      <c r="I24" s="94"/>
      <c r="J24" s="94"/>
      <c r="K24" s="94"/>
      <c r="L24" s="10"/>
      <c r="M24" s="95">
        <f t="shared" si="1"/>
        <v>0</v>
      </c>
      <c r="N24" s="96"/>
      <c r="O24" s="95">
        <f ca="1">IF(OR(G24=0,G24="Férias",G24="Falta Justificada",G24="Feriado",G24="Folga (DSR)"),0,IF(G24="Falta Injustificada",HLOOKUP($F24,Jornada!$X$7:$AD$37,VLOOKUP(INDIRECT($C$5),Jornada!$C$8:$W$37,21,0),0),IF(HLOOKUP($F24,Jornada!$X$7:$AD$37,VLOOKUP(INDIRECT($C$5),Jornada!$C$8:$W$37,21,0),0)-M24&gt;0,HLOOKUP($F24,Jornada!$X$7:$AD$37,VLOOKUP(INDIRECT($C$5),Jornada!$C$8:$W$37,21,0),0)-M24,0)))</f>
        <v>0</v>
      </c>
      <c r="P24" s="190">
        <f ca="1">IF(HLOOKUP($F24,Jornada!$X$7:$AD$37,VLOOKUP(INDIRECT($C$5),Jornada!$C$8:$W$37,21,0),0)-M24&lt;0,ABS(HLOOKUP($F24,Jornada!$X$7:$AD$37,VLOOKUP(INDIRECT($C$5),Jornada!$C$8:$W$37,21,0),0)-M24),0)</f>
        <v>0</v>
      </c>
      <c r="Q24" s="95">
        <f t="shared" si="0"/>
        <v>0</v>
      </c>
      <c r="R24" s="2">
        <f t="shared" si="2"/>
        <v>0</v>
      </c>
      <c r="S24" s="296"/>
      <c r="T24" s="297"/>
      <c r="U24" s="298"/>
      <c r="X24" s="177"/>
      <c r="AB24" s="177">
        <f t="shared" si="10"/>
        <v>17</v>
      </c>
      <c r="AC24" s="2">
        <f t="shared" si="3"/>
        <v>3</v>
      </c>
      <c r="AG24" s="220">
        <f t="shared" si="4"/>
        <v>0</v>
      </c>
      <c r="AH24" s="220">
        <f ca="1">IF(HLOOKUP($F24,Jornada!$X$7:$AD$37,VLOOKUP(INDIRECT($C$5),Jornada!$C$8:$W$37,21,0),0)=0,0,VLOOKUP(INDIRECT($C$5),Jornada!$C$8:$H$37,4,0))</f>
        <v>0</v>
      </c>
      <c r="AI24" s="155">
        <f ca="1">IF(AND(I24=0,J24=0,OR(H24&lt;&gt;0,K24&lt;&gt;0),HLOOKUP($F24,Jornada!$X$7:$AD$37,VLOOKUP(INDIRECT($C$5),Jornada!$C$8:$W$37,21,0),0)&gt;$AK$5,M24&gt;$AK$5),VLOOKUP(INDIRECT($C$5),Jornada!$C$8:$H$37,6,0),IF(AG24&gt;VLOOKUP(INDIRECT($C$5),Jornada!$C$8:$H$37,6,0),IF(VLOOKUP(INDIRECT($C$5),Jornada!$C$8:$H$37,6,0)&lt;AG24,0,ABS(VLOOKUP(INDIRECT($C$5),Jornada!$C$8:$H$37,6,0))-AG24),0))</f>
        <v>0</v>
      </c>
      <c r="AJ24" s="155">
        <f t="shared" si="5"/>
        <v>1</v>
      </c>
      <c r="AK24" s="155">
        <f t="shared" si="6"/>
        <v>0</v>
      </c>
      <c r="AL24" s="155">
        <f ca="1">HLOOKUP($F24,Jornada!$I$5:$V$37,VLOOKUP(INDIRECT($C$5),Jornada!$C$8:$W$37,21,0)+2,0)</f>
        <v>0</v>
      </c>
      <c r="AM24" s="155">
        <f ca="1">HLOOKUP($F24,Jornada!$I$4:$V$37,VLOOKUP(INDIRECT($C$5),Jornada!$C$8:$W$37,21,0)+3,0)</f>
        <v>0</v>
      </c>
      <c r="AN24" s="155">
        <f t="shared" ca="1" si="7"/>
        <v>0</v>
      </c>
      <c r="AO24" s="155">
        <f t="shared" si="8"/>
        <v>0</v>
      </c>
      <c r="AP24" s="155">
        <f t="shared" si="9"/>
        <v>0</v>
      </c>
      <c r="BE24" s="14"/>
      <c r="BF24" s="14"/>
      <c r="BG24" s="14"/>
    </row>
    <row r="25" spans="1:59" s="2" customFormat="1" ht="30" customHeight="1" thickTop="1" thickBot="1" x14ac:dyDescent="0.25">
      <c r="A25" s="1"/>
      <c r="B25"/>
      <c r="C25" s="172" t="str">
        <f>IF(Funcionários!C24=0,"",Funcionários!C24)</f>
        <v/>
      </c>
      <c r="D25"/>
      <c r="E25" s="115">
        <f>Lanç!E25</f>
        <v>18</v>
      </c>
      <c r="F25" s="189" t="str">
        <f>Lanç!F25</f>
        <v>Qua</v>
      </c>
      <c r="G25" s="81"/>
      <c r="H25" s="94"/>
      <c r="I25" s="94"/>
      <c r="J25" s="94"/>
      <c r="K25" s="94"/>
      <c r="L25" s="10"/>
      <c r="M25" s="95">
        <f t="shared" si="1"/>
        <v>0</v>
      </c>
      <c r="N25" s="96"/>
      <c r="O25" s="95">
        <f ca="1">IF(OR(G25=0,G25="Férias",G25="Falta Justificada",G25="Feriado",G25="Folga (DSR)"),0,IF(G25="Falta Injustificada",HLOOKUP($F25,Jornada!$X$7:$AD$37,VLOOKUP(INDIRECT($C$5),Jornada!$C$8:$W$37,21,0),0),IF(HLOOKUP($F25,Jornada!$X$7:$AD$37,VLOOKUP(INDIRECT($C$5),Jornada!$C$8:$W$37,21,0),0)-M25&gt;0,HLOOKUP($F25,Jornada!$X$7:$AD$37,VLOOKUP(INDIRECT($C$5),Jornada!$C$8:$W$37,21,0),0)-M25,0)))</f>
        <v>0</v>
      </c>
      <c r="P25" s="190">
        <f ca="1">IF(HLOOKUP($F25,Jornada!$X$7:$AD$37,VLOOKUP(INDIRECT($C$5),Jornada!$C$8:$W$37,21,0),0)-M25&lt;0,ABS(HLOOKUP($F25,Jornada!$X$7:$AD$37,VLOOKUP(INDIRECT($C$5),Jornada!$C$8:$W$37,21,0),0)-M25),0)</f>
        <v>0</v>
      </c>
      <c r="Q25" s="95">
        <f t="shared" si="0"/>
        <v>0</v>
      </c>
      <c r="R25" s="2">
        <f t="shared" si="2"/>
        <v>0</v>
      </c>
      <c r="S25" s="296"/>
      <c r="T25" s="297"/>
      <c r="U25" s="298"/>
      <c r="X25" s="177"/>
      <c r="Z25" s="2">
        <f>IF(SUM(R8:R38)&gt;0,1,0)</f>
        <v>0</v>
      </c>
      <c r="AB25" s="177">
        <f t="shared" si="10"/>
        <v>18</v>
      </c>
      <c r="AC25" s="2">
        <f t="shared" si="3"/>
        <v>4</v>
      </c>
      <c r="AG25" s="220">
        <f t="shared" si="4"/>
        <v>0</v>
      </c>
      <c r="AH25" s="220">
        <f ca="1">IF(HLOOKUP($F25,Jornada!$X$7:$AD$37,VLOOKUP(INDIRECT($C$5),Jornada!$C$8:$W$37,21,0),0)=0,0,VLOOKUP(INDIRECT($C$5),Jornada!$C$8:$H$37,4,0))</f>
        <v>0</v>
      </c>
      <c r="AI25" s="155">
        <f ca="1">IF(AND(I25=0,J25=0,OR(H25&lt;&gt;0,K25&lt;&gt;0),HLOOKUP($F25,Jornada!$X$7:$AD$37,VLOOKUP(INDIRECT($C$5),Jornada!$C$8:$W$37,21,0),0)&gt;$AK$5,M25&gt;$AK$5),VLOOKUP(INDIRECT($C$5),Jornada!$C$8:$H$37,6,0),IF(AG25&gt;VLOOKUP(INDIRECT($C$5),Jornada!$C$8:$H$37,6,0),IF(VLOOKUP(INDIRECT($C$5),Jornada!$C$8:$H$37,6,0)&lt;AG25,0,ABS(VLOOKUP(INDIRECT($C$5),Jornada!$C$8:$H$37,6,0))-AG25),0))</f>
        <v>0</v>
      </c>
      <c r="AJ25" s="155">
        <f t="shared" si="5"/>
        <v>1</v>
      </c>
      <c r="AK25" s="155">
        <f t="shared" si="6"/>
        <v>0</v>
      </c>
      <c r="AL25" s="155">
        <f ca="1">HLOOKUP($F25,Jornada!$I$5:$V$37,VLOOKUP(INDIRECT($C$5),Jornada!$C$8:$W$37,21,0)+2,0)</f>
        <v>0</v>
      </c>
      <c r="AM25" s="155">
        <f ca="1">HLOOKUP($F25,Jornada!$I$4:$V$37,VLOOKUP(INDIRECT($C$5),Jornada!$C$8:$W$37,21,0)+3,0)</f>
        <v>0</v>
      </c>
      <c r="AN25" s="155">
        <f t="shared" ca="1" si="7"/>
        <v>0</v>
      </c>
      <c r="AO25" s="155">
        <f t="shared" si="8"/>
        <v>0</v>
      </c>
      <c r="AP25" s="155">
        <f t="shared" si="9"/>
        <v>0</v>
      </c>
      <c r="BE25" s="14"/>
      <c r="BF25" s="14"/>
      <c r="BG25" s="14"/>
    </row>
    <row r="26" spans="1:59" s="2" customFormat="1" ht="30" customHeight="1" thickTop="1" thickBot="1" x14ac:dyDescent="0.25">
      <c r="A26" s="1"/>
      <c r="B26"/>
      <c r="C26" s="172" t="str">
        <f>IF(Funcionários!C25=0,"",Funcionários!C25)</f>
        <v/>
      </c>
      <c r="D26"/>
      <c r="E26" s="115">
        <f>Lanç!E26</f>
        <v>19</v>
      </c>
      <c r="F26" s="189" t="str">
        <f>Lanç!F26</f>
        <v>Qui</v>
      </c>
      <c r="G26" s="81"/>
      <c r="H26" s="94"/>
      <c r="I26" s="94"/>
      <c r="J26" s="94"/>
      <c r="K26" s="94"/>
      <c r="L26" s="10"/>
      <c r="M26" s="95">
        <f t="shared" si="1"/>
        <v>0</v>
      </c>
      <c r="N26" s="96"/>
      <c r="O26" s="95">
        <f ca="1">IF(OR(G26=0,G26="Férias",G26="Falta Justificada",G26="Feriado",G26="Folga (DSR)"),0,IF(G26="Falta Injustificada",HLOOKUP($F26,Jornada!$X$7:$AD$37,VLOOKUP(INDIRECT($C$5),Jornada!$C$8:$W$37,21,0),0),IF(HLOOKUP($F26,Jornada!$X$7:$AD$37,VLOOKUP(INDIRECT($C$5),Jornada!$C$8:$W$37,21,0),0)-M26&gt;0,HLOOKUP($F26,Jornada!$X$7:$AD$37,VLOOKUP(INDIRECT($C$5),Jornada!$C$8:$W$37,21,0),0)-M26,0)))</f>
        <v>0</v>
      </c>
      <c r="P26" s="190">
        <f ca="1">IF(HLOOKUP($F26,Jornada!$X$7:$AD$37,VLOOKUP(INDIRECT($C$5),Jornada!$C$8:$W$37,21,0),0)-M26&lt;0,ABS(HLOOKUP($F26,Jornada!$X$7:$AD$37,VLOOKUP(INDIRECT($C$5),Jornada!$C$8:$W$37,21,0),0)-M26),0)</f>
        <v>0</v>
      </c>
      <c r="Q26" s="95">
        <f t="shared" si="0"/>
        <v>0</v>
      </c>
      <c r="R26" s="2">
        <f t="shared" si="2"/>
        <v>0</v>
      </c>
      <c r="S26" s="296" t="str">
        <f>IF(COUNTIF(G8:G38,"Folga (DSR)")&lt;DAY(E39)/8,"O mês não está contemplando um DSR (Descanso Semanal Remunerado) por semana. Isso pode configurar uma irregularidade segundo as leis trabalhistas.","Parabéns!! Sua folha de pagamento contempla uma DSR por semana conforme a lei trabalhista.")</f>
        <v>O mês não está contemplando um DSR (Descanso Semanal Remunerado) por semana. Isso pode configurar uma irregularidade segundo as leis trabalhistas.</v>
      </c>
      <c r="T26" s="297"/>
      <c r="U26" s="298"/>
      <c r="X26" s="177"/>
      <c r="AB26" s="177">
        <f t="shared" si="10"/>
        <v>19</v>
      </c>
      <c r="AC26" s="2">
        <f t="shared" si="3"/>
        <v>5</v>
      </c>
      <c r="AG26" s="220">
        <f t="shared" si="4"/>
        <v>0</v>
      </c>
      <c r="AH26" s="220">
        <f ca="1">IF(HLOOKUP($F26,Jornada!$X$7:$AD$37,VLOOKUP(INDIRECT($C$5),Jornada!$C$8:$W$37,21,0),0)=0,0,VLOOKUP(INDIRECT($C$5),Jornada!$C$8:$H$37,4,0))</f>
        <v>0</v>
      </c>
      <c r="AI26" s="155">
        <f ca="1">IF(AND(I26=0,J26=0,OR(H26&lt;&gt;0,K26&lt;&gt;0),HLOOKUP($F26,Jornada!$X$7:$AD$37,VLOOKUP(INDIRECT($C$5),Jornada!$C$8:$W$37,21,0),0)&gt;$AK$5,M26&gt;$AK$5),VLOOKUP(INDIRECT($C$5),Jornada!$C$8:$H$37,6,0),IF(AG26&gt;VLOOKUP(INDIRECT($C$5),Jornada!$C$8:$H$37,6,0),IF(VLOOKUP(INDIRECT($C$5),Jornada!$C$8:$H$37,6,0)&lt;AG26,0,ABS(VLOOKUP(INDIRECT($C$5),Jornada!$C$8:$H$37,6,0))-AG26),0))</f>
        <v>0</v>
      </c>
      <c r="AJ26" s="155">
        <f t="shared" si="5"/>
        <v>1</v>
      </c>
      <c r="AK26" s="155">
        <f t="shared" si="6"/>
        <v>0</v>
      </c>
      <c r="AL26" s="155">
        <f ca="1">HLOOKUP($F26,Jornada!$I$5:$V$37,VLOOKUP(INDIRECT($C$5),Jornada!$C$8:$W$37,21,0)+2,0)</f>
        <v>0</v>
      </c>
      <c r="AM26" s="155">
        <f ca="1">HLOOKUP($F26,Jornada!$I$4:$V$37,VLOOKUP(INDIRECT($C$5),Jornada!$C$8:$W$37,21,0)+3,0)</f>
        <v>0</v>
      </c>
      <c r="AN26" s="155">
        <f t="shared" ca="1" si="7"/>
        <v>0</v>
      </c>
      <c r="AO26" s="155">
        <f t="shared" si="8"/>
        <v>0</v>
      </c>
      <c r="AP26" s="155">
        <f t="shared" si="9"/>
        <v>0</v>
      </c>
      <c r="BE26" s="14"/>
      <c r="BF26" s="14"/>
      <c r="BG26" s="14"/>
    </row>
    <row r="27" spans="1:59" s="2" customFormat="1" ht="30" customHeight="1" thickTop="1" thickBot="1" x14ac:dyDescent="0.25">
      <c r="A27" s="1"/>
      <c r="B27"/>
      <c r="C27" s="172" t="str">
        <f>IF(Funcionários!C26=0,"",Funcionários!C26)</f>
        <v/>
      </c>
      <c r="D27"/>
      <c r="E27" s="115">
        <f>Lanç!E27</f>
        <v>20</v>
      </c>
      <c r="F27" s="189" t="str">
        <f>Lanç!F27</f>
        <v>Sex</v>
      </c>
      <c r="G27" s="81"/>
      <c r="H27" s="94"/>
      <c r="I27" s="94"/>
      <c r="J27" s="94"/>
      <c r="K27" s="94"/>
      <c r="L27" s="10"/>
      <c r="M27" s="95">
        <f t="shared" si="1"/>
        <v>0</v>
      </c>
      <c r="N27" s="96"/>
      <c r="O27" s="95">
        <f ca="1">IF(OR(G27=0,G27="Férias",G27="Falta Justificada",G27="Feriado",G27="Folga (DSR)"),0,IF(G27="Falta Injustificada",HLOOKUP($F27,Jornada!$X$7:$AD$37,VLOOKUP(INDIRECT($C$5),Jornada!$C$8:$W$37,21,0),0),IF(HLOOKUP($F27,Jornada!$X$7:$AD$37,VLOOKUP(INDIRECT($C$5),Jornada!$C$8:$W$37,21,0),0)-M27&gt;0,HLOOKUP($F27,Jornada!$X$7:$AD$37,VLOOKUP(INDIRECT($C$5),Jornada!$C$8:$W$37,21,0),0)-M27,0)))</f>
        <v>0</v>
      </c>
      <c r="P27" s="190">
        <f ca="1">IF(HLOOKUP($F27,Jornada!$X$7:$AD$37,VLOOKUP(INDIRECT($C$5),Jornada!$C$8:$W$37,21,0),0)-M27&lt;0,ABS(HLOOKUP($F27,Jornada!$X$7:$AD$37,VLOOKUP(INDIRECT($C$5),Jornada!$C$8:$W$37,21,0),0)-M27),0)</f>
        <v>0</v>
      </c>
      <c r="Q27" s="95">
        <f t="shared" si="0"/>
        <v>0</v>
      </c>
      <c r="R27" s="2">
        <f t="shared" si="2"/>
        <v>0</v>
      </c>
      <c r="S27" s="296"/>
      <c r="T27" s="297"/>
      <c r="U27" s="298"/>
      <c r="X27" s="177"/>
      <c r="AB27" s="177">
        <f t="shared" si="10"/>
        <v>20</v>
      </c>
      <c r="AC27" s="2">
        <f t="shared" si="3"/>
        <v>6</v>
      </c>
      <c r="AG27" s="220">
        <f t="shared" si="4"/>
        <v>0</v>
      </c>
      <c r="AH27" s="220">
        <f ca="1">IF(HLOOKUP($F27,Jornada!$X$7:$AD$37,VLOOKUP(INDIRECT($C$5),Jornada!$C$8:$W$37,21,0),0)=0,0,VLOOKUP(INDIRECT($C$5),Jornada!$C$8:$H$37,4,0))</f>
        <v>0</v>
      </c>
      <c r="AI27" s="155">
        <f ca="1">IF(AND(I27=0,J27=0,OR(H27&lt;&gt;0,K27&lt;&gt;0),HLOOKUP($F27,Jornada!$X$7:$AD$37,VLOOKUP(INDIRECT($C$5),Jornada!$C$8:$W$37,21,0),0)&gt;$AK$5,M27&gt;$AK$5),VLOOKUP(INDIRECT($C$5),Jornada!$C$8:$H$37,6,0),IF(AG27&gt;VLOOKUP(INDIRECT($C$5),Jornada!$C$8:$H$37,6,0),IF(VLOOKUP(INDIRECT($C$5),Jornada!$C$8:$H$37,6,0)&lt;AG27,0,ABS(VLOOKUP(INDIRECT($C$5),Jornada!$C$8:$H$37,6,0))-AG27),0))</f>
        <v>0</v>
      </c>
      <c r="AJ27" s="155">
        <f t="shared" si="5"/>
        <v>1</v>
      </c>
      <c r="AK27" s="155">
        <f t="shared" si="6"/>
        <v>0</v>
      </c>
      <c r="AL27" s="155">
        <f ca="1">HLOOKUP($F27,Jornada!$I$5:$V$37,VLOOKUP(INDIRECT($C$5),Jornada!$C$8:$W$37,21,0)+2,0)</f>
        <v>0</v>
      </c>
      <c r="AM27" s="155">
        <f ca="1">HLOOKUP($F27,Jornada!$I$4:$V$37,VLOOKUP(INDIRECT($C$5),Jornada!$C$8:$W$37,21,0)+3,0)</f>
        <v>0</v>
      </c>
      <c r="AN27" s="155">
        <f t="shared" ca="1" si="7"/>
        <v>0</v>
      </c>
      <c r="AO27" s="155">
        <f t="shared" si="8"/>
        <v>0</v>
      </c>
      <c r="AP27" s="155">
        <f t="shared" si="9"/>
        <v>0</v>
      </c>
    </row>
    <row r="28" spans="1:59" s="2" customFormat="1" ht="30" customHeight="1" thickTop="1" thickBot="1" x14ac:dyDescent="0.25">
      <c r="A28" s="1"/>
      <c r="B28"/>
      <c r="C28" s="172" t="str">
        <f>IF(Funcionários!C27=0,"",Funcionários!C27)</f>
        <v/>
      </c>
      <c r="D28"/>
      <c r="E28" s="115">
        <f>Lanç!E28</f>
        <v>21</v>
      </c>
      <c r="F28" s="189" t="str">
        <f>Lanç!F28</f>
        <v>Sáb</v>
      </c>
      <c r="G28" s="81"/>
      <c r="H28" s="94"/>
      <c r="I28" s="94"/>
      <c r="J28" s="94"/>
      <c r="K28" s="94"/>
      <c r="L28" s="10"/>
      <c r="M28" s="95">
        <f t="shared" si="1"/>
        <v>0</v>
      </c>
      <c r="N28" s="96"/>
      <c r="O28" s="95">
        <f ca="1">IF(OR(G28=0,G28="Férias",G28="Falta Justificada",G28="Feriado",G28="Folga (DSR)"),0,IF(G28="Falta Injustificada",HLOOKUP($F28,Jornada!$X$7:$AD$37,VLOOKUP(INDIRECT($C$5),Jornada!$C$8:$W$37,21,0),0),IF(HLOOKUP($F28,Jornada!$X$7:$AD$37,VLOOKUP(INDIRECT($C$5),Jornada!$C$8:$W$37,21,0),0)-M28&gt;0,HLOOKUP($F28,Jornada!$X$7:$AD$37,VLOOKUP(INDIRECT($C$5),Jornada!$C$8:$W$37,21,0),0)-M28,0)))</f>
        <v>0</v>
      </c>
      <c r="P28" s="190">
        <f ca="1">IF(HLOOKUP($F28,Jornada!$X$7:$AD$37,VLOOKUP(INDIRECT($C$5),Jornada!$C$8:$W$37,21,0),0)-M28&lt;0,ABS(HLOOKUP($F28,Jornada!$X$7:$AD$37,VLOOKUP(INDIRECT($C$5),Jornada!$C$8:$W$37,21,0),0)-M28),0)</f>
        <v>0</v>
      </c>
      <c r="Q28" s="95">
        <f t="shared" si="0"/>
        <v>0</v>
      </c>
      <c r="R28" s="2">
        <f t="shared" si="2"/>
        <v>0</v>
      </c>
      <c r="S28" s="296"/>
      <c r="T28" s="297"/>
      <c r="U28" s="298"/>
      <c r="X28" s="177"/>
      <c r="AB28" s="177">
        <f t="shared" si="10"/>
        <v>21</v>
      </c>
      <c r="AC28" s="2">
        <f t="shared" si="3"/>
        <v>7</v>
      </c>
      <c r="AG28" s="220">
        <f t="shared" si="4"/>
        <v>0</v>
      </c>
      <c r="AH28" s="220">
        <f ca="1">IF(HLOOKUP($F28,Jornada!$X$7:$AD$37,VLOOKUP(INDIRECT($C$5),Jornada!$C$8:$W$37,21,0),0)=0,0,VLOOKUP(INDIRECT($C$5),Jornada!$C$8:$H$37,4,0))</f>
        <v>0</v>
      </c>
      <c r="AI28" s="155">
        <f ca="1">IF(AND(I28=0,J28=0,OR(H28&lt;&gt;0,K28&lt;&gt;0),HLOOKUP($F28,Jornada!$X$7:$AD$37,VLOOKUP(INDIRECT($C$5),Jornada!$C$8:$W$37,21,0),0)&gt;$AK$5,M28&gt;$AK$5),VLOOKUP(INDIRECT($C$5),Jornada!$C$8:$H$37,6,0),IF(AG28&gt;VLOOKUP(INDIRECT($C$5),Jornada!$C$8:$H$37,6,0),IF(VLOOKUP(INDIRECT($C$5),Jornada!$C$8:$H$37,6,0)&lt;AG28,0,ABS(VLOOKUP(INDIRECT($C$5),Jornada!$C$8:$H$37,6,0))-AG28),0))</f>
        <v>0</v>
      </c>
      <c r="AJ28" s="155">
        <f t="shared" si="5"/>
        <v>1</v>
      </c>
      <c r="AK28" s="155">
        <f t="shared" si="6"/>
        <v>0</v>
      </c>
      <c r="AL28" s="155">
        <f ca="1">HLOOKUP($F28,Jornada!$I$5:$V$37,VLOOKUP(INDIRECT($C$5),Jornada!$C$8:$W$37,21,0)+2,0)</f>
        <v>0</v>
      </c>
      <c r="AM28" s="155">
        <f ca="1">HLOOKUP($F28,Jornada!$I$4:$V$37,VLOOKUP(INDIRECT($C$5),Jornada!$C$8:$W$37,21,0)+3,0)</f>
        <v>0</v>
      </c>
      <c r="AN28" s="155">
        <f t="shared" ca="1" si="7"/>
        <v>0</v>
      </c>
      <c r="AO28" s="155">
        <f t="shared" si="8"/>
        <v>0</v>
      </c>
      <c r="AP28" s="155">
        <f t="shared" si="9"/>
        <v>0</v>
      </c>
    </row>
    <row r="29" spans="1:59" s="2" customFormat="1" ht="30" customHeight="1" thickTop="1" thickBot="1" x14ac:dyDescent="0.25">
      <c r="A29" s="1"/>
      <c r="B29"/>
      <c r="C29" s="172" t="str">
        <f>IF(Funcionários!C28=0,"",Funcionários!C28)</f>
        <v/>
      </c>
      <c r="D29"/>
      <c r="E29" s="115">
        <f>Lanç!E29</f>
        <v>22</v>
      </c>
      <c r="F29" s="189" t="str">
        <f>Lanç!F29</f>
        <v>Dom</v>
      </c>
      <c r="G29" s="81"/>
      <c r="H29" s="94"/>
      <c r="I29" s="94"/>
      <c r="J29" s="94"/>
      <c r="K29" s="94"/>
      <c r="L29" s="10"/>
      <c r="M29" s="95">
        <f t="shared" si="1"/>
        <v>0</v>
      </c>
      <c r="N29" s="96"/>
      <c r="O29" s="95">
        <f ca="1">IF(OR(G29=0,G29="Férias",G29="Falta Justificada",G29="Feriado",G29="Folga (DSR)"),0,IF(G29="Falta Injustificada",HLOOKUP($F29,Jornada!$X$7:$AD$37,VLOOKUP(INDIRECT($C$5),Jornada!$C$8:$W$37,21,0),0),IF(HLOOKUP($F29,Jornada!$X$7:$AD$37,VLOOKUP(INDIRECT($C$5),Jornada!$C$8:$W$37,21,0),0)-M29&gt;0,HLOOKUP($F29,Jornada!$X$7:$AD$37,VLOOKUP(INDIRECT($C$5),Jornada!$C$8:$W$37,21,0),0)-M29,0)))</f>
        <v>0</v>
      </c>
      <c r="P29" s="190">
        <f ca="1">IF(HLOOKUP($F29,Jornada!$X$7:$AD$37,VLOOKUP(INDIRECT($C$5),Jornada!$C$8:$W$37,21,0),0)-M29&lt;0,ABS(HLOOKUP($F29,Jornada!$X$7:$AD$37,VLOOKUP(INDIRECT($C$5),Jornada!$C$8:$W$37,21,0),0)-M29),0)</f>
        <v>0</v>
      </c>
      <c r="Q29" s="95">
        <f t="shared" si="0"/>
        <v>0</v>
      </c>
      <c r="R29" s="2">
        <f t="shared" si="2"/>
        <v>0</v>
      </c>
      <c r="S29" s="13"/>
      <c r="T29" s="74"/>
      <c r="U29" s="74"/>
      <c r="X29" s="177"/>
      <c r="AB29" s="177">
        <f t="shared" si="10"/>
        <v>22</v>
      </c>
      <c r="AC29" s="2">
        <f t="shared" si="3"/>
        <v>1</v>
      </c>
      <c r="AG29" s="220">
        <f t="shared" si="4"/>
        <v>0</v>
      </c>
      <c r="AH29" s="220">
        <f ca="1">IF(HLOOKUP($F29,Jornada!$X$7:$AD$37,VLOOKUP(INDIRECT($C$5),Jornada!$C$8:$W$37,21,0),0)=0,0,VLOOKUP(INDIRECT($C$5),Jornada!$C$8:$H$37,4,0))</f>
        <v>0</v>
      </c>
      <c r="AI29" s="155">
        <f ca="1">IF(AND(I29=0,J29=0,OR(H29&lt;&gt;0,K29&lt;&gt;0),HLOOKUP($F29,Jornada!$X$7:$AD$37,VLOOKUP(INDIRECT($C$5),Jornada!$C$8:$W$37,21,0),0)&gt;$AK$5,M29&gt;$AK$5),VLOOKUP(INDIRECT($C$5),Jornada!$C$8:$H$37,6,0),IF(AG29&gt;VLOOKUP(INDIRECT($C$5),Jornada!$C$8:$H$37,6,0),IF(VLOOKUP(INDIRECT($C$5),Jornada!$C$8:$H$37,6,0)&lt;AG29,0,ABS(VLOOKUP(INDIRECT($C$5),Jornada!$C$8:$H$37,6,0))-AG29),0))</f>
        <v>0</v>
      </c>
      <c r="AJ29" s="155">
        <f t="shared" si="5"/>
        <v>1</v>
      </c>
      <c r="AK29" s="155">
        <f t="shared" si="6"/>
        <v>0</v>
      </c>
      <c r="AL29" s="155">
        <f ca="1">HLOOKUP($F29,Jornada!$I$5:$V$37,VLOOKUP(INDIRECT($C$5),Jornada!$C$8:$W$37,21,0)+2,0)</f>
        <v>0</v>
      </c>
      <c r="AM29" s="155">
        <f ca="1">HLOOKUP($F29,Jornada!$I$4:$V$37,VLOOKUP(INDIRECT($C$5),Jornada!$C$8:$W$37,21,0)+3,0)</f>
        <v>0</v>
      </c>
      <c r="AN29" s="155">
        <f t="shared" ca="1" si="7"/>
        <v>0</v>
      </c>
      <c r="AO29" s="155">
        <f t="shared" si="8"/>
        <v>0</v>
      </c>
      <c r="AP29" s="155">
        <f t="shared" si="9"/>
        <v>0</v>
      </c>
    </row>
    <row r="30" spans="1:59" s="2" customFormat="1" ht="30" customHeight="1" thickTop="1" thickBot="1" x14ac:dyDescent="0.25">
      <c r="A30" s="1"/>
      <c r="B30"/>
      <c r="C30" s="172" t="str">
        <f>IF(Funcionários!C29=0,"",Funcionários!C29)</f>
        <v/>
      </c>
      <c r="D30"/>
      <c r="E30" s="173">
        <f>Lanç!E30</f>
        <v>23</v>
      </c>
      <c r="F30" s="189" t="str">
        <f>Lanç!F30</f>
        <v>Seg</v>
      </c>
      <c r="G30" s="81"/>
      <c r="H30" s="94"/>
      <c r="I30" s="94"/>
      <c r="J30" s="94"/>
      <c r="K30" s="94"/>
      <c r="L30" s="10"/>
      <c r="M30" s="95">
        <f t="shared" si="1"/>
        <v>0</v>
      </c>
      <c r="N30" s="96"/>
      <c r="O30" s="95">
        <f ca="1">IF(OR(G30=0,G30="Férias",G30="Falta Justificada",G30="Feriado",G30="Folga (DSR)"),0,IF(G30="Falta Injustificada",HLOOKUP($F30,Jornada!$X$7:$AD$37,VLOOKUP(INDIRECT($C$5),Jornada!$C$8:$W$37,21,0),0),IF(HLOOKUP($F30,Jornada!$X$7:$AD$37,VLOOKUP(INDIRECT($C$5),Jornada!$C$8:$W$37,21,0),0)-M30&gt;0,HLOOKUP($F30,Jornada!$X$7:$AD$37,VLOOKUP(INDIRECT($C$5),Jornada!$C$8:$W$37,21,0),0)-M30,0)))</f>
        <v>0</v>
      </c>
      <c r="P30" s="190">
        <f ca="1">IF(HLOOKUP($F30,Jornada!$X$7:$AD$37,VLOOKUP(INDIRECT($C$5),Jornada!$C$8:$W$37,21,0),0)-M30&lt;0,ABS(HLOOKUP($F30,Jornada!$X$7:$AD$37,VLOOKUP(INDIRECT($C$5),Jornada!$C$8:$W$37,21,0),0)-M30),0)</f>
        <v>0</v>
      </c>
      <c r="Q30" s="95">
        <f t="shared" si="0"/>
        <v>0</v>
      </c>
      <c r="R30" s="2">
        <f>IF(Q30&gt;$R$7,1,0)</f>
        <v>0</v>
      </c>
      <c r="S30" s="13"/>
      <c r="T30" s="74"/>
      <c r="U30" s="74"/>
      <c r="X30" s="177"/>
      <c r="AB30" s="177">
        <f t="shared" si="10"/>
        <v>23</v>
      </c>
      <c r="AC30" s="2">
        <f>WEEKDAY(AB30)</f>
        <v>2</v>
      </c>
      <c r="AG30" s="220">
        <f t="shared" si="4"/>
        <v>0</v>
      </c>
      <c r="AH30" s="220">
        <f ca="1">IF(HLOOKUP($F30,Jornada!$X$7:$AD$37,VLOOKUP(INDIRECT($C$5),Jornada!$C$8:$W$37,21,0),0)=0,0,VLOOKUP(INDIRECT($C$5),Jornada!$C$8:$H$37,4,0))</f>
        <v>0</v>
      </c>
      <c r="AI30" s="155">
        <f ca="1">IF(AND(I30=0,J30=0,OR(H30&lt;&gt;0,K30&lt;&gt;0),HLOOKUP($F30,Jornada!$X$7:$AD$37,VLOOKUP(INDIRECT($C$5),Jornada!$C$8:$W$37,21,0),0)&gt;$AK$5,M30&gt;$AK$5),VLOOKUP(INDIRECT($C$5),Jornada!$C$8:$H$37,6,0),IF(AG30&gt;VLOOKUP(INDIRECT($C$5),Jornada!$C$8:$H$37,6,0),IF(VLOOKUP(INDIRECT($C$5),Jornada!$C$8:$H$37,6,0)&lt;AG30,0,ABS(VLOOKUP(INDIRECT($C$5),Jornada!$C$8:$H$37,6,0))-AG30),0))</f>
        <v>0</v>
      </c>
      <c r="AJ30" s="155">
        <f>($AJ$7-K30)+H30</f>
        <v>1</v>
      </c>
      <c r="AK30" s="155">
        <f>IF(AJ30&lt;$AK$7,$AK$7-AJ30,$AI$7)</f>
        <v>0</v>
      </c>
      <c r="AL30" s="155">
        <f ca="1">HLOOKUP($F30,Jornada!$I$5:$V$37,VLOOKUP(INDIRECT($C$5),Jornada!$C$8:$W$37,21,0)+2,0)</f>
        <v>0</v>
      </c>
      <c r="AM30" s="155">
        <f ca="1">HLOOKUP($F30,Jornada!$I$4:$V$37,VLOOKUP(INDIRECT($C$5),Jornada!$C$8:$W$37,21,0)+3,0)</f>
        <v>0</v>
      </c>
      <c r="AN30" s="155">
        <f t="shared" ca="1" si="7"/>
        <v>0</v>
      </c>
      <c r="AO30" s="155">
        <f t="shared" si="8"/>
        <v>0</v>
      </c>
      <c r="AP30" s="155">
        <f t="shared" si="9"/>
        <v>0</v>
      </c>
    </row>
    <row r="31" spans="1:59" s="2" customFormat="1" ht="30" customHeight="1" thickTop="1" thickBot="1" x14ac:dyDescent="0.25">
      <c r="A31" s="1"/>
      <c r="B31"/>
      <c r="C31" s="172" t="str">
        <f>IF(Funcionários!C30=0,"",Funcionários!C30)</f>
        <v/>
      </c>
      <c r="D31"/>
      <c r="E31" s="173">
        <f>Lanç!E31</f>
        <v>24</v>
      </c>
      <c r="F31" s="189" t="str">
        <f>Lanç!F31</f>
        <v>Ter</v>
      </c>
      <c r="G31" s="81"/>
      <c r="H31" s="94"/>
      <c r="I31" s="94"/>
      <c r="J31" s="94"/>
      <c r="K31" s="94"/>
      <c r="L31" s="10"/>
      <c r="M31" s="95">
        <f t="shared" si="1"/>
        <v>0</v>
      </c>
      <c r="N31" s="96"/>
      <c r="O31" s="95">
        <f ca="1">IF(OR(G31=0,G31="Férias",G31="Falta Justificada",G31="Feriado",G31="Folga (DSR)"),0,IF(G31="Falta Injustificada",HLOOKUP($F31,Jornada!$X$7:$AD$37,VLOOKUP(INDIRECT($C$5),Jornada!$C$8:$W$37,21,0),0),IF(HLOOKUP($F31,Jornada!$X$7:$AD$37,VLOOKUP(INDIRECT($C$5),Jornada!$C$8:$W$37,21,0),0)-M31&gt;0,HLOOKUP($F31,Jornada!$X$7:$AD$37,VLOOKUP(INDIRECT($C$5),Jornada!$C$8:$W$37,21,0),0)-M31,0)))</f>
        <v>0</v>
      </c>
      <c r="P31" s="190">
        <f ca="1">IF(HLOOKUP($F31,Jornada!$X$7:$AD$37,VLOOKUP(INDIRECT($C$5),Jornada!$C$8:$W$37,21,0),0)-M31&lt;0,ABS(HLOOKUP($F31,Jornada!$X$7:$AD$37,VLOOKUP(INDIRECT($C$5),Jornada!$C$8:$W$37,21,0),0)-M31),0)</f>
        <v>0</v>
      </c>
      <c r="Q31" s="95">
        <f t="shared" si="0"/>
        <v>0</v>
      </c>
      <c r="R31" s="2">
        <f>IF(Q31&gt;$R$7,1,0)</f>
        <v>0</v>
      </c>
      <c r="S31" s="13"/>
      <c r="T31" s="74"/>
      <c r="U31" s="74"/>
      <c r="X31" s="177"/>
      <c r="AB31" s="177">
        <f t="shared" si="10"/>
        <v>24</v>
      </c>
      <c r="AC31" s="2">
        <f>WEEKDAY(AB31)</f>
        <v>3</v>
      </c>
      <c r="AG31" s="220">
        <f t="shared" si="4"/>
        <v>0</v>
      </c>
      <c r="AH31" s="220">
        <f ca="1">IF(HLOOKUP($F31,Jornada!$X$7:$AD$37,VLOOKUP(INDIRECT($C$5),Jornada!$C$8:$W$37,21,0),0)=0,0,VLOOKUP(INDIRECT($C$5),Jornada!$C$8:$H$37,4,0))</f>
        <v>0</v>
      </c>
      <c r="AI31" s="155">
        <f ca="1">IF(AND(I31=0,J31=0,OR(H31&lt;&gt;0,K31&lt;&gt;0),HLOOKUP($F31,Jornada!$X$7:$AD$37,VLOOKUP(INDIRECT($C$5),Jornada!$C$8:$W$37,21,0),0)&gt;$AK$5,M31&gt;$AK$5),VLOOKUP(INDIRECT($C$5),Jornada!$C$8:$H$37,6,0),IF(AG31&gt;VLOOKUP(INDIRECT($C$5),Jornada!$C$8:$H$37,6,0),IF(VLOOKUP(INDIRECT($C$5),Jornada!$C$8:$H$37,6,0)&lt;AG31,0,ABS(VLOOKUP(INDIRECT($C$5),Jornada!$C$8:$H$37,6,0))-AG31),0))</f>
        <v>0</v>
      </c>
      <c r="AJ31" s="155">
        <f>($AJ$7-K31)+H31</f>
        <v>1</v>
      </c>
      <c r="AK31" s="155">
        <f>IF(AJ31&lt;$AK$7,$AK$7-AJ31,$AI$7)</f>
        <v>0</v>
      </c>
      <c r="AL31" s="155">
        <f ca="1">HLOOKUP($F31,Jornada!$I$5:$V$37,VLOOKUP(INDIRECT($C$5),Jornada!$C$8:$W$37,21,0)+2,0)</f>
        <v>0</v>
      </c>
      <c r="AM31" s="155">
        <f ca="1">HLOOKUP($F31,Jornada!$I$4:$V$37,VLOOKUP(INDIRECT($C$5),Jornada!$C$8:$W$37,21,0)+3,0)</f>
        <v>0</v>
      </c>
      <c r="AN31" s="155">
        <f t="shared" ca="1" si="7"/>
        <v>0</v>
      </c>
      <c r="AO31" s="155">
        <f t="shared" si="8"/>
        <v>0</v>
      </c>
      <c r="AP31" s="155">
        <f t="shared" si="9"/>
        <v>0</v>
      </c>
    </row>
    <row r="32" spans="1:59" s="2" customFormat="1" ht="30" customHeight="1" thickTop="1" thickBot="1" x14ac:dyDescent="0.25">
      <c r="A32" s="1"/>
      <c r="B32"/>
      <c r="C32" s="172" t="str">
        <f>IF(Funcionários!C31=0,"",Funcionários!C31)</f>
        <v/>
      </c>
      <c r="D32"/>
      <c r="E32" s="115">
        <f>Lanç!E32</f>
        <v>25</v>
      </c>
      <c r="F32" s="189" t="str">
        <f>Lanç!F32</f>
        <v>Qua</v>
      </c>
      <c r="G32" s="81"/>
      <c r="H32" s="94"/>
      <c r="I32" s="94"/>
      <c r="J32" s="94"/>
      <c r="K32" s="94"/>
      <c r="L32" s="10"/>
      <c r="M32" s="95">
        <f t="shared" si="1"/>
        <v>0</v>
      </c>
      <c r="N32" s="96"/>
      <c r="O32" s="95">
        <f ca="1">IF(OR(G32=0,G32="Férias",G32="Falta Justificada",G32="Feriado",G32="Folga (DSR)"),0,IF(G32="Falta Injustificada",HLOOKUP($F32,Jornada!$X$7:$AD$37,VLOOKUP(INDIRECT($C$5),Jornada!$C$8:$W$37,21,0),0),IF(HLOOKUP($F32,Jornada!$X$7:$AD$37,VLOOKUP(INDIRECT($C$5),Jornada!$C$8:$W$37,21,0),0)-M32&gt;0,HLOOKUP($F32,Jornada!$X$7:$AD$37,VLOOKUP(INDIRECT($C$5),Jornada!$C$8:$W$37,21,0),0)-M32,0)))</f>
        <v>0</v>
      </c>
      <c r="P32" s="190">
        <f ca="1">IF(HLOOKUP($F32,Jornada!$X$7:$AD$37,VLOOKUP(INDIRECT($C$5),Jornada!$C$8:$W$37,21,0),0)-M32&lt;0,ABS(HLOOKUP($F32,Jornada!$X$7:$AD$37,VLOOKUP(INDIRECT($C$5),Jornada!$C$8:$W$37,21,0),0)-M32),0)</f>
        <v>0</v>
      </c>
      <c r="Q32" s="95">
        <f t="shared" si="0"/>
        <v>0</v>
      </c>
      <c r="R32" s="2">
        <f t="shared" si="2"/>
        <v>0</v>
      </c>
      <c r="S32" s="74"/>
      <c r="T32" s="74"/>
      <c r="U32" s="74"/>
      <c r="X32" s="177"/>
      <c r="AB32" s="177">
        <f t="shared" si="10"/>
        <v>25</v>
      </c>
      <c r="AC32" s="2">
        <f t="shared" si="3"/>
        <v>4</v>
      </c>
      <c r="AG32" s="220">
        <f t="shared" si="4"/>
        <v>0</v>
      </c>
      <c r="AH32" s="220">
        <f ca="1">IF(HLOOKUP($F32,Jornada!$X$7:$AD$37,VLOOKUP(INDIRECT($C$5),Jornada!$C$8:$W$37,21,0),0)=0,0,VLOOKUP(INDIRECT($C$5),Jornada!$C$8:$H$37,4,0))</f>
        <v>0</v>
      </c>
      <c r="AI32" s="155">
        <f ca="1">IF(AND(I32=0,J32=0,OR(H32&lt;&gt;0,K32&lt;&gt;0),HLOOKUP($F32,Jornada!$X$7:$AD$37,VLOOKUP(INDIRECT($C$5),Jornada!$C$8:$W$37,21,0),0)&gt;$AK$5,M32&gt;$AK$5),VLOOKUP(INDIRECT($C$5),Jornada!$C$8:$H$37,6,0),IF(AG32&gt;VLOOKUP(INDIRECT($C$5),Jornada!$C$8:$H$37,6,0),IF(VLOOKUP(INDIRECT($C$5),Jornada!$C$8:$H$37,6,0)&lt;AG32,0,ABS(VLOOKUP(INDIRECT($C$5),Jornada!$C$8:$H$37,6,0))-AG32),0))</f>
        <v>0</v>
      </c>
      <c r="AJ32" s="155">
        <f t="shared" si="5"/>
        <v>1</v>
      </c>
      <c r="AK32" s="155">
        <f t="shared" si="6"/>
        <v>0</v>
      </c>
      <c r="AL32" s="155">
        <f ca="1">HLOOKUP($F32,Jornada!$I$5:$V$37,VLOOKUP(INDIRECT($C$5),Jornada!$C$8:$W$37,21,0)+2,0)</f>
        <v>0</v>
      </c>
      <c r="AM32" s="155">
        <f ca="1">HLOOKUP($F32,Jornada!$I$4:$V$37,VLOOKUP(INDIRECT($C$5),Jornada!$C$8:$W$37,21,0)+3,0)</f>
        <v>0</v>
      </c>
      <c r="AN32" s="155">
        <f t="shared" ca="1" si="7"/>
        <v>0</v>
      </c>
      <c r="AO32" s="155">
        <f t="shared" si="8"/>
        <v>0</v>
      </c>
      <c r="AP32" s="155">
        <f t="shared" si="9"/>
        <v>0</v>
      </c>
    </row>
    <row r="33" spans="1:42" s="2" customFormat="1" ht="30" customHeight="1" thickTop="1" thickBot="1" x14ac:dyDescent="0.25">
      <c r="A33" s="1"/>
      <c r="B33"/>
      <c r="C33" s="171" t="str">
        <f>IF(Funcionários!C32=0,"",Funcionários!C32)</f>
        <v/>
      </c>
      <c r="D33"/>
      <c r="E33" s="115">
        <f>Lanç!E33</f>
        <v>26</v>
      </c>
      <c r="F33" s="189" t="str">
        <f>Lanç!F33</f>
        <v>Qui</v>
      </c>
      <c r="G33" s="81"/>
      <c r="H33" s="94"/>
      <c r="I33" s="94"/>
      <c r="J33" s="94"/>
      <c r="K33" s="94"/>
      <c r="L33" s="10"/>
      <c r="M33" s="95">
        <f t="shared" si="1"/>
        <v>0</v>
      </c>
      <c r="N33" s="96"/>
      <c r="O33" s="95">
        <f ca="1">IF(OR(G33=0,G33="Férias",G33="Falta Justificada",G33="Feriado",G33="Folga (DSR)"),0,IF(G33="Falta Injustificada",HLOOKUP($F33,Jornada!$X$7:$AD$37,VLOOKUP(INDIRECT($C$5),Jornada!$C$8:$W$37,21,0),0),IF(HLOOKUP($F33,Jornada!$X$7:$AD$37,VLOOKUP(INDIRECT($C$5),Jornada!$C$8:$W$37,21,0),0)-M33&gt;0,HLOOKUP($F33,Jornada!$X$7:$AD$37,VLOOKUP(INDIRECT($C$5),Jornada!$C$8:$W$37,21,0),0)-M33,0)))</f>
        <v>0</v>
      </c>
      <c r="P33" s="190">
        <f ca="1">IF(HLOOKUP($F33,Jornada!$X$7:$AD$37,VLOOKUP(INDIRECT($C$5),Jornada!$C$8:$W$37,21,0),0)-M33&lt;0,ABS(HLOOKUP($F33,Jornada!$X$7:$AD$37,VLOOKUP(INDIRECT($C$5),Jornada!$C$8:$W$37,21,0),0)-M33),0)</f>
        <v>0</v>
      </c>
      <c r="Q33" s="95">
        <f t="shared" si="0"/>
        <v>0</v>
      </c>
      <c r="R33" s="2">
        <f t="shared" si="2"/>
        <v>0</v>
      </c>
      <c r="S33" s="74"/>
      <c r="T33" s="74"/>
      <c r="U33" s="74"/>
      <c r="X33" s="177"/>
      <c r="AB33" s="177">
        <f t="shared" si="10"/>
        <v>26</v>
      </c>
      <c r="AC33" s="2">
        <f t="shared" si="3"/>
        <v>5</v>
      </c>
      <c r="AG33" s="220">
        <f t="shared" si="4"/>
        <v>0</v>
      </c>
      <c r="AH33" s="220">
        <f ca="1">IF(HLOOKUP($F33,Jornada!$X$7:$AD$37,VLOOKUP(INDIRECT($C$5),Jornada!$C$8:$W$37,21,0),0)=0,0,VLOOKUP(INDIRECT($C$5),Jornada!$C$8:$H$37,4,0))</f>
        <v>0</v>
      </c>
      <c r="AI33" s="155">
        <f ca="1">IF(AND(I33=0,J33=0,OR(H33&lt;&gt;0,K33&lt;&gt;0),HLOOKUP($F33,Jornada!$X$7:$AD$37,VLOOKUP(INDIRECT($C$5),Jornada!$C$8:$W$37,21,0),0)&gt;$AK$5,M33&gt;$AK$5),VLOOKUP(INDIRECT($C$5),Jornada!$C$8:$H$37,6,0),IF(AG33&gt;VLOOKUP(INDIRECT($C$5),Jornada!$C$8:$H$37,6,0),IF(VLOOKUP(INDIRECT($C$5),Jornada!$C$8:$H$37,6,0)&lt;AG33,0,ABS(VLOOKUP(INDIRECT($C$5),Jornada!$C$8:$H$37,6,0))-AG33),0))</f>
        <v>0</v>
      </c>
      <c r="AJ33" s="155">
        <f t="shared" si="5"/>
        <v>1</v>
      </c>
      <c r="AK33" s="155">
        <f t="shared" si="6"/>
        <v>0</v>
      </c>
      <c r="AL33" s="155">
        <f ca="1">HLOOKUP($F33,Jornada!$I$5:$V$37,VLOOKUP(INDIRECT($C$5),Jornada!$C$8:$W$37,21,0)+2,0)</f>
        <v>0</v>
      </c>
      <c r="AM33" s="155">
        <f ca="1">HLOOKUP($F33,Jornada!$I$4:$V$37,VLOOKUP(INDIRECT($C$5),Jornada!$C$8:$W$37,21,0)+3,0)</f>
        <v>0</v>
      </c>
      <c r="AN33" s="155">
        <f t="shared" ca="1" si="7"/>
        <v>0</v>
      </c>
      <c r="AO33" s="155">
        <f t="shared" si="8"/>
        <v>0</v>
      </c>
      <c r="AP33" s="155">
        <f t="shared" si="9"/>
        <v>0</v>
      </c>
    </row>
    <row r="34" spans="1:42" s="2" customFormat="1" ht="30" customHeight="1" thickTop="1" thickBot="1" x14ac:dyDescent="0.25">
      <c r="A34" s="1"/>
      <c r="B34"/>
      <c r="C34" s="172" t="str">
        <f>IF(Funcionários!C33=0,"",Funcionários!C33)</f>
        <v/>
      </c>
      <c r="D34"/>
      <c r="E34" s="115">
        <f>Lanç!E34</f>
        <v>27</v>
      </c>
      <c r="F34" s="189" t="str">
        <f>Lanç!F34</f>
        <v>Sex</v>
      </c>
      <c r="G34" s="81"/>
      <c r="H34" s="94"/>
      <c r="I34" s="94"/>
      <c r="J34" s="94"/>
      <c r="K34" s="94"/>
      <c r="L34" s="10"/>
      <c r="M34" s="95">
        <f t="shared" si="1"/>
        <v>0</v>
      </c>
      <c r="N34" s="96"/>
      <c r="O34" s="95">
        <f ca="1">IF(OR(G34=0,G34="Férias",G34="Falta Justificada",G34="Feriado",G34="Folga (DSR)"),0,IF(G34="Falta Injustificada",HLOOKUP($F34,Jornada!$X$7:$AD$37,VLOOKUP(INDIRECT($C$5),Jornada!$C$8:$W$37,21,0),0),IF(HLOOKUP($F34,Jornada!$X$7:$AD$37,VLOOKUP(INDIRECT($C$5),Jornada!$C$8:$W$37,21,0),0)-M34&gt;0,HLOOKUP($F34,Jornada!$X$7:$AD$37,VLOOKUP(INDIRECT($C$5),Jornada!$C$8:$W$37,21,0),0)-M34,0)))</f>
        <v>0</v>
      </c>
      <c r="P34" s="190">
        <f ca="1">IF(HLOOKUP($F34,Jornada!$X$7:$AD$37,VLOOKUP(INDIRECT($C$5),Jornada!$C$8:$W$37,21,0),0)-M34&lt;0,ABS(HLOOKUP($F34,Jornada!$X$7:$AD$37,VLOOKUP(INDIRECT($C$5),Jornada!$C$8:$W$37,21,0),0)-M34),0)</f>
        <v>0</v>
      </c>
      <c r="Q34" s="95">
        <f t="shared" si="0"/>
        <v>0</v>
      </c>
      <c r="R34" s="2">
        <f t="shared" si="2"/>
        <v>0</v>
      </c>
      <c r="S34" s="74"/>
      <c r="T34" s="74"/>
      <c r="U34" s="74"/>
      <c r="X34" s="177"/>
      <c r="AB34" s="177">
        <f t="shared" si="10"/>
        <v>27</v>
      </c>
      <c r="AC34" s="2">
        <f t="shared" si="3"/>
        <v>6</v>
      </c>
      <c r="AG34" s="220">
        <f t="shared" si="4"/>
        <v>0</v>
      </c>
      <c r="AH34" s="220">
        <f ca="1">IF(HLOOKUP($F34,Jornada!$X$7:$AD$37,VLOOKUP(INDIRECT($C$5),Jornada!$C$8:$W$37,21,0),0)=0,0,VLOOKUP(INDIRECT($C$5),Jornada!$C$8:$H$37,4,0))</f>
        <v>0</v>
      </c>
      <c r="AI34" s="155">
        <f ca="1">IF(AND(I34=0,J34=0,OR(H34&lt;&gt;0,K34&lt;&gt;0),HLOOKUP($F34,Jornada!$X$7:$AD$37,VLOOKUP(INDIRECT($C$5),Jornada!$C$8:$W$37,21,0),0)&gt;$AK$5,M34&gt;$AK$5),VLOOKUP(INDIRECT($C$5),Jornada!$C$8:$H$37,6,0),IF(AG34&gt;VLOOKUP(INDIRECT($C$5),Jornada!$C$8:$H$37,6,0),IF(VLOOKUP(INDIRECT($C$5),Jornada!$C$8:$H$37,6,0)&lt;AG34,0,ABS(VLOOKUP(INDIRECT($C$5),Jornada!$C$8:$H$37,6,0))-AG34),0))</f>
        <v>0</v>
      </c>
      <c r="AJ34" s="155">
        <f t="shared" si="5"/>
        <v>1</v>
      </c>
      <c r="AK34" s="155">
        <f t="shared" si="6"/>
        <v>0</v>
      </c>
      <c r="AL34" s="155">
        <f ca="1">HLOOKUP($F34,Jornada!$I$5:$V$37,VLOOKUP(INDIRECT($C$5),Jornada!$C$8:$W$37,21,0)+2,0)</f>
        <v>0</v>
      </c>
      <c r="AM34" s="155">
        <f ca="1">HLOOKUP($F34,Jornada!$I$4:$V$37,VLOOKUP(INDIRECT($C$5),Jornada!$C$8:$W$37,21,0)+3,0)</f>
        <v>0</v>
      </c>
      <c r="AN34" s="155">
        <f t="shared" ca="1" si="7"/>
        <v>0</v>
      </c>
      <c r="AO34" s="155">
        <f t="shared" si="8"/>
        <v>0</v>
      </c>
      <c r="AP34" s="155">
        <f t="shared" si="9"/>
        <v>0</v>
      </c>
    </row>
    <row r="35" spans="1:42" s="2" customFormat="1" ht="30" customHeight="1" thickTop="1" thickBot="1" x14ac:dyDescent="0.25">
      <c r="A35" s="1"/>
      <c r="B35"/>
      <c r="C35" s="172" t="str">
        <f>IF(Funcionários!C34=0,"",Funcionários!C34)</f>
        <v/>
      </c>
      <c r="D35"/>
      <c r="E35" s="115">
        <f>Lanç!E35</f>
        <v>28</v>
      </c>
      <c r="F35" s="189" t="str">
        <f>Lanç!F35</f>
        <v>Sáb</v>
      </c>
      <c r="G35" s="81"/>
      <c r="H35" s="94"/>
      <c r="I35" s="94"/>
      <c r="J35" s="94"/>
      <c r="K35" s="94"/>
      <c r="L35" s="10"/>
      <c r="M35" s="95">
        <f t="shared" si="1"/>
        <v>0</v>
      </c>
      <c r="N35" s="96"/>
      <c r="O35" s="95">
        <f ca="1">IF(OR(G35=0,G35="Férias",G35="Falta Justificada",G35="Feriado",G35="Folga (DSR)"),0,IF(G35="Falta Injustificada",HLOOKUP($F35,Jornada!$X$7:$AD$37,VLOOKUP(INDIRECT($C$5),Jornada!$C$8:$W$37,21,0),0),IF(HLOOKUP($F35,Jornada!$X$7:$AD$37,VLOOKUP(INDIRECT($C$5),Jornada!$C$8:$W$37,21,0),0)-M35&gt;0,HLOOKUP($F35,Jornada!$X$7:$AD$37,VLOOKUP(INDIRECT($C$5),Jornada!$C$8:$W$37,21,0),0)-M35,0)))</f>
        <v>0</v>
      </c>
      <c r="P35" s="190">
        <f ca="1">IF(HLOOKUP($F35,Jornada!$X$7:$AD$37,VLOOKUP(INDIRECT($C$5),Jornada!$C$8:$W$37,21,0),0)-M35&lt;0,ABS(HLOOKUP($F35,Jornada!$X$7:$AD$37,VLOOKUP(INDIRECT($C$5),Jornada!$C$8:$W$37,21,0),0)-M35),0)</f>
        <v>0</v>
      </c>
      <c r="Q35" s="95">
        <f t="shared" si="0"/>
        <v>0</v>
      </c>
      <c r="R35" s="2">
        <f t="shared" si="2"/>
        <v>0</v>
      </c>
      <c r="S35"/>
      <c r="T35"/>
      <c r="U35"/>
      <c r="X35" s="177"/>
      <c r="AB35" s="177">
        <f>IF(MONTH(AB34+1)&lt;&gt;MONTH(AB34),"",AB34+1)</f>
        <v>28</v>
      </c>
      <c r="AC35" s="2">
        <f t="shared" si="3"/>
        <v>7</v>
      </c>
      <c r="AG35" s="220">
        <f t="shared" si="4"/>
        <v>0</v>
      </c>
      <c r="AH35" s="220">
        <f ca="1">IF(HLOOKUP($F35,Jornada!$X$7:$AD$37,VLOOKUP(INDIRECT($C$5),Jornada!$C$8:$W$37,21,0),0)=0,0,VLOOKUP(INDIRECT($C$5),Jornada!$C$8:$H$37,4,0))</f>
        <v>0</v>
      </c>
      <c r="AI35" s="155">
        <f ca="1">IF(AND(I35=0,J35=0,OR(H35&lt;&gt;0,K35&lt;&gt;0),HLOOKUP($F35,Jornada!$X$7:$AD$37,VLOOKUP(INDIRECT($C$5),Jornada!$C$8:$W$37,21,0),0)&gt;$AK$5,M35&gt;$AK$5),VLOOKUP(INDIRECT($C$5),Jornada!$C$8:$H$37,6,0),IF(AG35&gt;VLOOKUP(INDIRECT($C$5),Jornada!$C$8:$H$37,6,0),IF(VLOOKUP(INDIRECT($C$5),Jornada!$C$8:$H$37,6,0)&lt;AG35,0,ABS(VLOOKUP(INDIRECT($C$5),Jornada!$C$8:$H$37,6,0))-AG35),0))</f>
        <v>0</v>
      </c>
      <c r="AJ35" s="155">
        <f t="shared" si="5"/>
        <v>1</v>
      </c>
      <c r="AK35" s="155">
        <f t="shared" si="6"/>
        <v>0</v>
      </c>
      <c r="AL35" s="155">
        <f ca="1">HLOOKUP($F35,Jornada!$I$5:$V$37,VLOOKUP(INDIRECT($C$5),Jornada!$C$8:$W$37,21,0)+2,0)</f>
        <v>0</v>
      </c>
      <c r="AM35" s="155">
        <f ca="1">HLOOKUP($F35,Jornada!$I$4:$V$37,VLOOKUP(INDIRECT($C$5),Jornada!$C$8:$W$37,21,0)+3,0)</f>
        <v>0</v>
      </c>
      <c r="AN35" s="155">
        <f t="shared" ca="1" si="7"/>
        <v>0</v>
      </c>
      <c r="AO35" s="155">
        <f t="shared" si="8"/>
        <v>0</v>
      </c>
      <c r="AP35" s="155">
        <f t="shared" si="9"/>
        <v>0</v>
      </c>
    </row>
    <row r="36" spans="1:42" s="2" customFormat="1" ht="30" customHeight="1" thickTop="1" thickBot="1" x14ac:dyDescent="0.25">
      <c r="A36" s="1"/>
      <c r="B36"/>
      <c r="C36" s="172" t="str">
        <f>IF(Funcionários!C35=0,"",Funcionários!C35)</f>
        <v/>
      </c>
      <c r="D36"/>
      <c r="E36" s="115">
        <f>Lanç!E36</f>
        <v>29</v>
      </c>
      <c r="F36" s="189" t="str">
        <f>Lanç!F36</f>
        <v>Dom</v>
      </c>
      <c r="G36" s="81"/>
      <c r="H36" s="94"/>
      <c r="I36" s="94"/>
      <c r="J36" s="94"/>
      <c r="K36" s="94"/>
      <c r="L36" s="10"/>
      <c r="M36" s="95">
        <f t="shared" si="1"/>
        <v>0</v>
      </c>
      <c r="N36" s="96"/>
      <c r="O36" s="95">
        <f ca="1">IF(OR(G36=0,G36="Férias",G36="Falta Justificada",G36="Feriado",G36="Folga (DSR)"),0,IF(G36="Falta Injustificada",HLOOKUP($F36,Jornada!$X$7:$AD$37,VLOOKUP(INDIRECT($C$5),Jornada!$C$8:$W$37,21,0),0),IF(HLOOKUP($F36,Jornada!$X$7:$AD$37,VLOOKUP(INDIRECT($C$5),Jornada!$C$8:$W$37,21,0),0)-M36&gt;0,HLOOKUP($F36,Jornada!$X$7:$AD$37,VLOOKUP(INDIRECT($C$5),Jornada!$C$8:$W$37,21,0),0)-M36,0)))</f>
        <v>0</v>
      </c>
      <c r="P36" s="190">
        <f ca="1">IF(HLOOKUP($F36,Jornada!$X$7:$AD$37,VLOOKUP(INDIRECT($C$5),Jornada!$C$8:$W$37,21,0),0)-M36&lt;0,ABS(HLOOKUP($F36,Jornada!$X$7:$AD$37,VLOOKUP(INDIRECT($C$5),Jornada!$C$8:$W$37,21,0),0)-M36),0)</f>
        <v>0</v>
      </c>
      <c r="Q36" s="95">
        <f t="shared" si="0"/>
        <v>0</v>
      </c>
      <c r="R36" s="2">
        <f t="shared" si="2"/>
        <v>0</v>
      </c>
      <c r="S36"/>
      <c r="T36"/>
      <c r="U36"/>
      <c r="X36" s="177"/>
      <c r="AB36" s="177">
        <f>IF(MONTH(AB35+1)&lt;&gt;MONTH(AB35),"",IF(AB35="","",AB35+1))</f>
        <v>29</v>
      </c>
      <c r="AC36" s="2">
        <f>IF(ISERROR(WEEKDAY(AB36)),"",WEEKDAY(AB36))</f>
        <v>1</v>
      </c>
      <c r="AG36" s="220">
        <f t="shared" si="4"/>
        <v>0</v>
      </c>
      <c r="AH36" s="220">
        <f ca="1">IF(HLOOKUP($F36,Jornada!$X$7:$AD$37,VLOOKUP(INDIRECT($C$5),Jornada!$C$8:$W$37,21,0),0)=0,0,VLOOKUP(INDIRECT($C$5),Jornada!$C$8:$H$37,4,0))</f>
        <v>0</v>
      </c>
      <c r="AI36" s="155">
        <f ca="1">IF(AND(I36=0,J36=0,OR(H36&lt;&gt;0,K36&lt;&gt;0),HLOOKUP($F36,Jornada!$X$7:$AD$37,VLOOKUP(INDIRECT($C$5),Jornada!$C$8:$W$37,21,0),0)&gt;$AK$5,M36&gt;$AK$5),VLOOKUP(INDIRECT($C$5),Jornada!$C$8:$H$37,6,0),IF(AG36&gt;VLOOKUP(INDIRECT($C$5),Jornada!$C$8:$H$37,6,0),IF(VLOOKUP(INDIRECT($C$5),Jornada!$C$8:$H$37,6,0)&lt;AG36,0,ABS(VLOOKUP(INDIRECT($C$5),Jornada!$C$8:$H$37,6,0))-AG36),0))</f>
        <v>0</v>
      </c>
      <c r="AJ36" s="155">
        <f t="shared" si="5"/>
        <v>1</v>
      </c>
      <c r="AK36" s="155">
        <f t="shared" si="6"/>
        <v>0</v>
      </c>
      <c r="AL36" s="155">
        <f ca="1">HLOOKUP($F36,Jornada!$I$5:$V$37,VLOOKUP(INDIRECT($C$5),Jornada!$C$8:$W$37,21,0)+2,0)</f>
        <v>0</v>
      </c>
      <c r="AM36" s="155">
        <f ca="1">HLOOKUP($F36,Jornada!$I$4:$V$37,VLOOKUP(INDIRECT($C$5),Jornada!$C$8:$W$37,21,0)+3,0)</f>
        <v>0</v>
      </c>
      <c r="AN36" s="155">
        <f t="shared" ca="1" si="7"/>
        <v>0</v>
      </c>
      <c r="AO36" s="155">
        <f t="shared" si="8"/>
        <v>0</v>
      </c>
      <c r="AP36" s="155">
        <f t="shared" si="9"/>
        <v>0</v>
      </c>
    </row>
    <row r="37" spans="1:42" s="2" customFormat="1" ht="30" customHeight="1" thickTop="1" thickBot="1" x14ac:dyDescent="0.25">
      <c r="A37" s="1"/>
      <c r="B37"/>
      <c r="C37" s="172" t="str">
        <f>IF(Funcionários!C36=0,"",Funcionários!C36)</f>
        <v/>
      </c>
      <c r="D37"/>
      <c r="E37" s="115">
        <f>Lanç!E37</f>
        <v>30</v>
      </c>
      <c r="F37" s="189" t="str">
        <f>Lanç!F37</f>
        <v>Seg</v>
      </c>
      <c r="G37" s="81"/>
      <c r="H37" s="94"/>
      <c r="I37" s="94"/>
      <c r="J37" s="94"/>
      <c r="K37" s="94"/>
      <c r="L37" s="10"/>
      <c r="M37" s="95">
        <f t="shared" si="1"/>
        <v>0</v>
      </c>
      <c r="N37" s="96"/>
      <c r="O37" s="95">
        <f ca="1">IF(OR(G37=0,G37="Férias",G37="Falta Justificada",G37="Feriado",G37="Folga (DSR)"),0,IF(G37="Falta Injustificada",HLOOKUP($F37,Jornada!$X$7:$AD$37,VLOOKUP(INDIRECT($C$5),Jornada!$C$8:$W$37,21,0),0),IF(HLOOKUP($F37,Jornada!$X$7:$AD$37,VLOOKUP(INDIRECT($C$5),Jornada!$C$8:$W$37,21,0),0)-M37&gt;0,HLOOKUP($F37,Jornada!$X$7:$AD$37,VLOOKUP(INDIRECT($C$5),Jornada!$C$8:$W$37,21,0),0)-M37,0)))</f>
        <v>0</v>
      </c>
      <c r="P37" s="190">
        <f ca="1">IF(HLOOKUP($F37,Jornada!$X$7:$AD$37,VLOOKUP(INDIRECT($C$5),Jornada!$C$8:$W$37,21,0),0)-M37&lt;0,ABS(HLOOKUP($F37,Jornada!$X$7:$AD$37,VLOOKUP(INDIRECT($C$5),Jornada!$C$8:$W$37,21,0),0)-M37),0)</f>
        <v>0</v>
      </c>
      <c r="Q37" s="95">
        <f t="shared" si="0"/>
        <v>0</v>
      </c>
      <c r="R37" s="2">
        <f t="shared" si="2"/>
        <v>0</v>
      </c>
      <c r="S37"/>
      <c r="T37"/>
      <c r="U37"/>
      <c r="X37" s="177"/>
      <c r="AB37" s="177">
        <f>IF(AB36="","",IF(MONTH(AB36+1)&lt;&gt;MONTH(AB36),"",AB36+1))</f>
        <v>30</v>
      </c>
      <c r="AC37" s="2">
        <f>IF(ISERROR(WEEKDAY(AB37)),"",WEEKDAY(AB37))</f>
        <v>2</v>
      </c>
      <c r="AG37" s="220">
        <f t="shared" si="4"/>
        <v>0</v>
      </c>
      <c r="AH37" s="220">
        <f ca="1">IF(HLOOKUP($F37,Jornada!$X$7:$AD$37,VLOOKUP(INDIRECT($C$5),Jornada!$C$8:$W$37,21,0),0)=0,0,VLOOKUP(INDIRECT($C$5),Jornada!$C$8:$H$37,4,0))</f>
        <v>0</v>
      </c>
      <c r="AI37" s="155">
        <f ca="1">IF(AND(I37=0,J37=0,OR(H37&lt;&gt;0,K37&lt;&gt;0),HLOOKUP($F37,Jornada!$X$7:$AD$37,VLOOKUP(INDIRECT($C$5),Jornada!$C$8:$W$37,21,0),0)&gt;$AK$5,M37&gt;$AK$5),VLOOKUP(INDIRECT($C$5),Jornada!$C$8:$H$37,6,0),IF(AG37&gt;VLOOKUP(INDIRECT($C$5),Jornada!$C$8:$H$37,6,0),IF(VLOOKUP(INDIRECT($C$5),Jornada!$C$8:$H$37,6,0)&lt;AG37,0,ABS(VLOOKUP(INDIRECT($C$5),Jornada!$C$8:$H$37,6,0))-AG37),0))</f>
        <v>0</v>
      </c>
      <c r="AJ37" s="155">
        <f t="shared" si="5"/>
        <v>1</v>
      </c>
      <c r="AK37" s="155">
        <f t="shared" si="6"/>
        <v>0</v>
      </c>
      <c r="AL37" s="155">
        <f ca="1">HLOOKUP($F37,Jornada!$I$5:$V$37,VLOOKUP(INDIRECT($C$5),Jornada!$C$8:$W$37,21,0)+2,0)</f>
        <v>0</v>
      </c>
      <c r="AM37" s="155">
        <f ca="1">HLOOKUP($F37,Jornada!$I$4:$V$37,VLOOKUP(INDIRECT($C$5),Jornada!$C$8:$W$37,21,0)+3,0)</f>
        <v>0</v>
      </c>
      <c r="AN37" s="155">
        <f t="shared" ca="1" si="7"/>
        <v>0</v>
      </c>
      <c r="AO37" s="155">
        <f t="shared" si="8"/>
        <v>0</v>
      </c>
      <c r="AP37" s="155">
        <f t="shared" si="9"/>
        <v>0</v>
      </c>
    </row>
    <row r="38" spans="1:42" s="2" customFormat="1" ht="30" customHeight="1" thickTop="1" thickBot="1" x14ac:dyDescent="0.25">
      <c r="A38" s="1"/>
      <c r="B38"/>
      <c r="C38"/>
      <c r="D38" s="2">
        <f t="shared" ref="D38" si="11">IF(D37=7,1,D37+1)</f>
        <v>1</v>
      </c>
      <c r="E38" s="210">
        <f>Lanç!E38</f>
        <v>31</v>
      </c>
      <c r="F38" s="210" t="str">
        <f>Lanç!F38</f>
        <v>Ter</v>
      </c>
      <c r="G38" s="81"/>
      <c r="H38" s="94"/>
      <c r="I38" s="94"/>
      <c r="J38" s="94"/>
      <c r="K38" s="94"/>
      <c r="L38" s="197"/>
      <c r="M38" s="95">
        <f t="shared" si="1"/>
        <v>0</v>
      </c>
      <c r="N38" s="196"/>
      <c r="O38" s="95">
        <f ca="1">IF(OR(G38=0,G38="Férias",G38="Falta Justificada",G38="Feriado",G38="Folga (DSR)"),0,IF(G38="Falta Injustificada",HLOOKUP($F38,Jornada!$X$7:$AD$37,VLOOKUP(INDIRECT($C$5),Jornada!$C$8:$W$37,21,0),0),IF(HLOOKUP($F38,Jornada!$X$7:$AD$37,VLOOKUP(INDIRECT($C$5),Jornada!$C$8:$W$37,21,0),0)-M38&gt;0,HLOOKUP($F38,Jornada!$X$7:$AD$37,VLOOKUP(INDIRECT($C$5),Jornada!$C$8:$W$37,21,0),0)-M38,0)))</f>
        <v>0</v>
      </c>
      <c r="P38" s="201">
        <f ca="1">IF(HLOOKUP($F38,Jornada!$X$7:$AD$37,VLOOKUP(INDIRECT($C$5),Jornada!$C$8:$W$37,21,0),0)-M38&lt;0,ABS(HLOOKUP($F38,Jornada!$X$7:$AD$37,VLOOKUP(INDIRECT($C$5),Jornada!$C$8:$W$37,21,0),0)-M38),0)</f>
        <v>0</v>
      </c>
      <c r="Q38" s="95">
        <f t="shared" si="0"/>
        <v>0</v>
      </c>
      <c r="R38" s="2">
        <f t="shared" si="2"/>
        <v>0</v>
      </c>
      <c r="X38" s="177"/>
      <c r="AB38" s="177">
        <f>IF(AB37="","",IF(MONTH(AB37+1)&lt;&gt;MONTH(AB37),"",AB37+1))</f>
        <v>31</v>
      </c>
      <c r="AC38" s="2">
        <f>IF(ISERROR(WEEKDAY(AB38)),"",WEEKDAY(AB38))</f>
        <v>3</v>
      </c>
      <c r="AG38" s="220">
        <f t="shared" si="4"/>
        <v>0</v>
      </c>
      <c r="AH38" s="220">
        <f ca="1">IF(HLOOKUP($F38,Jornada!$X$7:$AD$37,VLOOKUP(INDIRECT($C$5),Jornada!$C$8:$W$37,21,0),0)=0,0,VLOOKUP(INDIRECT($C$5),Jornada!$C$8:$H$37,4,0))</f>
        <v>0</v>
      </c>
      <c r="AI38" s="155">
        <f ca="1">IF(AND(I38=0,J38=0,OR(H38&lt;&gt;0,K38&lt;&gt;0),HLOOKUP($F38,Jornada!$X$7:$AD$37,VLOOKUP(INDIRECT($C$5),Jornada!$C$8:$W$37,21,0),0)&gt;$AK$5,M38&gt;$AK$5),VLOOKUP(INDIRECT($C$5),Jornada!$C$8:$H$37,6,0),IF(AG38&gt;VLOOKUP(INDIRECT($C$5),Jornada!$C$8:$H$37,6,0),IF(VLOOKUP(INDIRECT($C$5),Jornada!$C$8:$H$37,6,0)&lt;AG38,0,ABS(VLOOKUP(INDIRECT($C$5),Jornada!$C$8:$H$37,6,0))-AG38),0))</f>
        <v>0</v>
      </c>
      <c r="AJ38" s="155">
        <f t="shared" si="5"/>
        <v>1</v>
      </c>
      <c r="AK38" s="155">
        <f t="shared" si="6"/>
        <v>0</v>
      </c>
      <c r="AL38" s="155">
        <f ca="1">HLOOKUP($F38,Jornada!$I$5:$V$37,VLOOKUP(INDIRECT($C$5),Jornada!$C$8:$W$37,21,0)+2,0)</f>
        <v>0</v>
      </c>
      <c r="AM38" s="155">
        <f ca="1">HLOOKUP($F38,Jornada!$I$4:$V$37,VLOOKUP(INDIRECT($C$5),Jornada!$C$8:$W$37,21,0)+3,0)</f>
        <v>0</v>
      </c>
      <c r="AN38" s="155">
        <f t="shared" ca="1" si="7"/>
        <v>0</v>
      </c>
      <c r="AO38" s="155">
        <f t="shared" si="8"/>
        <v>0</v>
      </c>
      <c r="AP38" s="155">
        <f t="shared" si="9"/>
        <v>0</v>
      </c>
    </row>
    <row r="39" spans="1:42" s="2" customFormat="1" ht="30" customHeight="1" thickTop="1" x14ac:dyDescent="0.2">
      <c r="A39" s="9"/>
      <c r="B39" s="234"/>
      <c r="C39" s="234"/>
      <c r="D39" s="234"/>
      <c r="E39" s="236">
        <f>EOMONTH(AB8,0)</f>
        <v>31</v>
      </c>
      <c r="F39" s="234">
        <f>DAY(E39)</f>
        <v>31</v>
      </c>
      <c r="G39" s="237">
        <f>COUNTIF(F8:F38,"Dom")+COUNTIF(G8:G38,"Feriado")</f>
        <v>5</v>
      </c>
      <c r="H39" s="238">
        <f>(SUM(Q8:Q38)/(F39-G39))*G39</f>
        <v>0</v>
      </c>
      <c r="I39" s="234"/>
      <c r="J39" s="234"/>
      <c r="K39" s="234"/>
      <c r="L39" s="234"/>
      <c r="M39" s="234"/>
      <c r="Z39" s="219"/>
    </row>
    <row r="40" spans="1:42" s="2" customFormat="1" ht="30" customHeight="1" x14ac:dyDescent="0.2">
      <c r="A40" s="9"/>
      <c r="B40" s="234"/>
      <c r="C40" s="239"/>
      <c r="D40" s="239"/>
      <c r="E40" s="239"/>
      <c r="F40" s="240"/>
      <c r="G40" s="241"/>
      <c r="H40" s="234">
        <f ca="1">IF(INDIRECT($C$5)="",0,VLOOKUP(INDIRECT($C$5),Funcionários!$C$7:$E$36,3,0)+IF(VLOOKUP(INDIRECT($C$5),Jornada!$C$8:$E$37,2,0)="Sim",IF('P Gerais'!$I$8&lt;&gt;0,VLOOKUP(INDIRECT($C$5),Funcionários!$C$7:$E$36,3,0)*'P Gerais'!$L$14,'P Gerais'!$I$8*'P Gerais'!$L$14),0)+IF(VLOOKUP(INDIRECT($C$5),Jornada!$C$8:$E$37,3,0)="Sim",VLOOKUP(INDIRECT($C$5),Funcionários!$C$7:$E$36,3,0)*'P Gerais'!$K$14,0))</f>
        <v>0</v>
      </c>
      <c r="I40" s="234">
        <f ca="1">VLOOKUP(INDIRECT($C$5),Jornada!$C$8:$AF$37,30,0)</f>
        <v>0</v>
      </c>
      <c r="J40" s="234" t="s">
        <v>298</v>
      </c>
      <c r="K40" s="242">
        <f ca="1">IF(I40=0,0,H40/I40)</f>
        <v>0</v>
      </c>
      <c r="L40" s="234"/>
      <c r="M40" s="234"/>
      <c r="Z40" s="219"/>
    </row>
    <row r="41" spans="1:42" s="2" customFormat="1" ht="30" customHeight="1" x14ac:dyDescent="0.2">
      <c r="A41" s="9"/>
      <c r="B41" s="234" t="s">
        <v>52</v>
      </c>
      <c r="C41" s="292" t="s">
        <v>75</v>
      </c>
      <c r="D41" s="292"/>
      <c r="E41" s="292"/>
      <c r="F41" s="243">
        <f t="shared" ref="F41:F47" si="12">SUMIFS($Q$8:$Q$38,$F$8:$F$38,$B41,$G$8:$G$38,"Normal")</f>
        <v>0</v>
      </c>
      <c r="G41" s="244">
        <f>IF($M$41="Sistema de banco de horas",0,'P Gerais'!$C$14)</f>
        <v>0.5</v>
      </c>
      <c r="H41" s="245">
        <f t="shared" ref="H41:H48" ca="1" si="13">IF($M$41="Sistema de banco de horas",0,$K$40*(1+G41)*(F41*24))</f>
        <v>0</v>
      </c>
      <c r="I41" s="243">
        <f t="shared" ref="I41:I47" ca="1" si="14">IF(SUMIF($F$8:$F$38,$B41,$Q$8:$Q$38)-SUMIFS($M$8:$M$38,$F$8:$F$38,$B41,$G$8:$G$38,"Feriado")-SUMIFS($M$8:$M$38,$F$8:$F$38,$B41,$G$8:$G$38,"Folga (DSR)")-SUMIFS($M$8:$M$38,$F$8:$F$38,$B41,$G$8:$G$38,"Férias")-SUMIF($F$8:$F$38,$B41,$AN$8:$AN$38)-SUMIF($F$8:$F$38,$B41,$AO$8:$AO$38)&lt;0,0,SUMIF($F$8:$F$38,$B41,$Q$8:$Q$38)-SUMIFS($M$8:$M$38,$F$8:$F$38,$B41,$G$8:$G$38,"Feriado")-SUMIFS($M$8:$M$38,$F$8:$F$38,$B41,$G$8:$G$38,"Folga (DSR)")-SUMIFS($M$8:$M$38,$F$8:$F$38,$B41,$G$8:$G$38,"Férias")-SUMIF($F$8:$F$38,$B41,$AN$8:$AN$38)-SUMIF($F$8:$F$38,$B41,$AO$8:$AO$38))</f>
        <v>0</v>
      </c>
      <c r="J41" s="245">
        <f ca="1">H41</f>
        <v>0</v>
      </c>
      <c r="K41" s="234"/>
      <c r="L41" s="234"/>
      <c r="M41" s="234">
        <f>'P Gerais'!I10</f>
        <v>0</v>
      </c>
      <c r="Z41" s="219"/>
    </row>
    <row r="42" spans="1:42" s="2" customFormat="1" ht="30" customHeight="1" x14ac:dyDescent="0.2">
      <c r="A42" s="9"/>
      <c r="B42" s="234" t="s">
        <v>53</v>
      </c>
      <c r="C42" s="292" t="s">
        <v>76</v>
      </c>
      <c r="D42" s="292"/>
      <c r="E42" s="292"/>
      <c r="F42" s="243">
        <f t="shared" si="12"/>
        <v>0</v>
      </c>
      <c r="G42" s="244">
        <f>IF($M$41="Sistema de banco de horas",0,'P Gerais'!$C$14)</f>
        <v>0.5</v>
      </c>
      <c r="H42" s="245">
        <f t="shared" ca="1" si="13"/>
        <v>0</v>
      </c>
      <c r="I42" s="243">
        <f t="shared" ca="1" si="14"/>
        <v>0</v>
      </c>
      <c r="J42" s="245">
        <f t="shared" ref="J42:J51" ca="1" si="15">H42</f>
        <v>0</v>
      </c>
      <c r="K42" s="234"/>
      <c r="L42" s="234"/>
      <c r="M42" s="234"/>
      <c r="Z42" s="219"/>
    </row>
    <row r="43" spans="1:42" s="2" customFormat="1" ht="30" customHeight="1" x14ac:dyDescent="0.2">
      <c r="A43" s="9"/>
      <c r="B43" s="234" t="s">
        <v>54</v>
      </c>
      <c r="C43" s="292" t="s">
        <v>77</v>
      </c>
      <c r="D43" s="292"/>
      <c r="E43" s="292"/>
      <c r="F43" s="243">
        <f t="shared" si="12"/>
        <v>0</v>
      </c>
      <c r="G43" s="244">
        <f>IF($M$41="Sistema de banco de horas",0,'P Gerais'!$C$14)</f>
        <v>0.5</v>
      </c>
      <c r="H43" s="245">
        <f t="shared" ca="1" si="13"/>
        <v>0</v>
      </c>
      <c r="I43" s="243">
        <f t="shared" ca="1" si="14"/>
        <v>0</v>
      </c>
      <c r="J43" s="245">
        <f t="shared" ca="1" si="15"/>
        <v>0</v>
      </c>
      <c r="K43" s="234"/>
      <c r="L43" s="234"/>
      <c r="M43" s="234"/>
      <c r="Z43" s="219"/>
    </row>
    <row r="44" spans="1:42" s="2" customFormat="1" ht="30" customHeight="1" x14ac:dyDescent="0.2">
      <c r="A44" s="9"/>
      <c r="B44" s="234" t="s">
        <v>55</v>
      </c>
      <c r="C44" s="292" t="s">
        <v>78</v>
      </c>
      <c r="D44" s="292"/>
      <c r="E44" s="292"/>
      <c r="F44" s="243">
        <f t="shared" si="12"/>
        <v>0</v>
      </c>
      <c r="G44" s="244">
        <f>IF($M$41="Sistema de banco de horas",0,'P Gerais'!$C$14)</f>
        <v>0.5</v>
      </c>
      <c r="H44" s="245">
        <f t="shared" ca="1" si="13"/>
        <v>0</v>
      </c>
      <c r="I44" s="243">
        <f t="shared" ca="1" si="14"/>
        <v>0</v>
      </c>
      <c r="J44" s="245">
        <f t="shared" ca="1" si="15"/>
        <v>0</v>
      </c>
      <c r="K44" s="234"/>
      <c r="L44" s="234"/>
      <c r="M44" s="234"/>
      <c r="Z44" s="219"/>
    </row>
    <row r="45" spans="1:42" s="2" customFormat="1" ht="30" customHeight="1" x14ac:dyDescent="0.2">
      <c r="A45" s="9"/>
      <c r="B45" s="234" t="s">
        <v>56</v>
      </c>
      <c r="C45" s="292" t="s">
        <v>79</v>
      </c>
      <c r="D45" s="292"/>
      <c r="E45" s="292"/>
      <c r="F45" s="243">
        <f t="shared" si="12"/>
        <v>0</v>
      </c>
      <c r="G45" s="244">
        <f>IF($M$41="Sistema de banco de horas",0,'P Gerais'!$C$14)</f>
        <v>0.5</v>
      </c>
      <c r="H45" s="245">
        <f t="shared" ca="1" si="13"/>
        <v>0</v>
      </c>
      <c r="I45" s="243">
        <f t="shared" ca="1" si="14"/>
        <v>0</v>
      </c>
      <c r="J45" s="245">
        <f t="shared" ca="1" si="15"/>
        <v>0</v>
      </c>
      <c r="K45" s="234"/>
      <c r="L45" s="234"/>
      <c r="M45" s="234"/>
      <c r="Z45" s="219"/>
    </row>
    <row r="46" spans="1:42" s="2" customFormat="1" ht="30" customHeight="1" x14ac:dyDescent="0.2">
      <c r="A46" s="9"/>
      <c r="B46" s="234" t="s">
        <v>57</v>
      </c>
      <c r="C46" s="292" t="s">
        <v>82</v>
      </c>
      <c r="D46" s="292"/>
      <c r="E46" s="292"/>
      <c r="F46" s="243">
        <f t="shared" si="12"/>
        <v>0</v>
      </c>
      <c r="G46" s="244">
        <f>IF($M$41="Sistema de banco de horas",0,'P Gerais'!$E$14)</f>
        <v>0.5</v>
      </c>
      <c r="H46" s="245">
        <f t="shared" ca="1" si="13"/>
        <v>0</v>
      </c>
      <c r="I46" s="243">
        <f t="shared" ca="1" si="14"/>
        <v>0</v>
      </c>
      <c r="J46" s="245">
        <f t="shared" ca="1" si="15"/>
        <v>0</v>
      </c>
      <c r="K46" s="234"/>
      <c r="L46" s="234"/>
      <c r="M46" s="234"/>
      <c r="Z46" s="219"/>
    </row>
    <row r="47" spans="1:42" s="2" customFormat="1" ht="30" customHeight="1" x14ac:dyDescent="0.2">
      <c r="A47" s="9"/>
      <c r="B47" s="234" t="s">
        <v>51</v>
      </c>
      <c r="C47" s="292" t="s">
        <v>81</v>
      </c>
      <c r="D47" s="292"/>
      <c r="E47" s="292"/>
      <c r="F47" s="243">
        <f t="shared" si="12"/>
        <v>0</v>
      </c>
      <c r="G47" s="244">
        <f>IF($M$41="Sistema de banco de horas",0,'P Gerais'!$F$14)</f>
        <v>1</v>
      </c>
      <c r="H47" s="245">
        <f t="shared" ca="1" si="13"/>
        <v>0</v>
      </c>
      <c r="I47" s="243">
        <f t="shared" ca="1" si="14"/>
        <v>0</v>
      </c>
      <c r="J47" s="245">
        <f t="shared" ca="1" si="15"/>
        <v>0</v>
      </c>
      <c r="K47" s="234"/>
      <c r="L47" s="234"/>
      <c r="M47" s="234"/>
      <c r="Z47" s="219"/>
    </row>
    <row r="48" spans="1:42" s="2" customFormat="1" ht="30" customHeight="1" x14ac:dyDescent="0.2">
      <c r="A48" s="9"/>
      <c r="B48" s="234"/>
      <c r="C48" s="292" t="s">
        <v>80</v>
      </c>
      <c r="D48" s="292"/>
      <c r="E48" s="292"/>
      <c r="F48" s="243">
        <f>SUMIFS($Q$8:$Q$38,$G$8:$G$38,"Feriado")</f>
        <v>0</v>
      </c>
      <c r="G48" s="244">
        <f>IF($M$41="Sistema de banco de horas",0,'P Gerais'!$I$14)</f>
        <v>1</v>
      </c>
      <c r="H48" s="245">
        <f t="shared" ca="1" si="13"/>
        <v>0</v>
      </c>
      <c r="I48" s="243"/>
      <c r="J48" s="245">
        <f t="shared" ca="1" si="15"/>
        <v>0</v>
      </c>
      <c r="K48" s="234"/>
      <c r="L48" s="234"/>
      <c r="M48" s="234"/>
      <c r="Z48" s="219"/>
    </row>
    <row r="49" spans="1:26" s="2" customFormat="1" ht="15" x14ac:dyDescent="0.2">
      <c r="A49" s="9"/>
      <c r="B49" s="234"/>
      <c r="C49" s="292" t="s">
        <v>146</v>
      </c>
      <c r="D49" s="292"/>
      <c r="E49" s="292"/>
      <c r="F49" s="243">
        <f>SUMIFS($Q$8:$Q$38,$G$8:$G$38,"Folga (DSR)")</f>
        <v>0</v>
      </c>
      <c r="G49" s="244">
        <f>IF($M$41="Sistema de banco de horas",0,'P Gerais'!H14)</f>
        <v>1</v>
      </c>
      <c r="H49" s="245">
        <f ca="1">((F53/(F39-G39))*G39)</f>
        <v>0</v>
      </c>
      <c r="I49" s="243"/>
      <c r="J49" s="245">
        <f t="shared" ca="1" si="15"/>
        <v>0</v>
      </c>
      <c r="K49" s="234"/>
      <c r="L49" s="234"/>
      <c r="M49" s="234"/>
      <c r="Z49" s="219"/>
    </row>
    <row r="50" spans="1:26" s="2" customFormat="1" ht="15" x14ac:dyDescent="0.2">
      <c r="A50" s="9"/>
      <c r="B50" s="234"/>
      <c r="C50" s="292" t="s">
        <v>84</v>
      </c>
      <c r="D50" s="292"/>
      <c r="E50" s="292"/>
      <c r="F50" s="243">
        <f ca="1">IF($M$41="Sistema de banco de horas",(SUM(AI$8:AI$38)*(1+G50)),SUM(AI$8:AI$38))</f>
        <v>0</v>
      </c>
      <c r="G50" s="244">
        <f>IF($M$41="Sistema de banco de horas",0,'P Gerais'!$I$17)</f>
        <v>0.5</v>
      </c>
      <c r="H50" s="245">
        <f ca="1">IF($M$41="Sistema de banco de horas",0,$K$40*(1+G50)*(F50*24))</f>
        <v>0</v>
      </c>
      <c r="I50" s="243">
        <f ca="1">IF(SUM($AN$8:$AO$38)&gt;SUM(AI$8:AI$38),0,SUM(AI$8:AI$38)-SUM($AN$8:$AO$38))</f>
        <v>0</v>
      </c>
      <c r="J50" s="245">
        <f t="shared" ca="1" si="15"/>
        <v>0</v>
      </c>
      <c r="K50" s="234"/>
      <c r="L50" s="234"/>
      <c r="M50" s="234"/>
      <c r="Z50" s="219"/>
    </row>
    <row r="51" spans="1:26" s="2" customFormat="1" ht="15" x14ac:dyDescent="0.2">
      <c r="A51" s="9"/>
      <c r="B51" s="234"/>
      <c r="C51" s="292" t="s">
        <v>85</v>
      </c>
      <c r="D51" s="292"/>
      <c r="E51" s="292"/>
      <c r="F51" s="243">
        <f>IF($M$41="Sistema de banco de horas",(SUM(AK$8:AK$38)*(1+G51)),SUM(AK$8:AK$38))</f>
        <v>0</v>
      </c>
      <c r="G51" s="244">
        <f>IF($M$41="Sistema de banco de horas",0,'P Gerais'!$C$17)</f>
        <v>1</v>
      </c>
      <c r="H51" s="245">
        <f ca="1">IF($M$41="Sistema de banco de horas",0,$K$40*(1+G51)*(F51*24))</f>
        <v>0</v>
      </c>
      <c r="I51" s="243"/>
      <c r="J51" s="245">
        <f t="shared" ca="1" si="15"/>
        <v>0</v>
      </c>
      <c r="K51" s="234"/>
      <c r="L51" s="234"/>
      <c r="M51" s="234"/>
      <c r="Z51" s="219"/>
    </row>
    <row r="52" spans="1:26" s="2" customFormat="1" ht="15" customHeight="1" x14ac:dyDescent="0.2">
      <c r="A52" s="9"/>
      <c r="B52" s="234"/>
      <c r="C52" s="292" t="s">
        <v>87</v>
      </c>
      <c r="D52" s="292"/>
      <c r="E52" s="292"/>
      <c r="F52" s="243">
        <f ca="1">U12</f>
        <v>0</v>
      </c>
      <c r="G52" s="246"/>
      <c r="H52" s="234"/>
      <c r="I52" s="234"/>
      <c r="J52" s="234"/>
      <c r="K52" s="234"/>
      <c r="L52" s="234"/>
      <c r="M52" s="234"/>
      <c r="Z52" s="219"/>
    </row>
    <row r="53" spans="1:26" s="2" customFormat="1" ht="15" x14ac:dyDescent="0.2">
      <c r="A53" s="9"/>
      <c r="B53" s="234"/>
      <c r="C53" s="292" t="s">
        <v>299</v>
      </c>
      <c r="D53" s="292"/>
      <c r="E53" s="292"/>
      <c r="F53" s="247">
        <f ca="1">SUM(H48)+J50+H51+SUM(J41:J47)</f>
        <v>0</v>
      </c>
      <c r="G53" s="248"/>
      <c r="H53" s="234"/>
      <c r="I53" s="234"/>
      <c r="J53" s="234"/>
      <c r="K53" s="234"/>
      <c r="L53" s="234"/>
      <c r="M53" s="234"/>
      <c r="Z53" s="219"/>
    </row>
    <row r="54" spans="1:26" s="2" customFormat="1" ht="15" x14ac:dyDescent="0.2">
      <c r="A54" s="9"/>
      <c r="B54" s="234"/>
      <c r="C54" s="292" t="s">
        <v>88</v>
      </c>
      <c r="D54" s="292"/>
      <c r="E54" s="292"/>
      <c r="F54" s="247">
        <f ca="1">F53+(H49*(1+G49))</f>
        <v>0</v>
      </c>
      <c r="G54" s="248"/>
      <c r="H54" s="249"/>
      <c r="I54" s="234"/>
      <c r="J54" s="234"/>
      <c r="K54" s="234"/>
      <c r="L54" s="234"/>
      <c r="M54" s="234"/>
      <c r="Z54" s="219"/>
    </row>
    <row r="55" spans="1:26" s="2" customFormat="1" ht="15" x14ac:dyDescent="0.2">
      <c r="A55" s="9"/>
      <c r="B55" s="234"/>
      <c r="C55" s="292" t="s">
        <v>89</v>
      </c>
      <c r="D55" s="292"/>
      <c r="E55" s="292"/>
      <c r="F55" s="247">
        <f ca="1">H40+F54</f>
        <v>0</v>
      </c>
      <c r="G55" s="246"/>
      <c r="H55" s="234"/>
      <c r="I55" s="234"/>
      <c r="J55" s="234"/>
      <c r="K55" s="234"/>
      <c r="L55" s="234"/>
      <c r="M55" s="234"/>
      <c r="Z55" s="219"/>
    </row>
    <row r="56" spans="1:26" s="2" customFormat="1" ht="15" x14ac:dyDescent="0.2">
      <c r="A56" s="9"/>
      <c r="B56" s="234"/>
      <c r="C56" s="292" t="s">
        <v>178</v>
      </c>
      <c r="D56" s="292"/>
      <c r="E56" s="292"/>
      <c r="F56" s="243">
        <f>IF($M$41="Sistema de banco de horas",(SUMIF($G$8:$G$38,"Férias",Q8:Q38))*(1+G48),SUMIF($G$8:$G$38,"Férias",Q8:Q38))</f>
        <v>0</v>
      </c>
      <c r="G56" s="246"/>
      <c r="H56" s="234"/>
      <c r="I56" s="234"/>
      <c r="J56" s="234"/>
      <c r="K56" s="234"/>
      <c r="L56" s="234"/>
      <c r="M56" s="234"/>
      <c r="Z56" s="219"/>
    </row>
    <row r="57" spans="1:26" s="2" customFormat="1" ht="15" x14ac:dyDescent="0.2">
      <c r="A57" s="9"/>
      <c r="B57" s="234"/>
      <c r="C57" s="239"/>
      <c r="D57" s="239"/>
      <c r="E57" s="239"/>
      <c r="F57" s="250">
        <f ca="1">U14</f>
        <v>0</v>
      </c>
      <c r="G57" s="246"/>
      <c r="H57" s="234"/>
      <c r="I57" s="234"/>
      <c r="J57" s="234"/>
      <c r="K57" s="234"/>
      <c r="L57" s="234"/>
      <c r="M57" s="234"/>
      <c r="Z57" s="219"/>
    </row>
    <row r="58" spans="1:26" s="2" customFormat="1" ht="15" x14ac:dyDescent="0.2">
      <c r="A58" s="9"/>
      <c r="B58" s="234"/>
      <c r="C58" s="239"/>
      <c r="D58" s="239"/>
      <c r="E58" s="239"/>
      <c r="F58" s="243">
        <f ca="1">SUM(F41:F51)</f>
        <v>0</v>
      </c>
      <c r="G58" s="246"/>
      <c r="H58" s="234"/>
      <c r="I58" s="234"/>
      <c r="J58" s="234"/>
      <c r="K58" s="234"/>
      <c r="L58" s="234"/>
      <c r="M58" s="234"/>
      <c r="Z58" s="219"/>
    </row>
    <row r="59" spans="1:26" s="2" customFormat="1" ht="15" x14ac:dyDescent="0.2">
      <c r="A59" s="9"/>
      <c r="Z59" s="219"/>
    </row>
    <row r="60" spans="1:26" s="2" customFormat="1" ht="15" x14ac:dyDescent="0.2">
      <c r="A60" s="9"/>
      <c r="G60" s="178"/>
      <c r="Z60" s="219"/>
    </row>
    <row r="61" spans="1:26" ht="15" x14ac:dyDescent="0.2"/>
    <row r="62" spans="1:26" ht="15" x14ac:dyDescent="0.2"/>
    <row r="63" spans="1:26" ht="15" x14ac:dyDescent="0.2"/>
    <row r="64" spans="1:26" ht="15" x14ac:dyDescent="0.2"/>
    <row r="65" ht="15" x14ac:dyDescent="0.2"/>
    <row r="66" ht="15" x14ac:dyDescent="0.2"/>
    <row r="67" ht="15" x14ac:dyDescent="0.2"/>
    <row r="68" ht="15" x14ac:dyDescent="0.2"/>
    <row r="69" ht="15" x14ac:dyDescent="0.2"/>
    <row r="70" ht="15" x14ac:dyDescent="0.2"/>
    <row r="71" ht="15" x14ac:dyDescent="0.2"/>
    <row r="72" ht="15" x14ac:dyDescent="0.2"/>
    <row r="73" ht="15" x14ac:dyDescent="0.2"/>
    <row r="74" ht="15" x14ac:dyDescent="0.2"/>
    <row r="75" ht="15" x14ac:dyDescent="0.2"/>
    <row r="76" ht="15" x14ac:dyDescent="0.2"/>
    <row r="77" ht="15" x14ac:dyDescent="0.2"/>
    <row r="78" ht="15" x14ac:dyDescent="0.2"/>
    <row r="79" ht="15" x14ac:dyDescent="0.2"/>
    <row r="80" ht="15" x14ac:dyDescent="0.2"/>
    <row r="81" ht="15" x14ac:dyDescent="0.2"/>
    <row r="82" ht="15" x14ac:dyDescent="0.2"/>
    <row r="83" ht="15" x14ac:dyDescent="0.2"/>
    <row r="84" ht="15" x14ac:dyDescent="0.2"/>
    <row r="85" ht="15" x14ac:dyDescent="0.2"/>
    <row r="86" ht="15" x14ac:dyDescent="0.2"/>
    <row r="87" ht="15" x14ac:dyDescent="0.2"/>
    <row r="88" ht="15" x14ac:dyDescent="0.2"/>
    <row r="89" ht="15" x14ac:dyDescent="0.2"/>
    <row r="90" ht="15" x14ac:dyDescent="0.2"/>
    <row r="91" ht="15" x14ac:dyDescent="0.2"/>
    <row r="92" ht="15" x14ac:dyDescent="0.2"/>
    <row r="93" ht="15" x14ac:dyDescent="0.2"/>
    <row r="94" ht="15" x14ac:dyDescent="0.2"/>
    <row r="95" ht="15" x14ac:dyDescent="0.2"/>
    <row r="96" ht="15" x14ac:dyDescent="0.2"/>
    <row r="97" ht="15" x14ac:dyDescent="0.2"/>
    <row r="98" ht="15" x14ac:dyDescent="0.2"/>
    <row r="99" ht="15" x14ac:dyDescent="0.2"/>
    <row r="100" ht="15" x14ac:dyDescent="0.2"/>
    <row r="101" ht="15" x14ac:dyDescent="0.2"/>
    <row r="102" ht="15" x14ac:dyDescent="0.2"/>
    <row r="103" ht="15" x14ac:dyDescent="0.2"/>
  </sheetData>
  <sheetProtection sheet="1" objects="1" scenarios="1" selectLockedCells="1"/>
  <mergeCells count="34">
    <mergeCell ref="C56:E56"/>
    <mergeCell ref="C48:E48"/>
    <mergeCell ref="C49:E49"/>
    <mergeCell ref="C50:E50"/>
    <mergeCell ref="C52:E52"/>
    <mergeCell ref="C53:E53"/>
    <mergeCell ref="C54:E54"/>
    <mergeCell ref="C51:E51"/>
    <mergeCell ref="C44:E44"/>
    <mergeCell ref="C55:E55"/>
    <mergeCell ref="C45:E45"/>
    <mergeCell ref="C46:E46"/>
    <mergeCell ref="C47:E47"/>
    <mergeCell ref="S22:U22"/>
    <mergeCell ref="C41:E41"/>
    <mergeCell ref="C42:E42"/>
    <mergeCell ref="C43:E43"/>
    <mergeCell ref="S26:U28"/>
    <mergeCell ref="S23:U25"/>
    <mergeCell ref="E7:F7"/>
    <mergeCell ref="I7:J7"/>
    <mergeCell ref="S7:U7"/>
    <mergeCell ref="S8:T9"/>
    <mergeCell ref="U8:U9"/>
    <mergeCell ref="S16:T17"/>
    <mergeCell ref="U16:U17"/>
    <mergeCell ref="S18:T19"/>
    <mergeCell ref="S10:T11"/>
    <mergeCell ref="U10:U11"/>
    <mergeCell ref="S12:T13"/>
    <mergeCell ref="U12:U13"/>
    <mergeCell ref="S14:T15"/>
    <mergeCell ref="U14:U15"/>
    <mergeCell ref="U18:U19"/>
  </mergeCells>
  <conditionalFormatting sqref="M8:M37">
    <cfRule type="cellIs" dxfId="244" priority="127" operator="greaterThan">
      <formula>0</formula>
    </cfRule>
  </conditionalFormatting>
  <conditionalFormatting sqref="L36:L37 N36:N37">
    <cfRule type="expression" dxfId="243" priority="94">
      <formula>AND($E36&lt;$E$35,$E$8=1)</formula>
    </cfRule>
    <cfRule type="expression" dxfId="242" priority="95">
      <formula>AND($E36&gt;=$E$8,$E$8&lt;&gt;1)</formula>
    </cfRule>
  </conditionalFormatting>
  <conditionalFormatting sqref="E36:E38">
    <cfRule type="expression" dxfId="241" priority="92">
      <formula>AND($E36&lt;$E$35,$E$8=1)</formula>
    </cfRule>
    <cfRule type="expression" dxfId="240" priority="93">
      <formula>AND($E36&gt;=$E$8,$E$8&lt;&gt;1)</formula>
    </cfRule>
  </conditionalFormatting>
  <conditionalFormatting sqref="O8:O37">
    <cfRule type="cellIs" dxfId="239" priority="87" operator="greaterThan">
      <formula>0.000001</formula>
    </cfRule>
  </conditionalFormatting>
  <conditionalFormatting sqref="O36:O37">
    <cfRule type="expression" dxfId="238" priority="85">
      <formula>AND($E36&lt;$E$35,$E$8=1)</formula>
    </cfRule>
    <cfRule type="expression" dxfId="237" priority="86">
      <formula>AND($E36&gt;=$E$8,$E$8&lt;&gt;1)</formula>
    </cfRule>
  </conditionalFormatting>
  <conditionalFormatting sqref="F8:F38">
    <cfRule type="containsText" dxfId="236" priority="81" operator="containsText" text="Dom">
      <formula>NOT(ISERROR(SEARCH("Dom",F8)))</formula>
    </cfRule>
    <cfRule type="containsText" dxfId="235" priority="82" operator="containsText" text="Sáb">
      <formula>NOT(ISERROR(SEARCH("Sáb",F8)))</formula>
    </cfRule>
  </conditionalFormatting>
  <conditionalFormatting sqref="Q8:Q37">
    <cfRule type="cellIs" dxfId="234" priority="78" operator="greaterThan">
      <formula>0.000001</formula>
    </cfRule>
  </conditionalFormatting>
  <conditionalFormatting sqref="G8:K35">
    <cfRule type="expression" dxfId="233" priority="48">
      <formula>OR($G8="Férias",$G8="Falta Injustificada")</formula>
    </cfRule>
    <cfRule type="expression" dxfId="232" priority="49">
      <formula>$G8="Folga (DSR)"</formula>
    </cfRule>
    <cfRule type="expression" dxfId="231" priority="50">
      <formula>$G8="Feriado"</formula>
    </cfRule>
    <cfRule type="expression" dxfId="230" priority="51">
      <formula>$F8="Dom"</formula>
    </cfRule>
  </conditionalFormatting>
  <conditionalFormatting sqref="H8:K35">
    <cfRule type="expression" dxfId="229" priority="47">
      <formula>OR($G8="Falta Justificada",$G8="Falta Injustificada")</formula>
    </cfRule>
  </conditionalFormatting>
  <conditionalFormatting sqref="G36:K37">
    <cfRule type="expression" dxfId="228" priority="43">
      <formula>OR($G36="Férias",$G36="Falta Injustificada")</formula>
    </cfRule>
    <cfRule type="expression" dxfId="227" priority="44">
      <formula>$G36="Folga (DSR)"</formula>
    </cfRule>
    <cfRule type="expression" dxfId="226" priority="45">
      <formula>$G36="Feriado"</formula>
    </cfRule>
    <cfRule type="expression" dxfId="225" priority="46">
      <formula>$F36="Dom"</formula>
    </cfRule>
  </conditionalFormatting>
  <conditionalFormatting sqref="G36:K37">
    <cfRule type="expression" dxfId="224" priority="40">
      <formula>AND($E36&lt;$E$35,$E$8=1)</formula>
    </cfRule>
    <cfRule type="expression" dxfId="223" priority="41">
      <formula>AND($E36&gt;=$E$8,$E$8&lt;&gt;1)</formula>
    </cfRule>
  </conditionalFormatting>
  <conditionalFormatting sqref="H36:K37">
    <cfRule type="expression" dxfId="222" priority="42">
      <formula>OR($G36="Falta Justificada",$G36="Falta Injustificada")</formula>
    </cfRule>
  </conditionalFormatting>
  <conditionalFormatting sqref="O38">
    <cfRule type="cellIs" dxfId="221" priority="38" operator="greaterThan">
      <formula>0.000001</formula>
    </cfRule>
  </conditionalFormatting>
  <conditionalFormatting sqref="M38">
    <cfRule type="cellIs" dxfId="220" priority="39" operator="greaterThan">
      <formula>0</formula>
    </cfRule>
  </conditionalFormatting>
  <conditionalFormatting sqref="L38:O38">
    <cfRule type="expression" dxfId="219" priority="37">
      <formula>AND($E38&gt;=$E$8,$E$8&lt;&gt;1)</formula>
    </cfRule>
  </conditionalFormatting>
  <conditionalFormatting sqref="G38:K38">
    <cfRule type="expression" dxfId="218" priority="24">
      <formula>OR($G38="Férias",$G38="Falta Injustificada")</formula>
    </cfRule>
    <cfRule type="expression" dxfId="217" priority="25">
      <formula>$G38="Folga (DSR)"</formula>
    </cfRule>
    <cfRule type="expression" dxfId="216" priority="26">
      <formula>$G38="Feriado"</formula>
    </cfRule>
    <cfRule type="expression" dxfId="215" priority="27">
      <formula>$F38="Dom"</formula>
    </cfRule>
  </conditionalFormatting>
  <conditionalFormatting sqref="H38:K38">
    <cfRule type="expression" dxfId="214" priority="23">
      <formula>OR($G38="Falta Justificada",$G38="Falta Injustificada")</formula>
    </cfRule>
  </conditionalFormatting>
  <conditionalFormatting sqref="Q38">
    <cfRule type="cellIs" dxfId="213" priority="20" operator="greaterThan">
      <formula>0.000001</formula>
    </cfRule>
  </conditionalFormatting>
  <conditionalFormatting sqref="L38:Q38">
    <cfRule type="expression" dxfId="212" priority="36">
      <formula>AND($E38&lt;$E$35,$E$8=1)</formula>
    </cfRule>
  </conditionalFormatting>
  <conditionalFormatting sqref="G38:Q38">
    <cfRule type="expression" dxfId="211" priority="21">
      <formula>AND($E38&lt;$E$35,$E$8=1)</formula>
    </cfRule>
    <cfRule type="expression" dxfId="210" priority="22">
      <formula>AND($E38&gt;=$E$8,$E$8&lt;&gt;1)</formula>
    </cfRule>
  </conditionalFormatting>
  <conditionalFormatting sqref="U10:U11">
    <cfRule type="expression" dxfId="209" priority="8">
      <formula>$V$11="Negativo"</formula>
    </cfRule>
  </conditionalFormatting>
  <conditionalFormatting sqref="U12:U13">
    <cfRule type="expression" dxfId="208" priority="500">
      <formula>$U$14&gt;$F$58</formula>
    </cfRule>
  </conditionalFormatting>
  <conditionalFormatting sqref="F40">
    <cfRule type="expression" dxfId="207" priority="501">
      <formula>$E40="Folga(DSR)"</formula>
    </cfRule>
    <cfRule type="expression" dxfId="206" priority="502">
      <formula>$E40="Feriado"</formula>
    </cfRule>
    <cfRule type="expression" dxfId="205" priority="503">
      <formula>$D40="Dom"</formula>
    </cfRule>
  </conditionalFormatting>
  <dataValidations count="3">
    <dataValidation type="time" allowBlank="1" showInputMessage="1" showErrorMessage="1" sqref="H8:K38">
      <formula1>0</formula1>
      <formula2>0.999988425925926</formula2>
    </dataValidation>
    <dataValidation type="list" allowBlank="1" showInputMessage="1" showErrorMessage="1" sqref="G8:G38">
      <formula1>"Normal,Feriado,Folga (DSR),Falta Justificada,Férias,Falta Injustificada"</formula1>
    </dataValidation>
    <dataValidation type="list" allowBlank="1" showInputMessage="1" showErrorMessage="1" sqref="E9:E35">
      <formula1>"1,5,10,16"</formula1>
    </dataValidation>
  </dataValidations>
  <hyperlinks>
    <hyperlink ref="C8" location="Lanç!A1" display="Lanç!A1"/>
    <hyperlink ref="C9" location="'Lanç (2)'!A1" display="'Lanç (2)'!A1"/>
    <hyperlink ref="C10" location="'Lanç (3)'!A1" display="'Lanç (3)'!A1"/>
    <hyperlink ref="C11" location="'Lanç (4)'!A1" display="'Lanç (4)'!A1"/>
    <hyperlink ref="C12" location="'Lanç (5)'!A1" display="'Lanç (5)'!A1"/>
    <hyperlink ref="C13" location="'Lanç (6)'!A1" display="'Lanç (6)'!A1"/>
    <hyperlink ref="C14" location="'Lanç (7)'!A1" display="'Lanç (7)'!A1"/>
    <hyperlink ref="C15" location="'Lanç (8)'!A1" display="'Lanç (8)'!A1"/>
    <hyperlink ref="C16" location="'Lanç (9)'!A1" display="'Lanç (9)'!A1"/>
    <hyperlink ref="C17" location="'Lanç (10)'!A1" display="'Lanç (10)'!A1"/>
    <hyperlink ref="C18" location="'Lanç (11)'!A1" display="'Lanç (11)'!A1"/>
    <hyperlink ref="C19" location="'Lanç (12)'!A1" display="'Lanç (12)'!A1"/>
    <hyperlink ref="C20" location="'Lanç (13)'!A1" display="'Lanç (13)'!A1"/>
    <hyperlink ref="C21" location="'Lanç (14)'!A1" display="'Lanç (14)'!A1"/>
    <hyperlink ref="C22" location="'Lanç (15)'!A1" display="'Lanç (15)'!A1"/>
    <hyperlink ref="C23" location="'Lanç (16)'!A1" display="'Lanç (16)'!A1"/>
    <hyperlink ref="C24" location="'Lanç (17)'!A1" display="'Lanç (17)'!A1"/>
    <hyperlink ref="C25" location="'Lanç (18)'!A1" display="'Lanç (18)'!A1"/>
    <hyperlink ref="C26" location="'Lanç (19)'!A1" display="'Lanç (19)'!A1"/>
    <hyperlink ref="C27" location="'Lanç (20)'!A1" display="'Lanç (20)'!A1"/>
    <hyperlink ref="C28" location="'Lanç (21)'!A1" display="'Lanç (21)'!A1"/>
    <hyperlink ref="C29" location="'Lanç (22)'!A1" display="'Lanç (22)'!A1"/>
    <hyperlink ref="C30" location="'Lanç (23)'!A1" display="'Lanç (23)'!A1"/>
    <hyperlink ref="C31" location="'Lanç (24)'!A1" display="'Lanç (24)'!A1"/>
    <hyperlink ref="C32" location="'Lanç (25)'!A1" display="'Lanç (25)'!A1"/>
    <hyperlink ref="C33" location="'Lanç (26)'!A1" display="'Lanç (26)'!A1"/>
    <hyperlink ref="C34" location="'Lanç (27)'!A1" display="'Lanç (27)'!A1"/>
    <hyperlink ref="C35" location="'Lanç (28)'!A1" display="'Lanç (28)'!A1"/>
    <hyperlink ref="C36" location="'Lanç (29)'!A1" display="'Lanç (29)'!A1"/>
    <hyperlink ref="C37" location="'Lanç (30)'!A1" display="'Lanç (30)'!A1"/>
  </hyperlinks>
  <printOptions horizontalCentered="1"/>
  <pageMargins left="0.23622047244094502" right="0.23622047244094502" top="0.74803149606299202" bottom="0.74803149606299202" header="0.31496062992126" footer="0.31496062992126"/>
  <pageSetup paperSize="9" scale="53" orientation="portrait" cellComments="atEnd"/>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69" id="{8BCE5594-1901-0A42-B615-36F8F4773A5C}">
            <xm:f>'P Gerais'!$I$10:$M$10="Pagas em Dinheiro"</xm:f>
            <x14:dxf>
              <font>
                <color theme="0"/>
              </font>
              <fill>
                <patternFill>
                  <bgColor theme="0"/>
                </patternFill>
              </fill>
              <border>
                <left/>
                <right/>
                <top/>
                <bottom/>
              </border>
            </x14:dxf>
          </x14:cfRule>
          <xm:sqref>S10:T13</xm:sqref>
        </x14:conditionalFormatting>
        <x14:conditionalFormatting xmlns:xm="http://schemas.microsoft.com/office/excel/2006/main">
          <x14:cfRule type="expression" priority="68" id="{A47CDB96-EC54-AD42-8C1E-1968E330C32D}">
            <xm:f>'P Gerais'!$I$10:$M$10="Sistema de banco de horas"</xm:f>
            <x14:dxf>
              <font>
                <color theme="0"/>
              </font>
              <fill>
                <patternFill>
                  <bgColor theme="0"/>
                </patternFill>
              </fill>
              <border>
                <left/>
                <right/>
                <top/>
                <bottom/>
              </border>
            </x14:dxf>
          </x14:cfRule>
          <xm:sqref>S18:T19</xm:sqref>
        </x14:conditionalFormatting>
        <x14:conditionalFormatting xmlns:xm="http://schemas.microsoft.com/office/excel/2006/main">
          <x14:cfRule type="expression" priority="10" id="{CAE4740F-A6BE-DB40-AE7F-5265BBC14B51}">
            <xm:f>'P Gerais'!$I$10:$M$10="Sistema de banco de horas"</xm:f>
            <x14:dxf>
              <font>
                <color theme="0"/>
              </font>
              <fill>
                <patternFill>
                  <bgColor theme="0"/>
                </patternFill>
              </fill>
              <border>
                <left/>
                <right/>
                <top/>
                <bottom/>
              </border>
            </x14:dxf>
          </x14:cfRule>
          <xm:sqref>U18:U19</xm:sqref>
        </x14:conditionalFormatting>
        <x14:conditionalFormatting xmlns:xm="http://schemas.microsoft.com/office/excel/2006/main">
          <x14:cfRule type="expression" priority="7" id="{EAFDD78F-32FD-AC40-A712-9EE94E5DCB7B}">
            <xm:f>'P Gerais'!$I$10:$M$10="Pagas em Dinheiro"</xm:f>
            <x14:dxf>
              <font>
                <color theme="0"/>
              </font>
              <fill>
                <patternFill>
                  <bgColor theme="0"/>
                </patternFill>
              </fill>
              <border>
                <left/>
                <right/>
                <top/>
                <bottom/>
              </border>
            </x14:dxf>
          </x14:cfRule>
          <xm:sqref>U10:U13</xm:sqref>
        </x14:conditionalFormatting>
      </x14:conditionalFormattings>
    </ext>
  </extLs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29" enableFormatConditionsCalculation="0"/>
  <dimension ref="A1:BG103"/>
  <sheetViews>
    <sheetView showGridLines="0" zoomScale="90" zoomScaleNormal="90" zoomScalePageLayoutView="90" workbookViewId="0">
      <selection activeCell="I12" sqref="I12"/>
    </sheetView>
  </sheetViews>
  <sheetFormatPr baseColWidth="10" defaultColWidth="0" defaultRowHeight="0" customHeight="1" zeroHeight="1" x14ac:dyDescent="0.2"/>
  <cols>
    <col min="1" max="1" width="27.83203125" style="194" customWidth="1"/>
    <col min="2" max="2" width="3.83203125" style="14" customWidth="1"/>
    <col min="3" max="3" width="33.33203125" style="14" customWidth="1"/>
    <col min="4" max="4" width="2.83203125" style="14" customWidth="1"/>
    <col min="5" max="5" width="5.83203125" style="14" customWidth="1"/>
    <col min="6" max="6" width="11.83203125" style="14" customWidth="1"/>
    <col min="7" max="7" width="14.33203125" style="195" customWidth="1"/>
    <col min="8" max="11" width="9.83203125" style="14" customWidth="1"/>
    <col min="12" max="12" width="1.83203125" style="14" customWidth="1"/>
    <col min="13" max="13" width="13.33203125" style="14" customWidth="1"/>
    <col min="14" max="14" width="1.83203125" style="14" customWidth="1"/>
    <col min="15" max="15" width="13.33203125" style="14" customWidth="1"/>
    <col min="16" max="16" width="1.83203125" style="14" customWidth="1"/>
    <col min="17" max="17" width="13.33203125" style="14" customWidth="1"/>
    <col min="18" max="18" width="4.83203125" style="2" bestFit="1" customWidth="1"/>
    <col min="19" max="21" width="11.83203125" style="14" customWidth="1"/>
    <col min="22" max="23" width="8.83203125" style="2" customWidth="1"/>
    <col min="24" max="24" width="11.33203125" style="2" bestFit="1" customWidth="1"/>
    <col min="25" max="25" width="8.83203125" style="2" customWidth="1"/>
    <col min="26" max="26" width="8.1640625" style="219" bestFit="1" customWidth="1"/>
    <col min="27" max="27" width="8.83203125" style="2" customWidth="1"/>
    <col min="28" max="28" width="11.33203125" style="2" bestFit="1" customWidth="1"/>
    <col min="29" max="43" width="8.83203125" style="2" customWidth="1"/>
    <col min="44" max="50" width="11.33203125" style="2" customWidth="1"/>
    <col min="51" max="57" width="11.33203125" style="14" customWidth="1"/>
    <col min="58" max="16384" width="8.83203125" style="14" hidden="1"/>
  </cols>
  <sheetData>
    <row r="1" spans="1:59" s="15" customFormat="1" ht="33.75" customHeight="1" x14ac:dyDescent="0.3">
      <c r="A1" s="56"/>
      <c r="B1" s="3"/>
      <c r="C1" s="4" t="s">
        <v>30</v>
      </c>
      <c r="D1" s="3"/>
      <c r="E1" s="3"/>
      <c r="F1" s="3"/>
      <c r="G1" s="77"/>
      <c r="H1" s="3"/>
      <c r="I1" s="3"/>
      <c r="J1" s="3"/>
      <c r="K1" s="3"/>
      <c r="L1" s="3"/>
      <c r="M1" s="3"/>
      <c r="N1" s="3"/>
      <c r="O1" s="3"/>
      <c r="Q1" s="3"/>
      <c r="S1" s="3"/>
      <c r="T1" s="3"/>
      <c r="U1" s="3"/>
      <c r="Z1" s="174"/>
    </row>
    <row r="2" spans="1:59" s="15" customFormat="1" ht="21.5" customHeight="1" x14ac:dyDescent="0.2">
      <c r="A2" s="1"/>
      <c r="B2" s="3"/>
      <c r="C2" s="3"/>
      <c r="D2" s="3"/>
      <c r="E2" s="3"/>
      <c r="F2" s="3"/>
      <c r="G2" s="77"/>
      <c r="H2" s="3"/>
      <c r="I2" s="3"/>
      <c r="J2" s="3"/>
      <c r="K2" s="3"/>
      <c r="L2" s="3"/>
      <c r="M2" s="3"/>
      <c r="N2" s="3"/>
      <c r="O2" s="3"/>
      <c r="Q2" s="3"/>
      <c r="S2" s="3"/>
      <c r="T2" s="3"/>
      <c r="U2" s="3"/>
      <c r="Z2" s="174"/>
    </row>
    <row r="3" spans="1:59" s="15" customFormat="1" ht="21.5" customHeight="1" x14ac:dyDescent="0.2">
      <c r="A3" s="1"/>
      <c r="B3" s="3"/>
      <c r="C3" s="3"/>
      <c r="D3" s="3"/>
      <c r="E3" s="3"/>
      <c r="F3" s="3"/>
      <c r="G3" s="77"/>
      <c r="H3" s="3"/>
      <c r="I3" s="3"/>
      <c r="J3" s="3"/>
      <c r="K3" s="3"/>
      <c r="L3" s="3"/>
      <c r="M3" s="3"/>
      <c r="N3" s="3"/>
      <c r="O3" s="3"/>
      <c r="Q3" s="3"/>
      <c r="S3" s="3"/>
      <c r="T3" s="3"/>
      <c r="U3" s="3"/>
      <c r="Z3" s="174"/>
    </row>
    <row r="4" spans="1:59" s="2" customFormat="1" ht="30" customHeight="1" x14ac:dyDescent="0.2">
      <c r="A4" s="1"/>
      <c r="B4"/>
      <c r="C4"/>
      <c r="D4"/>
      <c r="E4"/>
      <c r="F4"/>
      <c r="G4" s="78"/>
      <c r="H4"/>
      <c r="I4"/>
      <c r="J4"/>
      <c r="K4"/>
      <c r="L4"/>
      <c r="M4"/>
      <c r="N4"/>
      <c r="O4" s="13"/>
      <c r="Q4"/>
      <c r="S4"/>
      <c r="T4"/>
      <c r="U4"/>
      <c r="Z4" s="219"/>
      <c r="AN4" s="175"/>
    </row>
    <row r="5" spans="1:59" s="2" customFormat="1" ht="30" customHeight="1" x14ac:dyDescent="0.2">
      <c r="A5" s="1"/>
      <c r="B5"/>
      <c r="C5" s="160" t="s">
        <v>210</v>
      </c>
      <c r="D5"/>
      <c r="E5"/>
      <c r="F5"/>
      <c r="G5"/>
      <c r="H5"/>
      <c r="I5"/>
      <c r="J5"/>
      <c r="K5" s="157">
        <f ca="1">IF(ISERROR(VLOOKUP(INDIRECT($C$5),Jornada!$C$8:$F$37,4,0)),0,VLOOKUP(INDIRECT($C$5),Jornada!$C$8:$F$37,4,0))</f>
        <v>0</v>
      </c>
      <c r="L5" s="158"/>
      <c r="M5" s="157">
        <f ca="1">IF(ISERROR(VLOOKUP(INDIRECT($C$5),Jornada!$C$8:$G$37,5,0)),0,VLOOKUP(INDIRECT($C$5),Jornada!$C$8:$G$37,5,0))</f>
        <v>0</v>
      </c>
      <c r="N5"/>
      <c r="O5" s="69"/>
      <c r="Q5"/>
      <c r="S5"/>
      <c r="T5"/>
      <c r="U5" s="12"/>
      <c r="Z5" s="219"/>
      <c r="AC5" s="12"/>
      <c r="AK5" s="179">
        <v>0.25</v>
      </c>
      <c r="AL5" s="155">
        <v>0.91666666666666663</v>
      </c>
      <c r="AM5" s="155">
        <v>0.20833333333333334</v>
      </c>
      <c r="AN5" s="155">
        <v>1</v>
      </c>
      <c r="AO5" s="155">
        <v>0.70833333333333337</v>
      </c>
    </row>
    <row r="6" spans="1:59" s="2" customFormat="1" ht="8" customHeight="1" thickBot="1" x14ac:dyDescent="0.25">
      <c r="A6" s="1"/>
      <c r="B6"/>
      <c r="C6" s="75"/>
      <c r="D6"/>
      <c r="E6"/>
      <c r="F6"/>
      <c r="G6" s="78"/>
      <c r="H6"/>
      <c r="I6"/>
      <c r="J6"/>
      <c r="M6" s="220">
        <v>1</v>
      </c>
      <c r="N6"/>
      <c r="O6" s="11"/>
      <c r="Q6" s="11"/>
      <c r="S6"/>
      <c r="T6"/>
      <c r="Z6" s="176"/>
    </row>
    <row r="7" spans="1:59" s="2" customFormat="1" ht="30" customHeight="1" thickTop="1" thickBot="1" x14ac:dyDescent="0.25">
      <c r="A7" s="1"/>
      <c r="B7"/>
      <c r="C7" s="76" t="s">
        <v>176</v>
      </c>
      <c r="D7"/>
      <c r="E7" s="281" t="str">
        <f>Lanç!E7</f>
        <v>Janeiro</v>
      </c>
      <c r="F7" s="283"/>
      <c r="G7" s="79" t="s">
        <v>58</v>
      </c>
      <c r="H7" s="82" t="s">
        <v>0</v>
      </c>
      <c r="I7" s="293" t="s">
        <v>59</v>
      </c>
      <c r="J7" s="293"/>
      <c r="K7" s="82" t="s">
        <v>60</v>
      </c>
      <c r="L7"/>
      <c r="M7" s="73" t="s">
        <v>61</v>
      </c>
      <c r="N7"/>
      <c r="O7" s="73" t="s">
        <v>62</v>
      </c>
      <c r="Q7" s="73" t="s">
        <v>63</v>
      </c>
      <c r="R7" s="155">
        <v>8.3333333333333329E-2</v>
      </c>
      <c r="S7" s="293" t="s">
        <v>64</v>
      </c>
      <c r="T7" s="293"/>
      <c r="U7" s="293"/>
      <c r="W7" s="2" t="s">
        <v>90</v>
      </c>
      <c r="X7" s="156">
        <v>1</v>
      </c>
      <c r="AB7" s="2">
        <f>VLOOKUP($E$7,$W$7:$X$18,2,0)</f>
        <v>1</v>
      </c>
      <c r="AG7" s="176" t="s">
        <v>167</v>
      </c>
      <c r="AH7" s="176" t="s">
        <v>168</v>
      </c>
      <c r="AI7" s="155">
        <v>0</v>
      </c>
      <c r="AJ7" s="155">
        <v>1</v>
      </c>
      <c r="AK7" s="155">
        <v>0.45833333333333331</v>
      </c>
      <c r="AL7" s="2" t="s">
        <v>0</v>
      </c>
      <c r="AM7" s="2" t="s">
        <v>162</v>
      </c>
      <c r="AN7" s="2" t="s">
        <v>184</v>
      </c>
      <c r="BE7" s="14"/>
      <c r="BF7" s="14"/>
      <c r="BG7" s="14"/>
    </row>
    <row r="8" spans="1:59" s="2" customFormat="1" ht="30" customHeight="1" thickTop="1" thickBot="1" x14ac:dyDescent="0.25">
      <c r="A8" s="1"/>
      <c r="B8"/>
      <c r="C8" s="172" t="str">
        <f>IF(Funcionários!C7=0,"",Funcionários!C7)</f>
        <v/>
      </c>
      <c r="D8"/>
      <c r="E8" s="115">
        <f>Lanç!E8</f>
        <v>1</v>
      </c>
      <c r="F8" s="189" t="str">
        <f>Lanç!F8</f>
        <v>Dom</v>
      </c>
      <c r="G8" s="80"/>
      <c r="H8" s="93"/>
      <c r="I8" s="93"/>
      <c r="J8" s="93"/>
      <c r="K8" s="93"/>
      <c r="L8" s="10"/>
      <c r="M8" s="95">
        <f>IF(AND(H8=K8,H8&lt;&gt;0),$M$6-IF(J8&lt;I8,$AJ$7+J8-I8,J8-I8),IF(H8&gt;K8,(K8+1-H8)-IF(J8&lt;I8,$AJ$7+J8-I8,J8-I8),(K8-H8)-IF(J8&lt;I8,$AJ$7+J8-I8,J8-I8)))</f>
        <v>0</v>
      </c>
      <c r="N8" s="96"/>
      <c r="O8" s="95">
        <f ca="1">IF(OR(G8=0,G8="Férias",G8="Falta Justificada",G8="Feriado",G8="Folga (DSR)"),0,IF(G8="Falta Injustificada",HLOOKUP($F8,Jornada!$X$7:$AD$37,VLOOKUP(INDIRECT($C$5),Jornada!$C$8:$W$37,21,0),0),IF(HLOOKUP($F8,Jornada!$X$7:$AD$37,VLOOKUP(INDIRECT($C$5),Jornada!$C$8:$W$37,21,0),0)-M8&gt;0,HLOOKUP($F8,Jornada!$X$7:$AD$37,VLOOKUP(INDIRECT($C$5),Jornada!$C$8:$W$37,21,0),0)-M8,0)))</f>
        <v>0</v>
      </c>
      <c r="P8" s="190">
        <f ca="1">IF(HLOOKUP($F8,Jornada!$X$7:$AD$37,VLOOKUP(INDIRECT($C$5),Jornada!$C$8:$W$37,21,0),0)-M8&lt;0,ABS(HLOOKUP($F8,Jornada!$X$7:$AD$37,VLOOKUP(INDIRECT($C$5),Jornada!$C$8:$W$37,21,0),0)-M8),0)</f>
        <v>0</v>
      </c>
      <c r="Q8" s="95">
        <f t="shared" ref="Q8:Q38" si="0">IF(G8="Normal",P8,IF(G8=0,0,IF(OR(G8="Feriado",G8="Férias"),IF(H8&gt;K8,(K8+1-H8)-IF(J8&lt;I8,$AJ$7+J8-I8,J8-I8),(K8-H8)-IF(J8&lt;I8,$AJ$7+J8-I8,J8-I8)),IF(G8="Folga (DSR)",IF(H8&gt;K8,(K8+1-H8)-IF(J8&lt;I8,$AJ$7+J8-I8,J8-I8),(K8-H8)-IF(J8&lt;I8,$AJ$7+J8-I8,J8-I8)),IF(G8="Falta Justificada",IF(H8&gt;K8,(K8+1-H8)-IF(J8&lt;I8,$AJ$7+J8-I8,J8-I8),(K8-H8)-IF(J8&lt;I8,$AJ$7+J8-I8,J8-I8)),0)))))</f>
        <v>0</v>
      </c>
      <c r="R8" s="2">
        <f>IF(Q8&gt;$R$7,1,0)</f>
        <v>0</v>
      </c>
      <c r="S8" s="294" t="s">
        <v>65</v>
      </c>
      <c r="T8" s="294"/>
      <c r="U8" s="295">
        <f>SUM(M8:M38)</f>
        <v>0</v>
      </c>
      <c r="W8" s="2" t="s">
        <v>91</v>
      </c>
      <c r="X8" s="156">
        <v>2</v>
      </c>
      <c r="AB8" s="177">
        <f>DATE('P Gerais'!$D$6,AB7,1)</f>
        <v>1</v>
      </c>
      <c r="AC8" s="2">
        <f>WEEKDAY(AB8)</f>
        <v>1</v>
      </c>
      <c r="AE8" s="2">
        <v>1</v>
      </c>
      <c r="AF8" s="2" t="s">
        <v>51</v>
      </c>
      <c r="AG8" s="220">
        <f>IF(J8&lt;I8,$AJ$7+J8-I8,J8-I8)</f>
        <v>0</v>
      </c>
      <c r="AH8" s="220">
        <f ca="1">IF(HLOOKUP($F8,Jornada!$X$7:$AD$37,VLOOKUP(INDIRECT($C$5),Jornada!$C$8:$W$37,21,0),0)=0,0,VLOOKUP(INDIRECT($C$5),Jornada!$C$8:$H$37,4,0))</f>
        <v>0</v>
      </c>
      <c r="AI8" s="155">
        <f ca="1">IF(AND(I8=0,J8=0,OR(H8&lt;&gt;0,K8&lt;&gt;0),HLOOKUP($F8,Jornada!$X$7:$AD$37,VLOOKUP(INDIRECT($C$5),Jornada!$C$8:$W$37,21,0),0)&gt;$AK$5,M8&gt;$AK$5),VLOOKUP(INDIRECT($C$5),Jornada!$C$8:$H$37,6,0),IF(AG8&gt;VLOOKUP(INDIRECT($C$5),Jornada!$C$8:$H$37,6,0),IF(VLOOKUP(INDIRECT($C$5),Jornada!$C$8:$H$37,6,0)&lt;AG8,0,ABS(VLOOKUP(INDIRECT($C$5),Jornada!$C$8:$H$37,6,0))-AG8),0))</f>
        <v>0</v>
      </c>
      <c r="AJ8" s="155">
        <f>($AJ$7-K8)+H8</f>
        <v>1</v>
      </c>
      <c r="AK8" s="155">
        <f>IF(AJ8&lt;$AK$7,$AK$7-AJ8,$AI$7)</f>
        <v>0</v>
      </c>
      <c r="AL8" s="155">
        <f ca="1">HLOOKUP($F8,Jornada!$I$5:$V$37,VLOOKUP(INDIRECT($C$5),Jornada!$C$8:$W$37,21,0)+2,0)</f>
        <v>0</v>
      </c>
      <c r="AM8" s="155">
        <f ca="1">HLOOKUP($F8,Jornada!$I$4:$V$37,VLOOKUP(INDIRECT($C$5),Jornada!$C$8:$W$37,21,0)+3,0)</f>
        <v>0</v>
      </c>
      <c r="AN8" s="155">
        <f ca="1">IF(AND(AL8&gt;=$AL$5,AL8&lt;$AN$5,H8&gt;=$AL$5,H8&lt;AL8),AL8-H8,IF(AND(AL8&gt;$AI$7,AL8&lt;=$AM$5,H8&gt;=$AL$5,H8&lt;=$AN$5),$AN$5-H8+AL8,IF(AND(AL8&gt;=$AI$7,AL8&lt;=$AM$5,H8&gt;=$AI$7,H8&lt;=$AM$5,H8&lt;AL8),H8-AL8,0)))</f>
        <v>0</v>
      </c>
      <c r="AO8" s="155">
        <f>IF(AP8&gt;Q8,0,AP8)</f>
        <v>0</v>
      </c>
      <c r="AP8" s="155">
        <f>IF(Q8=0,0,IF(AND(AM8&gt;=$AL$5,AM8&lt;$AN$5,K8&gt;=$AL$5,K8&lt;$AM$5,K8&gt;AM8),K8-AM8,IF(AND(AM8&gt;=$AL$5,AM8&lt;$AN$5,K8&lt;$AN$5,K8&gt;AM8),K8-$AL$5,IF(AND(AM8&gt;=$AI$7,AM8&lt;$AM$5,K8&lt;$AM$5),K8-AM8,IF(AND(AM8&lt;&gt;AI7,AM8&gt;=$AI$7,AM8&lt;=$AM$5,K8&gt;$AM$5,K8&gt;AM8),$AM$5-AM8,IF(AND(K8&gt;$AL$5,K8&lt;$AN$5),K8-$AL$5,IF(AND(K8&gt;$AI$7,K8&lt;$AM$5),$AN$5-$AL$5+K8,IF(AND(OR(K8&gt;$AL$5,H8&gt;$AO$5),AM8&gt;=$AI$7,AM8&lt;$AM$5,K8&gt;$AM$5),(1+$AM$5-$AL$5)-AG8,0))))))))</f>
        <v>0</v>
      </c>
      <c r="BE8" s="14"/>
      <c r="BF8" s="14"/>
      <c r="BG8" s="14"/>
    </row>
    <row r="9" spans="1:59" s="2" customFormat="1" ht="30" customHeight="1" thickTop="1" thickBot="1" x14ac:dyDescent="0.25">
      <c r="A9" s="1"/>
      <c r="B9"/>
      <c r="C9" s="172" t="str">
        <f>IF(Funcionários!C8=0,"",Funcionários!C8)</f>
        <v/>
      </c>
      <c r="D9"/>
      <c r="E9" s="115">
        <f>Lanç!E9</f>
        <v>2</v>
      </c>
      <c r="F9" s="189" t="str">
        <f>Lanç!F9</f>
        <v>Seg</v>
      </c>
      <c r="G9" s="81"/>
      <c r="H9" s="94"/>
      <c r="I9" s="94"/>
      <c r="J9" s="94"/>
      <c r="K9" s="94"/>
      <c r="L9" s="10"/>
      <c r="M9" s="95">
        <f t="shared" ref="M9:M38" si="1">IF(AND(H9=K9,H9&lt;&gt;0),$M$6-IF(J9&lt;I9,$AJ$7+J9-I9,J9-I9),IF(H9&gt;K9,(K9+1-H9)-IF(J9&lt;I9,$AJ$7+J9-I9,J9-I9),(K9-H9)-IF(J9&lt;I9,$AJ$7+J9-I9,J9-I9)))</f>
        <v>0</v>
      </c>
      <c r="N9" s="96"/>
      <c r="O9" s="95">
        <f ca="1">IF(OR(G9=0,G9="Férias",G9="Falta Justificada",G9="Feriado",G9="Folga (DSR)"),0,IF(G9="Falta Injustificada",HLOOKUP($F9,Jornada!$X$7:$AD$37,VLOOKUP(INDIRECT($C$5),Jornada!$C$8:$W$37,21,0),0),IF(HLOOKUP($F9,Jornada!$X$7:$AD$37,VLOOKUP(INDIRECT($C$5),Jornada!$C$8:$W$37,21,0),0)-M9&gt;0,HLOOKUP($F9,Jornada!$X$7:$AD$37,VLOOKUP(INDIRECT($C$5),Jornada!$C$8:$W$37,21,0),0)-M9,0)))</f>
        <v>0</v>
      </c>
      <c r="P9" s="190">
        <f ca="1">IF(HLOOKUP($F9,Jornada!$X$7:$AD$37,VLOOKUP(INDIRECT($C$5),Jornada!$C$8:$W$37,21,0),0)-M9&lt;0,ABS(HLOOKUP($F9,Jornada!$X$7:$AD$37,VLOOKUP(INDIRECT($C$5),Jornada!$C$8:$W$37,21,0),0)-M9),0)</f>
        <v>0</v>
      </c>
      <c r="Q9" s="95">
        <f t="shared" si="0"/>
        <v>0</v>
      </c>
      <c r="R9" s="2">
        <f t="shared" ref="R9:R38" si="2">IF(Q9&gt;$R$7,1,0)</f>
        <v>0</v>
      </c>
      <c r="S9" s="294"/>
      <c r="T9" s="294"/>
      <c r="U9" s="295"/>
      <c r="W9" s="2" t="s">
        <v>92</v>
      </c>
      <c r="X9" s="156">
        <v>3</v>
      </c>
      <c r="AB9" s="177">
        <f>AB8+1</f>
        <v>2</v>
      </c>
      <c r="AC9" s="2">
        <f t="shared" ref="AC9:AC35" si="3">WEEKDAY(AB9)</f>
        <v>2</v>
      </c>
      <c r="AE9" s="2">
        <v>2</v>
      </c>
      <c r="AF9" s="2" t="s">
        <v>52</v>
      </c>
      <c r="AG9" s="220">
        <f t="shared" ref="AG9:AG38" si="4">IF(J9&lt;I9,$AJ$7+J9-I9,J9-I9)</f>
        <v>0</v>
      </c>
      <c r="AH9" s="220">
        <f ca="1">IF(HLOOKUP($F9,Jornada!$X$7:$AD$37,VLOOKUP(INDIRECT($C$5),Jornada!$C$8:$W$37,21,0),0)=0,0,VLOOKUP(INDIRECT($C$5),Jornada!$C$8:$H$37,4,0))</f>
        <v>0</v>
      </c>
      <c r="AI9" s="155">
        <f ca="1">IF(AND(I9=0,J9=0,OR(H9&lt;&gt;0,K9&lt;&gt;0),HLOOKUP($F9,Jornada!$X$7:$AD$37,VLOOKUP(INDIRECT($C$5),Jornada!$C$8:$W$37,21,0),0)&gt;$AK$5,M9&gt;$AK$5),VLOOKUP(INDIRECT($C$5),Jornada!$C$8:$H$37,6,0),IF(AG9&gt;VLOOKUP(INDIRECT($C$5),Jornada!$C$8:$H$37,6,0),IF(VLOOKUP(INDIRECT($C$5),Jornada!$C$8:$H$37,6,0)&lt;AG9,0,ABS(VLOOKUP(INDIRECT($C$5),Jornada!$C$8:$H$37,6,0))-AG9),0))</f>
        <v>0</v>
      </c>
      <c r="AJ9" s="155">
        <f t="shared" ref="AJ9:AJ38" si="5">($AJ$7-K9)+H9</f>
        <v>1</v>
      </c>
      <c r="AK9" s="155">
        <f t="shared" ref="AK9:AK38" si="6">IF(AJ9&lt;$AK$7,$AK$7-AJ9,$AI$7)</f>
        <v>0</v>
      </c>
      <c r="AL9" s="155">
        <f ca="1">HLOOKUP($F9,Jornada!$I$5:$V$37,VLOOKUP(INDIRECT($C$5),Jornada!$C$8:$W$37,21,0)+2,0)</f>
        <v>0</v>
      </c>
      <c r="AM9" s="155">
        <f ca="1">HLOOKUP($F9,Jornada!$I$4:$V$37,VLOOKUP(INDIRECT($C$5),Jornada!$C$8:$W$37,21,0)+3,0)</f>
        <v>0</v>
      </c>
      <c r="AN9" s="155">
        <f t="shared" ref="AN9:AN38" ca="1" si="7">IF(AND(AL9&gt;=$AL$5,AL9&lt;$AN$5,H9&gt;=$AL$5,H9&lt;AL9),AL9-H9,IF(AND(AL9&gt;$AI$7,AL9&lt;=$AM$5,H9&gt;=$AL$5,H9&lt;=$AN$5),$AN$5-H9+AL9,IF(AND(AL9&gt;=$AI$7,AL9&lt;=$AM$5,H9&gt;=$AI$7,H9&lt;=$AM$5,H9&lt;AL9),H9-AL9,0)))</f>
        <v>0</v>
      </c>
      <c r="AO9" s="155">
        <f t="shared" ref="AO9:AO38" si="8">IF(AP9&gt;Q9,0,AP9)</f>
        <v>0</v>
      </c>
      <c r="AP9" s="155">
        <f t="shared" ref="AP9:AP38" si="9">IF(Q9=0,0,IF(AND(AM9&gt;=$AL$5,AM9&lt;$AN$5,K9&gt;=$AL$5,K9&lt;$AM$5,K9&gt;AM9),K9-AM9,IF(AND(AM9&gt;=$AL$5,AM9&lt;$AN$5,K9&lt;$AN$5,K9&gt;AM9),K9-$AL$5,IF(AND(AM9&gt;=$AI$7,AM9&lt;$AM$5,K9&lt;$AM$5),K9-AM9,IF(AND(AM9&lt;&gt;AI8,AM9&gt;=$AI$7,AM9&lt;=$AM$5,K9&gt;$AM$5,K9&gt;AM9),$AM$5-AM9,IF(AND(K9&gt;$AL$5,K9&lt;$AN$5),K9-$AL$5,IF(AND(K9&gt;$AI$7,K9&lt;$AM$5),$AN$5-$AL$5+K9,IF(AND(OR(K9&gt;$AL$5,H9&gt;$AO$5),AM9&gt;=$AI$7,AM9&lt;$AM$5,K9&gt;$AM$5),(1+$AM$5-$AL$5)-AG9,0))))))))</f>
        <v>0</v>
      </c>
      <c r="BE9" s="14"/>
      <c r="BF9" s="14"/>
      <c r="BG9" s="14"/>
    </row>
    <row r="10" spans="1:59" s="2" customFormat="1" ht="30" customHeight="1" thickTop="1" thickBot="1" x14ac:dyDescent="0.25">
      <c r="A10" s="1"/>
      <c r="B10"/>
      <c r="C10" s="172" t="str">
        <f>IF(Funcionários!C9=0,"",Funcionários!C9)</f>
        <v/>
      </c>
      <c r="D10"/>
      <c r="E10" s="115">
        <f>Lanç!E10</f>
        <v>3</v>
      </c>
      <c r="F10" s="189" t="str">
        <f>Lanç!F10</f>
        <v>Ter</v>
      </c>
      <c r="G10" s="81"/>
      <c r="H10" s="94"/>
      <c r="I10" s="94"/>
      <c r="J10" s="94"/>
      <c r="K10" s="94"/>
      <c r="L10" s="10"/>
      <c r="M10" s="95">
        <f t="shared" si="1"/>
        <v>0</v>
      </c>
      <c r="N10" s="96"/>
      <c r="O10" s="95">
        <f ca="1">IF(OR(G10=0,G10="Férias",G10="Falta Justificada",G10="Feriado",G10="Folga (DSR)"),0,IF(G10="Falta Injustificada",HLOOKUP($F10,Jornada!$X$7:$AD$37,VLOOKUP(INDIRECT($C$5),Jornada!$C$8:$W$37,21,0),0),IF(HLOOKUP($F10,Jornada!$X$7:$AD$37,VLOOKUP(INDIRECT($C$5),Jornada!$C$8:$W$37,21,0),0)-M10&gt;0,HLOOKUP($F10,Jornada!$X$7:$AD$37,VLOOKUP(INDIRECT($C$5),Jornada!$C$8:$W$37,21,0),0)-M10,0)))</f>
        <v>0</v>
      </c>
      <c r="P10" s="190">
        <f ca="1">IF(HLOOKUP($F10,Jornada!$X$7:$AD$37,VLOOKUP(INDIRECT($C$5),Jornada!$C$8:$W$37,21,0),0)-M10&lt;0,ABS(HLOOKUP($F10,Jornada!$X$7:$AD$37,VLOOKUP(INDIRECT($C$5),Jornada!$C$8:$W$37,21,0),0)-M10),0)</f>
        <v>0</v>
      </c>
      <c r="Q10" s="95">
        <f t="shared" si="0"/>
        <v>0</v>
      </c>
      <c r="R10" s="2">
        <f t="shared" si="2"/>
        <v>0</v>
      </c>
      <c r="S10" s="294" t="s">
        <v>66</v>
      </c>
      <c r="T10" s="294"/>
      <c r="U10" s="295">
        <f ca="1">IF(M5="Horas devidas",ABS(-K5+F58-U14),ABS(K5+F58-U14))</f>
        <v>0</v>
      </c>
      <c r="W10" s="2" t="s">
        <v>93</v>
      </c>
      <c r="X10" s="156">
        <v>4</v>
      </c>
      <c r="AB10" s="177">
        <f t="shared" ref="AB10:AB34" si="10">AB9+1</f>
        <v>3</v>
      </c>
      <c r="AC10" s="2">
        <f t="shared" si="3"/>
        <v>3</v>
      </c>
      <c r="AE10" s="2">
        <v>3</v>
      </c>
      <c r="AF10" s="2" t="s">
        <v>53</v>
      </c>
      <c r="AG10" s="220">
        <f t="shared" si="4"/>
        <v>0</v>
      </c>
      <c r="AH10" s="220">
        <f ca="1">IF(HLOOKUP($F10,Jornada!$X$7:$AD$37,VLOOKUP(INDIRECT($C$5),Jornada!$C$8:$W$37,21,0),0)=0,0,VLOOKUP(INDIRECT($C$5),Jornada!$C$8:$H$37,4,0))</f>
        <v>0</v>
      </c>
      <c r="AI10" s="155">
        <f ca="1">IF(AND(I10=0,J10=0,OR(H10&lt;&gt;0,K10&lt;&gt;0),HLOOKUP($F10,Jornada!$X$7:$AD$37,VLOOKUP(INDIRECT($C$5),Jornada!$C$8:$W$37,21,0),0)&gt;$AK$5,M10&gt;$AK$5),VLOOKUP(INDIRECT($C$5),Jornada!$C$8:$H$37,6,0),IF(AG10&gt;VLOOKUP(INDIRECT($C$5),Jornada!$C$8:$H$37,6,0),IF(VLOOKUP(INDIRECT($C$5),Jornada!$C$8:$H$37,6,0)&lt;AG10,0,ABS(VLOOKUP(INDIRECT($C$5),Jornada!$C$8:$H$37,6,0))-AG10),0))</f>
        <v>0</v>
      </c>
      <c r="AJ10" s="155">
        <f t="shared" si="5"/>
        <v>1</v>
      </c>
      <c r="AK10" s="155">
        <f t="shared" si="6"/>
        <v>0</v>
      </c>
      <c r="AL10" s="155">
        <f ca="1">HLOOKUP($F10,Jornada!$I$5:$V$37,VLOOKUP(INDIRECT($C$5),Jornada!$C$8:$W$37,21,0)+2,0)</f>
        <v>0</v>
      </c>
      <c r="AM10" s="155">
        <f ca="1">HLOOKUP($F10,Jornada!$I$4:$V$37,VLOOKUP(INDIRECT($C$5),Jornada!$C$8:$W$37,21,0)+3,0)</f>
        <v>0</v>
      </c>
      <c r="AN10" s="155">
        <f t="shared" ca="1" si="7"/>
        <v>0</v>
      </c>
      <c r="AO10" s="155">
        <f t="shared" si="8"/>
        <v>0</v>
      </c>
      <c r="AP10" s="155">
        <f t="shared" si="9"/>
        <v>0</v>
      </c>
      <c r="BE10" s="14"/>
      <c r="BF10" s="14"/>
      <c r="BG10" s="14"/>
    </row>
    <row r="11" spans="1:59" s="2" customFormat="1" ht="30" customHeight="1" thickTop="1" thickBot="1" x14ac:dyDescent="0.25">
      <c r="A11" s="1"/>
      <c r="B11"/>
      <c r="C11" s="172" t="str">
        <f>IF(Funcionários!C10=0,"",Funcionários!C10)</f>
        <v/>
      </c>
      <c r="D11"/>
      <c r="E11" s="115">
        <f>Lanç!E11</f>
        <v>4</v>
      </c>
      <c r="F11" s="189" t="str">
        <f>Lanç!F11</f>
        <v>Qua</v>
      </c>
      <c r="G11" s="81"/>
      <c r="H11" s="94"/>
      <c r="I11" s="94"/>
      <c r="J11" s="94"/>
      <c r="K11" s="94"/>
      <c r="L11" s="10"/>
      <c r="M11" s="95">
        <f t="shared" si="1"/>
        <v>0</v>
      </c>
      <c r="N11" s="96"/>
      <c r="O11" s="95">
        <f ca="1">IF(OR(G11=0,G11="Férias",G11="Falta Justificada",G11="Feriado",G11="Folga (DSR)"),0,IF(G11="Falta Injustificada",HLOOKUP($F11,Jornada!$X$7:$AD$37,VLOOKUP(INDIRECT($C$5),Jornada!$C$8:$W$37,21,0),0),IF(HLOOKUP($F11,Jornada!$X$7:$AD$37,VLOOKUP(INDIRECT($C$5),Jornada!$C$8:$W$37,21,0),0)-M11&gt;0,HLOOKUP($F11,Jornada!$X$7:$AD$37,VLOOKUP(INDIRECT($C$5),Jornada!$C$8:$W$37,21,0),0)-M11,0)))</f>
        <v>0</v>
      </c>
      <c r="P11" s="190">
        <f ca="1">IF(HLOOKUP($F11,Jornada!$X$7:$AD$37,VLOOKUP(INDIRECT($C$5),Jornada!$C$8:$W$37,21,0),0)-M11&lt;0,ABS(HLOOKUP($F11,Jornada!$X$7:$AD$37,VLOOKUP(INDIRECT($C$5),Jornada!$C$8:$W$37,21,0),0)-M11),0)</f>
        <v>0</v>
      </c>
      <c r="Q11" s="95">
        <f t="shared" si="0"/>
        <v>0</v>
      </c>
      <c r="R11" s="2">
        <f t="shared" si="2"/>
        <v>0</v>
      </c>
      <c r="S11" s="294"/>
      <c r="T11" s="294"/>
      <c r="U11" s="295"/>
      <c r="V11" s="2">
        <f ca="1">IF(AND(K5&gt;U12,M5="Horas devidas"),"Negativo",IF(AND(U12&gt;K5,U14&gt;F58),"Negativo",0))</f>
        <v>0</v>
      </c>
      <c r="W11" s="2" t="s">
        <v>94</v>
      </c>
      <c r="X11" s="156">
        <v>5</v>
      </c>
      <c r="Z11" s="2" t="str">
        <f ca="1">IF(AND(M5="horas extras",Z13="positivo"),"positivo",IF(AND(M5="horas devidas",Z13="Negativo"),"Negativo",IF(AND(Z13="positivo",M5="horas devidas",U12&gt;K5),"Positivo","Negativo")))</f>
        <v>Negativo</v>
      </c>
      <c r="AB11" s="177">
        <f t="shared" si="10"/>
        <v>4</v>
      </c>
      <c r="AC11" s="2">
        <f t="shared" si="3"/>
        <v>4</v>
      </c>
      <c r="AE11" s="2">
        <v>4</v>
      </c>
      <c r="AF11" s="2" t="s">
        <v>54</v>
      </c>
      <c r="AG11" s="220">
        <f t="shared" si="4"/>
        <v>0</v>
      </c>
      <c r="AH11" s="220">
        <f ca="1">IF(HLOOKUP($F11,Jornada!$X$7:$AD$37,VLOOKUP(INDIRECT($C$5),Jornada!$C$8:$W$37,21,0),0)=0,0,VLOOKUP(INDIRECT($C$5),Jornada!$C$8:$H$37,4,0))</f>
        <v>0</v>
      </c>
      <c r="AI11" s="155">
        <f ca="1">IF(AND(I11=0,J11=0,OR(H11&lt;&gt;0,K11&lt;&gt;0),HLOOKUP($F11,Jornada!$X$7:$AD$37,VLOOKUP(INDIRECT($C$5),Jornada!$C$8:$W$37,21,0),0)&gt;$AK$5,M11&gt;$AK$5),VLOOKUP(INDIRECT($C$5),Jornada!$C$8:$H$37,6,0),IF(AG11&gt;VLOOKUP(INDIRECT($C$5),Jornada!$C$8:$H$37,6,0),IF(VLOOKUP(INDIRECT($C$5),Jornada!$C$8:$H$37,6,0)&lt;AG11,0,ABS(VLOOKUP(INDIRECT($C$5),Jornada!$C$8:$H$37,6,0))-AG11),0))</f>
        <v>0</v>
      </c>
      <c r="AJ11" s="155">
        <f t="shared" si="5"/>
        <v>1</v>
      </c>
      <c r="AK11" s="155">
        <f t="shared" si="6"/>
        <v>0</v>
      </c>
      <c r="AL11" s="155">
        <f ca="1">HLOOKUP($F11,Jornada!$I$5:$V$37,VLOOKUP(INDIRECT($C$5),Jornada!$C$8:$W$37,21,0)+2,0)</f>
        <v>0</v>
      </c>
      <c r="AM11" s="155">
        <f ca="1">HLOOKUP($F11,Jornada!$I$4:$V$37,VLOOKUP(INDIRECT($C$5),Jornada!$C$8:$W$37,21,0)+3,0)</f>
        <v>0</v>
      </c>
      <c r="AN11" s="155">
        <f t="shared" ca="1" si="7"/>
        <v>0</v>
      </c>
      <c r="AO11" s="155">
        <f t="shared" si="8"/>
        <v>0</v>
      </c>
      <c r="AP11" s="155">
        <f t="shared" si="9"/>
        <v>0</v>
      </c>
      <c r="BE11" s="14"/>
      <c r="BF11" s="14"/>
      <c r="BG11" s="14"/>
    </row>
    <row r="12" spans="1:59" s="2" customFormat="1" ht="30" customHeight="1" thickTop="1" thickBot="1" x14ac:dyDescent="0.25">
      <c r="A12" s="1"/>
      <c r="B12"/>
      <c r="C12" s="172" t="str">
        <f>IF(Funcionários!C11=0,"",Funcionários!C11)</f>
        <v/>
      </c>
      <c r="D12"/>
      <c r="E12" s="115">
        <f>Lanç!E12</f>
        <v>5</v>
      </c>
      <c r="F12" s="189" t="str">
        <f>Lanç!F12</f>
        <v>Qui</v>
      </c>
      <c r="G12" s="81"/>
      <c r="H12" s="94"/>
      <c r="I12" s="94"/>
      <c r="J12" s="94"/>
      <c r="K12" s="94"/>
      <c r="L12" s="10"/>
      <c r="M12" s="95">
        <f t="shared" si="1"/>
        <v>0</v>
      </c>
      <c r="N12" s="96"/>
      <c r="O12" s="95">
        <f ca="1">IF(OR(G12=0,G12="Férias",G12="Falta Justificada",G12="Feriado",G12="Folga (DSR)"),0,IF(G12="Falta Injustificada",HLOOKUP($F12,Jornada!$X$7:$AD$37,VLOOKUP(INDIRECT($C$5),Jornada!$C$8:$W$37,21,0),0),IF(HLOOKUP($F12,Jornada!$X$7:$AD$37,VLOOKUP(INDIRECT($C$5),Jornada!$C$8:$W$37,21,0),0)-M12&gt;0,HLOOKUP($F12,Jornada!$X$7:$AD$37,VLOOKUP(INDIRECT($C$5),Jornada!$C$8:$W$37,21,0),0)-M12,0)))</f>
        <v>0</v>
      </c>
      <c r="P12" s="190">
        <f ca="1">IF(HLOOKUP($F12,Jornada!$X$7:$AD$37,VLOOKUP(INDIRECT($C$5),Jornada!$C$8:$W$37,21,0),0)-M12&lt;0,ABS(HLOOKUP($F12,Jornada!$X$7:$AD$37,VLOOKUP(INDIRECT($C$5),Jornada!$C$8:$W$37,21,0),0)-M12),0)</f>
        <v>0</v>
      </c>
      <c r="Q12" s="95">
        <f t="shared" si="0"/>
        <v>0</v>
      </c>
      <c r="R12" s="2">
        <f t="shared" si="2"/>
        <v>0</v>
      </c>
      <c r="S12" s="294" t="s">
        <v>175</v>
      </c>
      <c r="T12" s="294"/>
      <c r="U12" s="295">
        <f ca="1">IF(U14&gt;=F58,(U14)-F58,(F58-U14))</f>
        <v>0</v>
      </c>
      <c r="W12" s="2" t="s">
        <v>95</v>
      </c>
      <c r="X12" s="156">
        <v>6</v>
      </c>
      <c r="AB12" s="177">
        <f t="shared" si="10"/>
        <v>5</v>
      </c>
      <c r="AC12" s="2">
        <f t="shared" si="3"/>
        <v>5</v>
      </c>
      <c r="AE12" s="2">
        <v>5</v>
      </c>
      <c r="AF12" s="2" t="s">
        <v>55</v>
      </c>
      <c r="AG12" s="220">
        <f t="shared" si="4"/>
        <v>0</v>
      </c>
      <c r="AH12" s="220">
        <f ca="1">IF(HLOOKUP($F12,Jornada!$X$7:$AD$37,VLOOKUP(INDIRECT($C$5),Jornada!$C$8:$W$37,21,0),0)=0,0,VLOOKUP(INDIRECT($C$5),Jornada!$C$8:$H$37,4,0))</f>
        <v>0</v>
      </c>
      <c r="AI12" s="155">
        <f ca="1">IF(AND(I12=0,J12=0,OR(H12&lt;&gt;0,K12&lt;&gt;0),HLOOKUP($F12,Jornada!$X$7:$AD$37,VLOOKUP(INDIRECT($C$5),Jornada!$C$8:$W$37,21,0),0)&gt;$AK$5,M12&gt;$AK$5),VLOOKUP(INDIRECT($C$5),Jornada!$C$8:$H$37,6,0),IF(AG12&gt;VLOOKUP(INDIRECT($C$5),Jornada!$C$8:$H$37,6,0),IF(VLOOKUP(INDIRECT($C$5),Jornada!$C$8:$H$37,6,0)&lt;AG12,0,ABS(VLOOKUP(INDIRECT($C$5),Jornada!$C$8:$H$37,6,0))-AG12),0))</f>
        <v>0</v>
      </c>
      <c r="AJ12" s="155">
        <f t="shared" si="5"/>
        <v>1</v>
      </c>
      <c r="AK12" s="155">
        <f t="shared" si="6"/>
        <v>0</v>
      </c>
      <c r="AL12" s="155">
        <f ca="1">HLOOKUP($F12,Jornada!$I$5:$V$37,VLOOKUP(INDIRECT($C$5),Jornada!$C$8:$W$37,21,0)+2,0)</f>
        <v>0</v>
      </c>
      <c r="AM12" s="155">
        <f ca="1">HLOOKUP($F12,Jornada!$I$4:$V$37,VLOOKUP(INDIRECT($C$5),Jornada!$C$8:$W$37,21,0)+3,0)</f>
        <v>0</v>
      </c>
      <c r="AN12" s="155">
        <f t="shared" ca="1" si="7"/>
        <v>0</v>
      </c>
      <c r="AO12" s="155">
        <f t="shared" si="8"/>
        <v>0</v>
      </c>
      <c r="AP12" s="155">
        <f t="shared" si="9"/>
        <v>0</v>
      </c>
      <c r="BE12" s="14"/>
      <c r="BF12" s="14"/>
      <c r="BG12" s="14"/>
    </row>
    <row r="13" spans="1:59" s="2" customFormat="1" ht="30" customHeight="1" thickTop="1" thickBot="1" x14ac:dyDescent="0.25">
      <c r="A13" s="1"/>
      <c r="B13"/>
      <c r="C13" s="172" t="str">
        <f>IF(Funcionários!C12=0,"",Funcionários!C12)</f>
        <v/>
      </c>
      <c r="D13"/>
      <c r="E13" s="115">
        <f>Lanç!E13</f>
        <v>6</v>
      </c>
      <c r="F13" s="189" t="str">
        <f>Lanç!F13</f>
        <v>Sex</v>
      </c>
      <c r="G13" s="81"/>
      <c r="H13" s="94"/>
      <c r="I13" s="94"/>
      <c r="J13" s="94"/>
      <c r="K13" s="94"/>
      <c r="L13" s="10"/>
      <c r="M13" s="95">
        <f t="shared" si="1"/>
        <v>0</v>
      </c>
      <c r="N13" s="96"/>
      <c r="O13" s="95">
        <f ca="1">IF(OR(G13=0,G13="Férias",G13="Falta Justificada",G13="Feriado",G13="Folga (DSR)"),0,IF(G13="Falta Injustificada",HLOOKUP($F13,Jornada!$X$7:$AD$37,VLOOKUP(INDIRECT($C$5),Jornada!$C$8:$W$37,21,0),0),IF(HLOOKUP($F13,Jornada!$X$7:$AD$37,VLOOKUP(INDIRECT($C$5),Jornada!$C$8:$W$37,21,0),0)-M13&gt;0,HLOOKUP($F13,Jornada!$X$7:$AD$37,VLOOKUP(INDIRECT($C$5),Jornada!$C$8:$W$37,21,0),0)-M13,0)))</f>
        <v>0</v>
      </c>
      <c r="P13" s="190">
        <f ca="1">IF(HLOOKUP($F13,Jornada!$X$7:$AD$37,VLOOKUP(INDIRECT($C$5),Jornada!$C$8:$W$37,21,0),0)-M13&lt;0,ABS(HLOOKUP($F13,Jornada!$X$7:$AD$37,VLOOKUP(INDIRECT($C$5),Jornada!$C$8:$W$37,21,0),0)-M13),0)</f>
        <v>0</v>
      </c>
      <c r="Q13" s="95">
        <f t="shared" si="0"/>
        <v>0</v>
      </c>
      <c r="R13" s="2">
        <f t="shared" si="2"/>
        <v>0</v>
      </c>
      <c r="S13" s="294"/>
      <c r="T13" s="294"/>
      <c r="U13" s="295"/>
      <c r="W13" s="2" t="s">
        <v>96</v>
      </c>
      <c r="X13" s="156">
        <v>7</v>
      </c>
      <c r="Z13" s="2" t="str">
        <f ca="1">IF(U14&gt;F58,"Negativo","Positivo")</f>
        <v>Positivo</v>
      </c>
      <c r="AB13" s="177">
        <f t="shared" si="10"/>
        <v>6</v>
      </c>
      <c r="AC13" s="2">
        <f t="shared" si="3"/>
        <v>6</v>
      </c>
      <c r="AE13" s="2">
        <v>6</v>
      </c>
      <c r="AF13" s="2" t="s">
        <v>56</v>
      </c>
      <c r="AG13" s="220">
        <f t="shared" si="4"/>
        <v>0</v>
      </c>
      <c r="AH13" s="220">
        <f ca="1">IF(HLOOKUP($F13,Jornada!$X$7:$AD$37,VLOOKUP(INDIRECT($C$5),Jornada!$C$8:$W$37,21,0),0)=0,0,VLOOKUP(INDIRECT($C$5),Jornada!$C$8:$H$37,4,0))</f>
        <v>0</v>
      </c>
      <c r="AI13" s="155">
        <f ca="1">IF(AND(I13=0,J13=0,OR(H13&lt;&gt;0,K13&lt;&gt;0),HLOOKUP($F13,Jornada!$X$7:$AD$37,VLOOKUP(INDIRECT($C$5),Jornada!$C$8:$W$37,21,0),0)&gt;$AK$5,M13&gt;$AK$5),VLOOKUP(INDIRECT($C$5),Jornada!$C$8:$H$37,6,0),IF(AG13&gt;VLOOKUP(INDIRECT($C$5),Jornada!$C$8:$H$37,6,0),IF(VLOOKUP(INDIRECT($C$5),Jornada!$C$8:$H$37,6,0)&lt;AG13,0,ABS(VLOOKUP(INDIRECT($C$5),Jornada!$C$8:$H$37,6,0))-AG13),0))</f>
        <v>0</v>
      </c>
      <c r="AJ13" s="155">
        <f t="shared" si="5"/>
        <v>1</v>
      </c>
      <c r="AK13" s="155">
        <f t="shared" si="6"/>
        <v>0</v>
      </c>
      <c r="AL13" s="155">
        <f ca="1">HLOOKUP($F13,Jornada!$I$5:$V$37,VLOOKUP(INDIRECT($C$5),Jornada!$C$8:$W$37,21,0)+2,0)</f>
        <v>0</v>
      </c>
      <c r="AM13" s="155">
        <f ca="1">HLOOKUP($F13,Jornada!$I$4:$V$37,VLOOKUP(INDIRECT($C$5),Jornada!$C$8:$W$37,21,0)+3,0)</f>
        <v>0</v>
      </c>
      <c r="AN13" s="155">
        <f t="shared" ca="1" si="7"/>
        <v>0</v>
      </c>
      <c r="AO13" s="155">
        <f t="shared" si="8"/>
        <v>0</v>
      </c>
      <c r="AP13" s="155">
        <f t="shared" si="9"/>
        <v>0</v>
      </c>
      <c r="BE13" s="14"/>
      <c r="BF13" s="14"/>
      <c r="BG13" s="14"/>
    </row>
    <row r="14" spans="1:59" s="2" customFormat="1" ht="30" customHeight="1" thickTop="1" thickBot="1" x14ac:dyDescent="0.25">
      <c r="A14" s="1"/>
      <c r="B14"/>
      <c r="C14" s="172" t="str">
        <f>IF(Funcionários!C13=0,"",Funcionários!C13)</f>
        <v/>
      </c>
      <c r="D14"/>
      <c r="E14" s="115">
        <f>Lanç!E14</f>
        <v>7</v>
      </c>
      <c r="F14" s="189" t="str">
        <f>Lanç!F14</f>
        <v>Sáb</v>
      </c>
      <c r="G14" s="81"/>
      <c r="H14" s="94"/>
      <c r="I14" s="94"/>
      <c r="J14" s="94"/>
      <c r="K14" s="94"/>
      <c r="L14" s="10"/>
      <c r="M14" s="95">
        <f t="shared" si="1"/>
        <v>0</v>
      </c>
      <c r="N14" s="96"/>
      <c r="O14" s="95">
        <f ca="1">IF(OR(G14=0,G14="Férias",G14="Falta Justificada",G14="Feriado",G14="Folga (DSR)"),0,IF(G14="Falta Injustificada",HLOOKUP($F14,Jornada!$X$7:$AD$37,VLOOKUP(INDIRECT($C$5),Jornada!$C$8:$W$37,21,0),0),IF(HLOOKUP($F14,Jornada!$X$7:$AD$37,VLOOKUP(INDIRECT($C$5),Jornada!$C$8:$W$37,21,0),0)-M14&gt;0,HLOOKUP($F14,Jornada!$X$7:$AD$37,VLOOKUP(INDIRECT($C$5),Jornada!$C$8:$W$37,21,0),0)-M14,0)))</f>
        <v>0</v>
      </c>
      <c r="P14" s="190">
        <f ca="1">IF(HLOOKUP($F14,Jornada!$X$7:$AD$37,VLOOKUP(INDIRECT($C$5),Jornada!$C$8:$W$37,21,0),0)-M14&lt;0,ABS(HLOOKUP($F14,Jornada!$X$7:$AD$37,VLOOKUP(INDIRECT($C$5),Jornada!$C$8:$W$37,21,0),0)-M14),0)</f>
        <v>0</v>
      </c>
      <c r="Q14" s="95">
        <f t="shared" si="0"/>
        <v>0</v>
      </c>
      <c r="R14" s="2">
        <f t="shared" si="2"/>
        <v>0</v>
      </c>
      <c r="S14" s="294" t="s">
        <v>68</v>
      </c>
      <c r="T14" s="294"/>
      <c r="U14" s="295">
        <f ca="1">SUM(O8:O38)</f>
        <v>0</v>
      </c>
      <c r="W14" s="2" t="s">
        <v>97</v>
      </c>
      <c r="X14" s="156">
        <v>8</v>
      </c>
      <c r="AB14" s="177">
        <f t="shared" si="10"/>
        <v>7</v>
      </c>
      <c r="AC14" s="2">
        <f t="shared" si="3"/>
        <v>7</v>
      </c>
      <c r="AE14" s="2">
        <v>7</v>
      </c>
      <c r="AF14" s="2" t="s">
        <v>57</v>
      </c>
      <c r="AG14" s="220">
        <f t="shared" si="4"/>
        <v>0</v>
      </c>
      <c r="AH14" s="220">
        <f ca="1">IF(HLOOKUP($F14,Jornada!$X$7:$AD$37,VLOOKUP(INDIRECT($C$5),Jornada!$C$8:$W$37,21,0),0)=0,0,VLOOKUP(INDIRECT($C$5),Jornada!$C$8:$H$37,4,0))</f>
        <v>0</v>
      </c>
      <c r="AI14" s="155">
        <f ca="1">IF(AND(I14=0,J14=0,OR(H14&lt;&gt;0,K14&lt;&gt;0),HLOOKUP($F14,Jornada!$X$7:$AD$37,VLOOKUP(INDIRECT($C$5),Jornada!$C$8:$W$37,21,0),0)&gt;$AK$5,M14&gt;$AK$5),VLOOKUP(INDIRECT($C$5),Jornada!$C$8:$H$37,6,0),IF(AG14&gt;VLOOKUP(INDIRECT($C$5),Jornada!$C$8:$H$37,6,0),IF(VLOOKUP(INDIRECT($C$5),Jornada!$C$8:$H$37,6,0)&lt;AG14,0,ABS(VLOOKUP(INDIRECT($C$5),Jornada!$C$8:$H$37,6,0))-AG14),0))</f>
        <v>0</v>
      </c>
      <c r="AJ14" s="155">
        <f t="shared" si="5"/>
        <v>1</v>
      </c>
      <c r="AK14" s="155">
        <f t="shared" si="6"/>
        <v>0</v>
      </c>
      <c r="AL14" s="155">
        <f ca="1">HLOOKUP($F14,Jornada!$I$5:$V$37,VLOOKUP(INDIRECT($C$5),Jornada!$C$8:$W$37,21,0)+2,0)</f>
        <v>0</v>
      </c>
      <c r="AM14" s="155">
        <f ca="1">HLOOKUP($F14,Jornada!$I$4:$V$37,VLOOKUP(INDIRECT($C$5),Jornada!$C$8:$W$37,21,0)+3,0)</f>
        <v>0</v>
      </c>
      <c r="AN14" s="155">
        <f t="shared" ca="1" si="7"/>
        <v>0</v>
      </c>
      <c r="AO14" s="155">
        <f t="shared" si="8"/>
        <v>0</v>
      </c>
      <c r="AP14" s="155">
        <f t="shared" si="9"/>
        <v>0</v>
      </c>
      <c r="BE14" s="14"/>
      <c r="BF14" s="14"/>
      <c r="BG14" s="14"/>
    </row>
    <row r="15" spans="1:59" s="2" customFormat="1" ht="30" customHeight="1" thickTop="1" thickBot="1" x14ac:dyDescent="0.25">
      <c r="A15" s="1"/>
      <c r="B15"/>
      <c r="C15" s="172" t="str">
        <f>IF(Funcionários!C14=0,"",Funcionários!C14)</f>
        <v/>
      </c>
      <c r="D15"/>
      <c r="E15" s="115">
        <f>Lanç!E15</f>
        <v>8</v>
      </c>
      <c r="F15" s="189" t="str">
        <f>Lanç!F15</f>
        <v>Dom</v>
      </c>
      <c r="G15" s="81"/>
      <c r="H15" s="94"/>
      <c r="I15" s="94"/>
      <c r="J15" s="94"/>
      <c r="K15" s="94"/>
      <c r="L15" s="10"/>
      <c r="M15" s="95">
        <f t="shared" si="1"/>
        <v>0</v>
      </c>
      <c r="N15" s="96"/>
      <c r="O15" s="95">
        <f ca="1">IF(OR(G15=0,G15="Férias",G15="Falta Justificada",G15="Feriado",G15="Folga (DSR)"),0,IF(G15="Falta Injustificada",HLOOKUP($F15,Jornada!$X$7:$AD$37,VLOOKUP(INDIRECT($C$5),Jornada!$C$8:$W$37,21,0),0),IF(HLOOKUP($F15,Jornada!$X$7:$AD$37,VLOOKUP(INDIRECT($C$5),Jornada!$C$8:$W$37,21,0),0)-M15&gt;0,HLOOKUP($F15,Jornada!$X$7:$AD$37,VLOOKUP(INDIRECT($C$5),Jornada!$C$8:$W$37,21,0),0)-M15,0)))</f>
        <v>0</v>
      </c>
      <c r="P15" s="190">
        <f ca="1">IF(HLOOKUP($F15,Jornada!$X$7:$AD$37,VLOOKUP(INDIRECT($C$5),Jornada!$C$8:$W$37,21,0),0)-M15&lt;0,ABS(HLOOKUP($F15,Jornada!$X$7:$AD$37,VLOOKUP(INDIRECT($C$5),Jornada!$C$8:$W$37,21,0),0)-M15),0)</f>
        <v>0</v>
      </c>
      <c r="Q15" s="95">
        <f t="shared" si="0"/>
        <v>0</v>
      </c>
      <c r="R15" s="2">
        <f t="shared" si="2"/>
        <v>0</v>
      </c>
      <c r="S15" s="294"/>
      <c r="T15" s="294"/>
      <c r="U15" s="295"/>
      <c r="W15" s="2" t="s">
        <v>98</v>
      </c>
      <c r="X15" s="156">
        <v>9</v>
      </c>
      <c r="AB15" s="177">
        <f t="shared" si="10"/>
        <v>8</v>
      </c>
      <c r="AC15" s="2">
        <f t="shared" si="3"/>
        <v>1</v>
      </c>
      <c r="AG15" s="220">
        <f t="shared" si="4"/>
        <v>0</v>
      </c>
      <c r="AH15" s="220">
        <f ca="1">IF(HLOOKUP($F15,Jornada!$X$7:$AD$37,VLOOKUP(INDIRECT($C$5),Jornada!$C$8:$W$37,21,0),0)=0,0,VLOOKUP(INDIRECT($C$5),Jornada!$C$8:$H$37,4,0))</f>
        <v>0</v>
      </c>
      <c r="AI15" s="155">
        <f ca="1">IF(AND(I15=0,J15=0,OR(H15&lt;&gt;0,K15&lt;&gt;0),HLOOKUP($F15,Jornada!$X$7:$AD$37,VLOOKUP(INDIRECT($C$5),Jornada!$C$8:$W$37,21,0),0)&gt;$AK$5,M15&gt;$AK$5),VLOOKUP(INDIRECT($C$5),Jornada!$C$8:$H$37,6,0),IF(AG15&gt;VLOOKUP(INDIRECT($C$5),Jornada!$C$8:$H$37,6,0),IF(VLOOKUP(INDIRECT($C$5),Jornada!$C$8:$H$37,6,0)&lt;AG15,0,ABS(VLOOKUP(INDIRECT($C$5),Jornada!$C$8:$H$37,6,0))-AG15),0))</f>
        <v>0</v>
      </c>
      <c r="AJ15" s="155">
        <f t="shared" si="5"/>
        <v>1</v>
      </c>
      <c r="AK15" s="155">
        <f t="shared" si="6"/>
        <v>0</v>
      </c>
      <c r="AL15" s="155">
        <f ca="1">HLOOKUP($F15,Jornada!$I$5:$V$37,VLOOKUP(INDIRECT($C$5),Jornada!$C$8:$W$37,21,0)+2,0)</f>
        <v>0</v>
      </c>
      <c r="AM15" s="155">
        <f ca="1">HLOOKUP($F15,Jornada!$I$4:$V$37,VLOOKUP(INDIRECT($C$5),Jornada!$C$8:$W$37,21,0)+3,0)</f>
        <v>0</v>
      </c>
      <c r="AN15" s="155">
        <f t="shared" ca="1" si="7"/>
        <v>0</v>
      </c>
      <c r="AO15" s="155">
        <f t="shared" si="8"/>
        <v>0</v>
      </c>
      <c r="AP15" s="155">
        <f t="shared" si="9"/>
        <v>0</v>
      </c>
      <c r="BE15" s="14"/>
      <c r="BF15" s="14"/>
      <c r="BG15" s="14"/>
    </row>
    <row r="16" spans="1:59" s="2" customFormat="1" ht="30" customHeight="1" thickTop="1" thickBot="1" x14ac:dyDescent="0.25">
      <c r="A16" s="1"/>
      <c r="B16"/>
      <c r="C16" s="172" t="str">
        <f>IF(Funcionários!C15=0,"",Funcionários!C15)</f>
        <v/>
      </c>
      <c r="D16"/>
      <c r="E16" s="115">
        <f>Lanç!E16</f>
        <v>9</v>
      </c>
      <c r="F16" s="189" t="str">
        <f>Lanç!F16</f>
        <v>Seg</v>
      </c>
      <c r="G16" s="81"/>
      <c r="H16" s="94"/>
      <c r="I16" s="94"/>
      <c r="J16" s="94"/>
      <c r="K16" s="94"/>
      <c r="L16" s="10"/>
      <c r="M16" s="95">
        <f t="shared" si="1"/>
        <v>0</v>
      </c>
      <c r="N16" s="96"/>
      <c r="O16" s="95">
        <f ca="1">IF(OR(G16=0,G16="Férias",G16="Falta Justificada",G16="Feriado",G16="Folga (DSR)"),0,IF(G16="Falta Injustificada",HLOOKUP($F16,Jornada!$X$7:$AD$37,VLOOKUP(INDIRECT($C$5),Jornada!$C$8:$W$37,21,0),0),IF(HLOOKUP($F16,Jornada!$X$7:$AD$37,VLOOKUP(INDIRECT($C$5),Jornada!$C$8:$W$37,21,0),0)-M16&gt;0,HLOOKUP($F16,Jornada!$X$7:$AD$37,VLOOKUP(INDIRECT($C$5),Jornada!$C$8:$W$37,21,0),0)-M16,0)))</f>
        <v>0</v>
      </c>
      <c r="P16" s="190">
        <f ca="1">IF(HLOOKUP($F16,Jornada!$X$7:$AD$37,VLOOKUP(INDIRECT($C$5),Jornada!$C$8:$W$37,21,0),0)-M16&lt;0,ABS(HLOOKUP($F16,Jornada!$X$7:$AD$37,VLOOKUP(INDIRECT($C$5),Jornada!$C$8:$W$37,21,0),0)-M16),0)</f>
        <v>0</v>
      </c>
      <c r="Q16" s="95">
        <f t="shared" si="0"/>
        <v>0</v>
      </c>
      <c r="R16" s="2">
        <f t="shared" si="2"/>
        <v>0</v>
      </c>
      <c r="S16" s="294" t="s">
        <v>67</v>
      </c>
      <c r="T16" s="294"/>
      <c r="U16" s="295">
        <f>SUM(Q8:Q38)</f>
        <v>0</v>
      </c>
      <c r="W16" s="2" t="s">
        <v>99</v>
      </c>
      <c r="X16" s="156">
        <v>10</v>
      </c>
      <c r="AB16" s="177">
        <f t="shared" si="10"/>
        <v>9</v>
      </c>
      <c r="AC16" s="2">
        <f t="shared" si="3"/>
        <v>2</v>
      </c>
      <c r="AG16" s="220">
        <f t="shared" si="4"/>
        <v>0</v>
      </c>
      <c r="AH16" s="220">
        <f ca="1">IF(HLOOKUP($F16,Jornada!$X$7:$AD$37,VLOOKUP(INDIRECT($C$5),Jornada!$C$8:$W$37,21,0),0)=0,0,VLOOKUP(INDIRECT($C$5),Jornada!$C$8:$H$37,4,0))</f>
        <v>0</v>
      </c>
      <c r="AI16" s="155">
        <f ca="1">IF(AND(I16=0,J16=0,OR(H16&lt;&gt;0,K16&lt;&gt;0),HLOOKUP($F16,Jornada!$X$7:$AD$37,VLOOKUP(INDIRECT($C$5),Jornada!$C$8:$W$37,21,0),0)&gt;$AK$5,M16&gt;$AK$5),VLOOKUP(INDIRECT($C$5),Jornada!$C$8:$H$37,6,0),IF(AG16&gt;VLOOKUP(INDIRECT($C$5),Jornada!$C$8:$H$37,6,0),IF(VLOOKUP(INDIRECT($C$5),Jornada!$C$8:$H$37,6,0)&lt;AG16,0,ABS(VLOOKUP(INDIRECT($C$5),Jornada!$C$8:$H$37,6,0))-AG16),0))</f>
        <v>0</v>
      </c>
      <c r="AJ16" s="155">
        <f t="shared" si="5"/>
        <v>1</v>
      </c>
      <c r="AK16" s="155">
        <f t="shared" si="6"/>
        <v>0</v>
      </c>
      <c r="AL16" s="155">
        <f ca="1">HLOOKUP($F16,Jornada!$I$5:$V$37,VLOOKUP(INDIRECT($C$5),Jornada!$C$8:$W$37,21,0)+2,0)</f>
        <v>0</v>
      </c>
      <c r="AM16" s="155">
        <f ca="1">HLOOKUP($F16,Jornada!$I$4:$V$37,VLOOKUP(INDIRECT($C$5),Jornada!$C$8:$W$37,21,0)+3,0)</f>
        <v>0</v>
      </c>
      <c r="AN16" s="155">
        <f t="shared" ca="1" si="7"/>
        <v>0</v>
      </c>
      <c r="AO16" s="155">
        <f t="shared" si="8"/>
        <v>0</v>
      </c>
      <c r="AP16" s="155">
        <f t="shared" si="9"/>
        <v>0</v>
      </c>
      <c r="BE16" s="14"/>
      <c r="BF16" s="14"/>
      <c r="BG16" s="14"/>
    </row>
    <row r="17" spans="1:59" s="2" customFormat="1" ht="30" customHeight="1" thickTop="1" thickBot="1" x14ac:dyDescent="0.25">
      <c r="A17" s="1"/>
      <c r="B17"/>
      <c r="C17" s="172" t="str">
        <f>IF(Funcionários!C16=0,"",Funcionários!C16)</f>
        <v/>
      </c>
      <c r="D17"/>
      <c r="E17" s="115">
        <f>Lanç!E17</f>
        <v>10</v>
      </c>
      <c r="F17" s="189" t="str">
        <f>Lanç!F17</f>
        <v>Ter</v>
      </c>
      <c r="G17" s="81"/>
      <c r="H17" s="94"/>
      <c r="I17" s="94"/>
      <c r="J17" s="94"/>
      <c r="K17" s="94"/>
      <c r="L17" s="10"/>
      <c r="M17" s="95">
        <f t="shared" si="1"/>
        <v>0</v>
      </c>
      <c r="N17" s="96"/>
      <c r="O17" s="95">
        <f ca="1">IF(OR(G17=0,G17="Férias",G17="Falta Justificada",G17="Feriado",G17="Folga (DSR)"),0,IF(G17="Falta Injustificada",HLOOKUP($F17,Jornada!$X$7:$AD$37,VLOOKUP(INDIRECT($C$5),Jornada!$C$8:$W$37,21,0),0),IF(HLOOKUP($F17,Jornada!$X$7:$AD$37,VLOOKUP(INDIRECT($C$5),Jornada!$C$8:$W$37,21,0),0)-M17&gt;0,HLOOKUP($F17,Jornada!$X$7:$AD$37,VLOOKUP(INDIRECT($C$5),Jornada!$C$8:$W$37,21,0),0)-M17,0)))</f>
        <v>0</v>
      </c>
      <c r="P17" s="190">
        <f ca="1">IF(HLOOKUP($F17,Jornada!$X$7:$AD$37,VLOOKUP(INDIRECT($C$5),Jornada!$C$8:$W$37,21,0),0)-M17&lt;0,ABS(HLOOKUP($F17,Jornada!$X$7:$AD$37,VLOOKUP(INDIRECT($C$5),Jornada!$C$8:$W$37,21,0),0)-M17),0)</f>
        <v>0</v>
      </c>
      <c r="Q17" s="95">
        <f t="shared" si="0"/>
        <v>0</v>
      </c>
      <c r="R17" s="2">
        <f t="shared" si="2"/>
        <v>0</v>
      </c>
      <c r="S17" s="294"/>
      <c r="T17" s="294"/>
      <c r="U17" s="295"/>
      <c r="W17" s="2" t="s">
        <v>100</v>
      </c>
      <c r="X17" s="156">
        <v>11</v>
      </c>
      <c r="AB17" s="177">
        <f t="shared" si="10"/>
        <v>10</v>
      </c>
      <c r="AC17" s="2">
        <f t="shared" si="3"/>
        <v>3</v>
      </c>
      <c r="AG17" s="220">
        <f t="shared" si="4"/>
        <v>0</v>
      </c>
      <c r="AH17" s="220">
        <f ca="1">IF(HLOOKUP($F17,Jornada!$X$7:$AD$37,VLOOKUP(INDIRECT($C$5),Jornada!$C$8:$W$37,21,0),0)=0,0,VLOOKUP(INDIRECT($C$5),Jornada!$C$8:$H$37,4,0))</f>
        <v>0</v>
      </c>
      <c r="AI17" s="155">
        <f ca="1">IF(AND(I17=0,J17=0,OR(H17&lt;&gt;0,K17&lt;&gt;0),HLOOKUP($F17,Jornada!$X$7:$AD$37,VLOOKUP(INDIRECT($C$5),Jornada!$C$8:$W$37,21,0),0)&gt;$AK$5,M17&gt;$AK$5),VLOOKUP(INDIRECT($C$5),Jornada!$C$8:$H$37,6,0),IF(AG17&gt;VLOOKUP(INDIRECT($C$5),Jornada!$C$8:$H$37,6,0),IF(VLOOKUP(INDIRECT($C$5),Jornada!$C$8:$H$37,6,0)&lt;AG17,0,ABS(VLOOKUP(INDIRECT($C$5),Jornada!$C$8:$H$37,6,0))-AG17),0))</f>
        <v>0</v>
      </c>
      <c r="AJ17" s="155">
        <f t="shared" si="5"/>
        <v>1</v>
      </c>
      <c r="AK17" s="155">
        <f t="shared" si="6"/>
        <v>0</v>
      </c>
      <c r="AL17" s="155">
        <f ca="1">HLOOKUP($F17,Jornada!$I$5:$V$37,VLOOKUP(INDIRECT($C$5),Jornada!$C$8:$W$37,21,0)+2,0)</f>
        <v>0</v>
      </c>
      <c r="AM17" s="155">
        <f ca="1">HLOOKUP($F17,Jornada!$I$4:$V$37,VLOOKUP(INDIRECT($C$5),Jornada!$C$8:$W$37,21,0)+3,0)</f>
        <v>0</v>
      </c>
      <c r="AN17" s="155">
        <f t="shared" ca="1" si="7"/>
        <v>0</v>
      </c>
      <c r="AO17" s="155">
        <f t="shared" si="8"/>
        <v>0</v>
      </c>
      <c r="AP17" s="155">
        <f t="shared" si="9"/>
        <v>0</v>
      </c>
      <c r="BE17" s="14"/>
      <c r="BF17" s="14"/>
      <c r="BG17" s="14"/>
    </row>
    <row r="18" spans="1:59" s="2" customFormat="1" ht="30" customHeight="1" thickTop="1" thickBot="1" x14ac:dyDescent="0.25">
      <c r="A18" s="1"/>
      <c r="B18"/>
      <c r="C18" s="172" t="str">
        <f>IF(Funcionários!C17=0,"",Funcionários!C17)</f>
        <v/>
      </c>
      <c r="D18"/>
      <c r="E18" s="115">
        <f>Lanç!E18</f>
        <v>11</v>
      </c>
      <c r="F18" s="189" t="str">
        <f>Lanç!F18</f>
        <v>Qua</v>
      </c>
      <c r="G18" s="81"/>
      <c r="H18" s="94"/>
      <c r="I18" s="94"/>
      <c r="J18" s="94"/>
      <c r="K18" s="94"/>
      <c r="L18" s="10"/>
      <c r="M18" s="95">
        <f t="shared" si="1"/>
        <v>0</v>
      </c>
      <c r="N18" s="96"/>
      <c r="O18" s="95">
        <f ca="1">IF(OR(G18=0,G18="Férias",G18="Falta Justificada",G18="Feriado",G18="Folga (DSR)"),0,IF(G18="Falta Injustificada",HLOOKUP($F18,Jornada!$X$7:$AD$37,VLOOKUP(INDIRECT($C$5),Jornada!$C$8:$W$37,21,0),0),IF(HLOOKUP($F18,Jornada!$X$7:$AD$37,VLOOKUP(INDIRECT($C$5),Jornada!$C$8:$W$37,21,0),0)-M18&gt;0,HLOOKUP($F18,Jornada!$X$7:$AD$37,VLOOKUP(INDIRECT($C$5),Jornada!$C$8:$W$37,21,0),0)-M18,0)))</f>
        <v>0</v>
      </c>
      <c r="P18" s="190">
        <f ca="1">IF(HLOOKUP($F18,Jornada!$X$7:$AD$37,VLOOKUP(INDIRECT($C$5),Jornada!$C$8:$W$37,21,0),0)-M18&lt;0,ABS(HLOOKUP($F18,Jornada!$X$7:$AD$37,VLOOKUP(INDIRECT($C$5),Jornada!$C$8:$W$37,21,0),0)-M18),0)</f>
        <v>0</v>
      </c>
      <c r="Q18" s="95">
        <f t="shared" si="0"/>
        <v>0</v>
      </c>
      <c r="R18" s="2">
        <f t="shared" si="2"/>
        <v>0</v>
      </c>
      <c r="S18" s="294" t="s">
        <v>69</v>
      </c>
      <c r="T18" s="294"/>
      <c r="U18" s="299">
        <f ca="1">F54</f>
        <v>0</v>
      </c>
      <c r="W18" s="2" t="s">
        <v>101</v>
      </c>
      <c r="X18" s="156">
        <v>12</v>
      </c>
      <c r="AB18" s="177">
        <f t="shared" si="10"/>
        <v>11</v>
      </c>
      <c r="AC18" s="2">
        <f t="shared" si="3"/>
        <v>4</v>
      </c>
      <c r="AG18" s="220">
        <f t="shared" si="4"/>
        <v>0</v>
      </c>
      <c r="AH18" s="220">
        <f ca="1">IF(HLOOKUP($F18,Jornada!$X$7:$AD$37,VLOOKUP(INDIRECT($C$5),Jornada!$C$8:$W$37,21,0),0)=0,0,VLOOKUP(INDIRECT($C$5),Jornada!$C$8:$H$37,4,0))</f>
        <v>0</v>
      </c>
      <c r="AI18" s="155">
        <f ca="1">IF(AND(I18=0,J18=0,OR(H18&lt;&gt;0,K18&lt;&gt;0),HLOOKUP($F18,Jornada!$X$7:$AD$37,VLOOKUP(INDIRECT($C$5),Jornada!$C$8:$W$37,21,0),0)&gt;$AK$5,M18&gt;$AK$5),VLOOKUP(INDIRECT($C$5),Jornada!$C$8:$H$37,6,0),IF(AG18&gt;VLOOKUP(INDIRECT($C$5),Jornada!$C$8:$H$37,6,0),IF(VLOOKUP(INDIRECT($C$5),Jornada!$C$8:$H$37,6,0)&lt;AG18,0,ABS(VLOOKUP(INDIRECT($C$5),Jornada!$C$8:$H$37,6,0))-AG18),0))</f>
        <v>0</v>
      </c>
      <c r="AJ18" s="155">
        <f t="shared" si="5"/>
        <v>1</v>
      </c>
      <c r="AK18" s="155">
        <f t="shared" si="6"/>
        <v>0</v>
      </c>
      <c r="AL18" s="155">
        <f ca="1">HLOOKUP($F18,Jornada!$I$5:$V$37,VLOOKUP(INDIRECT($C$5),Jornada!$C$8:$W$37,21,0)+2,0)</f>
        <v>0</v>
      </c>
      <c r="AM18" s="155">
        <f ca="1">HLOOKUP($F18,Jornada!$I$4:$V$37,VLOOKUP(INDIRECT($C$5),Jornada!$C$8:$W$37,21,0)+3,0)</f>
        <v>0</v>
      </c>
      <c r="AN18" s="155">
        <f t="shared" ca="1" si="7"/>
        <v>0</v>
      </c>
      <c r="AO18" s="155">
        <f t="shared" si="8"/>
        <v>0</v>
      </c>
      <c r="AP18" s="155">
        <f t="shared" si="9"/>
        <v>0</v>
      </c>
      <c r="BE18" s="14"/>
      <c r="BF18" s="14"/>
      <c r="BG18" s="14"/>
    </row>
    <row r="19" spans="1:59" s="2" customFormat="1" ht="30" customHeight="1" thickTop="1" thickBot="1" x14ac:dyDescent="0.25">
      <c r="A19" s="1"/>
      <c r="B19"/>
      <c r="C19" s="172" t="str">
        <f>IF(Funcionários!C18=0,"",Funcionários!C18)</f>
        <v/>
      </c>
      <c r="D19"/>
      <c r="E19" s="115">
        <f>Lanç!E19</f>
        <v>12</v>
      </c>
      <c r="F19" s="189" t="str">
        <f>Lanç!F19</f>
        <v>Qui</v>
      </c>
      <c r="G19" s="81"/>
      <c r="H19" s="94"/>
      <c r="I19" s="94"/>
      <c r="J19" s="94"/>
      <c r="K19" s="94"/>
      <c r="L19" s="10"/>
      <c r="M19" s="95">
        <f t="shared" si="1"/>
        <v>0</v>
      </c>
      <c r="N19" s="96"/>
      <c r="O19" s="95">
        <f ca="1">IF(OR(G19=0,G19="Férias",G19="Falta Justificada",G19="Feriado",G19="Folga (DSR)"),0,IF(G19="Falta Injustificada",HLOOKUP($F19,Jornada!$X$7:$AD$37,VLOOKUP(INDIRECT($C$5),Jornada!$C$8:$W$37,21,0),0),IF(HLOOKUP($F19,Jornada!$X$7:$AD$37,VLOOKUP(INDIRECT($C$5),Jornada!$C$8:$W$37,21,0),0)-M19&gt;0,HLOOKUP($F19,Jornada!$X$7:$AD$37,VLOOKUP(INDIRECT($C$5),Jornada!$C$8:$W$37,21,0),0)-M19,0)))</f>
        <v>0</v>
      </c>
      <c r="P19" s="190">
        <f ca="1">IF(HLOOKUP($F19,Jornada!$X$7:$AD$37,VLOOKUP(INDIRECT($C$5),Jornada!$C$8:$W$37,21,0),0)-M19&lt;0,ABS(HLOOKUP($F19,Jornada!$X$7:$AD$37,VLOOKUP(INDIRECT($C$5),Jornada!$C$8:$W$37,21,0),0)-M19),0)</f>
        <v>0</v>
      </c>
      <c r="Q19" s="95">
        <f t="shared" si="0"/>
        <v>0</v>
      </c>
      <c r="R19" s="2">
        <f t="shared" si="2"/>
        <v>0</v>
      </c>
      <c r="S19" s="294"/>
      <c r="T19" s="294"/>
      <c r="U19" s="299"/>
      <c r="X19" s="177"/>
      <c r="AB19" s="177">
        <f t="shared" si="10"/>
        <v>12</v>
      </c>
      <c r="AC19" s="2">
        <f t="shared" si="3"/>
        <v>5</v>
      </c>
      <c r="AG19" s="220">
        <f t="shared" si="4"/>
        <v>0</v>
      </c>
      <c r="AH19" s="220">
        <f ca="1">IF(HLOOKUP($F19,Jornada!$X$7:$AD$37,VLOOKUP(INDIRECT($C$5),Jornada!$C$8:$W$37,21,0),0)=0,0,VLOOKUP(INDIRECT($C$5),Jornada!$C$8:$H$37,4,0))</f>
        <v>0</v>
      </c>
      <c r="AI19" s="155">
        <f ca="1">IF(AND(I19=0,J19=0,OR(H19&lt;&gt;0,K19&lt;&gt;0),HLOOKUP($F19,Jornada!$X$7:$AD$37,VLOOKUP(INDIRECT($C$5),Jornada!$C$8:$W$37,21,0),0)&gt;$AK$5,M19&gt;$AK$5),VLOOKUP(INDIRECT($C$5),Jornada!$C$8:$H$37,6,0),IF(AG19&gt;VLOOKUP(INDIRECT($C$5),Jornada!$C$8:$H$37,6,0),IF(VLOOKUP(INDIRECT($C$5),Jornada!$C$8:$H$37,6,0)&lt;AG19,0,ABS(VLOOKUP(INDIRECT($C$5),Jornada!$C$8:$H$37,6,0))-AG19),0))</f>
        <v>0</v>
      </c>
      <c r="AJ19" s="155">
        <f t="shared" si="5"/>
        <v>1</v>
      </c>
      <c r="AK19" s="155">
        <f t="shared" si="6"/>
        <v>0</v>
      </c>
      <c r="AL19" s="155">
        <f ca="1">HLOOKUP($F19,Jornada!$I$5:$V$37,VLOOKUP(INDIRECT($C$5),Jornada!$C$8:$W$37,21,0)+2,0)</f>
        <v>0</v>
      </c>
      <c r="AM19" s="155">
        <f ca="1">HLOOKUP($F19,Jornada!$I$4:$V$37,VLOOKUP(INDIRECT($C$5),Jornada!$C$8:$W$37,21,0)+3,0)</f>
        <v>0</v>
      </c>
      <c r="AN19" s="155">
        <f t="shared" ca="1" si="7"/>
        <v>0</v>
      </c>
      <c r="AO19" s="155">
        <f t="shared" si="8"/>
        <v>0</v>
      </c>
      <c r="AP19" s="155">
        <f t="shared" si="9"/>
        <v>0</v>
      </c>
      <c r="BE19" s="14"/>
      <c r="BF19" s="14"/>
      <c r="BG19" s="14"/>
    </row>
    <row r="20" spans="1:59" s="2" customFormat="1" ht="30" customHeight="1" thickTop="1" thickBot="1" x14ac:dyDescent="0.25">
      <c r="A20" s="1"/>
      <c r="B20"/>
      <c r="C20" s="172" t="str">
        <f>IF(Funcionários!C19=0,"",Funcionários!C19)</f>
        <v/>
      </c>
      <c r="D20"/>
      <c r="E20" s="115">
        <f>Lanç!E20</f>
        <v>13</v>
      </c>
      <c r="F20" s="189" t="str">
        <f>Lanç!F20</f>
        <v>Sex</v>
      </c>
      <c r="G20" s="81"/>
      <c r="H20" s="94"/>
      <c r="I20" s="94"/>
      <c r="J20" s="94"/>
      <c r="K20" s="94"/>
      <c r="L20" s="10"/>
      <c r="M20" s="95">
        <f t="shared" si="1"/>
        <v>0</v>
      </c>
      <c r="N20" s="96"/>
      <c r="O20" s="95">
        <f ca="1">IF(OR(G20=0,G20="Férias",G20="Falta Justificada",G20="Feriado",G20="Folga (DSR)"),0,IF(G20="Falta Injustificada",HLOOKUP($F20,Jornada!$X$7:$AD$37,VLOOKUP(INDIRECT($C$5),Jornada!$C$8:$W$37,21,0),0),IF(HLOOKUP($F20,Jornada!$X$7:$AD$37,VLOOKUP(INDIRECT($C$5),Jornada!$C$8:$W$37,21,0),0)-M20&gt;0,HLOOKUP($F20,Jornada!$X$7:$AD$37,VLOOKUP(INDIRECT($C$5),Jornada!$C$8:$W$37,21,0),0)-M20,0)))</f>
        <v>0</v>
      </c>
      <c r="P20" s="190">
        <f ca="1">IF(HLOOKUP($F20,Jornada!$X$7:$AD$37,VLOOKUP(INDIRECT($C$5),Jornada!$C$8:$W$37,21,0),0)-M20&lt;0,ABS(HLOOKUP($F20,Jornada!$X$7:$AD$37,VLOOKUP(INDIRECT($C$5),Jornada!$C$8:$W$37,21,0),0)-M20),0)</f>
        <v>0</v>
      </c>
      <c r="Q20" s="95">
        <f t="shared" si="0"/>
        <v>0</v>
      </c>
      <c r="R20" s="2">
        <f t="shared" si="2"/>
        <v>0</v>
      </c>
      <c r="S20"/>
      <c r="T20"/>
      <c r="U20"/>
      <c r="X20" s="177"/>
      <c r="AB20" s="177">
        <f t="shared" si="10"/>
        <v>13</v>
      </c>
      <c r="AC20" s="2">
        <f t="shared" si="3"/>
        <v>6</v>
      </c>
      <c r="AG20" s="220">
        <f t="shared" si="4"/>
        <v>0</v>
      </c>
      <c r="AH20" s="220">
        <f ca="1">IF(HLOOKUP($F20,Jornada!$X$7:$AD$37,VLOOKUP(INDIRECT($C$5),Jornada!$C$8:$W$37,21,0),0)=0,0,VLOOKUP(INDIRECT($C$5),Jornada!$C$8:$H$37,4,0))</f>
        <v>0</v>
      </c>
      <c r="AI20" s="155">
        <f ca="1">IF(AND(I20=0,J20=0,OR(H20&lt;&gt;0,K20&lt;&gt;0),HLOOKUP($F20,Jornada!$X$7:$AD$37,VLOOKUP(INDIRECT($C$5),Jornada!$C$8:$W$37,21,0),0)&gt;$AK$5,M20&gt;$AK$5),VLOOKUP(INDIRECT($C$5),Jornada!$C$8:$H$37,6,0),IF(AG20&gt;VLOOKUP(INDIRECT($C$5),Jornada!$C$8:$H$37,6,0),IF(VLOOKUP(INDIRECT($C$5),Jornada!$C$8:$H$37,6,0)&lt;AG20,0,ABS(VLOOKUP(INDIRECT($C$5),Jornada!$C$8:$H$37,6,0))-AG20),0))</f>
        <v>0</v>
      </c>
      <c r="AJ20" s="155">
        <f t="shared" si="5"/>
        <v>1</v>
      </c>
      <c r="AK20" s="155">
        <f t="shared" si="6"/>
        <v>0</v>
      </c>
      <c r="AL20" s="155">
        <f ca="1">HLOOKUP($F20,Jornada!$I$5:$V$37,VLOOKUP(INDIRECT($C$5),Jornada!$C$8:$W$37,21,0)+2,0)</f>
        <v>0</v>
      </c>
      <c r="AM20" s="155">
        <f ca="1">HLOOKUP($F20,Jornada!$I$4:$V$37,VLOOKUP(INDIRECT($C$5),Jornada!$C$8:$W$37,21,0)+3,0)</f>
        <v>0</v>
      </c>
      <c r="AN20" s="155">
        <f t="shared" ca="1" si="7"/>
        <v>0</v>
      </c>
      <c r="AO20" s="155">
        <f t="shared" si="8"/>
        <v>0</v>
      </c>
      <c r="AP20" s="155">
        <f t="shared" si="9"/>
        <v>0</v>
      </c>
      <c r="BE20" s="14"/>
      <c r="BF20" s="14"/>
      <c r="BG20" s="14"/>
    </row>
    <row r="21" spans="1:59" s="2" customFormat="1" ht="30" customHeight="1" thickTop="1" thickBot="1" x14ac:dyDescent="0.25">
      <c r="A21" s="1"/>
      <c r="B21"/>
      <c r="C21" s="172" t="str">
        <f>IF(Funcionários!C20=0,"",Funcionários!C20)</f>
        <v/>
      </c>
      <c r="D21"/>
      <c r="E21" s="115">
        <f>Lanç!E21</f>
        <v>14</v>
      </c>
      <c r="F21" s="189" t="str">
        <f>Lanç!F21</f>
        <v>Sáb</v>
      </c>
      <c r="G21" s="81"/>
      <c r="H21" s="94"/>
      <c r="I21" s="94"/>
      <c r="J21" s="94"/>
      <c r="K21" s="94"/>
      <c r="L21" s="10"/>
      <c r="M21" s="95">
        <f t="shared" si="1"/>
        <v>0</v>
      </c>
      <c r="N21" s="96"/>
      <c r="O21" s="95">
        <f ca="1">IF(OR(G21=0,G21="Férias",G21="Falta Justificada",G21="Feriado",G21="Folga (DSR)"),0,IF(G21="Falta Injustificada",HLOOKUP($F21,Jornada!$X$7:$AD$37,VLOOKUP(INDIRECT($C$5),Jornada!$C$8:$W$37,21,0),0),IF(HLOOKUP($F21,Jornada!$X$7:$AD$37,VLOOKUP(INDIRECT($C$5),Jornada!$C$8:$W$37,21,0),0)-M21&gt;0,HLOOKUP($F21,Jornada!$X$7:$AD$37,VLOOKUP(INDIRECT($C$5),Jornada!$C$8:$W$37,21,0),0)-M21,0)))</f>
        <v>0</v>
      </c>
      <c r="P21" s="190">
        <f ca="1">IF(HLOOKUP($F21,Jornada!$X$7:$AD$37,VLOOKUP(INDIRECT($C$5),Jornada!$C$8:$W$37,21,0),0)-M21&lt;0,ABS(HLOOKUP($F21,Jornada!$X$7:$AD$37,VLOOKUP(INDIRECT($C$5),Jornada!$C$8:$W$37,21,0),0)-M21),0)</f>
        <v>0</v>
      </c>
      <c r="Q21" s="95">
        <f t="shared" si="0"/>
        <v>0</v>
      </c>
      <c r="R21" s="2">
        <f t="shared" si="2"/>
        <v>0</v>
      </c>
      <c r="S21"/>
      <c r="T21"/>
      <c r="U21"/>
      <c r="X21" s="177"/>
      <c r="AB21" s="177">
        <f t="shared" si="10"/>
        <v>14</v>
      </c>
      <c r="AC21" s="2">
        <f t="shared" si="3"/>
        <v>7</v>
      </c>
      <c r="AG21" s="220">
        <f t="shared" si="4"/>
        <v>0</v>
      </c>
      <c r="AH21" s="220">
        <f ca="1">IF(HLOOKUP($F21,Jornada!$X$7:$AD$37,VLOOKUP(INDIRECT($C$5),Jornada!$C$8:$W$37,21,0),0)=0,0,VLOOKUP(INDIRECT($C$5),Jornada!$C$8:$H$37,4,0))</f>
        <v>0</v>
      </c>
      <c r="AI21" s="155">
        <f ca="1">IF(AND(I21=0,J21=0,OR(H21&lt;&gt;0,K21&lt;&gt;0),HLOOKUP($F21,Jornada!$X$7:$AD$37,VLOOKUP(INDIRECT($C$5),Jornada!$C$8:$W$37,21,0),0)&gt;$AK$5,M21&gt;$AK$5),VLOOKUP(INDIRECT($C$5),Jornada!$C$8:$H$37,6,0),IF(AG21&gt;VLOOKUP(INDIRECT($C$5),Jornada!$C$8:$H$37,6,0),IF(VLOOKUP(INDIRECT($C$5),Jornada!$C$8:$H$37,6,0)&lt;AG21,0,ABS(VLOOKUP(INDIRECT($C$5),Jornada!$C$8:$H$37,6,0))-AG21),0))</f>
        <v>0</v>
      </c>
      <c r="AJ21" s="155">
        <f t="shared" si="5"/>
        <v>1</v>
      </c>
      <c r="AK21" s="155">
        <f t="shared" si="6"/>
        <v>0</v>
      </c>
      <c r="AL21" s="155">
        <f ca="1">HLOOKUP($F21,Jornada!$I$5:$V$37,VLOOKUP(INDIRECT($C$5),Jornada!$C$8:$W$37,21,0)+2,0)</f>
        <v>0</v>
      </c>
      <c r="AM21" s="155">
        <f ca="1">HLOOKUP($F21,Jornada!$I$4:$V$37,VLOOKUP(INDIRECT($C$5),Jornada!$C$8:$W$37,21,0)+3,0)</f>
        <v>0</v>
      </c>
      <c r="AN21" s="155">
        <f t="shared" ca="1" si="7"/>
        <v>0</v>
      </c>
      <c r="AO21" s="155">
        <f t="shared" si="8"/>
        <v>0</v>
      </c>
      <c r="AP21" s="155">
        <f t="shared" si="9"/>
        <v>0</v>
      </c>
      <c r="BE21" s="14"/>
      <c r="BF21" s="14"/>
      <c r="BG21" s="14"/>
    </row>
    <row r="22" spans="1:59" s="2" customFormat="1" ht="30" customHeight="1" thickTop="1" thickBot="1" x14ac:dyDescent="0.25">
      <c r="A22" s="1"/>
      <c r="B22"/>
      <c r="C22" s="172" t="str">
        <f>IF(Funcionários!C21=0,"",Funcionários!C21)</f>
        <v/>
      </c>
      <c r="D22"/>
      <c r="E22" s="115">
        <f>Lanç!E22</f>
        <v>15</v>
      </c>
      <c r="F22" s="189" t="str">
        <f>Lanç!F22</f>
        <v>Dom</v>
      </c>
      <c r="G22" s="81"/>
      <c r="H22" s="94"/>
      <c r="I22" s="94"/>
      <c r="J22" s="94"/>
      <c r="K22" s="94"/>
      <c r="L22" s="10"/>
      <c r="M22" s="95">
        <f t="shared" si="1"/>
        <v>0</v>
      </c>
      <c r="N22" s="96"/>
      <c r="O22" s="95">
        <f ca="1">IF(OR(G22=0,G22="Férias",G22="Falta Justificada",G22="Feriado",G22="Folga (DSR)"),0,IF(G22="Falta Injustificada",HLOOKUP($F22,Jornada!$X$7:$AD$37,VLOOKUP(INDIRECT($C$5),Jornada!$C$8:$W$37,21,0),0),IF(HLOOKUP($F22,Jornada!$X$7:$AD$37,VLOOKUP(INDIRECT($C$5),Jornada!$C$8:$W$37,21,0),0)-M22&gt;0,HLOOKUP($F22,Jornada!$X$7:$AD$37,VLOOKUP(INDIRECT($C$5),Jornada!$C$8:$W$37,21,0),0)-M22,0)))</f>
        <v>0</v>
      </c>
      <c r="P22" s="190">
        <f ca="1">IF(HLOOKUP($F22,Jornada!$X$7:$AD$37,VLOOKUP(INDIRECT($C$5),Jornada!$C$8:$W$37,21,0),0)-M22&lt;0,ABS(HLOOKUP($F22,Jornada!$X$7:$AD$37,VLOOKUP(INDIRECT($C$5),Jornada!$C$8:$W$37,21,0),0)-M22),0)</f>
        <v>0</v>
      </c>
      <c r="Q22" s="95">
        <f t="shared" si="0"/>
        <v>0</v>
      </c>
      <c r="R22" s="2">
        <f t="shared" si="2"/>
        <v>0</v>
      </c>
      <c r="S22" s="300" t="s">
        <v>63</v>
      </c>
      <c r="T22" s="301"/>
      <c r="U22" s="302"/>
      <c r="X22" s="177"/>
      <c r="AB22" s="177">
        <f t="shared" si="10"/>
        <v>15</v>
      </c>
      <c r="AC22" s="2">
        <f t="shared" si="3"/>
        <v>1</v>
      </c>
      <c r="AG22" s="220">
        <f t="shared" si="4"/>
        <v>0</v>
      </c>
      <c r="AH22" s="220">
        <f ca="1">IF(HLOOKUP($F22,Jornada!$X$7:$AD$37,VLOOKUP(INDIRECT($C$5),Jornada!$C$8:$W$37,21,0),0)=0,0,VLOOKUP(INDIRECT($C$5),Jornada!$C$8:$H$37,4,0))</f>
        <v>0</v>
      </c>
      <c r="AI22" s="155">
        <f ca="1">IF(AND(I22=0,J22=0,OR(H22&lt;&gt;0,K22&lt;&gt;0),HLOOKUP($F22,Jornada!$X$7:$AD$37,VLOOKUP(INDIRECT($C$5),Jornada!$C$8:$W$37,21,0),0)&gt;$AK$5,M22&gt;$AK$5),VLOOKUP(INDIRECT($C$5),Jornada!$C$8:$H$37,6,0),IF(AG22&gt;VLOOKUP(INDIRECT($C$5),Jornada!$C$8:$H$37,6,0),IF(VLOOKUP(INDIRECT($C$5),Jornada!$C$8:$H$37,6,0)&lt;AG22,0,ABS(VLOOKUP(INDIRECT($C$5),Jornada!$C$8:$H$37,6,0))-AG22),0))</f>
        <v>0</v>
      </c>
      <c r="AJ22" s="155">
        <f t="shared" si="5"/>
        <v>1</v>
      </c>
      <c r="AK22" s="155">
        <f t="shared" si="6"/>
        <v>0</v>
      </c>
      <c r="AL22" s="155">
        <f ca="1">HLOOKUP($F22,Jornada!$I$5:$V$37,VLOOKUP(INDIRECT($C$5),Jornada!$C$8:$W$37,21,0)+2,0)</f>
        <v>0</v>
      </c>
      <c r="AM22" s="155">
        <f ca="1">HLOOKUP($F22,Jornada!$I$4:$V$37,VLOOKUP(INDIRECT($C$5),Jornada!$C$8:$W$37,21,0)+3,0)</f>
        <v>0</v>
      </c>
      <c r="AN22" s="155">
        <f t="shared" ca="1" si="7"/>
        <v>0</v>
      </c>
      <c r="AO22" s="155">
        <f t="shared" si="8"/>
        <v>0</v>
      </c>
      <c r="AP22" s="155">
        <f t="shared" si="9"/>
        <v>0</v>
      </c>
      <c r="BE22" s="14"/>
      <c r="BF22" s="14"/>
      <c r="BG22" s="14"/>
    </row>
    <row r="23" spans="1:59" s="2" customFormat="1" ht="30" customHeight="1" thickTop="1" thickBot="1" x14ac:dyDescent="0.25">
      <c r="A23" s="1"/>
      <c r="B23"/>
      <c r="C23" s="172" t="str">
        <f>IF(Funcionários!C22=0,"",Funcionários!C22)</f>
        <v/>
      </c>
      <c r="D23"/>
      <c r="E23" s="115">
        <f>Lanç!E23</f>
        <v>16</v>
      </c>
      <c r="F23" s="189" t="str">
        <f>Lanç!F23</f>
        <v>Seg</v>
      </c>
      <c r="G23" s="81"/>
      <c r="H23" s="94"/>
      <c r="I23" s="94"/>
      <c r="J23" s="94"/>
      <c r="K23" s="94"/>
      <c r="L23" s="10"/>
      <c r="M23" s="95">
        <f t="shared" si="1"/>
        <v>0</v>
      </c>
      <c r="N23" s="96"/>
      <c r="O23" s="95">
        <f ca="1">IF(OR(G23=0,G23="Férias",G23="Falta Justificada",G23="Feriado",G23="Folga (DSR)"),0,IF(G23="Falta Injustificada",HLOOKUP($F23,Jornada!$X$7:$AD$37,VLOOKUP(INDIRECT($C$5),Jornada!$C$8:$W$37,21,0),0),IF(HLOOKUP($F23,Jornada!$X$7:$AD$37,VLOOKUP(INDIRECT($C$5),Jornada!$C$8:$W$37,21,0),0)-M23&gt;0,HLOOKUP($F23,Jornada!$X$7:$AD$37,VLOOKUP(INDIRECT($C$5),Jornada!$C$8:$W$37,21,0),0)-M23,0)))</f>
        <v>0</v>
      </c>
      <c r="P23" s="190">
        <f ca="1">IF(HLOOKUP($F23,Jornada!$X$7:$AD$37,VLOOKUP(INDIRECT($C$5),Jornada!$C$8:$W$37,21,0),0)-M23&lt;0,ABS(HLOOKUP($F23,Jornada!$X$7:$AD$37,VLOOKUP(INDIRECT($C$5),Jornada!$C$8:$W$37,21,0),0)-M23),0)</f>
        <v>0</v>
      </c>
      <c r="Q23" s="95">
        <f t="shared" si="0"/>
        <v>0</v>
      </c>
      <c r="R23" s="2">
        <f t="shared" si="2"/>
        <v>0</v>
      </c>
      <c r="S23" s="296" t="str">
        <f>IF(SUM(R8:R38)&gt;0,"Segundo o art 59 da CLT, o máximo de horas extras permitidas por dia são 2 horas.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T23" s="297"/>
      <c r="U23" s="298"/>
      <c r="X23" s="177"/>
      <c r="AB23" s="177">
        <f t="shared" si="10"/>
        <v>16</v>
      </c>
      <c r="AC23" s="2">
        <f t="shared" si="3"/>
        <v>2</v>
      </c>
      <c r="AG23" s="220">
        <f t="shared" si="4"/>
        <v>0</v>
      </c>
      <c r="AH23" s="220">
        <f ca="1">IF(HLOOKUP($F23,Jornada!$X$7:$AD$37,VLOOKUP(INDIRECT($C$5),Jornada!$C$8:$W$37,21,0),0)=0,0,VLOOKUP(INDIRECT($C$5),Jornada!$C$8:$H$37,4,0))</f>
        <v>0</v>
      </c>
      <c r="AI23" s="155">
        <f ca="1">IF(AND(I23=0,J23=0,OR(H23&lt;&gt;0,K23&lt;&gt;0),HLOOKUP($F23,Jornada!$X$7:$AD$37,VLOOKUP(INDIRECT($C$5),Jornada!$C$8:$W$37,21,0),0)&gt;$AK$5,M23&gt;$AK$5),VLOOKUP(INDIRECT($C$5),Jornada!$C$8:$H$37,6,0),IF(AG23&gt;VLOOKUP(INDIRECT($C$5),Jornada!$C$8:$H$37,6,0),IF(VLOOKUP(INDIRECT($C$5),Jornada!$C$8:$H$37,6,0)&lt;AG23,0,ABS(VLOOKUP(INDIRECT($C$5),Jornada!$C$8:$H$37,6,0))-AG23),0))</f>
        <v>0</v>
      </c>
      <c r="AJ23" s="155">
        <f t="shared" si="5"/>
        <v>1</v>
      </c>
      <c r="AK23" s="155">
        <f t="shared" si="6"/>
        <v>0</v>
      </c>
      <c r="AL23" s="155">
        <f ca="1">HLOOKUP($F23,Jornada!$I$5:$V$37,VLOOKUP(INDIRECT($C$5),Jornada!$C$8:$W$37,21,0)+2,0)</f>
        <v>0</v>
      </c>
      <c r="AM23" s="155">
        <f ca="1">HLOOKUP($F23,Jornada!$I$4:$V$37,VLOOKUP(INDIRECT($C$5),Jornada!$C$8:$W$37,21,0)+3,0)</f>
        <v>0</v>
      </c>
      <c r="AN23" s="155">
        <f t="shared" ca="1" si="7"/>
        <v>0</v>
      </c>
      <c r="AO23" s="155">
        <f t="shared" si="8"/>
        <v>0</v>
      </c>
      <c r="AP23" s="155">
        <f t="shared" si="9"/>
        <v>0</v>
      </c>
      <c r="BE23" s="14"/>
      <c r="BF23" s="14"/>
      <c r="BG23" s="14"/>
    </row>
    <row r="24" spans="1:59" s="2" customFormat="1" ht="30" customHeight="1" thickTop="1" thickBot="1" x14ac:dyDescent="0.25">
      <c r="A24" s="1"/>
      <c r="B24"/>
      <c r="C24" s="172" t="str">
        <f>IF(Funcionários!C23=0,"",Funcionários!C23)</f>
        <v/>
      </c>
      <c r="D24"/>
      <c r="E24" s="115">
        <f>Lanç!E24</f>
        <v>17</v>
      </c>
      <c r="F24" s="189" t="str">
        <f>Lanç!F24</f>
        <v>Ter</v>
      </c>
      <c r="G24" s="81"/>
      <c r="H24" s="94"/>
      <c r="I24" s="94"/>
      <c r="J24" s="94"/>
      <c r="K24" s="94"/>
      <c r="L24" s="10"/>
      <c r="M24" s="95">
        <f t="shared" si="1"/>
        <v>0</v>
      </c>
      <c r="N24" s="96"/>
      <c r="O24" s="95">
        <f ca="1">IF(OR(G24=0,G24="Férias",G24="Falta Justificada",G24="Feriado",G24="Folga (DSR)"),0,IF(G24="Falta Injustificada",HLOOKUP($F24,Jornada!$X$7:$AD$37,VLOOKUP(INDIRECT($C$5),Jornada!$C$8:$W$37,21,0),0),IF(HLOOKUP($F24,Jornada!$X$7:$AD$37,VLOOKUP(INDIRECT($C$5),Jornada!$C$8:$W$37,21,0),0)-M24&gt;0,HLOOKUP($F24,Jornada!$X$7:$AD$37,VLOOKUP(INDIRECT($C$5),Jornada!$C$8:$W$37,21,0),0)-M24,0)))</f>
        <v>0</v>
      </c>
      <c r="P24" s="190">
        <f ca="1">IF(HLOOKUP($F24,Jornada!$X$7:$AD$37,VLOOKUP(INDIRECT($C$5),Jornada!$C$8:$W$37,21,0),0)-M24&lt;0,ABS(HLOOKUP($F24,Jornada!$X$7:$AD$37,VLOOKUP(INDIRECT($C$5),Jornada!$C$8:$W$37,21,0),0)-M24),0)</f>
        <v>0</v>
      </c>
      <c r="Q24" s="95">
        <f t="shared" si="0"/>
        <v>0</v>
      </c>
      <c r="R24" s="2">
        <f t="shared" si="2"/>
        <v>0</v>
      </c>
      <c r="S24" s="296"/>
      <c r="T24" s="297"/>
      <c r="U24" s="298"/>
      <c r="X24" s="177"/>
      <c r="AB24" s="177">
        <f t="shared" si="10"/>
        <v>17</v>
      </c>
      <c r="AC24" s="2">
        <f t="shared" si="3"/>
        <v>3</v>
      </c>
      <c r="AG24" s="220">
        <f t="shared" si="4"/>
        <v>0</v>
      </c>
      <c r="AH24" s="220">
        <f ca="1">IF(HLOOKUP($F24,Jornada!$X$7:$AD$37,VLOOKUP(INDIRECT($C$5),Jornada!$C$8:$W$37,21,0),0)=0,0,VLOOKUP(INDIRECT($C$5),Jornada!$C$8:$H$37,4,0))</f>
        <v>0</v>
      </c>
      <c r="AI24" s="155">
        <f ca="1">IF(AND(I24=0,J24=0,OR(H24&lt;&gt;0,K24&lt;&gt;0),HLOOKUP($F24,Jornada!$X$7:$AD$37,VLOOKUP(INDIRECT($C$5),Jornada!$C$8:$W$37,21,0),0)&gt;$AK$5,M24&gt;$AK$5),VLOOKUP(INDIRECT($C$5),Jornada!$C$8:$H$37,6,0),IF(AG24&gt;VLOOKUP(INDIRECT($C$5),Jornada!$C$8:$H$37,6,0),IF(VLOOKUP(INDIRECT($C$5),Jornada!$C$8:$H$37,6,0)&lt;AG24,0,ABS(VLOOKUP(INDIRECT($C$5),Jornada!$C$8:$H$37,6,0))-AG24),0))</f>
        <v>0</v>
      </c>
      <c r="AJ24" s="155">
        <f t="shared" si="5"/>
        <v>1</v>
      </c>
      <c r="AK24" s="155">
        <f t="shared" si="6"/>
        <v>0</v>
      </c>
      <c r="AL24" s="155">
        <f ca="1">HLOOKUP($F24,Jornada!$I$5:$V$37,VLOOKUP(INDIRECT($C$5),Jornada!$C$8:$W$37,21,0)+2,0)</f>
        <v>0</v>
      </c>
      <c r="AM24" s="155">
        <f ca="1">HLOOKUP($F24,Jornada!$I$4:$V$37,VLOOKUP(INDIRECT($C$5),Jornada!$C$8:$W$37,21,0)+3,0)</f>
        <v>0</v>
      </c>
      <c r="AN24" s="155">
        <f t="shared" ca="1" si="7"/>
        <v>0</v>
      </c>
      <c r="AO24" s="155">
        <f t="shared" si="8"/>
        <v>0</v>
      </c>
      <c r="AP24" s="155">
        <f t="shared" si="9"/>
        <v>0</v>
      </c>
      <c r="BE24" s="14"/>
      <c r="BF24" s="14"/>
      <c r="BG24" s="14"/>
    </row>
    <row r="25" spans="1:59" s="2" customFormat="1" ht="30" customHeight="1" thickTop="1" thickBot="1" x14ac:dyDescent="0.25">
      <c r="A25" s="1"/>
      <c r="B25"/>
      <c r="C25" s="172" t="str">
        <f>IF(Funcionários!C24=0,"",Funcionários!C24)</f>
        <v/>
      </c>
      <c r="D25"/>
      <c r="E25" s="115">
        <f>Lanç!E25</f>
        <v>18</v>
      </c>
      <c r="F25" s="189" t="str">
        <f>Lanç!F25</f>
        <v>Qua</v>
      </c>
      <c r="G25" s="81"/>
      <c r="H25" s="94"/>
      <c r="I25" s="94"/>
      <c r="J25" s="94"/>
      <c r="K25" s="94"/>
      <c r="L25" s="10"/>
      <c r="M25" s="95">
        <f t="shared" si="1"/>
        <v>0</v>
      </c>
      <c r="N25" s="96"/>
      <c r="O25" s="95">
        <f ca="1">IF(OR(G25=0,G25="Férias",G25="Falta Justificada",G25="Feriado",G25="Folga (DSR)"),0,IF(G25="Falta Injustificada",HLOOKUP($F25,Jornada!$X$7:$AD$37,VLOOKUP(INDIRECT($C$5),Jornada!$C$8:$W$37,21,0),0),IF(HLOOKUP($F25,Jornada!$X$7:$AD$37,VLOOKUP(INDIRECT($C$5),Jornada!$C$8:$W$37,21,0),0)-M25&gt;0,HLOOKUP($F25,Jornada!$X$7:$AD$37,VLOOKUP(INDIRECT($C$5),Jornada!$C$8:$W$37,21,0),0)-M25,0)))</f>
        <v>0</v>
      </c>
      <c r="P25" s="190">
        <f ca="1">IF(HLOOKUP($F25,Jornada!$X$7:$AD$37,VLOOKUP(INDIRECT($C$5),Jornada!$C$8:$W$37,21,0),0)-M25&lt;0,ABS(HLOOKUP($F25,Jornada!$X$7:$AD$37,VLOOKUP(INDIRECT($C$5),Jornada!$C$8:$W$37,21,0),0)-M25),0)</f>
        <v>0</v>
      </c>
      <c r="Q25" s="95">
        <f t="shared" si="0"/>
        <v>0</v>
      </c>
      <c r="R25" s="2">
        <f t="shared" si="2"/>
        <v>0</v>
      </c>
      <c r="S25" s="296"/>
      <c r="T25" s="297"/>
      <c r="U25" s="298"/>
      <c r="X25" s="177"/>
      <c r="Z25" s="2">
        <f>IF(SUM(R8:R38)&gt;0,1,0)</f>
        <v>0</v>
      </c>
      <c r="AB25" s="177">
        <f t="shared" si="10"/>
        <v>18</v>
      </c>
      <c r="AC25" s="2">
        <f t="shared" si="3"/>
        <v>4</v>
      </c>
      <c r="AG25" s="220">
        <f t="shared" si="4"/>
        <v>0</v>
      </c>
      <c r="AH25" s="220">
        <f ca="1">IF(HLOOKUP($F25,Jornada!$X$7:$AD$37,VLOOKUP(INDIRECT($C$5),Jornada!$C$8:$W$37,21,0),0)=0,0,VLOOKUP(INDIRECT($C$5),Jornada!$C$8:$H$37,4,0))</f>
        <v>0</v>
      </c>
      <c r="AI25" s="155">
        <f ca="1">IF(AND(I25=0,J25=0,OR(H25&lt;&gt;0,K25&lt;&gt;0),HLOOKUP($F25,Jornada!$X$7:$AD$37,VLOOKUP(INDIRECT($C$5),Jornada!$C$8:$W$37,21,0),0)&gt;$AK$5,M25&gt;$AK$5),VLOOKUP(INDIRECT($C$5),Jornada!$C$8:$H$37,6,0),IF(AG25&gt;VLOOKUP(INDIRECT($C$5),Jornada!$C$8:$H$37,6,0),IF(VLOOKUP(INDIRECT($C$5),Jornada!$C$8:$H$37,6,0)&lt;AG25,0,ABS(VLOOKUP(INDIRECT($C$5),Jornada!$C$8:$H$37,6,0))-AG25),0))</f>
        <v>0</v>
      </c>
      <c r="AJ25" s="155">
        <f t="shared" si="5"/>
        <v>1</v>
      </c>
      <c r="AK25" s="155">
        <f t="shared" si="6"/>
        <v>0</v>
      </c>
      <c r="AL25" s="155">
        <f ca="1">HLOOKUP($F25,Jornada!$I$5:$V$37,VLOOKUP(INDIRECT($C$5),Jornada!$C$8:$W$37,21,0)+2,0)</f>
        <v>0</v>
      </c>
      <c r="AM25" s="155">
        <f ca="1">HLOOKUP($F25,Jornada!$I$4:$V$37,VLOOKUP(INDIRECT($C$5),Jornada!$C$8:$W$37,21,0)+3,0)</f>
        <v>0</v>
      </c>
      <c r="AN25" s="155">
        <f t="shared" ca="1" si="7"/>
        <v>0</v>
      </c>
      <c r="AO25" s="155">
        <f t="shared" si="8"/>
        <v>0</v>
      </c>
      <c r="AP25" s="155">
        <f t="shared" si="9"/>
        <v>0</v>
      </c>
      <c r="BE25" s="14"/>
      <c r="BF25" s="14"/>
      <c r="BG25" s="14"/>
    </row>
    <row r="26" spans="1:59" s="2" customFormat="1" ht="30" customHeight="1" thickTop="1" thickBot="1" x14ac:dyDescent="0.25">
      <c r="A26" s="1"/>
      <c r="B26"/>
      <c r="C26" s="172" t="str">
        <f>IF(Funcionários!C25=0,"",Funcionários!C25)</f>
        <v/>
      </c>
      <c r="D26"/>
      <c r="E26" s="115">
        <f>Lanç!E26</f>
        <v>19</v>
      </c>
      <c r="F26" s="189" t="str">
        <f>Lanç!F26</f>
        <v>Qui</v>
      </c>
      <c r="G26" s="81"/>
      <c r="H26" s="94"/>
      <c r="I26" s="94"/>
      <c r="J26" s="94"/>
      <c r="K26" s="94"/>
      <c r="L26" s="10"/>
      <c r="M26" s="95">
        <f t="shared" si="1"/>
        <v>0</v>
      </c>
      <c r="N26" s="96"/>
      <c r="O26" s="95">
        <f ca="1">IF(OR(G26=0,G26="Férias",G26="Falta Justificada",G26="Feriado",G26="Folga (DSR)"),0,IF(G26="Falta Injustificada",HLOOKUP($F26,Jornada!$X$7:$AD$37,VLOOKUP(INDIRECT($C$5),Jornada!$C$8:$W$37,21,0),0),IF(HLOOKUP($F26,Jornada!$X$7:$AD$37,VLOOKUP(INDIRECT($C$5),Jornada!$C$8:$W$37,21,0),0)-M26&gt;0,HLOOKUP($F26,Jornada!$X$7:$AD$37,VLOOKUP(INDIRECT($C$5),Jornada!$C$8:$W$37,21,0),0)-M26,0)))</f>
        <v>0</v>
      </c>
      <c r="P26" s="190">
        <f ca="1">IF(HLOOKUP($F26,Jornada!$X$7:$AD$37,VLOOKUP(INDIRECT($C$5),Jornada!$C$8:$W$37,21,0),0)-M26&lt;0,ABS(HLOOKUP($F26,Jornada!$X$7:$AD$37,VLOOKUP(INDIRECT($C$5),Jornada!$C$8:$W$37,21,0),0)-M26),0)</f>
        <v>0</v>
      </c>
      <c r="Q26" s="95">
        <f t="shared" si="0"/>
        <v>0</v>
      </c>
      <c r="R26" s="2">
        <f t="shared" si="2"/>
        <v>0</v>
      </c>
      <c r="S26" s="296" t="str">
        <f>IF(COUNTIF(G8:G38,"Folga (DSR)")&lt;DAY(E39)/8,"O mês não está contemplando um DSR (Descanso Semanal Remunerado) por semana. Isso pode configurar uma irregularidade segundo as leis trabalhistas.","Parabéns!! Sua folha de pagamento contempla uma DSR por semana conforme a lei trabalhista.")</f>
        <v>O mês não está contemplando um DSR (Descanso Semanal Remunerado) por semana. Isso pode configurar uma irregularidade segundo as leis trabalhistas.</v>
      </c>
      <c r="T26" s="297"/>
      <c r="U26" s="298"/>
      <c r="X26" s="177"/>
      <c r="AB26" s="177">
        <f t="shared" si="10"/>
        <v>19</v>
      </c>
      <c r="AC26" s="2">
        <f t="shared" si="3"/>
        <v>5</v>
      </c>
      <c r="AG26" s="220">
        <f t="shared" si="4"/>
        <v>0</v>
      </c>
      <c r="AH26" s="220">
        <f ca="1">IF(HLOOKUP($F26,Jornada!$X$7:$AD$37,VLOOKUP(INDIRECT($C$5),Jornada!$C$8:$W$37,21,0),0)=0,0,VLOOKUP(INDIRECT($C$5),Jornada!$C$8:$H$37,4,0))</f>
        <v>0</v>
      </c>
      <c r="AI26" s="155">
        <f ca="1">IF(AND(I26=0,J26=0,OR(H26&lt;&gt;0,K26&lt;&gt;0),HLOOKUP($F26,Jornada!$X$7:$AD$37,VLOOKUP(INDIRECT($C$5),Jornada!$C$8:$W$37,21,0),0)&gt;$AK$5,M26&gt;$AK$5),VLOOKUP(INDIRECT($C$5),Jornada!$C$8:$H$37,6,0),IF(AG26&gt;VLOOKUP(INDIRECT($C$5),Jornada!$C$8:$H$37,6,0),IF(VLOOKUP(INDIRECT($C$5),Jornada!$C$8:$H$37,6,0)&lt;AG26,0,ABS(VLOOKUP(INDIRECT($C$5),Jornada!$C$8:$H$37,6,0))-AG26),0))</f>
        <v>0</v>
      </c>
      <c r="AJ26" s="155">
        <f t="shared" si="5"/>
        <v>1</v>
      </c>
      <c r="AK26" s="155">
        <f t="shared" si="6"/>
        <v>0</v>
      </c>
      <c r="AL26" s="155">
        <f ca="1">HLOOKUP($F26,Jornada!$I$5:$V$37,VLOOKUP(INDIRECT($C$5),Jornada!$C$8:$W$37,21,0)+2,0)</f>
        <v>0</v>
      </c>
      <c r="AM26" s="155">
        <f ca="1">HLOOKUP($F26,Jornada!$I$4:$V$37,VLOOKUP(INDIRECT($C$5),Jornada!$C$8:$W$37,21,0)+3,0)</f>
        <v>0</v>
      </c>
      <c r="AN26" s="155">
        <f t="shared" ca="1" si="7"/>
        <v>0</v>
      </c>
      <c r="AO26" s="155">
        <f t="shared" si="8"/>
        <v>0</v>
      </c>
      <c r="AP26" s="155">
        <f t="shared" si="9"/>
        <v>0</v>
      </c>
      <c r="BE26" s="14"/>
      <c r="BF26" s="14"/>
      <c r="BG26" s="14"/>
    </row>
    <row r="27" spans="1:59" s="2" customFormat="1" ht="30" customHeight="1" thickTop="1" thickBot="1" x14ac:dyDescent="0.25">
      <c r="A27" s="1"/>
      <c r="B27"/>
      <c r="C27" s="172" t="str">
        <f>IF(Funcionários!C26=0,"",Funcionários!C26)</f>
        <v/>
      </c>
      <c r="D27"/>
      <c r="E27" s="115">
        <f>Lanç!E27</f>
        <v>20</v>
      </c>
      <c r="F27" s="189" t="str">
        <f>Lanç!F27</f>
        <v>Sex</v>
      </c>
      <c r="G27" s="81"/>
      <c r="H27" s="94"/>
      <c r="I27" s="94"/>
      <c r="J27" s="94"/>
      <c r="K27" s="94"/>
      <c r="L27" s="10"/>
      <c r="M27" s="95">
        <f t="shared" si="1"/>
        <v>0</v>
      </c>
      <c r="N27" s="96"/>
      <c r="O27" s="95">
        <f ca="1">IF(OR(G27=0,G27="Férias",G27="Falta Justificada",G27="Feriado",G27="Folga (DSR)"),0,IF(G27="Falta Injustificada",HLOOKUP($F27,Jornada!$X$7:$AD$37,VLOOKUP(INDIRECT($C$5),Jornada!$C$8:$W$37,21,0),0),IF(HLOOKUP($F27,Jornada!$X$7:$AD$37,VLOOKUP(INDIRECT($C$5),Jornada!$C$8:$W$37,21,0),0)-M27&gt;0,HLOOKUP($F27,Jornada!$X$7:$AD$37,VLOOKUP(INDIRECT($C$5),Jornada!$C$8:$W$37,21,0),0)-M27,0)))</f>
        <v>0</v>
      </c>
      <c r="P27" s="190">
        <f ca="1">IF(HLOOKUP($F27,Jornada!$X$7:$AD$37,VLOOKUP(INDIRECT($C$5),Jornada!$C$8:$W$37,21,0),0)-M27&lt;0,ABS(HLOOKUP($F27,Jornada!$X$7:$AD$37,VLOOKUP(INDIRECT($C$5),Jornada!$C$8:$W$37,21,0),0)-M27),0)</f>
        <v>0</v>
      </c>
      <c r="Q27" s="95">
        <f t="shared" si="0"/>
        <v>0</v>
      </c>
      <c r="R27" s="2">
        <f t="shared" si="2"/>
        <v>0</v>
      </c>
      <c r="S27" s="296"/>
      <c r="T27" s="297"/>
      <c r="U27" s="298"/>
      <c r="X27" s="177"/>
      <c r="AB27" s="177">
        <f t="shared" si="10"/>
        <v>20</v>
      </c>
      <c r="AC27" s="2">
        <f t="shared" si="3"/>
        <v>6</v>
      </c>
      <c r="AG27" s="220">
        <f t="shared" si="4"/>
        <v>0</v>
      </c>
      <c r="AH27" s="220">
        <f ca="1">IF(HLOOKUP($F27,Jornada!$X$7:$AD$37,VLOOKUP(INDIRECT($C$5),Jornada!$C$8:$W$37,21,0),0)=0,0,VLOOKUP(INDIRECT($C$5),Jornada!$C$8:$H$37,4,0))</f>
        <v>0</v>
      </c>
      <c r="AI27" s="155">
        <f ca="1">IF(AND(I27=0,J27=0,OR(H27&lt;&gt;0,K27&lt;&gt;0),HLOOKUP($F27,Jornada!$X$7:$AD$37,VLOOKUP(INDIRECT($C$5),Jornada!$C$8:$W$37,21,0),0)&gt;$AK$5,M27&gt;$AK$5),VLOOKUP(INDIRECT($C$5),Jornada!$C$8:$H$37,6,0),IF(AG27&gt;VLOOKUP(INDIRECT($C$5),Jornada!$C$8:$H$37,6,0),IF(VLOOKUP(INDIRECT($C$5),Jornada!$C$8:$H$37,6,0)&lt;AG27,0,ABS(VLOOKUP(INDIRECT($C$5),Jornada!$C$8:$H$37,6,0))-AG27),0))</f>
        <v>0</v>
      </c>
      <c r="AJ27" s="155">
        <f t="shared" si="5"/>
        <v>1</v>
      </c>
      <c r="AK27" s="155">
        <f t="shared" si="6"/>
        <v>0</v>
      </c>
      <c r="AL27" s="155">
        <f ca="1">HLOOKUP($F27,Jornada!$I$5:$V$37,VLOOKUP(INDIRECT($C$5),Jornada!$C$8:$W$37,21,0)+2,0)</f>
        <v>0</v>
      </c>
      <c r="AM27" s="155">
        <f ca="1">HLOOKUP($F27,Jornada!$I$4:$V$37,VLOOKUP(INDIRECT($C$5),Jornada!$C$8:$W$37,21,0)+3,0)</f>
        <v>0</v>
      </c>
      <c r="AN27" s="155">
        <f t="shared" ca="1" si="7"/>
        <v>0</v>
      </c>
      <c r="AO27" s="155">
        <f t="shared" si="8"/>
        <v>0</v>
      </c>
      <c r="AP27" s="155">
        <f t="shared" si="9"/>
        <v>0</v>
      </c>
    </row>
    <row r="28" spans="1:59" s="2" customFormat="1" ht="30" customHeight="1" thickTop="1" thickBot="1" x14ac:dyDescent="0.25">
      <c r="A28" s="1"/>
      <c r="B28"/>
      <c r="C28" s="172" t="str">
        <f>IF(Funcionários!C27=0,"",Funcionários!C27)</f>
        <v/>
      </c>
      <c r="D28"/>
      <c r="E28" s="115">
        <f>Lanç!E28</f>
        <v>21</v>
      </c>
      <c r="F28" s="189" t="str">
        <f>Lanç!F28</f>
        <v>Sáb</v>
      </c>
      <c r="G28" s="81"/>
      <c r="H28" s="94"/>
      <c r="I28" s="94"/>
      <c r="J28" s="94"/>
      <c r="K28" s="94"/>
      <c r="L28" s="10"/>
      <c r="M28" s="95">
        <f t="shared" si="1"/>
        <v>0</v>
      </c>
      <c r="N28" s="96"/>
      <c r="O28" s="95">
        <f ca="1">IF(OR(G28=0,G28="Férias",G28="Falta Justificada",G28="Feriado",G28="Folga (DSR)"),0,IF(G28="Falta Injustificada",HLOOKUP($F28,Jornada!$X$7:$AD$37,VLOOKUP(INDIRECT($C$5),Jornada!$C$8:$W$37,21,0),0),IF(HLOOKUP($F28,Jornada!$X$7:$AD$37,VLOOKUP(INDIRECT($C$5),Jornada!$C$8:$W$37,21,0),0)-M28&gt;0,HLOOKUP($F28,Jornada!$X$7:$AD$37,VLOOKUP(INDIRECT($C$5),Jornada!$C$8:$W$37,21,0),0)-M28,0)))</f>
        <v>0</v>
      </c>
      <c r="P28" s="190">
        <f ca="1">IF(HLOOKUP($F28,Jornada!$X$7:$AD$37,VLOOKUP(INDIRECT($C$5),Jornada!$C$8:$W$37,21,0),0)-M28&lt;0,ABS(HLOOKUP($F28,Jornada!$X$7:$AD$37,VLOOKUP(INDIRECT($C$5),Jornada!$C$8:$W$37,21,0),0)-M28),0)</f>
        <v>0</v>
      </c>
      <c r="Q28" s="95">
        <f t="shared" si="0"/>
        <v>0</v>
      </c>
      <c r="R28" s="2">
        <f t="shared" si="2"/>
        <v>0</v>
      </c>
      <c r="S28" s="296"/>
      <c r="T28" s="297"/>
      <c r="U28" s="298"/>
      <c r="X28" s="177"/>
      <c r="AB28" s="177">
        <f t="shared" si="10"/>
        <v>21</v>
      </c>
      <c r="AC28" s="2">
        <f t="shared" si="3"/>
        <v>7</v>
      </c>
      <c r="AG28" s="220">
        <f t="shared" si="4"/>
        <v>0</v>
      </c>
      <c r="AH28" s="220">
        <f ca="1">IF(HLOOKUP($F28,Jornada!$X$7:$AD$37,VLOOKUP(INDIRECT($C$5),Jornada!$C$8:$W$37,21,0),0)=0,0,VLOOKUP(INDIRECT($C$5),Jornada!$C$8:$H$37,4,0))</f>
        <v>0</v>
      </c>
      <c r="AI28" s="155">
        <f ca="1">IF(AND(I28=0,J28=0,OR(H28&lt;&gt;0,K28&lt;&gt;0),HLOOKUP($F28,Jornada!$X$7:$AD$37,VLOOKUP(INDIRECT($C$5),Jornada!$C$8:$W$37,21,0),0)&gt;$AK$5,M28&gt;$AK$5),VLOOKUP(INDIRECT($C$5),Jornada!$C$8:$H$37,6,0),IF(AG28&gt;VLOOKUP(INDIRECT($C$5),Jornada!$C$8:$H$37,6,0),IF(VLOOKUP(INDIRECT($C$5),Jornada!$C$8:$H$37,6,0)&lt;AG28,0,ABS(VLOOKUP(INDIRECT($C$5),Jornada!$C$8:$H$37,6,0))-AG28),0))</f>
        <v>0</v>
      </c>
      <c r="AJ28" s="155">
        <f t="shared" si="5"/>
        <v>1</v>
      </c>
      <c r="AK28" s="155">
        <f t="shared" si="6"/>
        <v>0</v>
      </c>
      <c r="AL28" s="155">
        <f ca="1">HLOOKUP($F28,Jornada!$I$5:$V$37,VLOOKUP(INDIRECT($C$5),Jornada!$C$8:$W$37,21,0)+2,0)</f>
        <v>0</v>
      </c>
      <c r="AM28" s="155">
        <f ca="1">HLOOKUP($F28,Jornada!$I$4:$V$37,VLOOKUP(INDIRECT($C$5),Jornada!$C$8:$W$37,21,0)+3,0)</f>
        <v>0</v>
      </c>
      <c r="AN28" s="155">
        <f t="shared" ca="1" si="7"/>
        <v>0</v>
      </c>
      <c r="AO28" s="155">
        <f t="shared" si="8"/>
        <v>0</v>
      </c>
      <c r="AP28" s="155">
        <f t="shared" si="9"/>
        <v>0</v>
      </c>
    </row>
    <row r="29" spans="1:59" s="2" customFormat="1" ht="30" customHeight="1" thickTop="1" thickBot="1" x14ac:dyDescent="0.25">
      <c r="A29" s="1"/>
      <c r="B29"/>
      <c r="C29" s="172" t="str">
        <f>IF(Funcionários!C28=0,"",Funcionários!C28)</f>
        <v/>
      </c>
      <c r="D29"/>
      <c r="E29" s="115">
        <f>Lanç!E29</f>
        <v>22</v>
      </c>
      <c r="F29" s="189" t="str">
        <f>Lanç!F29</f>
        <v>Dom</v>
      </c>
      <c r="G29" s="81"/>
      <c r="H29" s="94"/>
      <c r="I29" s="94"/>
      <c r="J29" s="94"/>
      <c r="K29" s="94"/>
      <c r="L29" s="10"/>
      <c r="M29" s="95">
        <f t="shared" si="1"/>
        <v>0</v>
      </c>
      <c r="N29" s="96"/>
      <c r="O29" s="95">
        <f ca="1">IF(OR(G29=0,G29="Férias",G29="Falta Justificada",G29="Feriado",G29="Folga (DSR)"),0,IF(G29="Falta Injustificada",HLOOKUP($F29,Jornada!$X$7:$AD$37,VLOOKUP(INDIRECT($C$5),Jornada!$C$8:$W$37,21,0),0),IF(HLOOKUP($F29,Jornada!$X$7:$AD$37,VLOOKUP(INDIRECT($C$5),Jornada!$C$8:$W$37,21,0),0)-M29&gt;0,HLOOKUP($F29,Jornada!$X$7:$AD$37,VLOOKUP(INDIRECT($C$5),Jornada!$C$8:$W$37,21,0),0)-M29,0)))</f>
        <v>0</v>
      </c>
      <c r="P29" s="190">
        <f ca="1">IF(HLOOKUP($F29,Jornada!$X$7:$AD$37,VLOOKUP(INDIRECT($C$5),Jornada!$C$8:$W$37,21,0),0)-M29&lt;0,ABS(HLOOKUP($F29,Jornada!$X$7:$AD$37,VLOOKUP(INDIRECT($C$5),Jornada!$C$8:$W$37,21,0),0)-M29),0)</f>
        <v>0</v>
      </c>
      <c r="Q29" s="95">
        <f t="shared" si="0"/>
        <v>0</v>
      </c>
      <c r="R29" s="2">
        <f t="shared" si="2"/>
        <v>0</v>
      </c>
      <c r="S29" s="13"/>
      <c r="T29" s="74"/>
      <c r="U29" s="74"/>
      <c r="X29" s="177"/>
      <c r="AB29" s="177">
        <f t="shared" si="10"/>
        <v>22</v>
      </c>
      <c r="AC29" s="2">
        <f t="shared" si="3"/>
        <v>1</v>
      </c>
      <c r="AG29" s="220">
        <f t="shared" si="4"/>
        <v>0</v>
      </c>
      <c r="AH29" s="220">
        <f ca="1">IF(HLOOKUP($F29,Jornada!$X$7:$AD$37,VLOOKUP(INDIRECT($C$5),Jornada!$C$8:$W$37,21,0),0)=0,0,VLOOKUP(INDIRECT($C$5),Jornada!$C$8:$H$37,4,0))</f>
        <v>0</v>
      </c>
      <c r="AI29" s="155">
        <f ca="1">IF(AND(I29=0,J29=0,OR(H29&lt;&gt;0,K29&lt;&gt;0),HLOOKUP($F29,Jornada!$X$7:$AD$37,VLOOKUP(INDIRECT($C$5),Jornada!$C$8:$W$37,21,0),0)&gt;$AK$5,M29&gt;$AK$5),VLOOKUP(INDIRECT($C$5),Jornada!$C$8:$H$37,6,0),IF(AG29&gt;VLOOKUP(INDIRECT($C$5),Jornada!$C$8:$H$37,6,0),IF(VLOOKUP(INDIRECT($C$5),Jornada!$C$8:$H$37,6,0)&lt;AG29,0,ABS(VLOOKUP(INDIRECT($C$5),Jornada!$C$8:$H$37,6,0))-AG29),0))</f>
        <v>0</v>
      </c>
      <c r="AJ29" s="155">
        <f t="shared" si="5"/>
        <v>1</v>
      </c>
      <c r="AK29" s="155">
        <f t="shared" si="6"/>
        <v>0</v>
      </c>
      <c r="AL29" s="155">
        <f ca="1">HLOOKUP($F29,Jornada!$I$5:$V$37,VLOOKUP(INDIRECT($C$5),Jornada!$C$8:$W$37,21,0)+2,0)</f>
        <v>0</v>
      </c>
      <c r="AM29" s="155">
        <f ca="1">HLOOKUP($F29,Jornada!$I$4:$V$37,VLOOKUP(INDIRECT($C$5),Jornada!$C$8:$W$37,21,0)+3,0)</f>
        <v>0</v>
      </c>
      <c r="AN29" s="155">
        <f t="shared" ca="1" si="7"/>
        <v>0</v>
      </c>
      <c r="AO29" s="155">
        <f t="shared" si="8"/>
        <v>0</v>
      </c>
      <c r="AP29" s="155">
        <f t="shared" si="9"/>
        <v>0</v>
      </c>
    </row>
    <row r="30" spans="1:59" s="2" customFormat="1" ht="30" customHeight="1" thickTop="1" thickBot="1" x14ac:dyDescent="0.25">
      <c r="A30" s="1"/>
      <c r="B30"/>
      <c r="C30" s="172" t="str">
        <f>IF(Funcionários!C29=0,"",Funcionários!C29)</f>
        <v/>
      </c>
      <c r="D30"/>
      <c r="E30" s="173">
        <f>Lanç!E30</f>
        <v>23</v>
      </c>
      <c r="F30" s="189" t="str">
        <f>Lanç!F30</f>
        <v>Seg</v>
      </c>
      <c r="G30" s="81"/>
      <c r="H30" s="94"/>
      <c r="I30" s="94"/>
      <c r="J30" s="94"/>
      <c r="K30" s="94"/>
      <c r="L30" s="10"/>
      <c r="M30" s="95">
        <f t="shared" si="1"/>
        <v>0</v>
      </c>
      <c r="N30" s="96"/>
      <c r="O30" s="95">
        <f ca="1">IF(OR(G30=0,G30="Férias",G30="Falta Justificada",G30="Feriado",G30="Folga (DSR)"),0,IF(G30="Falta Injustificada",HLOOKUP($F30,Jornada!$X$7:$AD$37,VLOOKUP(INDIRECT($C$5),Jornada!$C$8:$W$37,21,0),0),IF(HLOOKUP($F30,Jornada!$X$7:$AD$37,VLOOKUP(INDIRECT($C$5),Jornada!$C$8:$W$37,21,0),0)-M30&gt;0,HLOOKUP($F30,Jornada!$X$7:$AD$37,VLOOKUP(INDIRECT($C$5),Jornada!$C$8:$W$37,21,0),0)-M30,0)))</f>
        <v>0</v>
      </c>
      <c r="P30" s="190">
        <f ca="1">IF(HLOOKUP($F30,Jornada!$X$7:$AD$37,VLOOKUP(INDIRECT($C$5),Jornada!$C$8:$W$37,21,0),0)-M30&lt;0,ABS(HLOOKUP($F30,Jornada!$X$7:$AD$37,VLOOKUP(INDIRECT($C$5),Jornada!$C$8:$W$37,21,0),0)-M30),0)</f>
        <v>0</v>
      </c>
      <c r="Q30" s="95">
        <f t="shared" si="0"/>
        <v>0</v>
      </c>
      <c r="R30" s="2">
        <f>IF(Q30&gt;$R$7,1,0)</f>
        <v>0</v>
      </c>
      <c r="S30" s="13"/>
      <c r="T30" s="74"/>
      <c r="U30" s="74"/>
      <c r="X30" s="177"/>
      <c r="AB30" s="177">
        <f t="shared" si="10"/>
        <v>23</v>
      </c>
      <c r="AC30" s="2">
        <f>WEEKDAY(AB30)</f>
        <v>2</v>
      </c>
      <c r="AG30" s="220">
        <f t="shared" si="4"/>
        <v>0</v>
      </c>
      <c r="AH30" s="220">
        <f ca="1">IF(HLOOKUP($F30,Jornada!$X$7:$AD$37,VLOOKUP(INDIRECT($C$5),Jornada!$C$8:$W$37,21,0),0)=0,0,VLOOKUP(INDIRECT($C$5),Jornada!$C$8:$H$37,4,0))</f>
        <v>0</v>
      </c>
      <c r="AI30" s="155">
        <f ca="1">IF(AND(I30=0,J30=0,OR(H30&lt;&gt;0,K30&lt;&gt;0),HLOOKUP($F30,Jornada!$X$7:$AD$37,VLOOKUP(INDIRECT($C$5),Jornada!$C$8:$W$37,21,0),0)&gt;$AK$5,M30&gt;$AK$5),VLOOKUP(INDIRECT($C$5),Jornada!$C$8:$H$37,6,0),IF(AG30&gt;VLOOKUP(INDIRECT($C$5),Jornada!$C$8:$H$37,6,0),IF(VLOOKUP(INDIRECT($C$5),Jornada!$C$8:$H$37,6,0)&lt;AG30,0,ABS(VLOOKUP(INDIRECT($C$5),Jornada!$C$8:$H$37,6,0))-AG30),0))</f>
        <v>0</v>
      </c>
      <c r="AJ30" s="155">
        <f>($AJ$7-K30)+H30</f>
        <v>1</v>
      </c>
      <c r="AK30" s="155">
        <f>IF(AJ30&lt;$AK$7,$AK$7-AJ30,$AI$7)</f>
        <v>0</v>
      </c>
      <c r="AL30" s="155">
        <f ca="1">HLOOKUP($F30,Jornada!$I$5:$V$37,VLOOKUP(INDIRECT($C$5),Jornada!$C$8:$W$37,21,0)+2,0)</f>
        <v>0</v>
      </c>
      <c r="AM30" s="155">
        <f ca="1">HLOOKUP($F30,Jornada!$I$4:$V$37,VLOOKUP(INDIRECT($C$5),Jornada!$C$8:$W$37,21,0)+3,0)</f>
        <v>0</v>
      </c>
      <c r="AN30" s="155">
        <f t="shared" ca="1" si="7"/>
        <v>0</v>
      </c>
      <c r="AO30" s="155">
        <f t="shared" si="8"/>
        <v>0</v>
      </c>
      <c r="AP30" s="155">
        <f t="shared" si="9"/>
        <v>0</v>
      </c>
    </row>
    <row r="31" spans="1:59" s="2" customFormat="1" ht="30" customHeight="1" thickTop="1" thickBot="1" x14ac:dyDescent="0.25">
      <c r="A31" s="1"/>
      <c r="B31"/>
      <c r="C31" s="172" t="str">
        <f>IF(Funcionários!C30=0,"",Funcionários!C30)</f>
        <v/>
      </c>
      <c r="D31"/>
      <c r="E31" s="173">
        <f>Lanç!E31</f>
        <v>24</v>
      </c>
      <c r="F31" s="189" t="str">
        <f>Lanç!F31</f>
        <v>Ter</v>
      </c>
      <c r="G31" s="81"/>
      <c r="H31" s="94"/>
      <c r="I31" s="94"/>
      <c r="J31" s="94"/>
      <c r="K31" s="94"/>
      <c r="L31" s="10"/>
      <c r="M31" s="95">
        <f t="shared" si="1"/>
        <v>0</v>
      </c>
      <c r="N31" s="96"/>
      <c r="O31" s="95">
        <f ca="1">IF(OR(G31=0,G31="Férias",G31="Falta Justificada",G31="Feriado",G31="Folga (DSR)"),0,IF(G31="Falta Injustificada",HLOOKUP($F31,Jornada!$X$7:$AD$37,VLOOKUP(INDIRECT($C$5),Jornada!$C$8:$W$37,21,0),0),IF(HLOOKUP($F31,Jornada!$X$7:$AD$37,VLOOKUP(INDIRECT($C$5),Jornada!$C$8:$W$37,21,0),0)-M31&gt;0,HLOOKUP($F31,Jornada!$X$7:$AD$37,VLOOKUP(INDIRECT($C$5),Jornada!$C$8:$W$37,21,0),0)-M31,0)))</f>
        <v>0</v>
      </c>
      <c r="P31" s="190">
        <f ca="1">IF(HLOOKUP($F31,Jornada!$X$7:$AD$37,VLOOKUP(INDIRECT($C$5),Jornada!$C$8:$W$37,21,0),0)-M31&lt;0,ABS(HLOOKUP($F31,Jornada!$X$7:$AD$37,VLOOKUP(INDIRECT($C$5),Jornada!$C$8:$W$37,21,0),0)-M31),0)</f>
        <v>0</v>
      </c>
      <c r="Q31" s="95">
        <f t="shared" si="0"/>
        <v>0</v>
      </c>
      <c r="R31" s="2">
        <f>IF(Q31&gt;$R$7,1,0)</f>
        <v>0</v>
      </c>
      <c r="S31" s="13"/>
      <c r="T31" s="74"/>
      <c r="U31" s="74"/>
      <c r="X31" s="177"/>
      <c r="AB31" s="177">
        <f t="shared" si="10"/>
        <v>24</v>
      </c>
      <c r="AC31" s="2">
        <f>WEEKDAY(AB31)</f>
        <v>3</v>
      </c>
      <c r="AG31" s="220">
        <f t="shared" si="4"/>
        <v>0</v>
      </c>
      <c r="AH31" s="220">
        <f ca="1">IF(HLOOKUP($F31,Jornada!$X$7:$AD$37,VLOOKUP(INDIRECT($C$5),Jornada!$C$8:$W$37,21,0),0)=0,0,VLOOKUP(INDIRECT($C$5),Jornada!$C$8:$H$37,4,0))</f>
        <v>0</v>
      </c>
      <c r="AI31" s="155">
        <f ca="1">IF(AND(I31=0,J31=0,OR(H31&lt;&gt;0,K31&lt;&gt;0),HLOOKUP($F31,Jornada!$X$7:$AD$37,VLOOKUP(INDIRECT($C$5),Jornada!$C$8:$W$37,21,0),0)&gt;$AK$5,M31&gt;$AK$5),VLOOKUP(INDIRECT($C$5),Jornada!$C$8:$H$37,6,0),IF(AG31&gt;VLOOKUP(INDIRECT($C$5),Jornada!$C$8:$H$37,6,0),IF(VLOOKUP(INDIRECT($C$5),Jornada!$C$8:$H$37,6,0)&lt;AG31,0,ABS(VLOOKUP(INDIRECT($C$5),Jornada!$C$8:$H$37,6,0))-AG31),0))</f>
        <v>0</v>
      </c>
      <c r="AJ31" s="155">
        <f>($AJ$7-K31)+H31</f>
        <v>1</v>
      </c>
      <c r="AK31" s="155">
        <f>IF(AJ31&lt;$AK$7,$AK$7-AJ31,$AI$7)</f>
        <v>0</v>
      </c>
      <c r="AL31" s="155">
        <f ca="1">HLOOKUP($F31,Jornada!$I$5:$V$37,VLOOKUP(INDIRECT($C$5),Jornada!$C$8:$W$37,21,0)+2,0)</f>
        <v>0</v>
      </c>
      <c r="AM31" s="155">
        <f ca="1">HLOOKUP($F31,Jornada!$I$4:$V$37,VLOOKUP(INDIRECT($C$5),Jornada!$C$8:$W$37,21,0)+3,0)</f>
        <v>0</v>
      </c>
      <c r="AN31" s="155">
        <f t="shared" ca="1" si="7"/>
        <v>0</v>
      </c>
      <c r="AO31" s="155">
        <f t="shared" si="8"/>
        <v>0</v>
      </c>
      <c r="AP31" s="155">
        <f t="shared" si="9"/>
        <v>0</v>
      </c>
    </row>
    <row r="32" spans="1:59" s="2" customFormat="1" ht="30" customHeight="1" thickTop="1" thickBot="1" x14ac:dyDescent="0.25">
      <c r="A32" s="1"/>
      <c r="B32"/>
      <c r="C32" s="172" t="str">
        <f>IF(Funcionários!C31=0,"",Funcionários!C31)</f>
        <v/>
      </c>
      <c r="D32"/>
      <c r="E32" s="115">
        <f>Lanç!E32</f>
        <v>25</v>
      </c>
      <c r="F32" s="189" t="str">
        <f>Lanç!F32</f>
        <v>Qua</v>
      </c>
      <c r="G32" s="81"/>
      <c r="H32" s="94"/>
      <c r="I32" s="94"/>
      <c r="J32" s="94"/>
      <c r="K32" s="94"/>
      <c r="L32" s="10"/>
      <c r="M32" s="95">
        <f t="shared" si="1"/>
        <v>0</v>
      </c>
      <c r="N32" s="96"/>
      <c r="O32" s="95">
        <f ca="1">IF(OR(G32=0,G32="Férias",G32="Falta Justificada",G32="Feriado",G32="Folga (DSR)"),0,IF(G32="Falta Injustificada",HLOOKUP($F32,Jornada!$X$7:$AD$37,VLOOKUP(INDIRECT($C$5),Jornada!$C$8:$W$37,21,0),0),IF(HLOOKUP($F32,Jornada!$X$7:$AD$37,VLOOKUP(INDIRECT($C$5),Jornada!$C$8:$W$37,21,0),0)-M32&gt;0,HLOOKUP($F32,Jornada!$X$7:$AD$37,VLOOKUP(INDIRECT($C$5),Jornada!$C$8:$W$37,21,0),0)-M32,0)))</f>
        <v>0</v>
      </c>
      <c r="P32" s="190">
        <f ca="1">IF(HLOOKUP($F32,Jornada!$X$7:$AD$37,VLOOKUP(INDIRECT($C$5),Jornada!$C$8:$W$37,21,0),0)-M32&lt;0,ABS(HLOOKUP($F32,Jornada!$X$7:$AD$37,VLOOKUP(INDIRECT($C$5),Jornada!$C$8:$W$37,21,0),0)-M32),0)</f>
        <v>0</v>
      </c>
      <c r="Q32" s="95">
        <f t="shared" si="0"/>
        <v>0</v>
      </c>
      <c r="R32" s="2">
        <f t="shared" si="2"/>
        <v>0</v>
      </c>
      <c r="S32" s="74"/>
      <c r="T32" s="74"/>
      <c r="U32" s="74"/>
      <c r="X32" s="177"/>
      <c r="AB32" s="177">
        <f t="shared" si="10"/>
        <v>25</v>
      </c>
      <c r="AC32" s="2">
        <f t="shared" si="3"/>
        <v>4</v>
      </c>
      <c r="AG32" s="220">
        <f t="shared" si="4"/>
        <v>0</v>
      </c>
      <c r="AH32" s="220">
        <f ca="1">IF(HLOOKUP($F32,Jornada!$X$7:$AD$37,VLOOKUP(INDIRECT($C$5),Jornada!$C$8:$W$37,21,0),0)=0,0,VLOOKUP(INDIRECT($C$5),Jornada!$C$8:$H$37,4,0))</f>
        <v>0</v>
      </c>
      <c r="AI32" s="155">
        <f ca="1">IF(AND(I32=0,J32=0,OR(H32&lt;&gt;0,K32&lt;&gt;0),HLOOKUP($F32,Jornada!$X$7:$AD$37,VLOOKUP(INDIRECT($C$5),Jornada!$C$8:$W$37,21,0),0)&gt;$AK$5,M32&gt;$AK$5),VLOOKUP(INDIRECT($C$5),Jornada!$C$8:$H$37,6,0),IF(AG32&gt;VLOOKUP(INDIRECT($C$5),Jornada!$C$8:$H$37,6,0),IF(VLOOKUP(INDIRECT($C$5),Jornada!$C$8:$H$37,6,0)&lt;AG32,0,ABS(VLOOKUP(INDIRECT($C$5),Jornada!$C$8:$H$37,6,0))-AG32),0))</f>
        <v>0</v>
      </c>
      <c r="AJ32" s="155">
        <f t="shared" si="5"/>
        <v>1</v>
      </c>
      <c r="AK32" s="155">
        <f t="shared" si="6"/>
        <v>0</v>
      </c>
      <c r="AL32" s="155">
        <f ca="1">HLOOKUP($F32,Jornada!$I$5:$V$37,VLOOKUP(INDIRECT($C$5),Jornada!$C$8:$W$37,21,0)+2,0)</f>
        <v>0</v>
      </c>
      <c r="AM32" s="155">
        <f ca="1">HLOOKUP($F32,Jornada!$I$4:$V$37,VLOOKUP(INDIRECT($C$5),Jornada!$C$8:$W$37,21,0)+3,0)</f>
        <v>0</v>
      </c>
      <c r="AN32" s="155">
        <f t="shared" ca="1" si="7"/>
        <v>0</v>
      </c>
      <c r="AO32" s="155">
        <f t="shared" si="8"/>
        <v>0</v>
      </c>
      <c r="AP32" s="155">
        <f t="shared" si="9"/>
        <v>0</v>
      </c>
    </row>
    <row r="33" spans="1:42" s="2" customFormat="1" ht="30" customHeight="1" thickTop="1" thickBot="1" x14ac:dyDescent="0.25">
      <c r="A33" s="1"/>
      <c r="B33"/>
      <c r="C33" s="172" t="str">
        <f>IF(Funcionários!C32=0,"",Funcionários!C32)</f>
        <v/>
      </c>
      <c r="D33"/>
      <c r="E33" s="115">
        <f>Lanç!E33</f>
        <v>26</v>
      </c>
      <c r="F33" s="189" t="str">
        <f>Lanç!F33</f>
        <v>Qui</v>
      </c>
      <c r="G33" s="81"/>
      <c r="H33" s="94"/>
      <c r="I33" s="94"/>
      <c r="J33" s="94"/>
      <c r="K33" s="94"/>
      <c r="L33" s="10"/>
      <c r="M33" s="95">
        <f t="shared" si="1"/>
        <v>0</v>
      </c>
      <c r="N33" s="96"/>
      <c r="O33" s="95">
        <f ca="1">IF(OR(G33=0,G33="Férias",G33="Falta Justificada",G33="Feriado",G33="Folga (DSR)"),0,IF(G33="Falta Injustificada",HLOOKUP($F33,Jornada!$X$7:$AD$37,VLOOKUP(INDIRECT($C$5),Jornada!$C$8:$W$37,21,0),0),IF(HLOOKUP($F33,Jornada!$X$7:$AD$37,VLOOKUP(INDIRECT($C$5),Jornada!$C$8:$W$37,21,0),0)-M33&gt;0,HLOOKUP($F33,Jornada!$X$7:$AD$37,VLOOKUP(INDIRECT($C$5),Jornada!$C$8:$W$37,21,0),0)-M33,0)))</f>
        <v>0</v>
      </c>
      <c r="P33" s="190">
        <f ca="1">IF(HLOOKUP($F33,Jornada!$X$7:$AD$37,VLOOKUP(INDIRECT($C$5),Jornada!$C$8:$W$37,21,0),0)-M33&lt;0,ABS(HLOOKUP($F33,Jornada!$X$7:$AD$37,VLOOKUP(INDIRECT($C$5),Jornada!$C$8:$W$37,21,0),0)-M33),0)</f>
        <v>0</v>
      </c>
      <c r="Q33" s="95">
        <f t="shared" si="0"/>
        <v>0</v>
      </c>
      <c r="R33" s="2">
        <f t="shared" si="2"/>
        <v>0</v>
      </c>
      <c r="S33" s="74"/>
      <c r="T33" s="74"/>
      <c r="U33" s="74"/>
      <c r="X33" s="177"/>
      <c r="AB33" s="177">
        <f t="shared" si="10"/>
        <v>26</v>
      </c>
      <c r="AC33" s="2">
        <f t="shared" si="3"/>
        <v>5</v>
      </c>
      <c r="AG33" s="220">
        <f t="shared" si="4"/>
        <v>0</v>
      </c>
      <c r="AH33" s="220">
        <f ca="1">IF(HLOOKUP($F33,Jornada!$X$7:$AD$37,VLOOKUP(INDIRECT($C$5),Jornada!$C$8:$W$37,21,0),0)=0,0,VLOOKUP(INDIRECT($C$5),Jornada!$C$8:$H$37,4,0))</f>
        <v>0</v>
      </c>
      <c r="AI33" s="155">
        <f ca="1">IF(AND(I33=0,J33=0,OR(H33&lt;&gt;0,K33&lt;&gt;0),HLOOKUP($F33,Jornada!$X$7:$AD$37,VLOOKUP(INDIRECT($C$5),Jornada!$C$8:$W$37,21,0),0)&gt;$AK$5,M33&gt;$AK$5),VLOOKUP(INDIRECT($C$5),Jornada!$C$8:$H$37,6,0),IF(AG33&gt;VLOOKUP(INDIRECT($C$5),Jornada!$C$8:$H$37,6,0),IF(VLOOKUP(INDIRECT($C$5),Jornada!$C$8:$H$37,6,0)&lt;AG33,0,ABS(VLOOKUP(INDIRECT($C$5),Jornada!$C$8:$H$37,6,0))-AG33),0))</f>
        <v>0</v>
      </c>
      <c r="AJ33" s="155">
        <f t="shared" si="5"/>
        <v>1</v>
      </c>
      <c r="AK33" s="155">
        <f t="shared" si="6"/>
        <v>0</v>
      </c>
      <c r="AL33" s="155">
        <f ca="1">HLOOKUP($F33,Jornada!$I$5:$V$37,VLOOKUP(INDIRECT($C$5),Jornada!$C$8:$W$37,21,0)+2,0)</f>
        <v>0</v>
      </c>
      <c r="AM33" s="155">
        <f ca="1">HLOOKUP($F33,Jornada!$I$4:$V$37,VLOOKUP(INDIRECT($C$5),Jornada!$C$8:$W$37,21,0)+3,0)</f>
        <v>0</v>
      </c>
      <c r="AN33" s="155">
        <f t="shared" ca="1" si="7"/>
        <v>0</v>
      </c>
      <c r="AO33" s="155">
        <f t="shared" si="8"/>
        <v>0</v>
      </c>
      <c r="AP33" s="155">
        <f t="shared" si="9"/>
        <v>0</v>
      </c>
    </row>
    <row r="34" spans="1:42" s="2" customFormat="1" ht="30" customHeight="1" thickTop="1" thickBot="1" x14ac:dyDescent="0.25">
      <c r="A34" s="1"/>
      <c r="B34"/>
      <c r="C34" s="171" t="str">
        <f>IF(Funcionários!C33=0,"",Funcionários!C33)</f>
        <v/>
      </c>
      <c r="D34"/>
      <c r="E34" s="115">
        <f>Lanç!E34</f>
        <v>27</v>
      </c>
      <c r="F34" s="189" t="str">
        <f>Lanç!F34</f>
        <v>Sex</v>
      </c>
      <c r="G34" s="81"/>
      <c r="H34" s="94"/>
      <c r="I34" s="94"/>
      <c r="J34" s="94"/>
      <c r="K34" s="94"/>
      <c r="L34" s="10"/>
      <c r="M34" s="95">
        <f t="shared" si="1"/>
        <v>0</v>
      </c>
      <c r="N34" s="96"/>
      <c r="O34" s="95">
        <f ca="1">IF(OR(G34=0,G34="Férias",G34="Falta Justificada",G34="Feriado",G34="Folga (DSR)"),0,IF(G34="Falta Injustificada",HLOOKUP($F34,Jornada!$X$7:$AD$37,VLOOKUP(INDIRECT($C$5),Jornada!$C$8:$W$37,21,0),0),IF(HLOOKUP($F34,Jornada!$X$7:$AD$37,VLOOKUP(INDIRECT($C$5),Jornada!$C$8:$W$37,21,0),0)-M34&gt;0,HLOOKUP($F34,Jornada!$X$7:$AD$37,VLOOKUP(INDIRECT($C$5),Jornada!$C$8:$W$37,21,0),0)-M34,0)))</f>
        <v>0</v>
      </c>
      <c r="P34" s="190">
        <f ca="1">IF(HLOOKUP($F34,Jornada!$X$7:$AD$37,VLOOKUP(INDIRECT($C$5),Jornada!$C$8:$W$37,21,0),0)-M34&lt;0,ABS(HLOOKUP($F34,Jornada!$X$7:$AD$37,VLOOKUP(INDIRECT($C$5),Jornada!$C$8:$W$37,21,0),0)-M34),0)</f>
        <v>0</v>
      </c>
      <c r="Q34" s="95">
        <f t="shared" si="0"/>
        <v>0</v>
      </c>
      <c r="R34" s="2">
        <f t="shared" si="2"/>
        <v>0</v>
      </c>
      <c r="S34" s="74"/>
      <c r="T34" s="74"/>
      <c r="U34" s="74"/>
      <c r="X34" s="177"/>
      <c r="AB34" s="177">
        <f t="shared" si="10"/>
        <v>27</v>
      </c>
      <c r="AC34" s="2">
        <f t="shared" si="3"/>
        <v>6</v>
      </c>
      <c r="AG34" s="220">
        <f t="shared" si="4"/>
        <v>0</v>
      </c>
      <c r="AH34" s="220">
        <f ca="1">IF(HLOOKUP($F34,Jornada!$X$7:$AD$37,VLOOKUP(INDIRECT($C$5),Jornada!$C$8:$W$37,21,0),0)=0,0,VLOOKUP(INDIRECT($C$5),Jornada!$C$8:$H$37,4,0))</f>
        <v>0</v>
      </c>
      <c r="AI34" s="155">
        <f ca="1">IF(AND(I34=0,J34=0,OR(H34&lt;&gt;0,K34&lt;&gt;0),HLOOKUP($F34,Jornada!$X$7:$AD$37,VLOOKUP(INDIRECT($C$5),Jornada!$C$8:$W$37,21,0),0)&gt;$AK$5,M34&gt;$AK$5),VLOOKUP(INDIRECT($C$5),Jornada!$C$8:$H$37,6,0),IF(AG34&gt;VLOOKUP(INDIRECT($C$5),Jornada!$C$8:$H$37,6,0),IF(VLOOKUP(INDIRECT($C$5),Jornada!$C$8:$H$37,6,0)&lt;AG34,0,ABS(VLOOKUP(INDIRECT($C$5),Jornada!$C$8:$H$37,6,0))-AG34),0))</f>
        <v>0</v>
      </c>
      <c r="AJ34" s="155">
        <f t="shared" si="5"/>
        <v>1</v>
      </c>
      <c r="AK34" s="155">
        <f t="shared" si="6"/>
        <v>0</v>
      </c>
      <c r="AL34" s="155">
        <f ca="1">HLOOKUP($F34,Jornada!$I$5:$V$37,VLOOKUP(INDIRECT($C$5),Jornada!$C$8:$W$37,21,0)+2,0)</f>
        <v>0</v>
      </c>
      <c r="AM34" s="155">
        <f ca="1">HLOOKUP($F34,Jornada!$I$4:$V$37,VLOOKUP(INDIRECT($C$5),Jornada!$C$8:$W$37,21,0)+3,0)</f>
        <v>0</v>
      </c>
      <c r="AN34" s="155">
        <f t="shared" ca="1" si="7"/>
        <v>0</v>
      </c>
      <c r="AO34" s="155">
        <f t="shared" si="8"/>
        <v>0</v>
      </c>
      <c r="AP34" s="155">
        <f t="shared" si="9"/>
        <v>0</v>
      </c>
    </row>
    <row r="35" spans="1:42" s="2" customFormat="1" ht="30" customHeight="1" thickTop="1" thickBot="1" x14ac:dyDescent="0.25">
      <c r="A35" s="1"/>
      <c r="B35"/>
      <c r="C35" s="172" t="str">
        <f>IF(Funcionários!C34=0,"",Funcionários!C34)</f>
        <v/>
      </c>
      <c r="D35"/>
      <c r="E35" s="115">
        <f>Lanç!E35</f>
        <v>28</v>
      </c>
      <c r="F35" s="189" t="str">
        <f>Lanç!F35</f>
        <v>Sáb</v>
      </c>
      <c r="G35" s="81"/>
      <c r="H35" s="94"/>
      <c r="I35" s="94"/>
      <c r="J35" s="94"/>
      <c r="K35" s="94"/>
      <c r="L35" s="10"/>
      <c r="M35" s="95">
        <f t="shared" si="1"/>
        <v>0</v>
      </c>
      <c r="N35" s="96"/>
      <c r="O35" s="95">
        <f ca="1">IF(OR(G35=0,G35="Férias",G35="Falta Justificada",G35="Feriado",G35="Folga (DSR)"),0,IF(G35="Falta Injustificada",HLOOKUP($F35,Jornada!$X$7:$AD$37,VLOOKUP(INDIRECT($C$5),Jornada!$C$8:$W$37,21,0),0),IF(HLOOKUP($F35,Jornada!$X$7:$AD$37,VLOOKUP(INDIRECT($C$5),Jornada!$C$8:$W$37,21,0),0)-M35&gt;0,HLOOKUP($F35,Jornada!$X$7:$AD$37,VLOOKUP(INDIRECT($C$5),Jornada!$C$8:$W$37,21,0),0)-M35,0)))</f>
        <v>0</v>
      </c>
      <c r="P35" s="190">
        <f ca="1">IF(HLOOKUP($F35,Jornada!$X$7:$AD$37,VLOOKUP(INDIRECT($C$5),Jornada!$C$8:$W$37,21,0),0)-M35&lt;0,ABS(HLOOKUP($F35,Jornada!$X$7:$AD$37,VLOOKUP(INDIRECT($C$5),Jornada!$C$8:$W$37,21,0),0)-M35),0)</f>
        <v>0</v>
      </c>
      <c r="Q35" s="95">
        <f t="shared" si="0"/>
        <v>0</v>
      </c>
      <c r="R35" s="2">
        <f t="shared" si="2"/>
        <v>0</v>
      </c>
      <c r="S35"/>
      <c r="T35"/>
      <c r="U35"/>
      <c r="X35" s="177"/>
      <c r="AB35" s="177">
        <f>IF(MONTH(AB34+1)&lt;&gt;MONTH(AB34),"",AB34+1)</f>
        <v>28</v>
      </c>
      <c r="AC35" s="2">
        <f t="shared" si="3"/>
        <v>7</v>
      </c>
      <c r="AG35" s="220">
        <f t="shared" si="4"/>
        <v>0</v>
      </c>
      <c r="AH35" s="220">
        <f ca="1">IF(HLOOKUP($F35,Jornada!$X$7:$AD$37,VLOOKUP(INDIRECT($C$5),Jornada!$C$8:$W$37,21,0),0)=0,0,VLOOKUP(INDIRECT($C$5),Jornada!$C$8:$H$37,4,0))</f>
        <v>0</v>
      </c>
      <c r="AI35" s="155">
        <f ca="1">IF(AND(I35=0,J35=0,OR(H35&lt;&gt;0,K35&lt;&gt;0),HLOOKUP($F35,Jornada!$X$7:$AD$37,VLOOKUP(INDIRECT($C$5),Jornada!$C$8:$W$37,21,0),0)&gt;$AK$5,M35&gt;$AK$5),VLOOKUP(INDIRECT($C$5),Jornada!$C$8:$H$37,6,0),IF(AG35&gt;VLOOKUP(INDIRECT($C$5),Jornada!$C$8:$H$37,6,0),IF(VLOOKUP(INDIRECT($C$5),Jornada!$C$8:$H$37,6,0)&lt;AG35,0,ABS(VLOOKUP(INDIRECT($C$5),Jornada!$C$8:$H$37,6,0))-AG35),0))</f>
        <v>0</v>
      </c>
      <c r="AJ35" s="155">
        <f t="shared" si="5"/>
        <v>1</v>
      </c>
      <c r="AK35" s="155">
        <f t="shared" si="6"/>
        <v>0</v>
      </c>
      <c r="AL35" s="155">
        <f ca="1">HLOOKUP($F35,Jornada!$I$5:$V$37,VLOOKUP(INDIRECT($C$5),Jornada!$C$8:$W$37,21,0)+2,0)</f>
        <v>0</v>
      </c>
      <c r="AM35" s="155">
        <f ca="1">HLOOKUP($F35,Jornada!$I$4:$V$37,VLOOKUP(INDIRECT($C$5),Jornada!$C$8:$W$37,21,0)+3,0)</f>
        <v>0</v>
      </c>
      <c r="AN35" s="155">
        <f t="shared" ca="1" si="7"/>
        <v>0</v>
      </c>
      <c r="AO35" s="155">
        <f t="shared" si="8"/>
        <v>0</v>
      </c>
      <c r="AP35" s="155">
        <f t="shared" si="9"/>
        <v>0</v>
      </c>
    </row>
    <row r="36" spans="1:42" s="2" customFormat="1" ht="30" customHeight="1" thickTop="1" thickBot="1" x14ac:dyDescent="0.25">
      <c r="A36" s="1"/>
      <c r="B36"/>
      <c r="C36" s="172" t="str">
        <f>IF(Funcionários!C35=0,"",Funcionários!C35)</f>
        <v/>
      </c>
      <c r="D36"/>
      <c r="E36" s="115">
        <f>Lanç!E36</f>
        <v>29</v>
      </c>
      <c r="F36" s="189" t="str">
        <f>Lanç!F36</f>
        <v>Dom</v>
      </c>
      <c r="G36" s="81"/>
      <c r="H36" s="94"/>
      <c r="I36" s="94"/>
      <c r="J36" s="94"/>
      <c r="K36" s="94"/>
      <c r="L36" s="10"/>
      <c r="M36" s="95">
        <f t="shared" si="1"/>
        <v>0</v>
      </c>
      <c r="N36" s="96"/>
      <c r="O36" s="95">
        <f ca="1">IF(OR(G36=0,G36="Férias",G36="Falta Justificada",G36="Feriado",G36="Folga (DSR)"),0,IF(G36="Falta Injustificada",HLOOKUP($F36,Jornada!$X$7:$AD$37,VLOOKUP(INDIRECT($C$5),Jornada!$C$8:$W$37,21,0),0),IF(HLOOKUP($F36,Jornada!$X$7:$AD$37,VLOOKUP(INDIRECT($C$5),Jornada!$C$8:$W$37,21,0),0)-M36&gt;0,HLOOKUP($F36,Jornada!$X$7:$AD$37,VLOOKUP(INDIRECT($C$5),Jornada!$C$8:$W$37,21,0),0)-M36,0)))</f>
        <v>0</v>
      </c>
      <c r="P36" s="190">
        <f ca="1">IF(HLOOKUP($F36,Jornada!$X$7:$AD$37,VLOOKUP(INDIRECT($C$5),Jornada!$C$8:$W$37,21,0),0)-M36&lt;0,ABS(HLOOKUP($F36,Jornada!$X$7:$AD$37,VLOOKUP(INDIRECT($C$5),Jornada!$C$8:$W$37,21,0),0)-M36),0)</f>
        <v>0</v>
      </c>
      <c r="Q36" s="95">
        <f t="shared" si="0"/>
        <v>0</v>
      </c>
      <c r="R36" s="2">
        <f t="shared" si="2"/>
        <v>0</v>
      </c>
      <c r="S36"/>
      <c r="T36"/>
      <c r="U36"/>
      <c r="X36" s="177"/>
      <c r="AB36" s="177">
        <f>IF(MONTH(AB35+1)&lt;&gt;MONTH(AB35),"",IF(AB35="","",AB35+1))</f>
        <v>29</v>
      </c>
      <c r="AC36" s="2">
        <f>IF(ISERROR(WEEKDAY(AB36)),"",WEEKDAY(AB36))</f>
        <v>1</v>
      </c>
      <c r="AG36" s="220">
        <f t="shared" si="4"/>
        <v>0</v>
      </c>
      <c r="AH36" s="220">
        <f ca="1">IF(HLOOKUP($F36,Jornada!$X$7:$AD$37,VLOOKUP(INDIRECT($C$5),Jornada!$C$8:$W$37,21,0),0)=0,0,VLOOKUP(INDIRECT($C$5),Jornada!$C$8:$H$37,4,0))</f>
        <v>0</v>
      </c>
      <c r="AI36" s="155">
        <f ca="1">IF(AND(I36=0,J36=0,OR(H36&lt;&gt;0,K36&lt;&gt;0),HLOOKUP($F36,Jornada!$X$7:$AD$37,VLOOKUP(INDIRECT($C$5),Jornada!$C$8:$W$37,21,0),0)&gt;$AK$5,M36&gt;$AK$5),VLOOKUP(INDIRECT($C$5),Jornada!$C$8:$H$37,6,0),IF(AG36&gt;VLOOKUP(INDIRECT($C$5),Jornada!$C$8:$H$37,6,0),IF(VLOOKUP(INDIRECT($C$5),Jornada!$C$8:$H$37,6,0)&lt;AG36,0,ABS(VLOOKUP(INDIRECT($C$5),Jornada!$C$8:$H$37,6,0))-AG36),0))</f>
        <v>0</v>
      </c>
      <c r="AJ36" s="155">
        <f t="shared" si="5"/>
        <v>1</v>
      </c>
      <c r="AK36" s="155">
        <f t="shared" si="6"/>
        <v>0</v>
      </c>
      <c r="AL36" s="155">
        <f ca="1">HLOOKUP($F36,Jornada!$I$5:$V$37,VLOOKUP(INDIRECT($C$5),Jornada!$C$8:$W$37,21,0)+2,0)</f>
        <v>0</v>
      </c>
      <c r="AM36" s="155">
        <f ca="1">HLOOKUP($F36,Jornada!$I$4:$V$37,VLOOKUP(INDIRECT($C$5),Jornada!$C$8:$W$37,21,0)+3,0)</f>
        <v>0</v>
      </c>
      <c r="AN36" s="155">
        <f t="shared" ca="1" si="7"/>
        <v>0</v>
      </c>
      <c r="AO36" s="155">
        <f t="shared" si="8"/>
        <v>0</v>
      </c>
      <c r="AP36" s="155">
        <f t="shared" si="9"/>
        <v>0</v>
      </c>
    </row>
    <row r="37" spans="1:42" s="2" customFormat="1" ht="30" customHeight="1" thickTop="1" thickBot="1" x14ac:dyDescent="0.25">
      <c r="A37" s="1"/>
      <c r="B37"/>
      <c r="C37" s="172" t="str">
        <f>IF(Funcionários!C36=0,"",Funcionários!C36)</f>
        <v/>
      </c>
      <c r="D37"/>
      <c r="E37" s="115">
        <f>Lanç!E37</f>
        <v>30</v>
      </c>
      <c r="F37" s="189" t="str">
        <f>Lanç!F37</f>
        <v>Seg</v>
      </c>
      <c r="G37" s="81"/>
      <c r="H37" s="94"/>
      <c r="I37" s="94"/>
      <c r="J37" s="94"/>
      <c r="K37" s="94"/>
      <c r="L37" s="10"/>
      <c r="M37" s="95">
        <f t="shared" si="1"/>
        <v>0</v>
      </c>
      <c r="N37" s="96"/>
      <c r="O37" s="95">
        <f ca="1">IF(OR(G37=0,G37="Férias",G37="Falta Justificada",G37="Feriado",G37="Folga (DSR)"),0,IF(G37="Falta Injustificada",HLOOKUP($F37,Jornada!$X$7:$AD$37,VLOOKUP(INDIRECT($C$5),Jornada!$C$8:$W$37,21,0),0),IF(HLOOKUP($F37,Jornada!$X$7:$AD$37,VLOOKUP(INDIRECT($C$5),Jornada!$C$8:$W$37,21,0),0)-M37&gt;0,HLOOKUP($F37,Jornada!$X$7:$AD$37,VLOOKUP(INDIRECT($C$5),Jornada!$C$8:$W$37,21,0),0)-M37,0)))</f>
        <v>0</v>
      </c>
      <c r="P37" s="190">
        <f ca="1">IF(HLOOKUP($F37,Jornada!$X$7:$AD$37,VLOOKUP(INDIRECT($C$5),Jornada!$C$8:$W$37,21,0),0)-M37&lt;0,ABS(HLOOKUP($F37,Jornada!$X$7:$AD$37,VLOOKUP(INDIRECT($C$5),Jornada!$C$8:$W$37,21,0),0)-M37),0)</f>
        <v>0</v>
      </c>
      <c r="Q37" s="95">
        <f t="shared" si="0"/>
        <v>0</v>
      </c>
      <c r="R37" s="2">
        <f t="shared" si="2"/>
        <v>0</v>
      </c>
      <c r="S37"/>
      <c r="T37"/>
      <c r="U37"/>
      <c r="X37" s="177"/>
      <c r="AB37" s="177">
        <f>IF(AB36="","",IF(MONTH(AB36+1)&lt;&gt;MONTH(AB36),"",AB36+1))</f>
        <v>30</v>
      </c>
      <c r="AC37" s="2">
        <f>IF(ISERROR(WEEKDAY(AB37)),"",WEEKDAY(AB37))</f>
        <v>2</v>
      </c>
      <c r="AG37" s="220">
        <f t="shared" si="4"/>
        <v>0</v>
      </c>
      <c r="AH37" s="220">
        <f ca="1">IF(HLOOKUP($F37,Jornada!$X$7:$AD$37,VLOOKUP(INDIRECT($C$5),Jornada!$C$8:$W$37,21,0),0)=0,0,VLOOKUP(INDIRECT($C$5),Jornada!$C$8:$H$37,4,0))</f>
        <v>0</v>
      </c>
      <c r="AI37" s="155">
        <f ca="1">IF(AND(I37=0,J37=0,OR(H37&lt;&gt;0,K37&lt;&gt;0),HLOOKUP($F37,Jornada!$X$7:$AD$37,VLOOKUP(INDIRECT($C$5),Jornada!$C$8:$W$37,21,0),0)&gt;$AK$5,M37&gt;$AK$5),VLOOKUP(INDIRECT($C$5),Jornada!$C$8:$H$37,6,0),IF(AG37&gt;VLOOKUP(INDIRECT($C$5),Jornada!$C$8:$H$37,6,0),IF(VLOOKUP(INDIRECT($C$5),Jornada!$C$8:$H$37,6,0)&lt;AG37,0,ABS(VLOOKUP(INDIRECT($C$5),Jornada!$C$8:$H$37,6,0))-AG37),0))</f>
        <v>0</v>
      </c>
      <c r="AJ37" s="155">
        <f t="shared" si="5"/>
        <v>1</v>
      </c>
      <c r="AK37" s="155">
        <f t="shared" si="6"/>
        <v>0</v>
      </c>
      <c r="AL37" s="155">
        <f ca="1">HLOOKUP($F37,Jornada!$I$5:$V$37,VLOOKUP(INDIRECT($C$5),Jornada!$C$8:$W$37,21,0)+2,0)</f>
        <v>0</v>
      </c>
      <c r="AM37" s="155">
        <f ca="1">HLOOKUP($F37,Jornada!$I$4:$V$37,VLOOKUP(INDIRECT($C$5),Jornada!$C$8:$W$37,21,0)+3,0)</f>
        <v>0</v>
      </c>
      <c r="AN37" s="155">
        <f t="shared" ca="1" si="7"/>
        <v>0</v>
      </c>
      <c r="AO37" s="155">
        <f t="shared" si="8"/>
        <v>0</v>
      </c>
      <c r="AP37" s="155">
        <f t="shared" si="9"/>
        <v>0</v>
      </c>
    </row>
    <row r="38" spans="1:42" s="2" customFormat="1" ht="30" customHeight="1" thickTop="1" thickBot="1" x14ac:dyDescent="0.25">
      <c r="A38" s="1"/>
      <c r="B38"/>
      <c r="C38"/>
      <c r="D38" s="2">
        <f t="shared" ref="D38" si="11">IF(D37=7,1,D37+1)</f>
        <v>1</v>
      </c>
      <c r="E38" s="210">
        <f>Lanç!E38</f>
        <v>31</v>
      </c>
      <c r="F38" s="210" t="str">
        <f>Lanç!F38</f>
        <v>Ter</v>
      </c>
      <c r="G38" s="81"/>
      <c r="H38" s="94"/>
      <c r="I38" s="94"/>
      <c r="J38" s="94"/>
      <c r="K38" s="94"/>
      <c r="L38" s="197"/>
      <c r="M38" s="95">
        <f t="shared" si="1"/>
        <v>0</v>
      </c>
      <c r="N38" s="196"/>
      <c r="O38" s="95">
        <f ca="1">IF(OR(G38=0,G38="Férias",G38="Falta Justificada",G38="Feriado",G38="Folga (DSR)"),0,IF(G38="Falta Injustificada",HLOOKUP($F38,Jornada!$X$7:$AD$37,VLOOKUP(INDIRECT($C$5),Jornada!$C$8:$W$37,21,0),0),IF(HLOOKUP($F38,Jornada!$X$7:$AD$37,VLOOKUP(INDIRECT($C$5),Jornada!$C$8:$W$37,21,0),0)-M38&gt;0,HLOOKUP($F38,Jornada!$X$7:$AD$37,VLOOKUP(INDIRECT($C$5),Jornada!$C$8:$W$37,21,0),0)-M38,0)))</f>
        <v>0</v>
      </c>
      <c r="P38" s="201">
        <f ca="1">IF(HLOOKUP($F38,Jornada!$X$7:$AD$37,VLOOKUP(INDIRECT($C$5),Jornada!$C$8:$W$37,21,0),0)-M38&lt;0,ABS(HLOOKUP($F38,Jornada!$X$7:$AD$37,VLOOKUP(INDIRECT($C$5),Jornada!$C$8:$W$37,21,0),0)-M38),0)</f>
        <v>0</v>
      </c>
      <c r="Q38" s="95">
        <f t="shared" si="0"/>
        <v>0</v>
      </c>
      <c r="R38" s="2">
        <f t="shared" si="2"/>
        <v>0</v>
      </c>
      <c r="X38" s="177"/>
      <c r="AB38" s="177">
        <f>IF(AB37="","",IF(MONTH(AB37+1)&lt;&gt;MONTH(AB37),"",AB37+1))</f>
        <v>31</v>
      </c>
      <c r="AC38" s="2">
        <f>IF(ISERROR(WEEKDAY(AB38)),"",WEEKDAY(AB38))</f>
        <v>3</v>
      </c>
      <c r="AG38" s="220">
        <f t="shared" si="4"/>
        <v>0</v>
      </c>
      <c r="AH38" s="220">
        <f ca="1">IF(HLOOKUP($F38,Jornada!$X$7:$AD$37,VLOOKUP(INDIRECT($C$5),Jornada!$C$8:$W$37,21,0),0)=0,0,VLOOKUP(INDIRECT($C$5),Jornada!$C$8:$H$37,4,0))</f>
        <v>0</v>
      </c>
      <c r="AI38" s="155">
        <f ca="1">IF(AND(I38=0,J38=0,OR(H38&lt;&gt;0,K38&lt;&gt;0),HLOOKUP($F38,Jornada!$X$7:$AD$37,VLOOKUP(INDIRECT($C$5),Jornada!$C$8:$W$37,21,0),0)&gt;$AK$5,M38&gt;$AK$5),VLOOKUP(INDIRECT($C$5),Jornada!$C$8:$H$37,6,0),IF(AG38&gt;VLOOKUP(INDIRECT($C$5),Jornada!$C$8:$H$37,6,0),IF(VLOOKUP(INDIRECT($C$5),Jornada!$C$8:$H$37,6,0)&lt;AG38,0,ABS(VLOOKUP(INDIRECT($C$5),Jornada!$C$8:$H$37,6,0))-AG38),0))</f>
        <v>0</v>
      </c>
      <c r="AJ38" s="155">
        <f t="shared" si="5"/>
        <v>1</v>
      </c>
      <c r="AK38" s="155">
        <f t="shared" si="6"/>
        <v>0</v>
      </c>
      <c r="AL38" s="155">
        <f ca="1">HLOOKUP($F38,Jornada!$I$5:$V$37,VLOOKUP(INDIRECT($C$5),Jornada!$C$8:$W$37,21,0)+2,0)</f>
        <v>0</v>
      </c>
      <c r="AM38" s="155">
        <f ca="1">HLOOKUP($F38,Jornada!$I$4:$V$37,VLOOKUP(INDIRECT($C$5),Jornada!$C$8:$W$37,21,0)+3,0)</f>
        <v>0</v>
      </c>
      <c r="AN38" s="155">
        <f t="shared" ca="1" si="7"/>
        <v>0</v>
      </c>
      <c r="AO38" s="155">
        <f t="shared" si="8"/>
        <v>0</v>
      </c>
      <c r="AP38" s="155">
        <f t="shared" si="9"/>
        <v>0</v>
      </c>
    </row>
    <row r="39" spans="1:42" s="2" customFormat="1" ht="30" customHeight="1" thickTop="1" x14ac:dyDescent="0.2">
      <c r="A39" s="9"/>
      <c r="B39" s="234"/>
      <c r="C39" s="234"/>
      <c r="D39" s="234"/>
      <c r="E39" s="236">
        <f>EOMONTH(AB8,0)</f>
        <v>31</v>
      </c>
      <c r="F39" s="234">
        <f>DAY(E39)</f>
        <v>31</v>
      </c>
      <c r="G39" s="237">
        <f>COUNTIF(F8:F38,"Dom")+COUNTIF(G8:G38,"Feriado")</f>
        <v>5</v>
      </c>
      <c r="H39" s="238">
        <f>(SUM(Q8:Q38)/(F39-G39))*G39</f>
        <v>0</v>
      </c>
      <c r="I39" s="234"/>
      <c r="J39" s="234"/>
      <c r="K39" s="234"/>
      <c r="L39" s="234"/>
      <c r="M39" s="234"/>
      <c r="Z39" s="219"/>
    </row>
    <row r="40" spans="1:42" s="2" customFormat="1" ht="30" customHeight="1" x14ac:dyDescent="0.2">
      <c r="A40" s="9"/>
      <c r="B40" s="234"/>
      <c r="C40" s="239"/>
      <c r="D40" s="239"/>
      <c r="E40" s="239"/>
      <c r="F40" s="240"/>
      <c r="G40" s="241"/>
      <c r="H40" s="234">
        <f ca="1">IF(INDIRECT($C$5)="",0,VLOOKUP(INDIRECT($C$5),Funcionários!$C$7:$E$36,3,0)+IF(VLOOKUP(INDIRECT($C$5),Jornada!$C$8:$E$37,2,0)="Sim",IF('P Gerais'!$I$8&lt;&gt;0,VLOOKUP(INDIRECT($C$5),Funcionários!$C$7:$E$36,3,0)*'P Gerais'!$L$14,'P Gerais'!$I$8*'P Gerais'!$L$14),0)+IF(VLOOKUP(INDIRECT($C$5),Jornada!$C$8:$E$37,3,0)="Sim",VLOOKUP(INDIRECT($C$5),Funcionários!$C$7:$E$36,3,0)*'P Gerais'!$K$14,0))</f>
        <v>0</v>
      </c>
      <c r="I40" s="234">
        <f ca="1">VLOOKUP(INDIRECT($C$5),Jornada!$C$8:$AF$37,30,0)</f>
        <v>0</v>
      </c>
      <c r="J40" s="234" t="s">
        <v>298</v>
      </c>
      <c r="K40" s="242">
        <f ca="1">IF(I40=0,0,H40/I40)</f>
        <v>0</v>
      </c>
      <c r="L40" s="234"/>
      <c r="M40" s="234"/>
      <c r="Z40" s="219"/>
    </row>
    <row r="41" spans="1:42" s="2" customFormat="1" ht="30" customHeight="1" x14ac:dyDescent="0.2">
      <c r="A41" s="9"/>
      <c r="B41" s="234" t="s">
        <v>52</v>
      </c>
      <c r="C41" s="292" t="s">
        <v>75</v>
      </c>
      <c r="D41" s="292"/>
      <c r="E41" s="292"/>
      <c r="F41" s="243">
        <f t="shared" ref="F41:F47" si="12">SUMIFS($Q$8:$Q$38,$F$8:$F$38,$B41,$G$8:$G$38,"Normal")</f>
        <v>0</v>
      </c>
      <c r="G41" s="244">
        <f>IF($M$41="Sistema de banco de horas",0,'P Gerais'!$C$14)</f>
        <v>0.5</v>
      </c>
      <c r="H41" s="245">
        <f t="shared" ref="H41:H48" ca="1" si="13">IF($M$41="Sistema de banco de horas",0,$K$40*(1+G41)*(F41*24))</f>
        <v>0</v>
      </c>
      <c r="I41" s="243">
        <f t="shared" ref="I41:I47" ca="1" si="14">IF(SUMIF($F$8:$F$38,$B41,$Q$8:$Q$38)-SUMIFS($M$8:$M$38,$F$8:$F$38,$B41,$G$8:$G$38,"Feriado")-SUMIFS($M$8:$M$38,$F$8:$F$38,$B41,$G$8:$G$38,"Folga (DSR)")-SUMIFS($M$8:$M$38,$F$8:$F$38,$B41,$G$8:$G$38,"Férias")-SUMIF($F$8:$F$38,$B41,$AN$8:$AN$38)-SUMIF($F$8:$F$38,$B41,$AO$8:$AO$38)&lt;0,0,SUMIF($F$8:$F$38,$B41,$Q$8:$Q$38)-SUMIFS($M$8:$M$38,$F$8:$F$38,$B41,$G$8:$G$38,"Feriado")-SUMIFS($M$8:$M$38,$F$8:$F$38,$B41,$G$8:$G$38,"Folga (DSR)")-SUMIFS($M$8:$M$38,$F$8:$F$38,$B41,$G$8:$G$38,"Férias")-SUMIF($F$8:$F$38,$B41,$AN$8:$AN$38)-SUMIF($F$8:$F$38,$B41,$AO$8:$AO$38))</f>
        <v>0</v>
      </c>
      <c r="J41" s="245">
        <f ca="1">H41</f>
        <v>0</v>
      </c>
      <c r="K41" s="234"/>
      <c r="L41" s="234"/>
      <c r="M41" s="234">
        <f>'P Gerais'!I10</f>
        <v>0</v>
      </c>
      <c r="Z41" s="219"/>
    </row>
    <row r="42" spans="1:42" s="2" customFormat="1" ht="30" customHeight="1" x14ac:dyDescent="0.2">
      <c r="A42" s="9"/>
      <c r="B42" s="234" t="s">
        <v>53</v>
      </c>
      <c r="C42" s="292" t="s">
        <v>76</v>
      </c>
      <c r="D42" s="292"/>
      <c r="E42" s="292"/>
      <c r="F42" s="243">
        <f t="shared" si="12"/>
        <v>0</v>
      </c>
      <c r="G42" s="244">
        <f>IF($M$41="Sistema de banco de horas",0,'P Gerais'!$C$14)</f>
        <v>0.5</v>
      </c>
      <c r="H42" s="245">
        <f t="shared" ca="1" si="13"/>
        <v>0</v>
      </c>
      <c r="I42" s="243">
        <f t="shared" ca="1" si="14"/>
        <v>0</v>
      </c>
      <c r="J42" s="245">
        <f t="shared" ref="J42:J51" ca="1" si="15">H42</f>
        <v>0</v>
      </c>
      <c r="K42" s="234"/>
      <c r="L42" s="234"/>
      <c r="M42" s="234"/>
      <c r="Z42" s="219"/>
    </row>
    <row r="43" spans="1:42" s="2" customFormat="1" ht="30" customHeight="1" x14ac:dyDescent="0.2">
      <c r="A43" s="9"/>
      <c r="B43" s="234" t="s">
        <v>54</v>
      </c>
      <c r="C43" s="292" t="s">
        <v>77</v>
      </c>
      <c r="D43" s="292"/>
      <c r="E43" s="292"/>
      <c r="F43" s="243">
        <f t="shared" si="12"/>
        <v>0</v>
      </c>
      <c r="G43" s="244">
        <f>IF($M$41="Sistema de banco de horas",0,'P Gerais'!$C$14)</f>
        <v>0.5</v>
      </c>
      <c r="H43" s="245">
        <f t="shared" ca="1" si="13"/>
        <v>0</v>
      </c>
      <c r="I43" s="243">
        <f t="shared" ca="1" si="14"/>
        <v>0</v>
      </c>
      <c r="J43" s="245">
        <f t="shared" ca="1" si="15"/>
        <v>0</v>
      </c>
      <c r="K43" s="234"/>
      <c r="L43" s="234"/>
      <c r="M43" s="234"/>
      <c r="Z43" s="219"/>
    </row>
    <row r="44" spans="1:42" s="2" customFormat="1" ht="30" customHeight="1" x14ac:dyDescent="0.2">
      <c r="A44" s="9"/>
      <c r="B44" s="234" t="s">
        <v>55</v>
      </c>
      <c r="C44" s="292" t="s">
        <v>78</v>
      </c>
      <c r="D44" s="292"/>
      <c r="E44" s="292"/>
      <c r="F44" s="243">
        <f t="shared" si="12"/>
        <v>0</v>
      </c>
      <c r="G44" s="244">
        <f>IF($M$41="Sistema de banco de horas",0,'P Gerais'!$C$14)</f>
        <v>0.5</v>
      </c>
      <c r="H44" s="245">
        <f t="shared" ca="1" si="13"/>
        <v>0</v>
      </c>
      <c r="I44" s="243">
        <f t="shared" ca="1" si="14"/>
        <v>0</v>
      </c>
      <c r="J44" s="245">
        <f t="shared" ca="1" si="15"/>
        <v>0</v>
      </c>
      <c r="K44" s="234"/>
      <c r="L44" s="234"/>
      <c r="M44" s="234"/>
      <c r="Z44" s="219"/>
    </row>
    <row r="45" spans="1:42" s="2" customFormat="1" ht="30" customHeight="1" x14ac:dyDescent="0.2">
      <c r="A45" s="9"/>
      <c r="B45" s="234" t="s">
        <v>56</v>
      </c>
      <c r="C45" s="292" t="s">
        <v>79</v>
      </c>
      <c r="D45" s="292"/>
      <c r="E45" s="292"/>
      <c r="F45" s="243">
        <f t="shared" si="12"/>
        <v>0</v>
      </c>
      <c r="G45" s="244">
        <f>IF($M$41="Sistema de banco de horas",0,'P Gerais'!$C$14)</f>
        <v>0.5</v>
      </c>
      <c r="H45" s="245">
        <f t="shared" ca="1" si="13"/>
        <v>0</v>
      </c>
      <c r="I45" s="243">
        <f t="shared" ca="1" si="14"/>
        <v>0</v>
      </c>
      <c r="J45" s="245">
        <f t="shared" ca="1" si="15"/>
        <v>0</v>
      </c>
      <c r="K45" s="234"/>
      <c r="L45" s="234"/>
      <c r="M45" s="234"/>
      <c r="Z45" s="219"/>
    </row>
    <row r="46" spans="1:42" s="2" customFormat="1" ht="30" customHeight="1" x14ac:dyDescent="0.2">
      <c r="A46" s="9"/>
      <c r="B46" s="234" t="s">
        <v>57</v>
      </c>
      <c r="C46" s="292" t="s">
        <v>82</v>
      </c>
      <c r="D46" s="292"/>
      <c r="E46" s="292"/>
      <c r="F46" s="243">
        <f t="shared" si="12"/>
        <v>0</v>
      </c>
      <c r="G46" s="244">
        <f>IF($M$41="Sistema de banco de horas",0,'P Gerais'!$E$14)</f>
        <v>0.5</v>
      </c>
      <c r="H46" s="245">
        <f t="shared" ca="1" si="13"/>
        <v>0</v>
      </c>
      <c r="I46" s="243">
        <f t="shared" ca="1" si="14"/>
        <v>0</v>
      </c>
      <c r="J46" s="245">
        <f t="shared" ca="1" si="15"/>
        <v>0</v>
      </c>
      <c r="K46" s="234"/>
      <c r="L46" s="234"/>
      <c r="M46" s="234"/>
      <c r="Z46" s="219"/>
    </row>
    <row r="47" spans="1:42" s="2" customFormat="1" ht="30" customHeight="1" x14ac:dyDescent="0.2">
      <c r="A47" s="9"/>
      <c r="B47" s="234" t="s">
        <v>51</v>
      </c>
      <c r="C47" s="292" t="s">
        <v>81</v>
      </c>
      <c r="D47" s="292"/>
      <c r="E47" s="292"/>
      <c r="F47" s="243">
        <f t="shared" si="12"/>
        <v>0</v>
      </c>
      <c r="G47" s="244">
        <f>IF($M$41="Sistema de banco de horas",0,'P Gerais'!$F$14)</f>
        <v>1</v>
      </c>
      <c r="H47" s="245">
        <f t="shared" ca="1" si="13"/>
        <v>0</v>
      </c>
      <c r="I47" s="243">
        <f t="shared" ca="1" si="14"/>
        <v>0</v>
      </c>
      <c r="J47" s="245">
        <f t="shared" ca="1" si="15"/>
        <v>0</v>
      </c>
      <c r="K47" s="234"/>
      <c r="L47" s="234"/>
      <c r="M47" s="234"/>
      <c r="Z47" s="219"/>
    </row>
    <row r="48" spans="1:42" s="2" customFormat="1" ht="30" customHeight="1" x14ac:dyDescent="0.2">
      <c r="A48" s="9"/>
      <c r="B48" s="234"/>
      <c r="C48" s="292" t="s">
        <v>80</v>
      </c>
      <c r="D48" s="292"/>
      <c r="E48" s="292"/>
      <c r="F48" s="243">
        <f>SUMIFS($Q$8:$Q$38,$G$8:$G$38,"Feriado")</f>
        <v>0</v>
      </c>
      <c r="G48" s="244">
        <f>IF($M$41="Sistema de banco de horas",0,'P Gerais'!$I$14)</f>
        <v>1</v>
      </c>
      <c r="H48" s="245">
        <f t="shared" ca="1" si="13"/>
        <v>0</v>
      </c>
      <c r="I48" s="243"/>
      <c r="J48" s="245">
        <f t="shared" ca="1" si="15"/>
        <v>0</v>
      </c>
      <c r="K48" s="234"/>
      <c r="L48" s="234"/>
      <c r="M48" s="234"/>
      <c r="Z48" s="219"/>
    </row>
    <row r="49" spans="1:26" s="2" customFormat="1" ht="15" x14ac:dyDescent="0.2">
      <c r="A49" s="9"/>
      <c r="B49" s="234"/>
      <c r="C49" s="292" t="s">
        <v>146</v>
      </c>
      <c r="D49" s="292"/>
      <c r="E49" s="292"/>
      <c r="F49" s="243">
        <f>SUMIFS($Q$8:$Q$38,$G$8:$G$38,"Folga (DSR)")</f>
        <v>0</v>
      </c>
      <c r="G49" s="244">
        <f>IF($M$41="Sistema de banco de horas",0,'P Gerais'!H14)</f>
        <v>1</v>
      </c>
      <c r="H49" s="245">
        <f ca="1">((F53/(F39-G39))*G39)</f>
        <v>0</v>
      </c>
      <c r="I49" s="243"/>
      <c r="J49" s="245">
        <f t="shared" ca="1" si="15"/>
        <v>0</v>
      </c>
      <c r="K49" s="234"/>
      <c r="L49" s="234"/>
      <c r="M49" s="234"/>
      <c r="Z49" s="219"/>
    </row>
    <row r="50" spans="1:26" s="2" customFormat="1" ht="15" x14ac:dyDescent="0.2">
      <c r="A50" s="9"/>
      <c r="B50" s="234"/>
      <c r="C50" s="292" t="s">
        <v>84</v>
      </c>
      <c r="D50" s="292"/>
      <c r="E50" s="292"/>
      <c r="F50" s="243">
        <f ca="1">IF($M$41="Sistema de banco de horas",(SUM(AI$8:AI$38)*(1+G50)),SUM(AI$8:AI$38))</f>
        <v>0</v>
      </c>
      <c r="G50" s="244">
        <f>IF($M$41="Sistema de banco de horas",0,'P Gerais'!$I$17)</f>
        <v>0.5</v>
      </c>
      <c r="H50" s="245">
        <f ca="1">IF($M$41="Sistema de banco de horas",0,$K$40*(1+G50)*(F50*24))</f>
        <v>0</v>
      </c>
      <c r="I50" s="243">
        <f ca="1">IF(SUM($AN$8:$AO$38)&gt;SUM(AI$8:AI$38),0,SUM(AI$8:AI$38)-SUM($AN$8:$AO$38))</f>
        <v>0</v>
      </c>
      <c r="J50" s="245">
        <f t="shared" ca="1" si="15"/>
        <v>0</v>
      </c>
      <c r="K50" s="234"/>
      <c r="L50" s="234"/>
      <c r="M50" s="234"/>
      <c r="Z50" s="219"/>
    </row>
    <row r="51" spans="1:26" s="2" customFormat="1" ht="15" x14ac:dyDescent="0.2">
      <c r="A51" s="9"/>
      <c r="B51" s="234"/>
      <c r="C51" s="292" t="s">
        <v>85</v>
      </c>
      <c r="D51" s="292"/>
      <c r="E51" s="292"/>
      <c r="F51" s="243">
        <f>IF($M$41="Sistema de banco de horas",(SUM(AK$8:AK$38)*(1+G51)),SUM(AK$8:AK$38))</f>
        <v>0</v>
      </c>
      <c r="G51" s="244">
        <f>IF($M$41="Sistema de banco de horas",0,'P Gerais'!$C$17)</f>
        <v>1</v>
      </c>
      <c r="H51" s="245">
        <f ca="1">IF($M$41="Sistema de banco de horas",0,$K$40*(1+G51)*(F51*24))</f>
        <v>0</v>
      </c>
      <c r="I51" s="243"/>
      <c r="J51" s="245">
        <f t="shared" ca="1" si="15"/>
        <v>0</v>
      </c>
      <c r="K51" s="234"/>
      <c r="L51" s="234"/>
      <c r="M51" s="234"/>
      <c r="Z51" s="219"/>
    </row>
    <row r="52" spans="1:26" s="2" customFormat="1" ht="15" customHeight="1" x14ac:dyDescent="0.2">
      <c r="A52" s="9"/>
      <c r="B52" s="234"/>
      <c r="C52" s="292" t="s">
        <v>87</v>
      </c>
      <c r="D52" s="292"/>
      <c r="E52" s="292"/>
      <c r="F52" s="243">
        <f ca="1">U12</f>
        <v>0</v>
      </c>
      <c r="G52" s="246"/>
      <c r="H52" s="234"/>
      <c r="I52" s="234"/>
      <c r="J52" s="234"/>
      <c r="K52" s="234"/>
      <c r="L52" s="234"/>
      <c r="M52" s="234"/>
      <c r="Z52" s="219"/>
    </row>
    <row r="53" spans="1:26" s="2" customFormat="1" ht="15" x14ac:dyDescent="0.2">
      <c r="A53" s="9"/>
      <c r="B53" s="234"/>
      <c r="C53" s="292" t="s">
        <v>299</v>
      </c>
      <c r="D53" s="292"/>
      <c r="E53" s="292"/>
      <c r="F53" s="247">
        <f ca="1">SUM(H48)+J50+H51+SUM(J41:J47)</f>
        <v>0</v>
      </c>
      <c r="G53" s="248"/>
      <c r="H53" s="234"/>
      <c r="I53" s="234"/>
      <c r="J53" s="234"/>
      <c r="K53" s="234"/>
      <c r="L53" s="234"/>
      <c r="M53" s="234"/>
      <c r="Z53" s="219"/>
    </row>
    <row r="54" spans="1:26" s="2" customFormat="1" ht="15" x14ac:dyDescent="0.2">
      <c r="A54" s="9"/>
      <c r="B54" s="234"/>
      <c r="C54" s="292" t="s">
        <v>88</v>
      </c>
      <c r="D54" s="292"/>
      <c r="E54" s="292"/>
      <c r="F54" s="247">
        <f ca="1">F53+(H49*(1+G49))</f>
        <v>0</v>
      </c>
      <c r="G54" s="248"/>
      <c r="H54" s="249"/>
      <c r="I54" s="234"/>
      <c r="J54" s="234"/>
      <c r="K54" s="234"/>
      <c r="L54" s="234"/>
      <c r="M54" s="234"/>
      <c r="Z54" s="219"/>
    </row>
    <row r="55" spans="1:26" s="2" customFormat="1" ht="15" x14ac:dyDescent="0.2">
      <c r="A55" s="9"/>
      <c r="B55" s="234"/>
      <c r="C55" s="292" t="s">
        <v>89</v>
      </c>
      <c r="D55" s="292"/>
      <c r="E55" s="292"/>
      <c r="F55" s="247">
        <f ca="1">H40+F54</f>
        <v>0</v>
      </c>
      <c r="G55" s="246"/>
      <c r="H55" s="234"/>
      <c r="I55" s="234"/>
      <c r="J55" s="234"/>
      <c r="K55" s="234"/>
      <c r="L55" s="234"/>
      <c r="M55" s="234"/>
      <c r="Z55" s="219"/>
    </row>
    <row r="56" spans="1:26" s="2" customFormat="1" ht="15" x14ac:dyDescent="0.2">
      <c r="A56" s="9"/>
      <c r="B56" s="234"/>
      <c r="C56" s="292" t="s">
        <v>178</v>
      </c>
      <c r="D56" s="292"/>
      <c r="E56" s="292"/>
      <c r="F56" s="243">
        <f>IF($M$41="Sistema de banco de horas",(SUMIF($G$8:$G$38,"Férias",Q8:Q38))*(1+G48),SUMIF($G$8:$G$38,"Férias",Q8:Q38))</f>
        <v>0</v>
      </c>
      <c r="G56" s="246"/>
      <c r="H56" s="234"/>
      <c r="I56" s="234"/>
      <c r="J56" s="234"/>
      <c r="K56" s="234"/>
      <c r="L56" s="234"/>
      <c r="M56" s="234"/>
      <c r="Z56" s="219"/>
    </row>
    <row r="57" spans="1:26" s="2" customFormat="1" ht="15" x14ac:dyDescent="0.2">
      <c r="A57" s="9"/>
      <c r="B57" s="234"/>
      <c r="C57" s="239"/>
      <c r="D57" s="239"/>
      <c r="E57" s="239"/>
      <c r="F57" s="250">
        <f ca="1">U14</f>
        <v>0</v>
      </c>
      <c r="G57" s="246"/>
      <c r="H57" s="234"/>
      <c r="I57" s="234"/>
      <c r="J57" s="234"/>
      <c r="K57" s="234"/>
      <c r="L57" s="234"/>
      <c r="M57" s="234"/>
      <c r="Z57" s="219"/>
    </row>
    <row r="58" spans="1:26" s="2" customFormat="1" ht="15" x14ac:dyDescent="0.2">
      <c r="A58" s="9"/>
      <c r="B58" s="234"/>
      <c r="C58" s="239"/>
      <c r="D58" s="239"/>
      <c r="E58" s="239"/>
      <c r="F58" s="243">
        <f ca="1">SUM(F41:F51)</f>
        <v>0</v>
      </c>
      <c r="G58" s="246"/>
      <c r="H58" s="234"/>
      <c r="I58" s="234"/>
      <c r="J58" s="234"/>
      <c r="K58" s="234"/>
      <c r="L58" s="234"/>
      <c r="M58" s="234"/>
      <c r="Z58" s="219"/>
    </row>
    <row r="59" spans="1:26" s="2" customFormat="1" ht="15" x14ac:dyDescent="0.2">
      <c r="A59" s="9"/>
      <c r="Z59" s="219"/>
    </row>
    <row r="60" spans="1:26" s="2" customFormat="1" ht="15" x14ac:dyDescent="0.2">
      <c r="A60" s="9"/>
      <c r="G60" s="178"/>
      <c r="Z60" s="219"/>
    </row>
    <row r="61" spans="1:26" ht="15" x14ac:dyDescent="0.2"/>
    <row r="62" spans="1:26" ht="15" x14ac:dyDescent="0.2"/>
    <row r="63" spans="1:26" ht="15" x14ac:dyDescent="0.2"/>
    <row r="64" spans="1:26" ht="15" x14ac:dyDescent="0.2"/>
    <row r="65" ht="15" x14ac:dyDescent="0.2"/>
    <row r="66" ht="15" x14ac:dyDescent="0.2"/>
    <row r="67" ht="15" x14ac:dyDescent="0.2"/>
    <row r="68" ht="15" x14ac:dyDescent="0.2"/>
    <row r="69" ht="15" x14ac:dyDescent="0.2"/>
    <row r="70" ht="15" x14ac:dyDescent="0.2"/>
    <row r="71" ht="15" x14ac:dyDescent="0.2"/>
    <row r="72" ht="15" x14ac:dyDescent="0.2"/>
    <row r="73" ht="15" x14ac:dyDescent="0.2"/>
    <row r="74" ht="15" x14ac:dyDescent="0.2"/>
    <row r="75" ht="15" x14ac:dyDescent="0.2"/>
    <row r="76" ht="15" x14ac:dyDescent="0.2"/>
    <row r="77" ht="15" x14ac:dyDescent="0.2"/>
    <row r="78" ht="15" x14ac:dyDescent="0.2"/>
    <row r="79" ht="15" x14ac:dyDescent="0.2"/>
    <row r="80" ht="15" x14ac:dyDescent="0.2"/>
    <row r="81" ht="15" x14ac:dyDescent="0.2"/>
    <row r="82" ht="15" x14ac:dyDescent="0.2"/>
    <row r="83" ht="15" x14ac:dyDescent="0.2"/>
    <row r="84" ht="15" x14ac:dyDescent="0.2"/>
    <row r="85" ht="15" x14ac:dyDescent="0.2"/>
    <row r="86" ht="15" x14ac:dyDescent="0.2"/>
    <row r="87" ht="15" x14ac:dyDescent="0.2"/>
    <row r="88" ht="15" x14ac:dyDescent="0.2"/>
    <row r="89" ht="15" x14ac:dyDescent="0.2"/>
    <row r="90" ht="15" x14ac:dyDescent="0.2"/>
    <row r="91" ht="15" x14ac:dyDescent="0.2"/>
    <row r="92" ht="15" x14ac:dyDescent="0.2"/>
    <row r="93" ht="15" x14ac:dyDescent="0.2"/>
    <row r="94" ht="15" x14ac:dyDescent="0.2"/>
    <row r="95" ht="15" x14ac:dyDescent="0.2"/>
    <row r="96" ht="15" x14ac:dyDescent="0.2"/>
    <row r="97" ht="15" x14ac:dyDescent="0.2"/>
    <row r="98" ht="15" x14ac:dyDescent="0.2"/>
    <row r="99" ht="15" x14ac:dyDescent="0.2"/>
    <row r="100" ht="15" x14ac:dyDescent="0.2"/>
    <row r="101" ht="15" x14ac:dyDescent="0.2"/>
    <row r="102" ht="15" x14ac:dyDescent="0.2"/>
    <row r="103" ht="15" x14ac:dyDescent="0.2"/>
  </sheetData>
  <sheetProtection sheet="1" objects="1" scenarios="1" selectLockedCells="1"/>
  <mergeCells count="34">
    <mergeCell ref="C56:E56"/>
    <mergeCell ref="C48:E48"/>
    <mergeCell ref="C49:E49"/>
    <mergeCell ref="C50:E50"/>
    <mergeCell ref="C52:E52"/>
    <mergeCell ref="C53:E53"/>
    <mergeCell ref="C54:E54"/>
    <mergeCell ref="C51:E51"/>
    <mergeCell ref="C44:E44"/>
    <mergeCell ref="C55:E55"/>
    <mergeCell ref="C45:E45"/>
    <mergeCell ref="C46:E46"/>
    <mergeCell ref="C47:E47"/>
    <mergeCell ref="S22:U22"/>
    <mergeCell ref="C41:E41"/>
    <mergeCell ref="C42:E42"/>
    <mergeCell ref="C43:E43"/>
    <mergeCell ref="S26:U28"/>
    <mergeCell ref="S23:U25"/>
    <mergeCell ref="E7:F7"/>
    <mergeCell ref="I7:J7"/>
    <mergeCell ref="S7:U7"/>
    <mergeCell ref="S8:T9"/>
    <mergeCell ref="U8:U9"/>
    <mergeCell ref="S16:T17"/>
    <mergeCell ref="U16:U17"/>
    <mergeCell ref="S18:T19"/>
    <mergeCell ref="S10:T11"/>
    <mergeCell ref="U10:U11"/>
    <mergeCell ref="S12:T13"/>
    <mergeCell ref="U12:U13"/>
    <mergeCell ref="S14:T15"/>
    <mergeCell ref="U14:U15"/>
    <mergeCell ref="U18:U19"/>
  </mergeCells>
  <conditionalFormatting sqref="M8:M37">
    <cfRule type="cellIs" dxfId="200" priority="124" operator="greaterThan">
      <formula>0</formula>
    </cfRule>
  </conditionalFormatting>
  <conditionalFormatting sqref="L36:L37 N36:N37">
    <cfRule type="expression" dxfId="199" priority="91">
      <formula>AND($E36&lt;$E$35,$E$8=1)</formula>
    </cfRule>
    <cfRule type="expression" dxfId="198" priority="92">
      <formula>AND($E36&gt;=$E$8,$E$8&lt;&gt;1)</formula>
    </cfRule>
  </conditionalFormatting>
  <conditionalFormatting sqref="E36:E38">
    <cfRule type="expression" dxfId="197" priority="89">
      <formula>AND($E36&lt;$E$35,$E$8=1)</formula>
    </cfRule>
    <cfRule type="expression" dxfId="196" priority="90">
      <formula>AND($E36&gt;=$E$8,$E$8&lt;&gt;1)</formula>
    </cfRule>
  </conditionalFormatting>
  <conditionalFormatting sqref="O8:O37">
    <cfRule type="cellIs" dxfId="195" priority="84" operator="greaterThan">
      <formula>0.000001</formula>
    </cfRule>
  </conditionalFormatting>
  <conditionalFormatting sqref="O36:O37">
    <cfRule type="expression" dxfId="194" priority="82">
      <formula>AND($E36&lt;$E$35,$E$8=1)</formula>
    </cfRule>
    <cfRule type="expression" dxfId="193" priority="83">
      <formula>AND($E36&gt;=$E$8,$E$8&lt;&gt;1)</formula>
    </cfRule>
  </conditionalFormatting>
  <conditionalFormatting sqref="F8:F38">
    <cfRule type="containsText" dxfId="192" priority="80" operator="containsText" text="Dom">
      <formula>NOT(ISERROR(SEARCH("Dom",F8)))</formula>
    </cfRule>
    <cfRule type="containsText" dxfId="191" priority="81" operator="containsText" text="Sáb">
      <formula>NOT(ISERROR(SEARCH("Sáb",F8)))</formula>
    </cfRule>
  </conditionalFormatting>
  <conditionalFormatting sqref="Q8:Q37">
    <cfRule type="cellIs" dxfId="190" priority="78" operator="greaterThan">
      <formula>0.000001</formula>
    </cfRule>
  </conditionalFormatting>
  <conditionalFormatting sqref="G8:K35">
    <cfRule type="expression" dxfId="189" priority="48">
      <formula>OR($G8="Férias",$G8="Falta Injustificada")</formula>
    </cfRule>
    <cfRule type="expression" dxfId="188" priority="49">
      <formula>$G8="Folga (DSR)"</formula>
    </cfRule>
    <cfRule type="expression" dxfId="187" priority="50">
      <formula>$G8="Feriado"</formula>
    </cfRule>
    <cfRule type="expression" dxfId="186" priority="51">
      <formula>$F8="Dom"</formula>
    </cfRule>
  </conditionalFormatting>
  <conditionalFormatting sqref="H8:K35">
    <cfRule type="expression" dxfId="185" priority="47">
      <formula>OR($G8="Falta Justificada",$G8="Falta Injustificada")</formula>
    </cfRule>
  </conditionalFormatting>
  <conditionalFormatting sqref="G36:K37">
    <cfRule type="expression" dxfId="184" priority="43">
      <formula>OR($G36="Férias",$G36="Falta Injustificada")</formula>
    </cfRule>
    <cfRule type="expression" dxfId="183" priority="44">
      <formula>$G36="Folga (DSR)"</formula>
    </cfRule>
    <cfRule type="expression" dxfId="182" priority="45">
      <formula>$G36="Feriado"</formula>
    </cfRule>
    <cfRule type="expression" dxfId="181" priority="46">
      <formula>$F36="Dom"</formula>
    </cfRule>
  </conditionalFormatting>
  <conditionalFormatting sqref="G36:K37">
    <cfRule type="expression" dxfId="180" priority="40">
      <formula>AND($E36&lt;$E$35,$E$8=1)</formula>
    </cfRule>
    <cfRule type="expression" dxfId="179" priority="41">
      <formula>AND($E36&gt;=$E$8,$E$8&lt;&gt;1)</formula>
    </cfRule>
  </conditionalFormatting>
  <conditionalFormatting sqref="H36:K37">
    <cfRule type="expression" dxfId="178" priority="42">
      <formula>OR($G36="Falta Justificada",$G36="Falta Injustificada")</formula>
    </cfRule>
  </conditionalFormatting>
  <conditionalFormatting sqref="O38">
    <cfRule type="cellIs" dxfId="177" priority="38" operator="greaterThan">
      <formula>0.000001</formula>
    </cfRule>
  </conditionalFormatting>
  <conditionalFormatting sqref="M38">
    <cfRule type="cellIs" dxfId="176" priority="39" operator="greaterThan">
      <formula>0</formula>
    </cfRule>
  </conditionalFormatting>
  <conditionalFormatting sqref="L38:O38">
    <cfRule type="expression" dxfId="175" priority="37">
      <formula>AND($E38&gt;=$E$8,$E$8&lt;&gt;1)</formula>
    </cfRule>
  </conditionalFormatting>
  <conditionalFormatting sqref="G38:K38">
    <cfRule type="expression" dxfId="174" priority="24">
      <formula>OR($G38="Férias",$G38="Falta Injustificada")</formula>
    </cfRule>
    <cfRule type="expression" dxfId="173" priority="25">
      <formula>$G38="Folga (DSR)"</formula>
    </cfRule>
    <cfRule type="expression" dxfId="172" priority="26">
      <formula>$G38="Feriado"</formula>
    </cfRule>
    <cfRule type="expression" dxfId="171" priority="27">
      <formula>$F38="Dom"</formula>
    </cfRule>
  </conditionalFormatting>
  <conditionalFormatting sqref="H38:K38">
    <cfRule type="expression" dxfId="170" priority="23">
      <formula>OR($G38="Falta Justificada",$G38="Falta Injustificada")</formula>
    </cfRule>
  </conditionalFormatting>
  <conditionalFormatting sqref="Q38">
    <cfRule type="cellIs" dxfId="169" priority="20" operator="greaterThan">
      <formula>0.000001</formula>
    </cfRule>
  </conditionalFormatting>
  <conditionalFormatting sqref="L38:Q38">
    <cfRule type="expression" dxfId="168" priority="36">
      <formula>AND($E38&lt;$E$35,$E$8=1)</formula>
    </cfRule>
  </conditionalFormatting>
  <conditionalFormatting sqref="G38:Q38">
    <cfRule type="expression" dxfId="167" priority="21">
      <formula>AND($E38&lt;$E$35,$E$8=1)</formula>
    </cfRule>
    <cfRule type="expression" dxfId="166" priority="22">
      <formula>AND($E38&gt;=$E$8,$E$8&lt;&gt;1)</formula>
    </cfRule>
  </conditionalFormatting>
  <conditionalFormatting sqref="U10:U11">
    <cfRule type="expression" dxfId="165" priority="8">
      <formula>$V$11="Negativo"</formula>
    </cfRule>
  </conditionalFormatting>
  <conditionalFormatting sqref="U12:U13">
    <cfRule type="expression" dxfId="164" priority="496">
      <formula>$U$14&gt;$F$58</formula>
    </cfRule>
  </conditionalFormatting>
  <conditionalFormatting sqref="F40">
    <cfRule type="expression" dxfId="163" priority="497">
      <formula>$E40="Folga(DSR)"</formula>
    </cfRule>
    <cfRule type="expression" dxfId="162" priority="498">
      <formula>$E40="Feriado"</formula>
    </cfRule>
    <cfRule type="expression" dxfId="161" priority="499">
      <formula>$D40="Dom"</formula>
    </cfRule>
  </conditionalFormatting>
  <dataValidations count="3">
    <dataValidation type="list" allowBlank="1" showInputMessage="1" showErrorMessage="1" sqref="G8:G38">
      <formula1>"Normal,Feriado,Folga (DSR),Falta Justificada,Férias,Falta Injustificada"</formula1>
    </dataValidation>
    <dataValidation type="time" allowBlank="1" showInputMessage="1" showErrorMessage="1" sqref="H8:K38">
      <formula1>0</formula1>
      <formula2>0.999988425925926</formula2>
    </dataValidation>
    <dataValidation type="list" allowBlank="1" showInputMessage="1" showErrorMessage="1" sqref="E9:E35">
      <formula1>"1,5,10,16"</formula1>
    </dataValidation>
  </dataValidations>
  <hyperlinks>
    <hyperlink ref="C8" location="Lanç!A1" display="Lanç!A1"/>
    <hyperlink ref="C9" location="'Lanç (2)'!A1" display="'Lanç (2)'!A1"/>
    <hyperlink ref="C10" location="'Lanç (3)'!A1" display="'Lanç (3)'!A1"/>
    <hyperlink ref="C11" location="'Lanç (4)'!A1" display="'Lanç (4)'!A1"/>
    <hyperlink ref="C12" location="'Lanç (5)'!A1" display="'Lanç (5)'!A1"/>
    <hyperlink ref="C13" location="'Lanç (6)'!A1" display="'Lanç (6)'!A1"/>
    <hyperlink ref="C14" location="'Lanç (7)'!A1" display="'Lanç (7)'!A1"/>
    <hyperlink ref="C15" location="'Lanç (8)'!A1" display="'Lanç (8)'!A1"/>
    <hyperlink ref="C16" location="'Lanç (9)'!A1" display="'Lanç (9)'!A1"/>
    <hyperlink ref="C17" location="'Lanç (10)'!A1" display="'Lanç (10)'!A1"/>
    <hyperlink ref="C18" location="'Lanç (11)'!A1" display="'Lanç (11)'!A1"/>
    <hyperlink ref="C19" location="'Lanç (12)'!A1" display="'Lanç (12)'!A1"/>
    <hyperlink ref="C20" location="'Lanç (13)'!A1" display="'Lanç (13)'!A1"/>
    <hyperlink ref="C21" location="'Lanç (14)'!A1" display="'Lanç (14)'!A1"/>
    <hyperlink ref="C22" location="'Lanç (15)'!A1" display="'Lanç (15)'!A1"/>
    <hyperlink ref="C23" location="'Lanç (16)'!A1" display="'Lanç (16)'!A1"/>
    <hyperlink ref="C24" location="'Lanç (17)'!A1" display="'Lanç (17)'!A1"/>
    <hyperlink ref="C25" location="'Lanç (18)'!A1" display="'Lanç (18)'!A1"/>
    <hyperlink ref="C26" location="'Lanç (19)'!A1" display="'Lanç (19)'!A1"/>
    <hyperlink ref="C27" location="'Lanç (20)'!A1" display="'Lanç (20)'!A1"/>
    <hyperlink ref="C28" location="'Lanç (21)'!A1" display="'Lanç (21)'!A1"/>
    <hyperlink ref="C29" location="'Lanç (22)'!A1" display="'Lanç (22)'!A1"/>
    <hyperlink ref="C30" location="'Lanç (23)'!A1" display="'Lanç (23)'!A1"/>
    <hyperlink ref="C31" location="'Lanç (24)'!A1" display="'Lanç (24)'!A1"/>
    <hyperlink ref="C32" location="'Lanç (25)'!A1" display="'Lanç (25)'!A1"/>
    <hyperlink ref="C33" location="'Lanç (26)'!A1" display="'Lanç (26)'!A1"/>
    <hyperlink ref="C34" location="'Lanç (27)'!A1" display="'Lanç (27)'!A1"/>
    <hyperlink ref="C35" location="'Lanç (28)'!A1" display="'Lanç (28)'!A1"/>
    <hyperlink ref="C36" location="'Lanç (29)'!A1" display="'Lanç (29)'!A1"/>
    <hyperlink ref="C37" location="'Lanç (30)'!A1" display="'Lanç (30)'!A1"/>
  </hyperlinks>
  <printOptions horizontalCentered="1"/>
  <pageMargins left="0.23622047244094502" right="0.23622047244094502" top="0.74803149606299202" bottom="0.74803149606299202" header="0.31496062992126" footer="0.31496062992126"/>
  <pageSetup paperSize="9" scale="53" orientation="portrait" cellComments="atEnd"/>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69" id="{0CA06E89-7F94-0F4C-84CF-35FE8B8ECBD6}">
            <xm:f>'P Gerais'!$I$10:$M$10="Pagas em Dinheiro"</xm:f>
            <x14:dxf>
              <font>
                <color theme="0"/>
              </font>
              <fill>
                <patternFill>
                  <bgColor theme="0"/>
                </patternFill>
              </fill>
              <border>
                <left/>
                <right/>
                <top/>
                <bottom/>
              </border>
            </x14:dxf>
          </x14:cfRule>
          <xm:sqref>S10:T13</xm:sqref>
        </x14:conditionalFormatting>
        <x14:conditionalFormatting xmlns:xm="http://schemas.microsoft.com/office/excel/2006/main">
          <x14:cfRule type="expression" priority="68" id="{A0C17705-6378-464C-B477-CAD5D636F11C}">
            <xm:f>'P Gerais'!$I$10:$M$10="Sistema de banco de horas"</xm:f>
            <x14:dxf>
              <font>
                <color theme="0"/>
              </font>
              <fill>
                <patternFill>
                  <bgColor theme="0"/>
                </patternFill>
              </fill>
              <border>
                <left/>
                <right/>
                <top/>
                <bottom/>
              </border>
            </x14:dxf>
          </x14:cfRule>
          <xm:sqref>S18:T19</xm:sqref>
        </x14:conditionalFormatting>
        <x14:conditionalFormatting xmlns:xm="http://schemas.microsoft.com/office/excel/2006/main">
          <x14:cfRule type="expression" priority="10" id="{A12DBB7F-C408-BF46-8CED-E50ED010CF2E}">
            <xm:f>'P Gerais'!$I$10:$M$10="Sistema de banco de horas"</xm:f>
            <x14:dxf>
              <font>
                <color theme="0"/>
              </font>
              <fill>
                <patternFill>
                  <bgColor theme="0"/>
                </patternFill>
              </fill>
              <border>
                <left/>
                <right/>
                <top/>
                <bottom/>
              </border>
            </x14:dxf>
          </x14:cfRule>
          <xm:sqref>U18:U19</xm:sqref>
        </x14:conditionalFormatting>
        <x14:conditionalFormatting xmlns:xm="http://schemas.microsoft.com/office/excel/2006/main">
          <x14:cfRule type="expression" priority="7" id="{65B63488-6758-3B40-9F83-F10A12E27900}">
            <xm:f>'P Gerais'!$I$10:$M$10="Pagas em Dinheiro"</xm:f>
            <x14:dxf>
              <font>
                <color theme="0"/>
              </font>
              <fill>
                <patternFill>
                  <bgColor theme="0"/>
                </patternFill>
              </fill>
              <border>
                <left/>
                <right/>
                <top/>
                <bottom/>
              </border>
            </x14:dxf>
          </x14:cfRule>
          <xm:sqref>U10:U13</xm:sqref>
        </x14:conditionalFormatting>
      </x14:conditionalFormattings>
    </ext>
  </extLs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30" enableFormatConditionsCalculation="0"/>
  <dimension ref="A1:BG103"/>
  <sheetViews>
    <sheetView showGridLines="0" zoomScale="90" zoomScaleNormal="90" zoomScalePageLayoutView="90" workbookViewId="0">
      <selection activeCell="I12" sqref="I12"/>
    </sheetView>
  </sheetViews>
  <sheetFormatPr baseColWidth="10" defaultColWidth="0" defaultRowHeight="0" customHeight="1" zeroHeight="1" x14ac:dyDescent="0.2"/>
  <cols>
    <col min="1" max="1" width="27.83203125" style="194" customWidth="1"/>
    <col min="2" max="2" width="3.83203125" style="14" customWidth="1"/>
    <col min="3" max="3" width="33.33203125" style="14" customWidth="1"/>
    <col min="4" max="4" width="2.83203125" style="14" customWidth="1"/>
    <col min="5" max="5" width="5.83203125" style="14" customWidth="1"/>
    <col min="6" max="6" width="11.83203125" style="14" customWidth="1"/>
    <col min="7" max="7" width="14.33203125" style="195" customWidth="1"/>
    <col min="8" max="11" width="9.83203125" style="14" customWidth="1"/>
    <col min="12" max="12" width="1.83203125" style="14" customWidth="1"/>
    <col min="13" max="13" width="13.33203125" style="14" customWidth="1"/>
    <col min="14" max="14" width="1.83203125" style="14" customWidth="1"/>
    <col min="15" max="15" width="13.33203125" style="14" customWidth="1"/>
    <col min="16" max="16" width="1.83203125" style="14" customWidth="1"/>
    <col min="17" max="17" width="13.33203125" style="14" customWidth="1"/>
    <col min="18" max="18" width="4.83203125" style="2" bestFit="1" customWidth="1"/>
    <col min="19" max="21" width="11.83203125" style="14" customWidth="1"/>
    <col min="22" max="23" width="8.83203125" style="2" customWidth="1"/>
    <col min="24" max="24" width="11.33203125" style="2" bestFit="1" customWidth="1"/>
    <col min="25" max="25" width="8.83203125" style="2" customWidth="1"/>
    <col min="26" max="26" width="8.1640625" style="219" bestFit="1" customWidth="1"/>
    <col min="27" max="27" width="8.83203125" style="2" customWidth="1"/>
    <col min="28" max="28" width="11.33203125" style="2" bestFit="1" customWidth="1"/>
    <col min="29" max="43" width="8.83203125" style="2" customWidth="1"/>
    <col min="44" max="50" width="11.33203125" style="2" customWidth="1"/>
    <col min="51" max="57" width="11.33203125" style="14" customWidth="1"/>
    <col min="58" max="16384" width="8.83203125" style="14" hidden="1"/>
  </cols>
  <sheetData>
    <row r="1" spans="1:59" s="15" customFormat="1" ht="33.75" customHeight="1" x14ac:dyDescent="0.3">
      <c r="A1" s="56"/>
      <c r="B1" s="3"/>
      <c r="C1" s="4" t="s">
        <v>30</v>
      </c>
      <c r="D1" s="3"/>
      <c r="E1" s="3"/>
      <c r="F1" s="3"/>
      <c r="G1" s="77"/>
      <c r="H1" s="3"/>
      <c r="I1" s="3"/>
      <c r="J1" s="3"/>
      <c r="K1" s="3"/>
      <c r="L1" s="3"/>
      <c r="M1" s="3"/>
      <c r="N1" s="3"/>
      <c r="O1" s="3"/>
      <c r="Q1" s="3"/>
      <c r="S1" s="3"/>
      <c r="T1" s="3"/>
      <c r="U1" s="3"/>
      <c r="Z1" s="174"/>
    </row>
    <row r="2" spans="1:59" s="15" customFormat="1" ht="21.5" customHeight="1" x14ac:dyDescent="0.2">
      <c r="A2" s="1"/>
      <c r="B2" s="3"/>
      <c r="C2" s="3"/>
      <c r="D2" s="3"/>
      <c r="E2" s="3"/>
      <c r="F2" s="3"/>
      <c r="G2" s="77"/>
      <c r="H2" s="3"/>
      <c r="I2" s="3"/>
      <c r="J2" s="3"/>
      <c r="K2" s="3"/>
      <c r="L2" s="3"/>
      <c r="M2" s="3"/>
      <c r="N2" s="3"/>
      <c r="O2" s="3"/>
      <c r="Q2" s="3"/>
      <c r="S2" s="3"/>
      <c r="T2" s="3"/>
      <c r="U2" s="3"/>
      <c r="Z2" s="174"/>
    </row>
    <row r="3" spans="1:59" s="15" customFormat="1" ht="21.5" customHeight="1" x14ac:dyDescent="0.2">
      <c r="A3" s="1"/>
      <c r="B3" s="3"/>
      <c r="C3" s="3"/>
      <c r="D3" s="3"/>
      <c r="E3" s="3"/>
      <c r="F3" s="3"/>
      <c r="G3" s="77"/>
      <c r="H3" s="3"/>
      <c r="I3" s="3"/>
      <c r="J3" s="3"/>
      <c r="K3" s="3"/>
      <c r="L3" s="3"/>
      <c r="M3" s="3"/>
      <c r="N3" s="3"/>
      <c r="O3" s="3"/>
      <c r="Q3" s="3"/>
      <c r="S3" s="3"/>
      <c r="T3" s="3"/>
      <c r="U3" s="3"/>
      <c r="Z3" s="174"/>
    </row>
    <row r="4" spans="1:59" s="2" customFormat="1" ht="30" customHeight="1" x14ac:dyDescent="0.2">
      <c r="A4" s="1"/>
      <c r="B4"/>
      <c r="C4"/>
      <c r="D4"/>
      <c r="E4"/>
      <c r="F4"/>
      <c r="G4" s="78"/>
      <c r="H4"/>
      <c r="I4"/>
      <c r="J4"/>
      <c r="K4"/>
      <c r="L4"/>
      <c r="M4"/>
      <c r="N4"/>
      <c r="O4" s="13"/>
      <c r="Q4"/>
      <c r="S4"/>
      <c r="T4"/>
      <c r="U4"/>
      <c r="Z4" s="219"/>
      <c r="AN4" s="175"/>
    </row>
    <row r="5" spans="1:59" s="2" customFormat="1" ht="30" customHeight="1" x14ac:dyDescent="0.2">
      <c r="A5" s="1"/>
      <c r="B5"/>
      <c r="C5" s="160" t="s">
        <v>211</v>
      </c>
      <c r="D5"/>
      <c r="E5"/>
      <c r="F5"/>
      <c r="G5"/>
      <c r="H5"/>
      <c r="I5"/>
      <c r="J5"/>
      <c r="K5" s="157">
        <f ca="1">IF(ISERROR(VLOOKUP(INDIRECT($C$5),Jornada!$C$8:$F$37,4,0)),0,VLOOKUP(INDIRECT($C$5),Jornada!$C$8:$F$37,4,0))</f>
        <v>0</v>
      </c>
      <c r="L5" s="158"/>
      <c r="M5" s="157">
        <f ca="1">IF(ISERROR(VLOOKUP(INDIRECT($C$5),Jornada!$C$8:$G$37,5,0)),0,VLOOKUP(INDIRECT($C$5),Jornada!$C$8:$G$37,5,0))</f>
        <v>0</v>
      </c>
      <c r="N5"/>
      <c r="O5" s="69"/>
      <c r="Q5"/>
      <c r="S5"/>
      <c r="T5"/>
      <c r="U5" s="12"/>
      <c r="Z5" s="219"/>
      <c r="AC5" s="12"/>
      <c r="AK5" s="179">
        <v>0.25</v>
      </c>
      <c r="AL5" s="155">
        <v>0.91666666666666663</v>
      </c>
      <c r="AM5" s="155">
        <v>0.20833333333333334</v>
      </c>
      <c r="AN5" s="155">
        <v>1</v>
      </c>
      <c r="AO5" s="155">
        <v>0.70833333333333337</v>
      </c>
    </row>
    <row r="6" spans="1:59" s="2" customFormat="1" ht="8" customHeight="1" thickBot="1" x14ac:dyDescent="0.25">
      <c r="A6" s="1"/>
      <c r="B6"/>
      <c r="C6" s="75"/>
      <c r="D6"/>
      <c r="E6"/>
      <c r="F6"/>
      <c r="G6" s="78"/>
      <c r="H6"/>
      <c r="I6"/>
      <c r="J6"/>
      <c r="M6" s="220">
        <v>1</v>
      </c>
      <c r="N6"/>
      <c r="O6" s="11"/>
      <c r="Q6" s="11"/>
      <c r="S6"/>
      <c r="T6"/>
      <c r="Z6" s="176"/>
    </row>
    <row r="7" spans="1:59" s="2" customFormat="1" ht="30" customHeight="1" thickTop="1" thickBot="1" x14ac:dyDescent="0.25">
      <c r="A7" s="1"/>
      <c r="B7"/>
      <c r="C7" s="76" t="s">
        <v>176</v>
      </c>
      <c r="D7"/>
      <c r="E7" s="281" t="str">
        <f>Lanç!E7</f>
        <v>Janeiro</v>
      </c>
      <c r="F7" s="283"/>
      <c r="G7" s="79" t="s">
        <v>58</v>
      </c>
      <c r="H7" s="82" t="s">
        <v>0</v>
      </c>
      <c r="I7" s="293" t="s">
        <v>59</v>
      </c>
      <c r="J7" s="293"/>
      <c r="K7" s="82" t="s">
        <v>60</v>
      </c>
      <c r="L7"/>
      <c r="M7" s="73" t="s">
        <v>61</v>
      </c>
      <c r="N7"/>
      <c r="O7" s="73" t="s">
        <v>62</v>
      </c>
      <c r="Q7" s="73" t="s">
        <v>63</v>
      </c>
      <c r="R7" s="155">
        <v>8.3333333333333329E-2</v>
      </c>
      <c r="S7" s="293" t="s">
        <v>64</v>
      </c>
      <c r="T7" s="293"/>
      <c r="U7" s="293"/>
      <c r="W7" s="2" t="s">
        <v>90</v>
      </c>
      <c r="X7" s="156">
        <v>1</v>
      </c>
      <c r="AB7" s="2">
        <f>VLOOKUP($E$7,$W$7:$X$18,2,0)</f>
        <v>1</v>
      </c>
      <c r="AG7" s="176" t="s">
        <v>167</v>
      </c>
      <c r="AH7" s="176" t="s">
        <v>168</v>
      </c>
      <c r="AI7" s="155">
        <v>0</v>
      </c>
      <c r="AJ7" s="155">
        <v>1</v>
      </c>
      <c r="AK7" s="155">
        <v>0.45833333333333331</v>
      </c>
      <c r="AL7" s="2" t="s">
        <v>0</v>
      </c>
      <c r="AM7" s="2" t="s">
        <v>162</v>
      </c>
      <c r="AN7" s="2" t="s">
        <v>184</v>
      </c>
      <c r="BE7" s="14"/>
      <c r="BF7" s="14"/>
      <c r="BG7" s="14"/>
    </row>
    <row r="8" spans="1:59" s="2" customFormat="1" ht="30" customHeight="1" thickTop="1" thickBot="1" x14ac:dyDescent="0.25">
      <c r="A8" s="1"/>
      <c r="B8"/>
      <c r="C8" s="172" t="str">
        <f>IF(Funcionários!C7=0,"",Funcionários!C7)</f>
        <v/>
      </c>
      <c r="D8"/>
      <c r="E8" s="115">
        <f>Lanç!E8</f>
        <v>1</v>
      </c>
      <c r="F8" s="189" t="str">
        <f>Lanç!F8</f>
        <v>Dom</v>
      </c>
      <c r="G8" s="80"/>
      <c r="H8" s="93"/>
      <c r="I8" s="93"/>
      <c r="J8" s="93"/>
      <c r="K8" s="93"/>
      <c r="L8" s="10"/>
      <c r="M8" s="95">
        <f>IF(AND(H8=K8,H8&lt;&gt;0),$M$6-IF(J8&lt;I8,$AJ$7+J8-I8,J8-I8),IF(H8&gt;K8,(K8+1-H8)-IF(J8&lt;I8,$AJ$7+J8-I8,J8-I8),(K8-H8)-IF(J8&lt;I8,$AJ$7+J8-I8,J8-I8)))</f>
        <v>0</v>
      </c>
      <c r="N8" s="96"/>
      <c r="O8" s="95">
        <f ca="1">IF(OR(G8=0,G8="Férias",G8="Falta Justificada",G8="Feriado",G8="Folga (DSR)"),0,IF(G8="Falta Injustificada",HLOOKUP($F8,Jornada!$X$7:$AD$37,VLOOKUP(INDIRECT($C$5),Jornada!$C$8:$W$37,21,0),0),IF(HLOOKUP($F8,Jornada!$X$7:$AD$37,VLOOKUP(INDIRECT($C$5),Jornada!$C$8:$W$37,21,0),0)-M8&gt;0,HLOOKUP($F8,Jornada!$X$7:$AD$37,VLOOKUP(INDIRECT($C$5),Jornada!$C$8:$W$37,21,0),0)-M8,0)))</f>
        <v>0</v>
      </c>
      <c r="P8" s="190">
        <f ca="1">IF(HLOOKUP($F8,Jornada!$X$7:$AD$37,VLOOKUP(INDIRECT($C$5),Jornada!$C$8:$W$37,21,0),0)-M8&lt;0,ABS(HLOOKUP($F8,Jornada!$X$7:$AD$37,VLOOKUP(INDIRECT($C$5),Jornada!$C$8:$W$37,21,0),0)-M8),0)</f>
        <v>0</v>
      </c>
      <c r="Q8" s="95">
        <f t="shared" ref="Q8:Q38" si="0">IF(G8="Normal",P8,IF(G8=0,0,IF(OR(G8="Feriado",G8="Férias"),IF(H8&gt;K8,(K8+1-H8)-IF(J8&lt;I8,$AJ$7+J8-I8,J8-I8),(K8-H8)-IF(J8&lt;I8,$AJ$7+J8-I8,J8-I8)),IF(G8="Folga (DSR)",IF(H8&gt;K8,(K8+1-H8)-IF(J8&lt;I8,$AJ$7+J8-I8,J8-I8),(K8-H8)-IF(J8&lt;I8,$AJ$7+J8-I8,J8-I8)),IF(G8="Falta Justificada",IF(H8&gt;K8,(K8+1-H8)-IF(J8&lt;I8,$AJ$7+J8-I8,J8-I8),(K8-H8)-IF(J8&lt;I8,$AJ$7+J8-I8,J8-I8)),0)))))</f>
        <v>0</v>
      </c>
      <c r="R8" s="2">
        <f>IF(Q8&gt;$R$7,1,0)</f>
        <v>0</v>
      </c>
      <c r="S8" s="294" t="s">
        <v>65</v>
      </c>
      <c r="T8" s="294"/>
      <c r="U8" s="295">
        <f>SUM(M8:M38)</f>
        <v>0</v>
      </c>
      <c r="W8" s="2" t="s">
        <v>91</v>
      </c>
      <c r="X8" s="156">
        <v>2</v>
      </c>
      <c r="AB8" s="177">
        <f>DATE('P Gerais'!$D$6,AB7,1)</f>
        <v>1</v>
      </c>
      <c r="AC8" s="2">
        <f>WEEKDAY(AB8)</f>
        <v>1</v>
      </c>
      <c r="AE8" s="2">
        <v>1</v>
      </c>
      <c r="AF8" s="2" t="s">
        <v>51</v>
      </c>
      <c r="AG8" s="220">
        <f>IF(J8&lt;I8,$AJ$7+J8-I8,J8-I8)</f>
        <v>0</v>
      </c>
      <c r="AH8" s="220">
        <f ca="1">IF(HLOOKUP($F8,Jornada!$X$7:$AD$37,VLOOKUP(INDIRECT($C$5),Jornada!$C$8:$W$37,21,0),0)=0,0,VLOOKUP(INDIRECT($C$5),Jornada!$C$8:$H$37,4,0))</f>
        <v>0</v>
      </c>
      <c r="AI8" s="155">
        <f ca="1">IF(AND(I8=0,J8=0,OR(H8&lt;&gt;0,K8&lt;&gt;0),HLOOKUP($F8,Jornada!$X$7:$AD$37,VLOOKUP(INDIRECT($C$5),Jornada!$C$8:$W$37,21,0),0)&gt;$AK$5,M8&gt;$AK$5),VLOOKUP(INDIRECT($C$5),Jornada!$C$8:$H$37,6,0),IF(AG8&gt;VLOOKUP(INDIRECT($C$5),Jornada!$C$8:$H$37,6,0),IF(VLOOKUP(INDIRECT($C$5),Jornada!$C$8:$H$37,6,0)&lt;AG8,0,ABS(VLOOKUP(INDIRECT($C$5),Jornada!$C$8:$H$37,6,0))-AG8),0))</f>
        <v>0</v>
      </c>
      <c r="AJ8" s="155">
        <f>($AJ$7-K8)+H8</f>
        <v>1</v>
      </c>
      <c r="AK8" s="155">
        <f>IF(AJ8&lt;$AK$7,$AK$7-AJ8,$AI$7)</f>
        <v>0</v>
      </c>
      <c r="AL8" s="155">
        <f ca="1">HLOOKUP($F8,Jornada!$I$5:$V$37,VLOOKUP(INDIRECT($C$5),Jornada!$C$8:$W$37,21,0)+2,0)</f>
        <v>0</v>
      </c>
      <c r="AM8" s="155">
        <f ca="1">HLOOKUP($F8,Jornada!$I$4:$V$37,VLOOKUP(INDIRECT($C$5),Jornada!$C$8:$W$37,21,0)+3,0)</f>
        <v>0</v>
      </c>
      <c r="AN8" s="155">
        <f ca="1">IF(AND(AL8&gt;=$AL$5,AL8&lt;$AN$5,H8&gt;=$AL$5,H8&lt;AL8),AL8-H8,IF(AND(AL8&gt;$AI$7,AL8&lt;=$AM$5,H8&gt;=$AL$5,H8&lt;=$AN$5),$AN$5-H8+AL8,IF(AND(AL8&gt;=$AI$7,AL8&lt;=$AM$5,H8&gt;=$AI$7,H8&lt;=$AM$5,H8&lt;AL8),H8-AL8,0)))</f>
        <v>0</v>
      </c>
      <c r="AO8" s="155">
        <f>IF(AP8&gt;Q8,0,AP8)</f>
        <v>0</v>
      </c>
      <c r="AP8" s="155">
        <f>IF(Q8=0,0,IF(AND(AM8&gt;=$AL$5,AM8&lt;$AN$5,K8&gt;=$AL$5,K8&lt;$AM$5,K8&gt;AM8),K8-AM8,IF(AND(AM8&gt;=$AL$5,AM8&lt;$AN$5,K8&lt;$AN$5,K8&gt;AM8),K8-$AL$5,IF(AND(AM8&gt;=$AI$7,AM8&lt;$AM$5,K8&lt;$AM$5),K8-AM8,IF(AND(AM8&lt;&gt;AI7,AM8&gt;=$AI$7,AM8&lt;=$AM$5,K8&gt;$AM$5,K8&gt;AM8),$AM$5-AM8,IF(AND(K8&gt;$AL$5,K8&lt;$AN$5),K8-$AL$5,IF(AND(K8&gt;$AI$7,K8&lt;$AM$5),$AN$5-$AL$5+K8,IF(AND(OR(K8&gt;$AL$5,H8&gt;$AO$5),AM8&gt;=$AI$7,AM8&lt;$AM$5,K8&gt;$AM$5),(1+$AM$5-$AL$5)-AG8,0))))))))</f>
        <v>0</v>
      </c>
      <c r="BE8" s="14"/>
      <c r="BF8" s="14"/>
      <c r="BG8" s="14"/>
    </row>
    <row r="9" spans="1:59" s="2" customFormat="1" ht="30" customHeight="1" thickTop="1" thickBot="1" x14ac:dyDescent="0.25">
      <c r="A9" s="1"/>
      <c r="B9"/>
      <c r="C9" s="172" t="str">
        <f>IF(Funcionários!C8=0,"",Funcionários!C8)</f>
        <v/>
      </c>
      <c r="D9"/>
      <c r="E9" s="115">
        <f>Lanç!E9</f>
        <v>2</v>
      </c>
      <c r="F9" s="189" t="str">
        <f>Lanç!F9</f>
        <v>Seg</v>
      </c>
      <c r="G9" s="81"/>
      <c r="H9" s="94"/>
      <c r="I9" s="94"/>
      <c r="J9" s="94"/>
      <c r="K9" s="94"/>
      <c r="L9" s="10"/>
      <c r="M9" s="95">
        <f t="shared" ref="M9:M38" si="1">IF(AND(H9=K9,H9&lt;&gt;0),$M$6-IF(J9&lt;I9,$AJ$7+J9-I9,J9-I9),IF(H9&gt;K9,(K9+1-H9)-IF(J9&lt;I9,$AJ$7+J9-I9,J9-I9),(K9-H9)-IF(J9&lt;I9,$AJ$7+J9-I9,J9-I9)))</f>
        <v>0</v>
      </c>
      <c r="N9" s="96"/>
      <c r="O9" s="95">
        <f ca="1">IF(OR(G9=0,G9="Férias",G9="Falta Justificada",G9="Feriado",G9="Folga (DSR)"),0,IF(G9="Falta Injustificada",HLOOKUP($F9,Jornada!$X$7:$AD$37,VLOOKUP(INDIRECT($C$5),Jornada!$C$8:$W$37,21,0),0),IF(HLOOKUP($F9,Jornada!$X$7:$AD$37,VLOOKUP(INDIRECT($C$5),Jornada!$C$8:$W$37,21,0),0)-M9&gt;0,HLOOKUP($F9,Jornada!$X$7:$AD$37,VLOOKUP(INDIRECT($C$5),Jornada!$C$8:$W$37,21,0),0)-M9,0)))</f>
        <v>0</v>
      </c>
      <c r="P9" s="190">
        <f ca="1">IF(HLOOKUP($F9,Jornada!$X$7:$AD$37,VLOOKUP(INDIRECT($C$5),Jornada!$C$8:$W$37,21,0),0)-M9&lt;0,ABS(HLOOKUP($F9,Jornada!$X$7:$AD$37,VLOOKUP(INDIRECT($C$5),Jornada!$C$8:$W$37,21,0),0)-M9),0)</f>
        <v>0</v>
      </c>
      <c r="Q9" s="95">
        <f t="shared" si="0"/>
        <v>0</v>
      </c>
      <c r="R9" s="2">
        <f t="shared" ref="R9:R38" si="2">IF(Q9&gt;$R$7,1,0)</f>
        <v>0</v>
      </c>
      <c r="S9" s="294"/>
      <c r="T9" s="294"/>
      <c r="U9" s="295"/>
      <c r="W9" s="2" t="s">
        <v>92</v>
      </c>
      <c r="X9" s="156">
        <v>3</v>
      </c>
      <c r="AB9" s="177">
        <f>AB8+1</f>
        <v>2</v>
      </c>
      <c r="AC9" s="2">
        <f t="shared" ref="AC9:AC35" si="3">WEEKDAY(AB9)</f>
        <v>2</v>
      </c>
      <c r="AE9" s="2">
        <v>2</v>
      </c>
      <c r="AF9" s="2" t="s">
        <v>52</v>
      </c>
      <c r="AG9" s="220">
        <f t="shared" ref="AG9:AG38" si="4">IF(J9&lt;I9,$AJ$7+J9-I9,J9-I9)</f>
        <v>0</v>
      </c>
      <c r="AH9" s="220">
        <f ca="1">IF(HLOOKUP($F9,Jornada!$X$7:$AD$37,VLOOKUP(INDIRECT($C$5),Jornada!$C$8:$W$37,21,0),0)=0,0,VLOOKUP(INDIRECT($C$5),Jornada!$C$8:$H$37,4,0))</f>
        <v>0</v>
      </c>
      <c r="AI9" s="155">
        <f ca="1">IF(AND(I9=0,J9=0,OR(H9&lt;&gt;0,K9&lt;&gt;0),HLOOKUP($F9,Jornada!$X$7:$AD$37,VLOOKUP(INDIRECT($C$5),Jornada!$C$8:$W$37,21,0),0)&gt;$AK$5,M9&gt;$AK$5),VLOOKUP(INDIRECT($C$5),Jornada!$C$8:$H$37,6,0),IF(AG9&gt;VLOOKUP(INDIRECT($C$5),Jornada!$C$8:$H$37,6,0),IF(VLOOKUP(INDIRECT($C$5),Jornada!$C$8:$H$37,6,0)&lt;AG9,0,ABS(VLOOKUP(INDIRECT($C$5),Jornada!$C$8:$H$37,6,0))-AG9),0))</f>
        <v>0</v>
      </c>
      <c r="AJ9" s="155">
        <f t="shared" ref="AJ9:AJ38" si="5">($AJ$7-K9)+H9</f>
        <v>1</v>
      </c>
      <c r="AK9" s="155">
        <f t="shared" ref="AK9:AK38" si="6">IF(AJ9&lt;$AK$7,$AK$7-AJ9,$AI$7)</f>
        <v>0</v>
      </c>
      <c r="AL9" s="155">
        <f ca="1">HLOOKUP($F9,Jornada!$I$5:$V$37,VLOOKUP(INDIRECT($C$5),Jornada!$C$8:$W$37,21,0)+2,0)</f>
        <v>0</v>
      </c>
      <c r="AM9" s="155">
        <f ca="1">HLOOKUP($F9,Jornada!$I$4:$V$37,VLOOKUP(INDIRECT($C$5),Jornada!$C$8:$W$37,21,0)+3,0)</f>
        <v>0</v>
      </c>
      <c r="AN9" s="155">
        <f t="shared" ref="AN9:AN38" ca="1" si="7">IF(AND(AL9&gt;=$AL$5,AL9&lt;$AN$5,H9&gt;=$AL$5,H9&lt;AL9),AL9-H9,IF(AND(AL9&gt;$AI$7,AL9&lt;=$AM$5,H9&gt;=$AL$5,H9&lt;=$AN$5),$AN$5-H9+AL9,IF(AND(AL9&gt;=$AI$7,AL9&lt;=$AM$5,H9&gt;=$AI$7,H9&lt;=$AM$5,H9&lt;AL9),H9-AL9,0)))</f>
        <v>0</v>
      </c>
      <c r="AO9" s="155">
        <f t="shared" ref="AO9:AO38" si="8">IF(AP9&gt;Q9,0,AP9)</f>
        <v>0</v>
      </c>
      <c r="AP9" s="155">
        <f t="shared" ref="AP9:AP38" si="9">IF(Q9=0,0,IF(AND(AM9&gt;=$AL$5,AM9&lt;$AN$5,K9&gt;=$AL$5,K9&lt;$AM$5,K9&gt;AM9),K9-AM9,IF(AND(AM9&gt;=$AL$5,AM9&lt;$AN$5,K9&lt;$AN$5,K9&gt;AM9),K9-$AL$5,IF(AND(AM9&gt;=$AI$7,AM9&lt;$AM$5,K9&lt;$AM$5),K9-AM9,IF(AND(AM9&lt;&gt;AI8,AM9&gt;=$AI$7,AM9&lt;=$AM$5,K9&gt;$AM$5,K9&gt;AM9),$AM$5-AM9,IF(AND(K9&gt;$AL$5,K9&lt;$AN$5),K9-$AL$5,IF(AND(K9&gt;$AI$7,K9&lt;$AM$5),$AN$5-$AL$5+K9,IF(AND(OR(K9&gt;$AL$5,H9&gt;$AO$5),AM9&gt;=$AI$7,AM9&lt;$AM$5,K9&gt;$AM$5),(1+$AM$5-$AL$5)-AG9,0))))))))</f>
        <v>0</v>
      </c>
      <c r="BE9" s="14"/>
      <c r="BF9" s="14"/>
      <c r="BG9" s="14"/>
    </row>
    <row r="10" spans="1:59" s="2" customFormat="1" ht="30" customHeight="1" thickTop="1" thickBot="1" x14ac:dyDescent="0.25">
      <c r="A10" s="1"/>
      <c r="B10"/>
      <c r="C10" s="172" t="str">
        <f>IF(Funcionários!C9=0,"",Funcionários!C9)</f>
        <v/>
      </c>
      <c r="D10"/>
      <c r="E10" s="115">
        <f>Lanç!E10</f>
        <v>3</v>
      </c>
      <c r="F10" s="189" t="str">
        <f>Lanç!F10</f>
        <v>Ter</v>
      </c>
      <c r="G10" s="81"/>
      <c r="H10" s="94"/>
      <c r="I10" s="94"/>
      <c r="J10" s="94"/>
      <c r="K10" s="94"/>
      <c r="L10" s="10"/>
      <c r="M10" s="95">
        <f t="shared" si="1"/>
        <v>0</v>
      </c>
      <c r="N10" s="96"/>
      <c r="O10" s="95">
        <f ca="1">IF(OR(G10=0,G10="Férias",G10="Falta Justificada",G10="Feriado",G10="Folga (DSR)"),0,IF(G10="Falta Injustificada",HLOOKUP($F10,Jornada!$X$7:$AD$37,VLOOKUP(INDIRECT($C$5),Jornada!$C$8:$W$37,21,0),0),IF(HLOOKUP($F10,Jornada!$X$7:$AD$37,VLOOKUP(INDIRECT($C$5),Jornada!$C$8:$W$37,21,0),0)-M10&gt;0,HLOOKUP($F10,Jornada!$X$7:$AD$37,VLOOKUP(INDIRECT($C$5),Jornada!$C$8:$W$37,21,0),0)-M10,0)))</f>
        <v>0</v>
      </c>
      <c r="P10" s="190">
        <f ca="1">IF(HLOOKUP($F10,Jornada!$X$7:$AD$37,VLOOKUP(INDIRECT($C$5),Jornada!$C$8:$W$37,21,0),0)-M10&lt;0,ABS(HLOOKUP($F10,Jornada!$X$7:$AD$37,VLOOKUP(INDIRECT($C$5),Jornada!$C$8:$W$37,21,0),0)-M10),0)</f>
        <v>0</v>
      </c>
      <c r="Q10" s="95">
        <f t="shared" si="0"/>
        <v>0</v>
      </c>
      <c r="R10" s="2">
        <f t="shared" si="2"/>
        <v>0</v>
      </c>
      <c r="S10" s="294" t="s">
        <v>66</v>
      </c>
      <c r="T10" s="294"/>
      <c r="U10" s="295">
        <f ca="1">IF(M5="Horas devidas",ABS(-K5+F58-U14),ABS(K5+F58-U14))</f>
        <v>0</v>
      </c>
      <c r="W10" s="2" t="s">
        <v>93</v>
      </c>
      <c r="X10" s="156">
        <v>4</v>
      </c>
      <c r="AB10" s="177">
        <f t="shared" ref="AB10:AB34" si="10">AB9+1</f>
        <v>3</v>
      </c>
      <c r="AC10" s="2">
        <f t="shared" si="3"/>
        <v>3</v>
      </c>
      <c r="AE10" s="2">
        <v>3</v>
      </c>
      <c r="AF10" s="2" t="s">
        <v>53</v>
      </c>
      <c r="AG10" s="220">
        <f t="shared" si="4"/>
        <v>0</v>
      </c>
      <c r="AH10" s="220">
        <f ca="1">IF(HLOOKUP($F10,Jornada!$X$7:$AD$37,VLOOKUP(INDIRECT($C$5),Jornada!$C$8:$W$37,21,0),0)=0,0,VLOOKUP(INDIRECT($C$5),Jornada!$C$8:$H$37,4,0))</f>
        <v>0</v>
      </c>
      <c r="AI10" s="155">
        <f ca="1">IF(AND(I10=0,J10=0,OR(H10&lt;&gt;0,K10&lt;&gt;0),HLOOKUP($F10,Jornada!$X$7:$AD$37,VLOOKUP(INDIRECT($C$5),Jornada!$C$8:$W$37,21,0),0)&gt;$AK$5,M10&gt;$AK$5),VLOOKUP(INDIRECT($C$5),Jornada!$C$8:$H$37,6,0),IF(AG10&gt;VLOOKUP(INDIRECT($C$5),Jornada!$C$8:$H$37,6,0),IF(VLOOKUP(INDIRECT($C$5),Jornada!$C$8:$H$37,6,0)&lt;AG10,0,ABS(VLOOKUP(INDIRECT($C$5),Jornada!$C$8:$H$37,6,0))-AG10),0))</f>
        <v>0</v>
      </c>
      <c r="AJ10" s="155">
        <f t="shared" si="5"/>
        <v>1</v>
      </c>
      <c r="AK10" s="155">
        <f t="shared" si="6"/>
        <v>0</v>
      </c>
      <c r="AL10" s="155">
        <f ca="1">HLOOKUP($F10,Jornada!$I$5:$V$37,VLOOKUP(INDIRECT($C$5),Jornada!$C$8:$W$37,21,0)+2,0)</f>
        <v>0</v>
      </c>
      <c r="AM10" s="155">
        <f ca="1">HLOOKUP($F10,Jornada!$I$4:$V$37,VLOOKUP(INDIRECT($C$5),Jornada!$C$8:$W$37,21,0)+3,0)</f>
        <v>0</v>
      </c>
      <c r="AN10" s="155">
        <f t="shared" ca="1" si="7"/>
        <v>0</v>
      </c>
      <c r="AO10" s="155">
        <f t="shared" si="8"/>
        <v>0</v>
      </c>
      <c r="AP10" s="155">
        <f t="shared" si="9"/>
        <v>0</v>
      </c>
      <c r="BE10" s="14"/>
      <c r="BF10" s="14"/>
      <c r="BG10" s="14"/>
    </row>
    <row r="11" spans="1:59" s="2" customFormat="1" ht="30" customHeight="1" thickTop="1" thickBot="1" x14ac:dyDescent="0.25">
      <c r="A11" s="1"/>
      <c r="B11"/>
      <c r="C11" s="172" t="str">
        <f>IF(Funcionários!C10=0,"",Funcionários!C10)</f>
        <v/>
      </c>
      <c r="D11"/>
      <c r="E11" s="115">
        <f>Lanç!E11</f>
        <v>4</v>
      </c>
      <c r="F11" s="189" t="str">
        <f>Lanç!F11</f>
        <v>Qua</v>
      </c>
      <c r="G11" s="81"/>
      <c r="H11" s="94"/>
      <c r="I11" s="94"/>
      <c r="J11" s="94"/>
      <c r="K11" s="94"/>
      <c r="L11" s="10"/>
      <c r="M11" s="95">
        <f t="shared" si="1"/>
        <v>0</v>
      </c>
      <c r="N11" s="96"/>
      <c r="O11" s="95">
        <f ca="1">IF(OR(G11=0,G11="Férias",G11="Falta Justificada",G11="Feriado",G11="Folga (DSR)"),0,IF(G11="Falta Injustificada",HLOOKUP($F11,Jornada!$X$7:$AD$37,VLOOKUP(INDIRECT($C$5),Jornada!$C$8:$W$37,21,0),0),IF(HLOOKUP($F11,Jornada!$X$7:$AD$37,VLOOKUP(INDIRECT($C$5),Jornada!$C$8:$W$37,21,0),0)-M11&gt;0,HLOOKUP($F11,Jornada!$X$7:$AD$37,VLOOKUP(INDIRECT($C$5),Jornada!$C$8:$W$37,21,0),0)-M11,0)))</f>
        <v>0</v>
      </c>
      <c r="P11" s="190">
        <f ca="1">IF(HLOOKUP($F11,Jornada!$X$7:$AD$37,VLOOKUP(INDIRECT($C$5),Jornada!$C$8:$W$37,21,0),0)-M11&lt;0,ABS(HLOOKUP($F11,Jornada!$X$7:$AD$37,VLOOKUP(INDIRECT($C$5),Jornada!$C$8:$W$37,21,0),0)-M11),0)</f>
        <v>0</v>
      </c>
      <c r="Q11" s="95">
        <f t="shared" si="0"/>
        <v>0</v>
      </c>
      <c r="R11" s="2">
        <f t="shared" si="2"/>
        <v>0</v>
      </c>
      <c r="S11" s="294"/>
      <c r="T11" s="294"/>
      <c r="U11" s="295"/>
      <c r="V11" s="2">
        <f ca="1">IF(AND(K5&gt;U12,M5="Horas devidas"),"Negativo",IF(AND(U12&gt;K5,U14&gt;F58),"Negativo",0))</f>
        <v>0</v>
      </c>
      <c r="W11" s="2" t="s">
        <v>94</v>
      </c>
      <c r="X11" s="156">
        <v>5</v>
      </c>
      <c r="Z11" s="2" t="str">
        <f ca="1">IF(AND(M5="horas extras",Z13="positivo"),"positivo",IF(AND(M5="horas devidas",Z13="Negativo"),"Negativo",IF(AND(Z13="positivo",M5="horas devidas",U12&gt;K5),"Positivo","Negativo")))</f>
        <v>Negativo</v>
      </c>
      <c r="AB11" s="177">
        <f t="shared" si="10"/>
        <v>4</v>
      </c>
      <c r="AC11" s="2">
        <f t="shared" si="3"/>
        <v>4</v>
      </c>
      <c r="AE11" s="2">
        <v>4</v>
      </c>
      <c r="AF11" s="2" t="s">
        <v>54</v>
      </c>
      <c r="AG11" s="220">
        <f t="shared" si="4"/>
        <v>0</v>
      </c>
      <c r="AH11" s="220">
        <f ca="1">IF(HLOOKUP($F11,Jornada!$X$7:$AD$37,VLOOKUP(INDIRECT($C$5),Jornada!$C$8:$W$37,21,0),0)=0,0,VLOOKUP(INDIRECT($C$5),Jornada!$C$8:$H$37,4,0))</f>
        <v>0</v>
      </c>
      <c r="AI11" s="155">
        <f ca="1">IF(AND(I11=0,J11=0,OR(H11&lt;&gt;0,K11&lt;&gt;0),HLOOKUP($F11,Jornada!$X$7:$AD$37,VLOOKUP(INDIRECT($C$5),Jornada!$C$8:$W$37,21,0),0)&gt;$AK$5,M11&gt;$AK$5),VLOOKUP(INDIRECT($C$5),Jornada!$C$8:$H$37,6,0),IF(AG11&gt;VLOOKUP(INDIRECT($C$5),Jornada!$C$8:$H$37,6,0),IF(VLOOKUP(INDIRECT($C$5),Jornada!$C$8:$H$37,6,0)&lt;AG11,0,ABS(VLOOKUP(INDIRECT($C$5),Jornada!$C$8:$H$37,6,0))-AG11),0))</f>
        <v>0</v>
      </c>
      <c r="AJ11" s="155">
        <f t="shared" si="5"/>
        <v>1</v>
      </c>
      <c r="AK11" s="155">
        <f t="shared" si="6"/>
        <v>0</v>
      </c>
      <c r="AL11" s="155">
        <f ca="1">HLOOKUP($F11,Jornada!$I$5:$V$37,VLOOKUP(INDIRECT($C$5),Jornada!$C$8:$W$37,21,0)+2,0)</f>
        <v>0</v>
      </c>
      <c r="AM11" s="155">
        <f ca="1">HLOOKUP($F11,Jornada!$I$4:$V$37,VLOOKUP(INDIRECT($C$5),Jornada!$C$8:$W$37,21,0)+3,0)</f>
        <v>0</v>
      </c>
      <c r="AN11" s="155">
        <f t="shared" ca="1" si="7"/>
        <v>0</v>
      </c>
      <c r="AO11" s="155">
        <f t="shared" si="8"/>
        <v>0</v>
      </c>
      <c r="AP11" s="155">
        <f t="shared" si="9"/>
        <v>0</v>
      </c>
      <c r="BE11" s="14"/>
      <c r="BF11" s="14"/>
      <c r="BG11" s="14"/>
    </row>
    <row r="12" spans="1:59" s="2" customFormat="1" ht="30" customHeight="1" thickTop="1" thickBot="1" x14ac:dyDescent="0.25">
      <c r="A12" s="1"/>
      <c r="B12"/>
      <c r="C12" s="172" t="str">
        <f>IF(Funcionários!C11=0,"",Funcionários!C11)</f>
        <v/>
      </c>
      <c r="D12"/>
      <c r="E12" s="115">
        <f>Lanç!E12</f>
        <v>5</v>
      </c>
      <c r="F12" s="189" t="str">
        <f>Lanç!F12</f>
        <v>Qui</v>
      </c>
      <c r="G12" s="81"/>
      <c r="H12" s="94"/>
      <c r="I12" s="94"/>
      <c r="J12" s="94"/>
      <c r="K12" s="94"/>
      <c r="L12" s="10"/>
      <c r="M12" s="95">
        <f t="shared" si="1"/>
        <v>0</v>
      </c>
      <c r="N12" s="96"/>
      <c r="O12" s="95">
        <f ca="1">IF(OR(G12=0,G12="Férias",G12="Falta Justificada",G12="Feriado",G12="Folga (DSR)"),0,IF(G12="Falta Injustificada",HLOOKUP($F12,Jornada!$X$7:$AD$37,VLOOKUP(INDIRECT($C$5),Jornada!$C$8:$W$37,21,0),0),IF(HLOOKUP($F12,Jornada!$X$7:$AD$37,VLOOKUP(INDIRECT($C$5),Jornada!$C$8:$W$37,21,0),0)-M12&gt;0,HLOOKUP($F12,Jornada!$X$7:$AD$37,VLOOKUP(INDIRECT($C$5),Jornada!$C$8:$W$37,21,0),0)-M12,0)))</f>
        <v>0</v>
      </c>
      <c r="P12" s="190">
        <f ca="1">IF(HLOOKUP($F12,Jornada!$X$7:$AD$37,VLOOKUP(INDIRECT($C$5),Jornada!$C$8:$W$37,21,0),0)-M12&lt;0,ABS(HLOOKUP($F12,Jornada!$X$7:$AD$37,VLOOKUP(INDIRECT($C$5),Jornada!$C$8:$W$37,21,0),0)-M12),0)</f>
        <v>0</v>
      </c>
      <c r="Q12" s="95">
        <f t="shared" si="0"/>
        <v>0</v>
      </c>
      <c r="R12" s="2">
        <f t="shared" si="2"/>
        <v>0</v>
      </c>
      <c r="S12" s="294" t="s">
        <v>175</v>
      </c>
      <c r="T12" s="294"/>
      <c r="U12" s="295">
        <f ca="1">IF(U14&gt;=F58,(U14)-F58,(F58-U14))</f>
        <v>0</v>
      </c>
      <c r="W12" s="2" t="s">
        <v>95</v>
      </c>
      <c r="X12" s="156">
        <v>6</v>
      </c>
      <c r="AB12" s="177">
        <f t="shared" si="10"/>
        <v>5</v>
      </c>
      <c r="AC12" s="2">
        <f t="shared" si="3"/>
        <v>5</v>
      </c>
      <c r="AE12" s="2">
        <v>5</v>
      </c>
      <c r="AF12" s="2" t="s">
        <v>55</v>
      </c>
      <c r="AG12" s="220">
        <f t="shared" si="4"/>
        <v>0</v>
      </c>
      <c r="AH12" s="220">
        <f ca="1">IF(HLOOKUP($F12,Jornada!$X$7:$AD$37,VLOOKUP(INDIRECT($C$5),Jornada!$C$8:$W$37,21,0),0)=0,0,VLOOKUP(INDIRECT($C$5),Jornada!$C$8:$H$37,4,0))</f>
        <v>0</v>
      </c>
      <c r="AI12" s="155">
        <f ca="1">IF(AND(I12=0,J12=0,OR(H12&lt;&gt;0,K12&lt;&gt;0),HLOOKUP($F12,Jornada!$X$7:$AD$37,VLOOKUP(INDIRECT($C$5),Jornada!$C$8:$W$37,21,0),0)&gt;$AK$5,M12&gt;$AK$5),VLOOKUP(INDIRECT($C$5),Jornada!$C$8:$H$37,6,0),IF(AG12&gt;VLOOKUP(INDIRECT($C$5),Jornada!$C$8:$H$37,6,0),IF(VLOOKUP(INDIRECT($C$5),Jornada!$C$8:$H$37,6,0)&lt;AG12,0,ABS(VLOOKUP(INDIRECT($C$5),Jornada!$C$8:$H$37,6,0))-AG12),0))</f>
        <v>0</v>
      </c>
      <c r="AJ12" s="155">
        <f t="shared" si="5"/>
        <v>1</v>
      </c>
      <c r="AK12" s="155">
        <f t="shared" si="6"/>
        <v>0</v>
      </c>
      <c r="AL12" s="155">
        <f ca="1">HLOOKUP($F12,Jornada!$I$5:$V$37,VLOOKUP(INDIRECT($C$5),Jornada!$C$8:$W$37,21,0)+2,0)</f>
        <v>0</v>
      </c>
      <c r="AM12" s="155">
        <f ca="1">HLOOKUP($F12,Jornada!$I$4:$V$37,VLOOKUP(INDIRECT($C$5),Jornada!$C$8:$W$37,21,0)+3,0)</f>
        <v>0</v>
      </c>
      <c r="AN12" s="155">
        <f t="shared" ca="1" si="7"/>
        <v>0</v>
      </c>
      <c r="AO12" s="155">
        <f t="shared" si="8"/>
        <v>0</v>
      </c>
      <c r="AP12" s="155">
        <f t="shared" si="9"/>
        <v>0</v>
      </c>
      <c r="BE12" s="14"/>
      <c r="BF12" s="14"/>
      <c r="BG12" s="14"/>
    </row>
    <row r="13" spans="1:59" s="2" customFormat="1" ht="30" customHeight="1" thickTop="1" thickBot="1" x14ac:dyDescent="0.25">
      <c r="A13" s="1"/>
      <c r="B13"/>
      <c r="C13" s="172" t="str">
        <f>IF(Funcionários!C12=0,"",Funcionários!C12)</f>
        <v/>
      </c>
      <c r="D13"/>
      <c r="E13" s="115">
        <f>Lanç!E13</f>
        <v>6</v>
      </c>
      <c r="F13" s="189" t="str">
        <f>Lanç!F13</f>
        <v>Sex</v>
      </c>
      <c r="G13" s="81"/>
      <c r="H13" s="94"/>
      <c r="I13" s="94"/>
      <c r="J13" s="94"/>
      <c r="K13" s="94"/>
      <c r="L13" s="10"/>
      <c r="M13" s="95">
        <f t="shared" si="1"/>
        <v>0</v>
      </c>
      <c r="N13" s="96"/>
      <c r="O13" s="95">
        <f ca="1">IF(OR(G13=0,G13="Férias",G13="Falta Justificada",G13="Feriado",G13="Folga (DSR)"),0,IF(G13="Falta Injustificada",HLOOKUP($F13,Jornada!$X$7:$AD$37,VLOOKUP(INDIRECT($C$5),Jornada!$C$8:$W$37,21,0),0),IF(HLOOKUP($F13,Jornada!$X$7:$AD$37,VLOOKUP(INDIRECT($C$5),Jornada!$C$8:$W$37,21,0),0)-M13&gt;0,HLOOKUP($F13,Jornada!$X$7:$AD$37,VLOOKUP(INDIRECT($C$5),Jornada!$C$8:$W$37,21,0),0)-M13,0)))</f>
        <v>0</v>
      </c>
      <c r="P13" s="190">
        <f ca="1">IF(HLOOKUP($F13,Jornada!$X$7:$AD$37,VLOOKUP(INDIRECT($C$5),Jornada!$C$8:$W$37,21,0),0)-M13&lt;0,ABS(HLOOKUP($F13,Jornada!$X$7:$AD$37,VLOOKUP(INDIRECT($C$5),Jornada!$C$8:$W$37,21,0),0)-M13),0)</f>
        <v>0</v>
      </c>
      <c r="Q13" s="95">
        <f t="shared" si="0"/>
        <v>0</v>
      </c>
      <c r="R13" s="2">
        <f t="shared" si="2"/>
        <v>0</v>
      </c>
      <c r="S13" s="294"/>
      <c r="T13" s="294"/>
      <c r="U13" s="295"/>
      <c r="W13" s="2" t="s">
        <v>96</v>
      </c>
      <c r="X13" s="156">
        <v>7</v>
      </c>
      <c r="Z13" s="2" t="str">
        <f ca="1">IF(U14&gt;F58,"Negativo","Positivo")</f>
        <v>Positivo</v>
      </c>
      <c r="AB13" s="177">
        <f t="shared" si="10"/>
        <v>6</v>
      </c>
      <c r="AC13" s="2">
        <f t="shared" si="3"/>
        <v>6</v>
      </c>
      <c r="AE13" s="2">
        <v>6</v>
      </c>
      <c r="AF13" s="2" t="s">
        <v>56</v>
      </c>
      <c r="AG13" s="220">
        <f t="shared" si="4"/>
        <v>0</v>
      </c>
      <c r="AH13" s="220">
        <f ca="1">IF(HLOOKUP($F13,Jornada!$X$7:$AD$37,VLOOKUP(INDIRECT($C$5),Jornada!$C$8:$W$37,21,0),0)=0,0,VLOOKUP(INDIRECT($C$5),Jornada!$C$8:$H$37,4,0))</f>
        <v>0</v>
      </c>
      <c r="AI13" s="155">
        <f ca="1">IF(AND(I13=0,J13=0,OR(H13&lt;&gt;0,K13&lt;&gt;0),HLOOKUP($F13,Jornada!$X$7:$AD$37,VLOOKUP(INDIRECT($C$5),Jornada!$C$8:$W$37,21,0),0)&gt;$AK$5,M13&gt;$AK$5),VLOOKUP(INDIRECT($C$5),Jornada!$C$8:$H$37,6,0),IF(AG13&gt;VLOOKUP(INDIRECT($C$5),Jornada!$C$8:$H$37,6,0),IF(VLOOKUP(INDIRECT($C$5),Jornada!$C$8:$H$37,6,0)&lt;AG13,0,ABS(VLOOKUP(INDIRECT($C$5),Jornada!$C$8:$H$37,6,0))-AG13),0))</f>
        <v>0</v>
      </c>
      <c r="AJ13" s="155">
        <f t="shared" si="5"/>
        <v>1</v>
      </c>
      <c r="AK13" s="155">
        <f t="shared" si="6"/>
        <v>0</v>
      </c>
      <c r="AL13" s="155">
        <f ca="1">HLOOKUP($F13,Jornada!$I$5:$V$37,VLOOKUP(INDIRECT($C$5),Jornada!$C$8:$W$37,21,0)+2,0)</f>
        <v>0</v>
      </c>
      <c r="AM13" s="155">
        <f ca="1">HLOOKUP($F13,Jornada!$I$4:$V$37,VLOOKUP(INDIRECT($C$5),Jornada!$C$8:$W$37,21,0)+3,0)</f>
        <v>0</v>
      </c>
      <c r="AN13" s="155">
        <f t="shared" ca="1" si="7"/>
        <v>0</v>
      </c>
      <c r="AO13" s="155">
        <f t="shared" si="8"/>
        <v>0</v>
      </c>
      <c r="AP13" s="155">
        <f t="shared" si="9"/>
        <v>0</v>
      </c>
      <c r="BE13" s="14"/>
      <c r="BF13" s="14"/>
      <c r="BG13" s="14"/>
    </row>
    <row r="14" spans="1:59" s="2" customFormat="1" ht="30" customHeight="1" thickTop="1" thickBot="1" x14ac:dyDescent="0.25">
      <c r="A14" s="1"/>
      <c r="B14"/>
      <c r="C14" s="172" t="str">
        <f>IF(Funcionários!C13=0,"",Funcionários!C13)</f>
        <v/>
      </c>
      <c r="D14"/>
      <c r="E14" s="115">
        <f>Lanç!E14</f>
        <v>7</v>
      </c>
      <c r="F14" s="189" t="str">
        <f>Lanç!F14</f>
        <v>Sáb</v>
      </c>
      <c r="G14" s="81"/>
      <c r="H14" s="94"/>
      <c r="I14" s="94"/>
      <c r="J14" s="94"/>
      <c r="K14" s="94"/>
      <c r="L14" s="10"/>
      <c r="M14" s="95">
        <f t="shared" si="1"/>
        <v>0</v>
      </c>
      <c r="N14" s="96"/>
      <c r="O14" s="95">
        <f ca="1">IF(OR(G14=0,G14="Férias",G14="Falta Justificada",G14="Feriado",G14="Folga (DSR)"),0,IF(G14="Falta Injustificada",HLOOKUP($F14,Jornada!$X$7:$AD$37,VLOOKUP(INDIRECT($C$5),Jornada!$C$8:$W$37,21,0),0),IF(HLOOKUP($F14,Jornada!$X$7:$AD$37,VLOOKUP(INDIRECT($C$5),Jornada!$C$8:$W$37,21,0),0)-M14&gt;0,HLOOKUP($F14,Jornada!$X$7:$AD$37,VLOOKUP(INDIRECT($C$5),Jornada!$C$8:$W$37,21,0),0)-M14,0)))</f>
        <v>0</v>
      </c>
      <c r="P14" s="190">
        <f ca="1">IF(HLOOKUP($F14,Jornada!$X$7:$AD$37,VLOOKUP(INDIRECT($C$5),Jornada!$C$8:$W$37,21,0),0)-M14&lt;0,ABS(HLOOKUP($F14,Jornada!$X$7:$AD$37,VLOOKUP(INDIRECT($C$5),Jornada!$C$8:$W$37,21,0),0)-M14),0)</f>
        <v>0</v>
      </c>
      <c r="Q14" s="95">
        <f t="shared" si="0"/>
        <v>0</v>
      </c>
      <c r="R14" s="2">
        <f t="shared" si="2"/>
        <v>0</v>
      </c>
      <c r="S14" s="294" t="s">
        <v>68</v>
      </c>
      <c r="T14" s="294"/>
      <c r="U14" s="295">
        <f ca="1">SUM(O8:O38)</f>
        <v>0</v>
      </c>
      <c r="W14" s="2" t="s">
        <v>97</v>
      </c>
      <c r="X14" s="156">
        <v>8</v>
      </c>
      <c r="AB14" s="177">
        <f t="shared" si="10"/>
        <v>7</v>
      </c>
      <c r="AC14" s="2">
        <f t="shared" si="3"/>
        <v>7</v>
      </c>
      <c r="AE14" s="2">
        <v>7</v>
      </c>
      <c r="AF14" s="2" t="s">
        <v>57</v>
      </c>
      <c r="AG14" s="220">
        <f t="shared" si="4"/>
        <v>0</v>
      </c>
      <c r="AH14" s="220">
        <f ca="1">IF(HLOOKUP($F14,Jornada!$X$7:$AD$37,VLOOKUP(INDIRECT($C$5),Jornada!$C$8:$W$37,21,0),0)=0,0,VLOOKUP(INDIRECT($C$5),Jornada!$C$8:$H$37,4,0))</f>
        <v>0</v>
      </c>
      <c r="AI14" s="155">
        <f ca="1">IF(AND(I14=0,J14=0,OR(H14&lt;&gt;0,K14&lt;&gt;0),HLOOKUP($F14,Jornada!$X$7:$AD$37,VLOOKUP(INDIRECT($C$5),Jornada!$C$8:$W$37,21,0),0)&gt;$AK$5,M14&gt;$AK$5),VLOOKUP(INDIRECT($C$5),Jornada!$C$8:$H$37,6,0),IF(AG14&gt;VLOOKUP(INDIRECT($C$5),Jornada!$C$8:$H$37,6,0),IF(VLOOKUP(INDIRECT($C$5),Jornada!$C$8:$H$37,6,0)&lt;AG14,0,ABS(VLOOKUP(INDIRECT($C$5),Jornada!$C$8:$H$37,6,0))-AG14),0))</f>
        <v>0</v>
      </c>
      <c r="AJ14" s="155">
        <f t="shared" si="5"/>
        <v>1</v>
      </c>
      <c r="AK14" s="155">
        <f t="shared" si="6"/>
        <v>0</v>
      </c>
      <c r="AL14" s="155">
        <f ca="1">HLOOKUP($F14,Jornada!$I$5:$V$37,VLOOKUP(INDIRECT($C$5),Jornada!$C$8:$W$37,21,0)+2,0)</f>
        <v>0</v>
      </c>
      <c r="AM14" s="155">
        <f ca="1">HLOOKUP($F14,Jornada!$I$4:$V$37,VLOOKUP(INDIRECT($C$5),Jornada!$C$8:$W$37,21,0)+3,0)</f>
        <v>0</v>
      </c>
      <c r="AN14" s="155">
        <f t="shared" ca="1" si="7"/>
        <v>0</v>
      </c>
      <c r="AO14" s="155">
        <f t="shared" si="8"/>
        <v>0</v>
      </c>
      <c r="AP14" s="155">
        <f t="shared" si="9"/>
        <v>0</v>
      </c>
      <c r="BE14" s="14"/>
      <c r="BF14" s="14"/>
      <c r="BG14" s="14"/>
    </row>
    <row r="15" spans="1:59" s="2" customFormat="1" ht="30" customHeight="1" thickTop="1" thickBot="1" x14ac:dyDescent="0.25">
      <c r="A15" s="1"/>
      <c r="B15"/>
      <c r="C15" s="172" t="str">
        <f>IF(Funcionários!C14=0,"",Funcionários!C14)</f>
        <v/>
      </c>
      <c r="D15"/>
      <c r="E15" s="115">
        <f>Lanç!E15</f>
        <v>8</v>
      </c>
      <c r="F15" s="189" t="str">
        <f>Lanç!F15</f>
        <v>Dom</v>
      </c>
      <c r="G15" s="81"/>
      <c r="H15" s="94"/>
      <c r="I15" s="94"/>
      <c r="J15" s="94"/>
      <c r="K15" s="94"/>
      <c r="L15" s="10"/>
      <c r="M15" s="95">
        <f t="shared" si="1"/>
        <v>0</v>
      </c>
      <c r="N15" s="96"/>
      <c r="O15" s="95">
        <f ca="1">IF(OR(G15=0,G15="Férias",G15="Falta Justificada",G15="Feriado",G15="Folga (DSR)"),0,IF(G15="Falta Injustificada",HLOOKUP($F15,Jornada!$X$7:$AD$37,VLOOKUP(INDIRECT($C$5),Jornada!$C$8:$W$37,21,0),0),IF(HLOOKUP($F15,Jornada!$X$7:$AD$37,VLOOKUP(INDIRECT($C$5),Jornada!$C$8:$W$37,21,0),0)-M15&gt;0,HLOOKUP($F15,Jornada!$X$7:$AD$37,VLOOKUP(INDIRECT($C$5),Jornada!$C$8:$W$37,21,0),0)-M15,0)))</f>
        <v>0</v>
      </c>
      <c r="P15" s="190">
        <f ca="1">IF(HLOOKUP($F15,Jornada!$X$7:$AD$37,VLOOKUP(INDIRECT($C$5),Jornada!$C$8:$W$37,21,0),0)-M15&lt;0,ABS(HLOOKUP($F15,Jornada!$X$7:$AD$37,VLOOKUP(INDIRECT($C$5),Jornada!$C$8:$W$37,21,0),0)-M15),0)</f>
        <v>0</v>
      </c>
      <c r="Q15" s="95">
        <f t="shared" si="0"/>
        <v>0</v>
      </c>
      <c r="R15" s="2">
        <f t="shared" si="2"/>
        <v>0</v>
      </c>
      <c r="S15" s="294"/>
      <c r="T15" s="294"/>
      <c r="U15" s="295"/>
      <c r="W15" s="2" t="s">
        <v>98</v>
      </c>
      <c r="X15" s="156">
        <v>9</v>
      </c>
      <c r="AB15" s="177">
        <f t="shared" si="10"/>
        <v>8</v>
      </c>
      <c r="AC15" s="2">
        <f t="shared" si="3"/>
        <v>1</v>
      </c>
      <c r="AG15" s="220">
        <f t="shared" si="4"/>
        <v>0</v>
      </c>
      <c r="AH15" s="220">
        <f ca="1">IF(HLOOKUP($F15,Jornada!$X$7:$AD$37,VLOOKUP(INDIRECT($C$5),Jornada!$C$8:$W$37,21,0),0)=0,0,VLOOKUP(INDIRECT($C$5),Jornada!$C$8:$H$37,4,0))</f>
        <v>0</v>
      </c>
      <c r="AI15" s="155">
        <f ca="1">IF(AND(I15=0,J15=0,OR(H15&lt;&gt;0,K15&lt;&gt;0),HLOOKUP($F15,Jornada!$X$7:$AD$37,VLOOKUP(INDIRECT($C$5),Jornada!$C$8:$W$37,21,0),0)&gt;$AK$5,M15&gt;$AK$5),VLOOKUP(INDIRECT($C$5),Jornada!$C$8:$H$37,6,0),IF(AG15&gt;VLOOKUP(INDIRECT($C$5),Jornada!$C$8:$H$37,6,0),IF(VLOOKUP(INDIRECT($C$5),Jornada!$C$8:$H$37,6,0)&lt;AG15,0,ABS(VLOOKUP(INDIRECT($C$5),Jornada!$C$8:$H$37,6,0))-AG15),0))</f>
        <v>0</v>
      </c>
      <c r="AJ15" s="155">
        <f t="shared" si="5"/>
        <v>1</v>
      </c>
      <c r="AK15" s="155">
        <f t="shared" si="6"/>
        <v>0</v>
      </c>
      <c r="AL15" s="155">
        <f ca="1">HLOOKUP($F15,Jornada!$I$5:$V$37,VLOOKUP(INDIRECT($C$5),Jornada!$C$8:$W$37,21,0)+2,0)</f>
        <v>0</v>
      </c>
      <c r="AM15" s="155">
        <f ca="1">HLOOKUP($F15,Jornada!$I$4:$V$37,VLOOKUP(INDIRECT($C$5),Jornada!$C$8:$W$37,21,0)+3,0)</f>
        <v>0</v>
      </c>
      <c r="AN15" s="155">
        <f t="shared" ca="1" si="7"/>
        <v>0</v>
      </c>
      <c r="AO15" s="155">
        <f t="shared" si="8"/>
        <v>0</v>
      </c>
      <c r="AP15" s="155">
        <f t="shared" si="9"/>
        <v>0</v>
      </c>
      <c r="BE15" s="14"/>
      <c r="BF15" s="14"/>
      <c r="BG15" s="14"/>
    </row>
    <row r="16" spans="1:59" s="2" customFormat="1" ht="30" customHeight="1" thickTop="1" thickBot="1" x14ac:dyDescent="0.25">
      <c r="A16" s="1"/>
      <c r="B16"/>
      <c r="C16" s="172" t="str">
        <f>IF(Funcionários!C15=0,"",Funcionários!C15)</f>
        <v/>
      </c>
      <c r="D16"/>
      <c r="E16" s="115">
        <f>Lanç!E16</f>
        <v>9</v>
      </c>
      <c r="F16" s="189" t="str">
        <f>Lanç!F16</f>
        <v>Seg</v>
      </c>
      <c r="G16" s="81"/>
      <c r="H16" s="94"/>
      <c r="I16" s="94"/>
      <c r="J16" s="94"/>
      <c r="K16" s="94"/>
      <c r="L16" s="10"/>
      <c r="M16" s="95">
        <f t="shared" si="1"/>
        <v>0</v>
      </c>
      <c r="N16" s="96"/>
      <c r="O16" s="95">
        <f ca="1">IF(OR(G16=0,G16="Férias",G16="Falta Justificada",G16="Feriado",G16="Folga (DSR)"),0,IF(G16="Falta Injustificada",HLOOKUP($F16,Jornada!$X$7:$AD$37,VLOOKUP(INDIRECT($C$5),Jornada!$C$8:$W$37,21,0),0),IF(HLOOKUP($F16,Jornada!$X$7:$AD$37,VLOOKUP(INDIRECT($C$5),Jornada!$C$8:$W$37,21,0),0)-M16&gt;0,HLOOKUP($F16,Jornada!$X$7:$AD$37,VLOOKUP(INDIRECT($C$5),Jornada!$C$8:$W$37,21,0),0)-M16,0)))</f>
        <v>0</v>
      </c>
      <c r="P16" s="190">
        <f ca="1">IF(HLOOKUP($F16,Jornada!$X$7:$AD$37,VLOOKUP(INDIRECT($C$5),Jornada!$C$8:$W$37,21,0),0)-M16&lt;0,ABS(HLOOKUP($F16,Jornada!$X$7:$AD$37,VLOOKUP(INDIRECT($C$5),Jornada!$C$8:$W$37,21,0),0)-M16),0)</f>
        <v>0</v>
      </c>
      <c r="Q16" s="95">
        <f t="shared" si="0"/>
        <v>0</v>
      </c>
      <c r="R16" s="2">
        <f t="shared" si="2"/>
        <v>0</v>
      </c>
      <c r="S16" s="294" t="s">
        <v>67</v>
      </c>
      <c r="T16" s="294"/>
      <c r="U16" s="295">
        <f>SUM(Q8:Q38)</f>
        <v>0</v>
      </c>
      <c r="W16" s="2" t="s">
        <v>99</v>
      </c>
      <c r="X16" s="156">
        <v>10</v>
      </c>
      <c r="AB16" s="177">
        <f t="shared" si="10"/>
        <v>9</v>
      </c>
      <c r="AC16" s="2">
        <f t="shared" si="3"/>
        <v>2</v>
      </c>
      <c r="AG16" s="220">
        <f t="shared" si="4"/>
        <v>0</v>
      </c>
      <c r="AH16" s="220">
        <f ca="1">IF(HLOOKUP($F16,Jornada!$X$7:$AD$37,VLOOKUP(INDIRECT($C$5),Jornada!$C$8:$W$37,21,0),0)=0,0,VLOOKUP(INDIRECT($C$5),Jornada!$C$8:$H$37,4,0))</f>
        <v>0</v>
      </c>
      <c r="AI16" s="155">
        <f ca="1">IF(AND(I16=0,J16=0,OR(H16&lt;&gt;0,K16&lt;&gt;0),HLOOKUP($F16,Jornada!$X$7:$AD$37,VLOOKUP(INDIRECT($C$5),Jornada!$C$8:$W$37,21,0),0)&gt;$AK$5,M16&gt;$AK$5),VLOOKUP(INDIRECT($C$5),Jornada!$C$8:$H$37,6,0),IF(AG16&gt;VLOOKUP(INDIRECT($C$5),Jornada!$C$8:$H$37,6,0),IF(VLOOKUP(INDIRECT($C$5),Jornada!$C$8:$H$37,6,0)&lt;AG16,0,ABS(VLOOKUP(INDIRECT($C$5),Jornada!$C$8:$H$37,6,0))-AG16),0))</f>
        <v>0</v>
      </c>
      <c r="AJ16" s="155">
        <f t="shared" si="5"/>
        <v>1</v>
      </c>
      <c r="AK16" s="155">
        <f t="shared" si="6"/>
        <v>0</v>
      </c>
      <c r="AL16" s="155">
        <f ca="1">HLOOKUP($F16,Jornada!$I$5:$V$37,VLOOKUP(INDIRECT($C$5),Jornada!$C$8:$W$37,21,0)+2,0)</f>
        <v>0</v>
      </c>
      <c r="AM16" s="155">
        <f ca="1">HLOOKUP($F16,Jornada!$I$4:$V$37,VLOOKUP(INDIRECT($C$5),Jornada!$C$8:$W$37,21,0)+3,0)</f>
        <v>0</v>
      </c>
      <c r="AN16" s="155">
        <f t="shared" ca="1" si="7"/>
        <v>0</v>
      </c>
      <c r="AO16" s="155">
        <f t="shared" si="8"/>
        <v>0</v>
      </c>
      <c r="AP16" s="155">
        <f t="shared" si="9"/>
        <v>0</v>
      </c>
      <c r="BE16" s="14"/>
      <c r="BF16" s="14"/>
      <c r="BG16" s="14"/>
    </row>
    <row r="17" spans="1:59" s="2" customFormat="1" ht="30" customHeight="1" thickTop="1" thickBot="1" x14ac:dyDescent="0.25">
      <c r="A17" s="1"/>
      <c r="B17"/>
      <c r="C17" s="172" t="str">
        <f>IF(Funcionários!C16=0,"",Funcionários!C16)</f>
        <v/>
      </c>
      <c r="D17"/>
      <c r="E17" s="115">
        <f>Lanç!E17</f>
        <v>10</v>
      </c>
      <c r="F17" s="189" t="str">
        <f>Lanç!F17</f>
        <v>Ter</v>
      </c>
      <c r="G17" s="81"/>
      <c r="H17" s="94"/>
      <c r="I17" s="94"/>
      <c r="J17" s="94"/>
      <c r="K17" s="94"/>
      <c r="L17" s="10"/>
      <c r="M17" s="95">
        <f t="shared" si="1"/>
        <v>0</v>
      </c>
      <c r="N17" s="96"/>
      <c r="O17" s="95">
        <f ca="1">IF(OR(G17=0,G17="Férias",G17="Falta Justificada",G17="Feriado",G17="Folga (DSR)"),0,IF(G17="Falta Injustificada",HLOOKUP($F17,Jornada!$X$7:$AD$37,VLOOKUP(INDIRECT($C$5),Jornada!$C$8:$W$37,21,0),0),IF(HLOOKUP($F17,Jornada!$X$7:$AD$37,VLOOKUP(INDIRECT($C$5),Jornada!$C$8:$W$37,21,0),0)-M17&gt;0,HLOOKUP($F17,Jornada!$X$7:$AD$37,VLOOKUP(INDIRECT($C$5),Jornada!$C$8:$W$37,21,0),0)-M17,0)))</f>
        <v>0</v>
      </c>
      <c r="P17" s="190">
        <f ca="1">IF(HLOOKUP($F17,Jornada!$X$7:$AD$37,VLOOKUP(INDIRECT($C$5),Jornada!$C$8:$W$37,21,0),0)-M17&lt;0,ABS(HLOOKUP($F17,Jornada!$X$7:$AD$37,VLOOKUP(INDIRECT($C$5),Jornada!$C$8:$W$37,21,0),0)-M17),0)</f>
        <v>0</v>
      </c>
      <c r="Q17" s="95">
        <f t="shared" si="0"/>
        <v>0</v>
      </c>
      <c r="R17" s="2">
        <f t="shared" si="2"/>
        <v>0</v>
      </c>
      <c r="S17" s="294"/>
      <c r="T17" s="294"/>
      <c r="U17" s="295"/>
      <c r="W17" s="2" t="s">
        <v>100</v>
      </c>
      <c r="X17" s="156">
        <v>11</v>
      </c>
      <c r="AB17" s="177">
        <f t="shared" si="10"/>
        <v>10</v>
      </c>
      <c r="AC17" s="2">
        <f t="shared" si="3"/>
        <v>3</v>
      </c>
      <c r="AG17" s="220">
        <f t="shared" si="4"/>
        <v>0</v>
      </c>
      <c r="AH17" s="220">
        <f ca="1">IF(HLOOKUP($F17,Jornada!$X$7:$AD$37,VLOOKUP(INDIRECT($C$5),Jornada!$C$8:$W$37,21,0),0)=0,0,VLOOKUP(INDIRECT($C$5),Jornada!$C$8:$H$37,4,0))</f>
        <v>0</v>
      </c>
      <c r="AI17" s="155">
        <f ca="1">IF(AND(I17=0,J17=0,OR(H17&lt;&gt;0,K17&lt;&gt;0),HLOOKUP($F17,Jornada!$X$7:$AD$37,VLOOKUP(INDIRECT($C$5),Jornada!$C$8:$W$37,21,0),0)&gt;$AK$5,M17&gt;$AK$5),VLOOKUP(INDIRECT($C$5),Jornada!$C$8:$H$37,6,0),IF(AG17&gt;VLOOKUP(INDIRECT($C$5),Jornada!$C$8:$H$37,6,0),IF(VLOOKUP(INDIRECT($C$5),Jornada!$C$8:$H$37,6,0)&lt;AG17,0,ABS(VLOOKUP(INDIRECT($C$5),Jornada!$C$8:$H$37,6,0))-AG17),0))</f>
        <v>0</v>
      </c>
      <c r="AJ17" s="155">
        <f t="shared" si="5"/>
        <v>1</v>
      </c>
      <c r="AK17" s="155">
        <f t="shared" si="6"/>
        <v>0</v>
      </c>
      <c r="AL17" s="155">
        <f ca="1">HLOOKUP($F17,Jornada!$I$5:$V$37,VLOOKUP(INDIRECT($C$5),Jornada!$C$8:$W$37,21,0)+2,0)</f>
        <v>0</v>
      </c>
      <c r="AM17" s="155">
        <f ca="1">HLOOKUP($F17,Jornada!$I$4:$V$37,VLOOKUP(INDIRECT($C$5),Jornada!$C$8:$W$37,21,0)+3,0)</f>
        <v>0</v>
      </c>
      <c r="AN17" s="155">
        <f t="shared" ca="1" si="7"/>
        <v>0</v>
      </c>
      <c r="AO17" s="155">
        <f t="shared" si="8"/>
        <v>0</v>
      </c>
      <c r="AP17" s="155">
        <f t="shared" si="9"/>
        <v>0</v>
      </c>
      <c r="BE17" s="14"/>
      <c r="BF17" s="14"/>
      <c r="BG17" s="14"/>
    </row>
    <row r="18" spans="1:59" s="2" customFormat="1" ht="30" customHeight="1" thickTop="1" thickBot="1" x14ac:dyDescent="0.25">
      <c r="A18" s="1"/>
      <c r="B18"/>
      <c r="C18" s="172" t="str">
        <f>IF(Funcionários!C17=0,"",Funcionários!C17)</f>
        <v/>
      </c>
      <c r="D18"/>
      <c r="E18" s="115">
        <f>Lanç!E18</f>
        <v>11</v>
      </c>
      <c r="F18" s="189" t="str">
        <f>Lanç!F18</f>
        <v>Qua</v>
      </c>
      <c r="G18" s="81"/>
      <c r="H18" s="94"/>
      <c r="I18" s="94"/>
      <c r="J18" s="94"/>
      <c r="K18" s="94"/>
      <c r="L18" s="10"/>
      <c r="M18" s="95">
        <f t="shared" si="1"/>
        <v>0</v>
      </c>
      <c r="N18" s="96"/>
      <c r="O18" s="95">
        <f ca="1">IF(OR(G18=0,G18="Férias",G18="Falta Justificada",G18="Feriado",G18="Folga (DSR)"),0,IF(G18="Falta Injustificada",HLOOKUP($F18,Jornada!$X$7:$AD$37,VLOOKUP(INDIRECT($C$5),Jornada!$C$8:$W$37,21,0),0),IF(HLOOKUP($F18,Jornada!$X$7:$AD$37,VLOOKUP(INDIRECT($C$5),Jornada!$C$8:$W$37,21,0),0)-M18&gt;0,HLOOKUP($F18,Jornada!$X$7:$AD$37,VLOOKUP(INDIRECT($C$5),Jornada!$C$8:$W$37,21,0),0)-M18,0)))</f>
        <v>0</v>
      </c>
      <c r="P18" s="190">
        <f ca="1">IF(HLOOKUP($F18,Jornada!$X$7:$AD$37,VLOOKUP(INDIRECT($C$5),Jornada!$C$8:$W$37,21,0),0)-M18&lt;0,ABS(HLOOKUP($F18,Jornada!$X$7:$AD$37,VLOOKUP(INDIRECT($C$5),Jornada!$C$8:$W$37,21,0),0)-M18),0)</f>
        <v>0</v>
      </c>
      <c r="Q18" s="95">
        <f t="shared" si="0"/>
        <v>0</v>
      </c>
      <c r="R18" s="2">
        <f t="shared" si="2"/>
        <v>0</v>
      </c>
      <c r="S18" s="294" t="s">
        <v>69</v>
      </c>
      <c r="T18" s="294"/>
      <c r="U18" s="299">
        <f ca="1">F54</f>
        <v>0</v>
      </c>
      <c r="W18" s="2" t="s">
        <v>101</v>
      </c>
      <c r="X18" s="156">
        <v>12</v>
      </c>
      <c r="AB18" s="177">
        <f t="shared" si="10"/>
        <v>11</v>
      </c>
      <c r="AC18" s="2">
        <f t="shared" si="3"/>
        <v>4</v>
      </c>
      <c r="AG18" s="220">
        <f t="shared" si="4"/>
        <v>0</v>
      </c>
      <c r="AH18" s="220">
        <f ca="1">IF(HLOOKUP($F18,Jornada!$X$7:$AD$37,VLOOKUP(INDIRECT($C$5),Jornada!$C$8:$W$37,21,0),0)=0,0,VLOOKUP(INDIRECT($C$5),Jornada!$C$8:$H$37,4,0))</f>
        <v>0</v>
      </c>
      <c r="AI18" s="155">
        <f ca="1">IF(AND(I18=0,J18=0,OR(H18&lt;&gt;0,K18&lt;&gt;0),HLOOKUP($F18,Jornada!$X$7:$AD$37,VLOOKUP(INDIRECT($C$5),Jornada!$C$8:$W$37,21,0),0)&gt;$AK$5,M18&gt;$AK$5),VLOOKUP(INDIRECT($C$5),Jornada!$C$8:$H$37,6,0),IF(AG18&gt;VLOOKUP(INDIRECT($C$5),Jornada!$C$8:$H$37,6,0),IF(VLOOKUP(INDIRECT($C$5),Jornada!$C$8:$H$37,6,0)&lt;AG18,0,ABS(VLOOKUP(INDIRECT($C$5),Jornada!$C$8:$H$37,6,0))-AG18),0))</f>
        <v>0</v>
      </c>
      <c r="AJ18" s="155">
        <f t="shared" si="5"/>
        <v>1</v>
      </c>
      <c r="AK18" s="155">
        <f t="shared" si="6"/>
        <v>0</v>
      </c>
      <c r="AL18" s="155">
        <f ca="1">HLOOKUP($F18,Jornada!$I$5:$V$37,VLOOKUP(INDIRECT($C$5),Jornada!$C$8:$W$37,21,0)+2,0)</f>
        <v>0</v>
      </c>
      <c r="AM18" s="155">
        <f ca="1">HLOOKUP($F18,Jornada!$I$4:$V$37,VLOOKUP(INDIRECT($C$5),Jornada!$C$8:$W$37,21,0)+3,0)</f>
        <v>0</v>
      </c>
      <c r="AN18" s="155">
        <f t="shared" ca="1" si="7"/>
        <v>0</v>
      </c>
      <c r="AO18" s="155">
        <f t="shared" si="8"/>
        <v>0</v>
      </c>
      <c r="AP18" s="155">
        <f t="shared" si="9"/>
        <v>0</v>
      </c>
      <c r="BE18" s="14"/>
      <c r="BF18" s="14"/>
      <c r="BG18" s="14"/>
    </row>
    <row r="19" spans="1:59" s="2" customFormat="1" ht="30" customHeight="1" thickTop="1" thickBot="1" x14ac:dyDescent="0.25">
      <c r="A19" s="1"/>
      <c r="B19"/>
      <c r="C19" s="172" t="str">
        <f>IF(Funcionários!C18=0,"",Funcionários!C18)</f>
        <v/>
      </c>
      <c r="D19"/>
      <c r="E19" s="115">
        <f>Lanç!E19</f>
        <v>12</v>
      </c>
      <c r="F19" s="189" t="str">
        <f>Lanç!F19</f>
        <v>Qui</v>
      </c>
      <c r="G19" s="81"/>
      <c r="H19" s="94"/>
      <c r="I19" s="94"/>
      <c r="J19" s="94"/>
      <c r="K19" s="94"/>
      <c r="L19" s="10"/>
      <c r="M19" s="95">
        <f t="shared" si="1"/>
        <v>0</v>
      </c>
      <c r="N19" s="96"/>
      <c r="O19" s="95">
        <f ca="1">IF(OR(G19=0,G19="Férias",G19="Falta Justificada",G19="Feriado",G19="Folga (DSR)"),0,IF(G19="Falta Injustificada",HLOOKUP($F19,Jornada!$X$7:$AD$37,VLOOKUP(INDIRECT($C$5),Jornada!$C$8:$W$37,21,0),0),IF(HLOOKUP($F19,Jornada!$X$7:$AD$37,VLOOKUP(INDIRECT($C$5),Jornada!$C$8:$W$37,21,0),0)-M19&gt;0,HLOOKUP($F19,Jornada!$X$7:$AD$37,VLOOKUP(INDIRECT($C$5),Jornada!$C$8:$W$37,21,0),0)-M19,0)))</f>
        <v>0</v>
      </c>
      <c r="P19" s="190">
        <f ca="1">IF(HLOOKUP($F19,Jornada!$X$7:$AD$37,VLOOKUP(INDIRECT($C$5),Jornada!$C$8:$W$37,21,0),0)-M19&lt;0,ABS(HLOOKUP($F19,Jornada!$X$7:$AD$37,VLOOKUP(INDIRECT($C$5),Jornada!$C$8:$W$37,21,0),0)-M19),0)</f>
        <v>0</v>
      </c>
      <c r="Q19" s="95">
        <f t="shared" si="0"/>
        <v>0</v>
      </c>
      <c r="R19" s="2">
        <f t="shared" si="2"/>
        <v>0</v>
      </c>
      <c r="S19" s="294"/>
      <c r="T19" s="294"/>
      <c r="U19" s="299"/>
      <c r="X19" s="177"/>
      <c r="AB19" s="177">
        <f t="shared" si="10"/>
        <v>12</v>
      </c>
      <c r="AC19" s="2">
        <f t="shared" si="3"/>
        <v>5</v>
      </c>
      <c r="AG19" s="220">
        <f t="shared" si="4"/>
        <v>0</v>
      </c>
      <c r="AH19" s="220">
        <f ca="1">IF(HLOOKUP($F19,Jornada!$X$7:$AD$37,VLOOKUP(INDIRECT($C$5),Jornada!$C$8:$W$37,21,0),0)=0,0,VLOOKUP(INDIRECT($C$5),Jornada!$C$8:$H$37,4,0))</f>
        <v>0</v>
      </c>
      <c r="AI19" s="155">
        <f ca="1">IF(AND(I19=0,J19=0,OR(H19&lt;&gt;0,K19&lt;&gt;0),HLOOKUP($F19,Jornada!$X$7:$AD$37,VLOOKUP(INDIRECT($C$5),Jornada!$C$8:$W$37,21,0),0)&gt;$AK$5,M19&gt;$AK$5),VLOOKUP(INDIRECT($C$5),Jornada!$C$8:$H$37,6,0),IF(AG19&gt;VLOOKUP(INDIRECT($C$5),Jornada!$C$8:$H$37,6,0),IF(VLOOKUP(INDIRECT($C$5),Jornada!$C$8:$H$37,6,0)&lt;AG19,0,ABS(VLOOKUP(INDIRECT($C$5),Jornada!$C$8:$H$37,6,0))-AG19),0))</f>
        <v>0</v>
      </c>
      <c r="AJ19" s="155">
        <f t="shared" si="5"/>
        <v>1</v>
      </c>
      <c r="AK19" s="155">
        <f t="shared" si="6"/>
        <v>0</v>
      </c>
      <c r="AL19" s="155">
        <f ca="1">HLOOKUP($F19,Jornada!$I$5:$V$37,VLOOKUP(INDIRECT($C$5),Jornada!$C$8:$W$37,21,0)+2,0)</f>
        <v>0</v>
      </c>
      <c r="AM19" s="155">
        <f ca="1">HLOOKUP($F19,Jornada!$I$4:$V$37,VLOOKUP(INDIRECT($C$5),Jornada!$C$8:$W$37,21,0)+3,0)</f>
        <v>0</v>
      </c>
      <c r="AN19" s="155">
        <f t="shared" ca="1" si="7"/>
        <v>0</v>
      </c>
      <c r="AO19" s="155">
        <f t="shared" si="8"/>
        <v>0</v>
      </c>
      <c r="AP19" s="155">
        <f t="shared" si="9"/>
        <v>0</v>
      </c>
      <c r="BE19" s="14"/>
      <c r="BF19" s="14"/>
      <c r="BG19" s="14"/>
    </row>
    <row r="20" spans="1:59" s="2" customFormat="1" ht="30" customHeight="1" thickTop="1" thickBot="1" x14ac:dyDescent="0.25">
      <c r="A20" s="1"/>
      <c r="B20"/>
      <c r="C20" s="172" t="str">
        <f>IF(Funcionários!C19=0,"",Funcionários!C19)</f>
        <v/>
      </c>
      <c r="D20"/>
      <c r="E20" s="115">
        <f>Lanç!E20</f>
        <v>13</v>
      </c>
      <c r="F20" s="189" t="str">
        <f>Lanç!F20</f>
        <v>Sex</v>
      </c>
      <c r="G20" s="81"/>
      <c r="H20" s="94"/>
      <c r="I20" s="94"/>
      <c r="J20" s="94"/>
      <c r="K20" s="94"/>
      <c r="L20" s="10"/>
      <c r="M20" s="95">
        <f t="shared" si="1"/>
        <v>0</v>
      </c>
      <c r="N20" s="96"/>
      <c r="O20" s="95">
        <f ca="1">IF(OR(G20=0,G20="Férias",G20="Falta Justificada",G20="Feriado",G20="Folga (DSR)"),0,IF(G20="Falta Injustificada",HLOOKUP($F20,Jornada!$X$7:$AD$37,VLOOKUP(INDIRECT($C$5),Jornada!$C$8:$W$37,21,0),0),IF(HLOOKUP($F20,Jornada!$X$7:$AD$37,VLOOKUP(INDIRECT($C$5),Jornada!$C$8:$W$37,21,0),0)-M20&gt;0,HLOOKUP($F20,Jornada!$X$7:$AD$37,VLOOKUP(INDIRECT($C$5),Jornada!$C$8:$W$37,21,0),0)-M20,0)))</f>
        <v>0</v>
      </c>
      <c r="P20" s="190">
        <f ca="1">IF(HLOOKUP($F20,Jornada!$X$7:$AD$37,VLOOKUP(INDIRECT($C$5),Jornada!$C$8:$W$37,21,0),0)-M20&lt;0,ABS(HLOOKUP($F20,Jornada!$X$7:$AD$37,VLOOKUP(INDIRECT($C$5),Jornada!$C$8:$W$37,21,0),0)-M20),0)</f>
        <v>0</v>
      </c>
      <c r="Q20" s="95">
        <f t="shared" si="0"/>
        <v>0</v>
      </c>
      <c r="R20" s="2">
        <f t="shared" si="2"/>
        <v>0</v>
      </c>
      <c r="S20"/>
      <c r="T20"/>
      <c r="U20"/>
      <c r="X20" s="177"/>
      <c r="AB20" s="177">
        <f t="shared" si="10"/>
        <v>13</v>
      </c>
      <c r="AC20" s="2">
        <f t="shared" si="3"/>
        <v>6</v>
      </c>
      <c r="AG20" s="220">
        <f t="shared" si="4"/>
        <v>0</v>
      </c>
      <c r="AH20" s="220">
        <f ca="1">IF(HLOOKUP($F20,Jornada!$X$7:$AD$37,VLOOKUP(INDIRECT($C$5),Jornada!$C$8:$W$37,21,0),0)=0,0,VLOOKUP(INDIRECT($C$5),Jornada!$C$8:$H$37,4,0))</f>
        <v>0</v>
      </c>
      <c r="AI20" s="155">
        <f ca="1">IF(AND(I20=0,J20=0,OR(H20&lt;&gt;0,K20&lt;&gt;0),HLOOKUP($F20,Jornada!$X$7:$AD$37,VLOOKUP(INDIRECT($C$5),Jornada!$C$8:$W$37,21,0),0)&gt;$AK$5,M20&gt;$AK$5),VLOOKUP(INDIRECT($C$5),Jornada!$C$8:$H$37,6,0),IF(AG20&gt;VLOOKUP(INDIRECT($C$5),Jornada!$C$8:$H$37,6,0),IF(VLOOKUP(INDIRECT($C$5),Jornada!$C$8:$H$37,6,0)&lt;AG20,0,ABS(VLOOKUP(INDIRECT($C$5),Jornada!$C$8:$H$37,6,0))-AG20),0))</f>
        <v>0</v>
      </c>
      <c r="AJ20" s="155">
        <f t="shared" si="5"/>
        <v>1</v>
      </c>
      <c r="AK20" s="155">
        <f t="shared" si="6"/>
        <v>0</v>
      </c>
      <c r="AL20" s="155">
        <f ca="1">HLOOKUP($F20,Jornada!$I$5:$V$37,VLOOKUP(INDIRECT($C$5),Jornada!$C$8:$W$37,21,0)+2,0)</f>
        <v>0</v>
      </c>
      <c r="AM20" s="155">
        <f ca="1">HLOOKUP($F20,Jornada!$I$4:$V$37,VLOOKUP(INDIRECT($C$5),Jornada!$C$8:$W$37,21,0)+3,0)</f>
        <v>0</v>
      </c>
      <c r="AN20" s="155">
        <f t="shared" ca="1" si="7"/>
        <v>0</v>
      </c>
      <c r="AO20" s="155">
        <f t="shared" si="8"/>
        <v>0</v>
      </c>
      <c r="AP20" s="155">
        <f t="shared" si="9"/>
        <v>0</v>
      </c>
      <c r="BE20" s="14"/>
      <c r="BF20" s="14"/>
      <c r="BG20" s="14"/>
    </row>
    <row r="21" spans="1:59" s="2" customFormat="1" ht="30" customHeight="1" thickTop="1" thickBot="1" x14ac:dyDescent="0.25">
      <c r="A21" s="1"/>
      <c r="B21"/>
      <c r="C21" s="172" t="str">
        <f>IF(Funcionários!C20=0,"",Funcionários!C20)</f>
        <v/>
      </c>
      <c r="D21"/>
      <c r="E21" s="115">
        <f>Lanç!E21</f>
        <v>14</v>
      </c>
      <c r="F21" s="189" t="str">
        <f>Lanç!F21</f>
        <v>Sáb</v>
      </c>
      <c r="G21" s="81"/>
      <c r="H21" s="94"/>
      <c r="I21" s="94"/>
      <c r="J21" s="94"/>
      <c r="K21" s="94"/>
      <c r="L21" s="10"/>
      <c r="M21" s="95">
        <f t="shared" si="1"/>
        <v>0</v>
      </c>
      <c r="N21" s="96"/>
      <c r="O21" s="95">
        <f ca="1">IF(OR(G21=0,G21="Férias",G21="Falta Justificada",G21="Feriado",G21="Folga (DSR)"),0,IF(G21="Falta Injustificada",HLOOKUP($F21,Jornada!$X$7:$AD$37,VLOOKUP(INDIRECT($C$5),Jornada!$C$8:$W$37,21,0),0),IF(HLOOKUP($F21,Jornada!$X$7:$AD$37,VLOOKUP(INDIRECT($C$5),Jornada!$C$8:$W$37,21,0),0)-M21&gt;0,HLOOKUP($F21,Jornada!$X$7:$AD$37,VLOOKUP(INDIRECT($C$5),Jornada!$C$8:$W$37,21,0),0)-M21,0)))</f>
        <v>0</v>
      </c>
      <c r="P21" s="190">
        <f ca="1">IF(HLOOKUP($F21,Jornada!$X$7:$AD$37,VLOOKUP(INDIRECT($C$5),Jornada!$C$8:$W$37,21,0),0)-M21&lt;0,ABS(HLOOKUP($F21,Jornada!$X$7:$AD$37,VLOOKUP(INDIRECT($C$5),Jornada!$C$8:$W$37,21,0),0)-M21),0)</f>
        <v>0</v>
      </c>
      <c r="Q21" s="95">
        <f t="shared" si="0"/>
        <v>0</v>
      </c>
      <c r="R21" s="2">
        <f t="shared" si="2"/>
        <v>0</v>
      </c>
      <c r="S21"/>
      <c r="T21"/>
      <c r="U21"/>
      <c r="X21" s="177"/>
      <c r="AB21" s="177">
        <f t="shared" si="10"/>
        <v>14</v>
      </c>
      <c r="AC21" s="2">
        <f t="shared" si="3"/>
        <v>7</v>
      </c>
      <c r="AG21" s="220">
        <f t="shared" si="4"/>
        <v>0</v>
      </c>
      <c r="AH21" s="220">
        <f ca="1">IF(HLOOKUP($F21,Jornada!$X$7:$AD$37,VLOOKUP(INDIRECT($C$5),Jornada!$C$8:$W$37,21,0),0)=0,0,VLOOKUP(INDIRECT($C$5),Jornada!$C$8:$H$37,4,0))</f>
        <v>0</v>
      </c>
      <c r="AI21" s="155">
        <f ca="1">IF(AND(I21=0,J21=0,OR(H21&lt;&gt;0,K21&lt;&gt;0),HLOOKUP($F21,Jornada!$X$7:$AD$37,VLOOKUP(INDIRECT($C$5),Jornada!$C$8:$W$37,21,0),0)&gt;$AK$5,M21&gt;$AK$5),VLOOKUP(INDIRECT($C$5),Jornada!$C$8:$H$37,6,0),IF(AG21&gt;VLOOKUP(INDIRECT($C$5),Jornada!$C$8:$H$37,6,0),IF(VLOOKUP(INDIRECT($C$5),Jornada!$C$8:$H$37,6,0)&lt;AG21,0,ABS(VLOOKUP(INDIRECT($C$5),Jornada!$C$8:$H$37,6,0))-AG21),0))</f>
        <v>0</v>
      </c>
      <c r="AJ21" s="155">
        <f t="shared" si="5"/>
        <v>1</v>
      </c>
      <c r="AK21" s="155">
        <f t="shared" si="6"/>
        <v>0</v>
      </c>
      <c r="AL21" s="155">
        <f ca="1">HLOOKUP($F21,Jornada!$I$5:$V$37,VLOOKUP(INDIRECT($C$5),Jornada!$C$8:$W$37,21,0)+2,0)</f>
        <v>0</v>
      </c>
      <c r="AM21" s="155">
        <f ca="1">HLOOKUP($F21,Jornada!$I$4:$V$37,VLOOKUP(INDIRECT($C$5),Jornada!$C$8:$W$37,21,0)+3,0)</f>
        <v>0</v>
      </c>
      <c r="AN21" s="155">
        <f t="shared" ca="1" si="7"/>
        <v>0</v>
      </c>
      <c r="AO21" s="155">
        <f t="shared" si="8"/>
        <v>0</v>
      </c>
      <c r="AP21" s="155">
        <f t="shared" si="9"/>
        <v>0</v>
      </c>
      <c r="BE21" s="14"/>
      <c r="BF21" s="14"/>
      <c r="BG21" s="14"/>
    </row>
    <row r="22" spans="1:59" s="2" customFormat="1" ht="30" customHeight="1" thickTop="1" thickBot="1" x14ac:dyDescent="0.25">
      <c r="A22" s="1"/>
      <c r="B22"/>
      <c r="C22" s="172" t="str">
        <f>IF(Funcionários!C21=0,"",Funcionários!C21)</f>
        <v/>
      </c>
      <c r="D22"/>
      <c r="E22" s="115">
        <f>Lanç!E22</f>
        <v>15</v>
      </c>
      <c r="F22" s="189" t="str">
        <f>Lanç!F22</f>
        <v>Dom</v>
      </c>
      <c r="G22" s="81"/>
      <c r="H22" s="94"/>
      <c r="I22" s="94"/>
      <c r="J22" s="94"/>
      <c r="K22" s="94"/>
      <c r="L22" s="10"/>
      <c r="M22" s="95">
        <f t="shared" si="1"/>
        <v>0</v>
      </c>
      <c r="N22" s="96"/>
      <c r="O22" s="95">
        <f ca="1">IF(OR(G22=0,G22="Férias",G22="Falta Justificada",G22="Feriado",G22="Folga (DSR)"),0,IF(G22="Falta Injustificada",HLOOKUP($F22,Jornada!$X$7:$AD$37,VLOOKUP(INDIRECT($C$5),Jornada!$C$8:$W$37,21,0),0),IF(HLOOKUP($F22,Jornada!$X$7:$AD$37,VLOOKUP(INDIRECT($C$5),Jornada!$C$8:$W$37,21,0),0)-M22&gt;0,HLOOKUP($F22,Jornada!$X$7:$AD$37,VLOOKUP(INDIRECT($C$5),Jornada!$C$8:$W$37,21,0),0)-M22,0)))</f>
        <v>0</v>
      </c>
      <c r="P22" s="190">
        <f ca="1">IF(HLOOKUP($F22,Jornada!$X$7:$AD$37,VLOOKUP(INDIRECT($C$5),Jornada!$C$8:$W$37,21,0),0)-M22&lt;0,ABS(HLOOKUP($F22,Jornada!$X$7:$AD$37,VLOOKUP(INDIRECT($C$5),Jornada!$C$8:$W$37,21,0),0)-M22),0)</f>
        <v>0</v>
      </c>
      <c r="Q22" s="95">
        <f t="shared" si="0"/>
        <v>0</v>
      </c>
      <c r="R22" s="2">
        <f t="shared" si="2"/>
        <v>0</v>
      </c>
      <c r="S22" s="300" t="s">
        <v>63</v>
      </c>
      <c r="T22" s="301"/>
      <c r="U22" s="302"/>
      <c r="X22" s="177"/>
      <c r="AB22" s="177">
        <f t="shared" si="10"/>
        <v>15</v>
      </c>
      <c r="AC22" s="2">
        <f t="shared" si="3"/>
        <v>1</v>
      </c>
      <c r="AG22" s="220">
        <f t="shared" si="4"/>
        <v>0</v>
      </c>
      <c r="AH22" s="220">
        <f ca="1">IF(HLOOKUP($F22,Jornada!$X$7:$AD$37,VLOOKUP(INDIRECT($C$5),Jornada!$C$8:$W$37,21,0),0)=0,0,VLOOKUP(INDIRECT($C$5),Jornada!$C$8:$H$37,4,0))</f>
        <v>0</v>
      </c>
      <c r="AI22" s="155">
        <f ca="1">IF(AND(I22=0,J22=0,OR(H22&lt;&gt;0,K22&lt;&gt;0),HLOOKUP($F22,Jornada!$X$7:$AD$37,VLOOKUP(INDIRECT($C$5),Jornada!$C$8:$W$37,21,0),0)&gt;$AK$5,M22&gt;$AK$5),VLOOKUP(INDIRECT($C$5),Jornada!$C$8:$H$37,6,0),IF(AG22&gt;VLOOKUP(INDIRECT($C$5),Jornada!$C$8:$H$37,6,0),IF(VLOOKUP(INDIRECT($C$5),Jornada!$C$8:$H$37,6,0)&lt;AG22,0,ABS(VLOOKUP(INDIRECT($C$5),Jornada!$C$8:$H$37,6,0))-AG22),0))</f>
        <v>0</v>
      </c>
      <c r="AJ22" s="155">
        <f t="shared" si="5"/>
        <v>1</v>
      </c>
      <c r="AK22" s="155">
        <f t="shared" si="6"/>
        <v>0</v>
      </c>
      <c r="AL22" s="155">
        <f ca="1">HLOOKUP($F22,Jornada!$I$5:$V$37,VLOOKUP(INDIRECT($C$5),Jornada!$C$8:$W$37,21,0)+2,0)</f>
        <v>0</v>
      </c>
      <c r="AM22" s="155">
        <f ca="1">HLOOKUP($F22,Jornada!$I$4:$V$37,VLOOKUP(INDIRECT($C$5),Jornada!$C$8:$W$37,21,0)+3,0)</f>
        <v>0</v>
      </c>
      <c r="AN22" s="155">
        <f t="shared" ca="1" si="7"/>
        <v>0</v>
      </c>
      <c r="AO22" s="155">
        <f t="shared" si="8"/>
        <v>0</v>
      </c>
      <c r="AP22" s="155">
        <f t="shared" si="9"/>
        <v>0</v>
      </c>
      <c r="BE22" s="14"/>
      <c r="BF22" s="14"/>
      <c r="BG22" s="14"/>
    </row>
    <row r="23" spans="1:59" s="2" customFormat="1" ht="30" customHeight="1" thickTop="1" thickBot="1" x14ac:dyDescent="0.25">
      <c r="A23" s="1"/>
      <c r="B23"/>
      <c r="C23" s="172" t="str">
        <f>IF(Funcionários!C22=0,"",Funcionários!C22)</f>
        <v/>
      </c>
      <c r="D23"/>
      <c r="E23" s="115">
        <f>Lanç!E23</f>
        <v>16</v>
      </c>
      <c r="F23" s="189" t="str">
        <f>Lanç!F23</f>
        <v>Seg</v>
      </c>
      <c r="G23" s="81"/>
      <c r="H23" s="94"/>
      <c r="I23" s="94"/>
      <c r="J23" s="94"/>
      <c r="K23" s="94"/>
      <c r="L23" s="10"/>
      <c r="M23" s="95">
        <f t="shared" si="1"/>
        <v>0</v>
      </c>
      <c r="N23" s="96"/>
      <c r="O23" s="95">
        <f ca="1">IF(OR(G23=0,G23="Férias",G23="Falta Justificada",G23="Feriado",G23="Folga (DSR)"),0,IF(G23="Falta Injustificada",HLOOKUP($F23,Jornada!$X$7:$AD$37,VLOOKUP(INDIRECT($C$5),Jornada!$C$8:$W$37,21,0),0),IF(HLOOKUP($F23,Jornada!$X$7:$AD$37,VLOOKUP(INDIRECT($C$5),Jornada!$C$8:$W$37,21,0),0)-M23&gt;0,HLOOKUP($F23,Jornada!$X$7:$AD$37,VLOOKUP(INDIRECT($C$5),Jornada!$C$8:$W$37,21,0),0)-M23,0)))</f>
        <v>0</v>
      </c>
      <c r="P23" s="190">
        <f ca="1">IF(HLOOKUP($F23,Jornada!$X$7:$AD$37,VLOOKUP(INDIRECT($C$5),Jornada!$C$8:$W$37,21,0),0)-M23&lt;0,ABS(HLOOKUP($F23,Jornada!$X$7:$AD$37,VLOOKUP(INDIRECT($C$5),Jornada!$C$8:$W$37,21,0),0)-M23),0)</f>
        <v>0</v>
      </c>
      <c r="Q23" s="95">
        <f t="shared" si="0"/>
        <v>0</v>
      </c>
      <c r="R23" s="2">
        <f t="shared" si="2"/>
        <v>0</v>
      </c>
      <c r="S23" s="296" t="str">
        <f>IF(SUM(R8:R38)&gt;0,"Segundo o art 59 da CLT, o máximo de horas extras permitidas por dia são 2 horas.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T23" s="297"/>
      <c r="U23" s="298"/>
      <c r="X23" s="177"/>
      <c r="AB23" s="177">
        <f t="shared" si="10"/>
        <v>16</v>
      </c>
      <c r="AC23" s="2">
        <f t="shared" si="3"/>
        <v>2</v>
      </c>
      <c r="AG23" s="220">
        <f t="shared" si="4"/>
        <v>0</v>
      </c>
      <c r="AH23" s="220">
        <f ca="1">IF(HLOOKUP($F23,Jornada!$X$7:$AD$37,VLOOKUP(INDIRECT($C$5),Jornada!$C$8:$W$37,21,0),0)=0,0,VLOOKUP(INDIRECT($C$5),Jornada!$C$8:$H$37,4,0))</f>
        <v>0</v>
      </c>
      <c r="AI23" s="155">
        <f ca="1">IF(AND(I23=0,J23=0,OR(H23&lt;&gt;0,K23&lt;&gt;0),HLOOKUP($F23,Jornada!$X$7:$AD$37,VLOOKUP(INDIRECT($C$5),Jornada!$C$8:$W$37,21,0),0)&gt;$AK$5,M23&gt;$AK$5),VLOOKUP(INDIRECT($C$5),Jornada!$C$8:$H$37,6,0),IF(AG23&gt;VLOOKUP(INDIRECT($C$5),Jornada!$C$8:$H$37,6,0),IF(VLOOKUP(INDIRECT($C$5),Jornada!$C$8:$H$37,6,0)&lt;AG23,0,ABS(VLOOKUP(INDIRECT($C$5),Jornada!$C$8:$H$37,6,0))-AG23),0))</f>
        <v>0</v>
      </c>
      <c r="AJ23" s="155">
        <f t="shared" si="5"/>
        <v>1</v>
      </c>
      <c r="AK23" s="155">
        <f t="shared" si="6"/>
        <v>0</v>
      </c>
      <c r="AL23" s="155">
        <f ca="1">HLOOKUP($F23,Jornada!$I$5:$V$37,VLOOKUP(INDIRECT($C$5),Jornada!$C$8:$W$37,21,0)+2,0)</f>
        <v>0</v>
      </c>
      <c r="AM23" s="155">
        <f ca="1">HLOOKUP($F23,Jornada!$I$4:$V$37,VLOOKUP(INDIRECT($C$5),Jornada!$C$8:$W$37,21,0)+3,0)</f>
        <v>0</v>
      </c>
      <c r="AN23" s="155">
        <f t="shared" ca="1" si="7"/>
        <v>0</v>
      </c>
      <c r="AO23" s="155">
        <f t="shared" si="8"/>
        <v>0</v>
      </c>
      <c r="AP23" s="155">
        <f t="shared" si="9"/>
        <v>0</v>
      </c>
      <c r="BE23" s="14"/>
      <c r="BF23" s="14"/>
      <c r="BG23" s="14"/>
    </row>
    <row r="24" spans="1:59" s="2" customFormat="1" ht="30" customHeight="1" thickTop="1" thickBot="1" x14ac:dyDescent="0.25">
      <c r="A24" s="1"/>
      <c r="B24"/>
      <c r="C24" s="172" t="str">
        <f>IF(Funcionários!C23=0,"",Funcionários!C23)</f>
        <v/>
      </c>
      <c r="D24"/>
      <c r="E24" s="115">
        <f>Lanç!E24</f>
        <v>17</v>
      </c>
      <c r="F24" s="189" t="str">
        <f>Lanç!F24</f>
        <v>Ter</v>
      </c>
      <c r="G24" s="81"/>
      <c r="H24" s="94"/>
      <c r="I24" s="94"/>
      <c r="J24" s="94"/>
      <c r="K24" s="94"/>
      <c r="L24" s="10"/>
      <c r="M24" s="95">
        <f t="shared" si="1"/>
        <v>0</v>
      </c>
      <c r="N24" s="96"/>
      <c r="O24" s="95">
        <f ca="1">IF(OR(G24=0,G24="Férias",G24="Falta Justificada",G24="Feriado",G24="Folga (DSR)"),0,IF(G24="Falta Injustificada",HLOOKUP($F24,Jornada!$X$7:$AD$37,VLOOKUP(INDIRECT($C$5),Jornada!$C$8:$W$37,21,0),0),IF(HLOOKUP($F24,Jornada!$X$7:$AD$37,VLOOKUP(INDIRECT($C$5),Jornada!$C$8:$W$37,21,0),0)-M24&gt;0,HLOOKUP($F24,Jornada!$X$7:$AD$37,VLOOKUP(INDIRECT($C$5),Jornada!$C$8:$W$37,21,0),0)-M24,0)))</f>
        <v>0</v>
      </c>
      <c r="P24" s="190">
        <f ca="1">IF(HLOOKUP($F24,Jornada!$X$7:$AD$37,VLOOKUP(INDIRECT($C$5),Jornada!$C$8:$W$37,21,0),0)-M24&lt;0,ABS(HLOOKUP($F24,Jornada!$X$7:$AD$37,VLOOKUP(INDIRECT($C$5),Jornada!$C$8:$W$37,21,0),0)-M24),0)</f>
        <v>0</v>
      </c>
      <c r="Q24" s="95">
        <f t="shared" si="0"/>
        <v>0</v>
      </c>
      <c r="R24" s="2">
        <f t="shared" si="2"/>
        <v>0</v>
      </c>
      <c r="S24" s="296"/>
      <c r="T24" s="297"/>
      <c r="U24" s="298"/>
      <c r="X24" s="177"/>
      <c r="AB24" s="177">
        <f t="shared" si="10"/>
        <v>17</v>
      </c>
      <c r="AC24" s="2">
        <f t="shared" si="3"/>
        <v>3</v>
      </c>
      <c r="AG24" s="220">
        <f t="shared" si="4"/>
        <v>0</v>
      </c>
      <c r="AH24" s="220">
        <f ca="1">IF(HLOOKUP($F24,Jornada!$X$7:$AD$37,VLOOKUP(INDIRECT($C$5),Jornada!$C$8:$W$37,21,0),0)=0,0,VLOOKUP(INDIRECT($C$5),Jornada!$C$8:$H$37,4,0))</f>
        <v>0</v>
      </c>
      <c r="AI24" s="155">
        <f ca="1">IF(AND(I24=0,J24=0,OR(H24&lt;&gt;0,K24&lt;&gt;0),HLOOKUP($F24,Jornada!$X$7:$AD$37,VLOOKUP(INDIRECT($C$5),Jornada!$C$8:$W$37,21,0),0)&gt;$AK$5,M24&gt;$AK$5),VLOOKUP(INDIRECT($C$5),Jornada!$C$8:$H$37,6,0),IF(AG24&gt;VLOOKUP(INDIRECT($C$5),Jornada!$C$8:$H$37,6,0),IF(VLOOKUP(INDIRECT($C$5),Jornada!$C$8:$H$37,6,0)&lt;AG24,0,ABS(VLOOKUP(INDIRECT($C$5),Jornada!$C$8:$H$37,6,0))-AG24),0))</f>
        <v>0</v>
      </c>
      <c r="AJ24" s="155">
        <f t="shared" si="5"/>
        <v>1</v>
      </c>
      <c r="AK24" s="155">
        <f t="shared" si="6"/>
        <v>0</v>
      </c>
      <c r="AL24" s="155">
        <f ca="1">HLOOKUP($F24,Jornada!$I$5:$V$37,VLOOKUP(INDIRECT($C$5),Jornada!$C$8:$W$37,21,0)+2,0)</f>
        <v>0</v>
      </c>
      <c r="AM24" s="155">
        <f ca="1">HLOOKUP($F24,Jornada!$I$4:$V$37,VLOOKUP(INDIRECT($C$5),Jornada!$C$8:$W$37,21,0)+3,0)</f>
        <v>0</v>
      </c>
      <c r="AN24" s="155">
        <f t="shared" ca="1" si="7"/>
        <v>0</v>
      </c>
      <c r="AO24" s="155">
        <f t="shared" si="8"/>
        <v>0</v>
      </c>
      <c r="AP24" s="155">
        <f t="shared" si="9"/>
        <v>0</v>
      </c>
      <c r="BE24" s="14"/>
      <c r="BF24" s="14"/>
      <c r="BG24" s="14"/>
    </row>
    <row r="25" spans="1:59" s="2" customFormat="1" ht="30" customHeight="1" thickTop="1" thickBot="1" x14ac:dyDescent="0.25">
      <c r="A25" s="1"/>
      <c r="B25"/>
      <c r="C25" s="172" t="str">
        <f>IF(Funcionários!C24=0,"",Funcionários!C24)</f>
        <v/>
      </c>
      <c r="D25"/>
      <c r="E25" s="115">
        <f>Lanç!E25</f>
        <v>18</v>
      </c>
      <c r="F25" s="189" t="str">
        <f>Lanç!F25</f>
        <v>Qua</v>
      </c>
      <c r="G25" s="81"/>
      <c r="H25" s="94"/>
      <c r="I25" s="94"/>
      <c r="J25" s="94"/>
      <c r="K25" s="94"/>
      <c r="L25" s="10"/>
      <c r="M25" s="95">
        <f t="shared" si="1"/>
        <v>0</v>
      </c>
      <c r="N25" s="96"/>
      <c r="O25" s="95">
        <f ca="1">IF(OR(G25=0,G25="Férias",G25="Falta Justificada",G25="Feriado",G25="Folga (DSR)"),0,IF(G25="Falta Injustificada",HLOOKUP($F25,Jornada!$X$7:$AD$37,VLOOKUP(INDIRECT($C$5),Jornada!$C$8:$W$37,21,0),0),IF(HLOOKUP($F25,Jornada!$X$7:$AD$37,VLOOKUP(INDIRECT($C$5),Jornada!$C$8:$W$37,21,0),0)-M25&gt;0,HLOOKUP($F25,Jornada!$X$7:$AD$37,VLOOKUP(INDIRECT($C$5),Jornada!$C$8:$W$37,21,0),0)-M25,0)))</f>
        <v>0</v>
      </c>
      <c r="P25" s="190">
        <f ca="1">IF(HLOOKUP($F25,Jornada!$X$7:$AD$37,VLOOKUP(INDIRECT($C$5),Jornada!$C$8:$W$37,21,0),0)-M25&lt;0,ABS(HLOOKUP($F25,Jornada!$X$7:$AD$37,VLOOKUP(INDIRECT($C$5),Jornada!$C$8:$W$37,21,0),0)-M25),0)</f>
        <v>0</v>
      </c>
      <c r="Q25" s="95">
        <f t="shared" si="0"/>
        <v>0</v>
      </c>
      <c r="R25" s="2">
        <f t="shared" si="2"/>
        <v>0</v>
      </c>
      <c r="S25" s="296"/>
      <c r="T25" s="297"/>
      <c r="U25" s="298"/>
      <c r="X25" s="177"/>
      <c r="Z25" s="2">
        <f>IF(SUM(R8:R38)&gt;0,1,0)</f>
        <v>0</v>
      </c>
      <c r="AB25" s="177">
        <f t="shared" si="10"/>
        <v>18</v>
      </c>
      <c r="AC25" s="2">
        <f t="shared" si="3"/>
        <v>4</v>
      </c>
      <c r="AG25" s="220">
        <f t="shared" si="4"/>
        <v>0</v>
      </c>
      <c r="AH25" s="220">
        <f ca="1">IF(HLOOKUP($F25,Jornada!$X$7:$AD$37,VLOOKUP(INDIRECT($C$5),Jornada!$C$8:$W$37,21,0),0)=0,0,VLOOKUP(INDIRECT($C$5),Jornada!$C$8:$H$37,4,0))</f>
        <v>0</v>
      </c>
      <c r="AI25" s="155">
        <f ca="1">IF(AND(I25=0,J25=0,OR(H25&lt;&gt;0,K25&lt;&gt;0),HLOOKUP($F25,Jornada!$X$7:$AD$37,VLOOKUP(INDIRECT($C$5),Jornada!$C$8:$W$37,21,0),0)&gt;$AK$5,M25&gt;$AK$5),VLOOKUP(INDIRECT($C$5),Jornada!$C$8:$H$37,6,0),IF(AG25&gt;VLOOKUP(INDIRECT($C$5),Jornada!$C$8:$H$37,6,0),IF(VLOOKUP(INDIRECT($C$5),Jornada!$C$8:$H$37,6,0)&lt;AG25,0,ABS(VLOOKUP(INDIRECT($C$5),Jornada!$C$8:$H$37,6,0))-AG25),0))</f>
        <v>0</v>
      </c>
      <c r="AJ25" s="155">
        <f t="shared" si="5"/>
        <v>1</v>
      </c>
      <c r="AK25" s="155">
        <f t="shared" si="6"/>
        <v>0</v>
      </c>
      <c r="AL25" s="155">
        <f ca="1">HLOOKUP($F25,Jornada!$I$5:$V$37,VLOOKUP(INDIRECT($C$5),Jornada!$C$8:$W$37,21,0)+2,0)</f>
        <v>0</v>
      </c>
      <c r="AM25" s="155">
        <f ca="1">HLOOKUP($F25,Jornada!$I$4:$V$37,VLOOKUP(INDIRECT($C$5),Jornada!$C$8:$W$37,21,0)+3,0)</f>
        <v>0</v>
      </c>
      <c r="AN25" s="155">
        <f t="shared" ca="1" si="7"/>
        <v>0</v>
      </c>
      <c r="AO25" s="155">
        <f t="shared" si="8"/>
        <v>0</v>
      </c>
      <c r="AP25" s="155">
        <f t="shared" si="9"/>
        <v>0</v>
      </c>
      <c r="BE25" s="14"/>
      <c r="BF25" s="14"/>
      <c r="BG25" s="14"/>
    </row>
    <row r="26" spans="1:59" s="2" customFormat="1" ht="30" customHeight="1" thickTop="1" thickBot="1" x14ac:dyDescent="0.25">
      <c r="A26" s="1"/>
      <c r="B26"/>
      <c r="C26" s="172" t="str">
        <f>IF(Funcionários!C25=0,"",Funcionários!C25)</f>
        <v/>
      </c>
      <c r="D26"/>
      <c r="E26" s="115">
        <f>Lanç!E26</f>
        <v>19</v>
      </c>
      <c r="F26" s="189" t="str">
        <f>Lanç!F26</f>
        <v>Qui</v>
      </c>
      <c r="G26" s="81"/>
      <c r="H26" s="94"/>
      <c r="I26" s="94"/>
      <c r="J26" s="94"/>
      <c r="K26" s="94"/>
      <c r="L26" s="10"/>
      <c r="M26" s="95">
        <f t="shared" si="1"/>
        <v>0</v>
      </c>
      <c r="N26" s="96"/>
      <c r="O26" s="95">
        <f ca="1">IF(OR(G26=0,G26="Férias",G26="Falta Justificada",G26="Feriado",G26="Folga (DSR)"),0,IF(G26="Falta Injustificada",HLOOKUP($F26,Jornada!$X$7:$AD$37,VLOOKUP(INDIRECT($C$5),Jornada!$C$8:$W$37,21,0),0),IF(HLOOKUP($F26,Jornada!$X$7:$AD$37,VLOOKUP(INDIRECT($C$5),Jornada!$C$8:$W$37,21,0),0)-M26&gt;0,HLOOKUP($F26,Jornada!$X$7:$AD$37,VLOOKUP(INDIRECT($C$5),Jornada!$C$8:$W$37,21,0),0)-M26,0)))</f>
        <v>0</v>
      </c>
      <c r="P26" s="190">
        <f ca="1">IF(HLOOKUP($F26,Jornada!$X$7:$AD$37,VLOOKUP(INDIRECT($C$5),Jornada!$C$8:$W$37,21,0),0)-M26&lt;0,ABS(HLOOKUP($F26,Jornada!$X$7:$AD$37,VLOOKUP(INDIRECT($C$5),Jornada!$C$8:$W$37,21,0),0)-M26),0)</f>
        <v>0</v>
      </c>
      <c r="Q26" s="95">
        <f t="shared" si="0"/>
        <v>0</v>
      </c>
      <c r="R26" s="2">
        <f t="shared" si="2"/>
        <v>0</v>
      </c>
      <c r="S26" s="296" t="str">
        <f>IF(COUNTIF(G8:G38,"Folga (DSR)")&lt;DAY(E39)/8,"O mês não está contemplando um DSR (Descanso Semanal Remunerado) por semana. Isso pode configurar uma irregularidade segundo as leis trabalhistas.","Parabéns!! Sua folha de pagamento contempla uma DSR por semana conforme a lei trabalhista.")</f>
        <v>O mês não está contemplando um DSR (Descanso Semanal Remunerado) por semana. Isso pode configurar uma irregularidade segundo as leis trabalhistas.</v>
      </c>
      <c r="T26" s="297"/>
      <c r="U26" s="298"/>
      <c r="X26" s="177"/>
      <c r="AB26" s="177">
        <f t="shared" si="10"/>
        <v>19</v>
      </c>
      <c r="AC26" s="2">
        <f t="shared" si="3"/>
        <v>5</v>
      </c>
      <c r="AG26" s="220">
        <f t="shared" si="4"/>
        <v>0</v>
      </c>
      <c r="AH26" s="220">
        <f ca="1">IF(HLOOKUP($F26,Jornada!$X$7:$AD$37,VLOOKUP(INDIRECT($C$5),Jornada!$C$8:$W$37,21,0),0)=0,0,VLOOKUP(INDIRECT($C$5),Jornada!$C$8:$H$37,4,0))</f>
        <v>0</v>
      </c>
      <c r="AI26" s="155">
        <f ca="1">IF(AND(I26=0,J26=0,OR(H26&lt;&gt;0,K26&lt;&gt;0),HLOOKUP($F26,Jornada!$X$7:$AD$37,VLOOKUP(INDIRECT($C$5),Jornada!$C$8:$W$37,21,0),0)&gt;$AK$5,M26&gt;$AK$5),VLOOKUP(INDIRECT($C$5),Jornada!$C$8:$H$37,6,0),IF(AG26&gt;VLOOKUP(INDIRECT($C$5),Jornada!$C$8:$H$37,6,0),IF(VLOOKUP(INDIRECT($C$5),Jornada!$C$8:$H$37,6,0)&lt;AG26,0,ABS(VLOOKUP(INDIRECT($C$5),Jornada!$C$8:$H$37,6,0))-AG26),0))</f>
        <v>0</v>
      </c>
      <c r="AJ26" s="155">
        <f t="shared" si="5"/>
        <v>1</v>
      </c>
      <c r="AK26" s="155">
        <f t="shared" si="6"/>
        <v>0</v>
      </c>
      <c r="AL26" s="155">
        <f ca="1">HLOOKUP($F26,Jornada!$I$5:$V$37,VLOOKUP(INDIRECT($C$5),Jornada!$C$8:$W$37,21,0)+2,0)</f>
        <v>0</v>
      </c>
      <c r="AM26" s="155">
        <f ca="1">HLOOKUP($F26,Jornada!$I$4:$V$37,VLOOKUP(INDIRECT($C$5),Jornada!$C$8:$W$37,21,0)+3,0)</f>
        <v>0</v>
      </c>
      <c r="AN26" s="155">
        <f t="shared" ca="1" si="7"/>
        <v>0</v>
      </c>
      <c r="AO26" s="155">
        <f t="shared" si="8"/>
        <v>0</v>
      </c>
      <c r="AP26" s="155">
        <f t="shared" si="9"/>
        <v>0</v>
      </c>
      <c r="BE26" s="14"/>
      <c r="BF26" s="14"/>
      <c r="BG26" s="14"/>
    </row>
    <row r="27" spans="1:59" s="2" customFormat="1" ht="30" customHeight="1" thickTop="1" thickBot="1" x14ac:dyDescent="0.25">
      <c r="A27" s="1"/>
      <c r="B27"/>
      <c r="C27" s="172" t="str">
        <f>IF(Funcionários!C26=0,"",Funcionários!C26)</f>
        <v/>
      </c>
      <c r="D27"/>
      <c r="E27" s="115">
        <f>Lanç!E27</f>
        <v>20</v>
      </c>
      <c r="F27" s="189" t="str">
        <f>Lanç!F27</f>
        <v>Sex</v>
      </c>
      <c r="G27" s="81"/>
      <c r="H27" s="94"/>
      <c r="I27" s="94"/>
      <c r="J27" s="94"/>
      <c r="K27" s="94"/>
      <c r="L27" s="10"/>
      <c r="M27" s="95">
        <f t="shared" si="1"/>
        <v>0</v>
      </c>
      <c r="N27" s="96"/>
      <c r="O27" s="95">
        <f ca="1">IF(OR(G27=0,G27="Férias",G27="Falta Justificada",G27="Feriado",G27="Folga (DSR)"),0,IF(G27="Falta Injustificada",HLOOKUP($F27,Jornada!$X$7:$AD$37,VLOOKUP(INDIRECT($C$5),Jornada!$C$8:$W$37,21,0),0),IF(HLOOKUP($F27,Jornada!$X$7:$AD$37,VLOOKUP(INDIRECT($C$5),Jornada!$C$8:$W$37,21,0),0)-M27&gt;0,HLOOKUP($F27,Jornada!$X$7:$AD$37,VLOOKUP(INDIRECT($C$5),Jornada!$C$8:$W$37,21,0),0)-M27,0)))</f>
        <v>0</v>
      </c>
      <c r="P27" s="190">
        <f ca="1">IF(HLOOKUP($F27,Jornada!$X$7:$AD$37,VLOOKUP(INDIRECT($C$5),Jornada!$C$8:$W$37,21,0),0)-M27&lt;0,ABS(HLOOKUP($F27,Jornada!$X$7:$AD$37,VLOOKUP(INDIRECT($C$5),Jornada!$C$8:$W$37,21,0),0)-M27),0)</f>
        <v>0</v>
      </c>
      <c r="Q27" s="95">
        <f t="shared" si="0"/>
        <v>0</v>
      </c>
      <c r="R27" s="2">
        <f t="shared" si="2"/>
        <v>0</v>
      </c>
      <c r="S27" s="296"/>
      <c r="T27" s="297"/>
      <c r="U27" s="298"/>
      <c r="X27" s="177"/>
      <c r="AB27" s="177">
        <f t="shared" si="10"/>
        <v>20</v>
      </c>
      <c r="AC27" s="2">
        <f t="shared" si="3"/>
        <v>6</v>
      </c>
      <c r="AG27" s="220">
        <f t="shared" si="4"/>
        <v>0</v>
      </c>
      <c r="AH27" s="220">
        <f ca="1">IF(HLOOKUP($F27,Jornada!$X$7:$AD$37,VLOOKUP(INDIRECT($C$5),Jornada!$C$8:$W$37,21,0),0)=0,0,VLOOKUP(INDIRECT($C$5),Jornada!$C$8:$H$37,4,0))</f>
        <v>0</v>
      </c>
      <c r="AI27" s="155">
        <f ca="1">IF(AND(I27=0,J27=0,OR(H27&lt;&gt;0,K27&lt;&gt;0),HLOOKUP($F27,Jornada!$X$7:$AD$37,VLOOKUP(INDIRECT($C$5),Jornada!$C$8:$W$37,21,0),0)&gt;$AK$5,M27&gt;$AK$5),VLOOKUP(INDIRECT($C$5),Jornada!$C$8:$H$37,6,0),IF(AG27&gt;VLOOKUP(INDIRECT($C$5),Jornada!$C$8:$H$37,6,0),IF(VLOOKUP(INDIRECT($C$5),Jornada!$C$8:$H$37,6,0)&lt;AG27,0,ABS(VLOOKUP(INDIRECT($C$5),Jornada!$C$8:$H$37,6,0))-AG27),0))</f>
        <v>0</v>
      </c>
      <c r="AJ27" s="155">
        <f t="shared" si="5"/>
        <v>1</v>
      </c>
      <c r="AK27" s="155">
        <f t="shared" si="6"/>
        <v>0</v>
      </c>
      <c r="AL27" s="155">
        <f ca="1">HLOOKUP($F27,Jornada!$I$5:$V$37,VLOOKUP(INDIRECT($C$5),Jornada!$C$8:$W$37,21,0)+2,0)</f>
        <v>0</v>
      </c>
      <c r="AM27" s="155">
        <f ca="1">HLOOKUP($F27,Jornada!$I$4:$V$37,VLOOKUP(INDIRECT($C$5),Jornada!$C$8:$W$37,21,0)+3,0)</f>
        <v>0</v>
      </c>
      <c r="AN27" s="155">
        <f t="shared" ca="1" si="7"/>
        <v>0</v>
      </c>
      <c r="AO27" s="155">
        <f t="shared" si="8"/>
        <v>0</v>
      </c>
      <c r="AP27" s="155">
        <f t="shared" si="9"/>
        <v>0</v>
      </c>
    </row>
    <row r="28" spans="1:59" s="2" customFormat="1" ht="30" customHeight="1" thickTop="1" thickBot="1" x14ac:dyDescent="0.25">
      <c r="A28" s="1"/>
      <c r="B28"/>
      <c r="C28" s="172" t="str">
        <f>IF(Funcionários!C27=0,"",Funcionários!C27)</f>
        <v/>
      </c>
      <c r="D28"/>
      <c r="E28" s="115">
        <f>Lanç!E28</f>
        <v>21</v>
      </c>
      <c r="F28" s="189" t="str">
        <f>Lanç!F28</f>
        <v>Sáb</v>
      </c>
      <c r="G28" s="81"/>
      <c r="H28" s="94"/>
      <c r="I28" s="94"/>
      <c r="J28" s="94"/>
      <c r="K28" s="94"/>
      <c r="L28" s="10"/>
      <c r="M28" s="95">
        <f t="shared" si="1"/>
        <v>0</v>
      </c>
      <c r="N28" s="96"/>
      <c r="O28" s="95">
        <f ca="1">IF(OR(G28=0,G28="Férias",G28="Falta Justificada",G28="Feriado",G28="Folga (DSR)"),0,IF(G28="Falta Injustificada",HLOOKUP($F28,Jornada!$X$7:$AD$37,VLOOKUP(INDIRECT($C$5),Jornada!$C$8:$W$37,21,0),0),IF(HLOOKUP($F28,Jornada!$X$7:$AD$37,VLOOKUP(INDIRECT($C$5),Jornada!$C$8:$W$37,21,0),0)-M28&gt;0,HLOOKUP($F28,Jornada!$X$7:$AD$37,VLOOKUP(INDIRECT($C$5),Jornada!$C$8:$W$37,21,0),0)-M28,0)))</f>
        <v>0</v>
      </c>
      <c r="P28" s="190">
        <f ca="1">IF(HLOOKUP($F28,Jornada!$X$7:$AD$37,VLOOKUP(INDIRECT($C$5),Jornada!$C$8:$W$37,21,0),0)-M28&lt;0,ABS(HLOOKUP($F28,Jornada!$X$7:$AD$37,VLOOKUP(INDIRECT($C$5),Jornada!$C$8:$W$37,21,0),0)-M28),0)</f>
        <v>0</v>
      </c>
      <c r="Q28" s="95">
        <f t="shared" si="0"/>
        <v>0</v>
      </c>
      <c r="R28" s="2">
        <f t="shared" si="2"/>
        <v>0</v>
      </c>
      <c r="S28" s="296"/>
      <c r="T28" s="297"/>
      <c r="U28" s="298"/>
      <c r="X28" s="177"/>
      <c r="AB28" s="177">
        <f t="shared" si="10"/>
        <v>21</v>
      </c>
      <c r="AC28" s="2">
        <f t="shared" si="3"/>
        <v>7</v>
      </c>
      <c r="AG28" s="220">
        <f t="shared" si="4"/>
        <v>0</v>
      </c>
      <c r="AH28" s="220">
        <f ca="1">IF(HLOOKUP($F28,Jornada!$X$7:$AD$37,VLOOKUP(INDIRECT($C$5),Jornada!$C$8:$W$37,21,0),0)=0,0,VLOOKUP(INDIRECT($C$5),Jornada!$C$8:$H$37,4,0))</f>
        <v>0</v>
      </c>
      <c r="AI28" s="155">
        <f ca="1">IF(AND(I28=0,J28=0,OR(H28&lt;&gt;0,K28&lt;&gt;0),HLOOKUP($F28,Jornada!$X$7:$AD$37,VLOOKUP(INDIRECT($C$5),Jornada!$C$8:$W$37,21,0),0)&gt;$AK$5,M28&gt;$AK$5),VLOOKUP(INDIRECT($C$5),Jornada!$C$8:$H$37,6,0),IF(AG28&gt;VLOOKUP(INDIRECT($C$5),Jornada!$C$8:$H$37,6,0),IF(VLOOKUP(INDIRECT($C$5),Jornada!$C$8:$H$37,6,0)&lt;AG28,0,ABS(VLOOKUP(INDIRECT($C$5),Jornada!$C$8:$H$37,6,0))-AG28),0))</f>
        <v>0</v>
      </c>
      <c r="AJ28" s="155">
        <f t="shared" si="5"/>
        <v>1</v>
      </c>
      <c r="AK28" s="155">
        <f t="shared" si="6"/>
        <v>0</v>
      </c>
      <c r="AL28" s="155">
        <f ca="1">HLOOKUP($F28,Jornada!$I$5:$V$37,VLOOKUP(INDIRECT($C$5),Jornada!$C$8:$W$37,21,0)+2,0)</f>
        <v>0</v>
      </c>
      <c r="AM28" s="155">
        <f ca="1">HLOOKUP($F28,Jornada!$I$4:$V$37,VLOOKUP(INDIRECT($C$5),Jornada!$C$8:$W$37,21,0)+3,0)</f>
        <v>0</v>
      </c>
      <c r="AN28" s="155">
        <f t="shared" ca="1" si="7"/>
        <v>0</v>
      </c>
      <c r="AO28" s="155">
        <f t="shared" si="8"/>
        <v>0</v>
      </c>
      <c r="AP28" s="155">
        <f t="shared" si="9"/>
        <v>0</v>
      </c>
    </row>
    <row r="29" spans="1:59" s="2" customFormat="1" ht="30" customHeight="1" thickTop="1" thickBot="1" x14ac:dyDescent="0.25">
      <c r="A29" s="1"/>
      <c r="B29"/>
      <c r="C29" s="172" t="str">
        <f>IF(Funcionários!C28=0,"",Funcionários!C28)</f>
        <v/>
      </c>
      <c r="D29"/>
      <c r="E29" s="115">
        <f>Lanç!E29</f>
        <v>22</v>
      </c>
      <c r="F29" s="189" t="str">
        <f>Lanç!F29</f>
        <v>Dom</v>
      </c>
      <c r="G29" s="81"/>
      <c r="H29" s="94"/>
      <c r="I29" s="94"/>
      <c r="J29" s="94"/>
      <c r="K29" s="94"/>
      <c r="L29" s="10"/>
      <c r="M29" s="95">
        <f t="shared" si="1"/>
        <v>0</v>
      </c>
      <c r="N29" s="96"/>
      <c r="O29" s="95">
        <f ca="1">IF(OR(G29=0,G29="Férias",G29="Falta Justificada",G29="Feriado",G29="Folga (DSR)"),0,IF(G29="Falta Injustificada",HLOOKUP($F29,Jornada!$X$7:$AD$37,VLOOKUP(INDIRECT($C$5),Jornada!$C$8:$W$37,21,0),0),IF(HLOOKUP($F29,Jornada!$X$7:$AD$37,VLOOKUP(INDIRECT($C$5),Jornada!$C$8:$W$37,21,0),0)-M29&gt;0,HLOOKUP($F29,Jornada!$X$7:$AD$37,VLOOKUP(INDIRECT($C$5),Jornada!$C$8:$W$37,21,0),0)-M29,0)))</f>
        <v>0</v>
      </c>
      <c r="P29" s="190">
        <f ca="1">IF(HLOOKUP($F29,Jornada!$X$7:$AD$37,VLOOKUP(INDIRECT($C$5),Jornada!$C$8:$W$37,21,0),0)-M29&lt;0,ABS(HLOOKUP($F29,Jornada!$X$7:$AD$37,VLOOKUP(INDIRECT($C$5),Jornada!$C$8:$W$37,21,0),0)-M29),0)</f>
        <v>0</v>
      </c>
      <c r="Q29" s="95">
        <f t="shared" si="0"/>
        <v>0</v>
      </c>
      <c r="R29" s="2">
        <f t="shared" si="2"/>
        <v>0</v>
      </c>
      <c r="S29" s="13"/>
      <c r="T29" s="74"/>
      <c r="U29" s="74"/>
      <c r="X29" s="177"/>
      <c r="AB29" s="177">
        <f t="shared" si="10"/>
        <v>22</v>
      </c>
      <c r="AC29" s="2">
        <f t="shared" si="3"/>
        <v>1</v>
      </c>
      <c r="AG29" s="220">
        <f t="shared" si="4"/>
        <v>0</v>
      </c>
      <c r="AH29" s="220">
        <f ca="1">IF(HLOOKUP($F29,Jornada!$X$7:$AD$37,VLOOKUP(INDIRECT($C$5),Jornada!$C$8:$W$37,21,0),0)=0,0,VLOOKUP(INDIRECT($C$5),Jornada!$C$8:$H$37,4,0))</f>
        <v>0</v>
      </c>
      <c r="AI29" s="155">
        <f ca="1">IF(AND(I29=0,J29=0,OR(H29&lt;&gt;0,K29&lt;&gt;0),HLOOKUP($F29,Jornada!$X$7:$AD$37,VLOOKUP(INDIRECT($C$5),Jornada!$C$8:$W$37,21,0),0)&gt;$AK$5,M29&gt;$AK$5),VLOOKUP(INDIRECT($C$5),Jornada!$C$8:$H$37,6,0),IF(AG29&gt;VLOOKUP(INDIRECT($C$5),Jornada!$C$8:$H$37,6,0),IF(VLOOKUP(INDIRECT($C$5),Jornada!$C$8:$H$37,6,0)&lt;AG29,0,ABS(VLOOKUP(INDIRECT($C$5),Jornada!$C$8:$H$37,6,0))-AG29),0))</f>
        <v>0</v>
      </c>
      <c r="AJ29" s="155">
        <f t="shared" si="5"/>
        <v>1</v>
      </c>
      <c r="AK29" s="155">
        <f t="shared" si="6"/>
        <v>0</v>
      </c>
      <c r="AL29" s="155">
        <f ca="1">HLOOKUP($F29,Jornada!$I$5:$V$37,VLOOKUP(INDIRECT($C$5),Jornada!$C$8:$W$37,21,0)+2,0)</f>
        <v>0</v>
      </c>
      <c r="AM29" s="155">
        <f ca="1">HLOOKUP($F29,Jornada!$I$4:$V$37,VLOOKUP(INDIRECT($C$5),Jornada!$C$8:$W$37,21,0)+3,0)</f>
        <v>0</v>
      </c>
      <c r="AN29" s="155">
        <f t="shared" ca="1" si="7"/>
        <v>0</v>
      </c>
      <c r="AO29" s="155">
        <f t="shared" si="8"/>
        <v>0</v>
      </c>
      <c r="AP29" s="155">
        <f t="shared" si="9"/>
        <v>0</v>
      </c>
    </row>
    <row r="30" spans="1:59" s="2" customFormat="1" ht="30" customHeight="1" thickTop="1" thickBot="1" x14ac:dyDescent="0.25">
      <c r="A30" s="1"/>
      <c r="B30"/>
      <c r="C30" s="172" t="str">
        <f>IF(Funcionários!C29=0,"",Funcionários!C29)</f>
        <v/>
      </c>
      <c r="D30"/>
      <c r="E30" s="173">
        <f>Lanç!E30</f>
        <v>23</v>
      </c>
      <c r="F30" s="189" t="str">
        <f>Lanç!F30</f>
        <v>Seg</v>
      </c>
      <c r="G30" s="81"/>
      <c r="H30" s="94"/>
      <c r="I30" s="94"/>
      <c r="J30" s="94"/>
      <c r="K30" s="94"/>
      <c r="L30" s="10"/>
      <c r="M30" s="95">
        <f t="shared" si="1"/>
        <v>0</v>
      </c>
      <c r="N30" s="96"/>
      <c r="O30" s="95">
        <f ca="1">IF(OR(G30=0,G30="Férias",G30="Falta Justificada",G30="Feriado",G30="Folga (DSR)"),0,IF(G30="Falta Injustificada",HLOOKUP($F30,Jornada!$X$7:$AD$37,VLOOKUP(INDIRECT($C$5),Jornada!$C$8:$W$37,21,0),0),IF(HLOOKUP($F30,Jornada!$X$7:$AD$37,VLOOKUP(INDIRECT($C$5),Jornada!$C$8:$W$37,21,0),0)-M30&gt;0,HLOOKUP($F30,Jornada!$X$7:$AD$37,VLOOKUP(INDIRECT($C$5),Jornada!$C$8:$W$37,21,0),0)-M30,0)))</f>
        <v>0</v>
      </c>
      <c r="P30" s="190">
        <f ca="1">IF(HLOOKUP($F30,Jornada!$X$7:$AD$37,VLOOKUP(INDIRECT($C$5),Jornada!$C$8:$W$37,21,0),0)-M30&lt;0,ABS(HLOOKUP($F30,Jornada!$X$7:$AD$37,VLOOKUP(INDIRECT($C$5),Jornada!$C$8:$W$37,21,0),0)-M30),0)</f>
        <v>0</v>
      </c>
      <c r="Q30" s="95">
        <f t="shared" si="0"/>
        <v>0</v>
      </c>
      <c r="R30" s="2">
        <f>IF(Q30&gt;$R$7,1,0)</f>
        <v>0</v>
      </c>
      <c r="S30" s="13"/>
      <c r="T30" s="74"/>
      <c r="U30" s="74"/>
      <c r="X30" s="177"/>
      <c r="AB30" s="177">
        <f t="shared" si="10"/>
        <v>23</v>
      </c>
      <c r="AC30" s="2">
        <f>WEEKDAY(AB30)</f>
        <v>2</v>
      </c>
      <c r="AG30" s="220">
        <f t="shared" si="4"/>
        <v>0</v>
      </c>
      <c r="AH30" s="220">
        <f ca="1">IF(HLOOKUP($F30,Jornada!$X$7:$AD$37,VLOOKUP(INDIRECT($C$5),Jornada!$C$8:$W$37,21,0),0)=0,0,VLOOKUP(INDIRECT($C$5),Jornada!$C$8:$H$37,4,0))</f>
        <v>0</v>
      </c>
      <c r="AI30" s="155">
        <f ca="1">IF(AND(I30=0,J30=0,OR(H30&lt;&gt;0,K30&lt;&gt;0),HLOOKUP($F30,Jornada!$X$7:$AD$37,VLOOKUP(INDIRECT($C$5),Jornada!$C$8:$W$37,21,0),0)&gt;$AK$5,M30&gt;$AK$5),VLOOKUP(INDIRECT($C$5),Jornada!$C$8:$H$37,6,0),IF(AG30&gt;VLOOKUP(INDIRECT($C$5),Jornada!$C$8:$H$37,6,0),IF(VLOOKUP(INDIRECT($C$5),Jornada!$C$8:$H$37,6,0)&lt;AG30,0,ABS(VLOOKUP(INDIRECT($C$5),Jornada!$C$8:$H$37,6,0))-AG30),0))</f>
        <v>0</v>
      </c>
      <c r="AJ30" s="155">
        <f>($AJ$7-K30)+H30</f>
        <v>1</v>
      </c>
      <c r="AK30" s="155">
        <f>IF(AJ30&lt;$AK$7,$AK$7-AJ30,$AI$7)</f>
        <v>0</v>
      </c>
      <c r="AL30" s="155">
        <f ca="1">HLOOKUP($F30,Jornada!$I$5:$V$37,VLOOKUP(INDIRECT($C$5),Jornada!$C$8:$W$37,21,0)+2,0)</f>
        <v>0</v>
      </c>
      <c r="AM30" s="155">
        <f ca="1">HLOOKUP($F30,Jornada!$I$4:$V$37,VLOOKUP(INDIRECT($C$5),Jornada!$C$8:$W$37,21,0)+3,0)</f>
        <v>0</v>
      </c>
      <c r="AN30" s="155">
        <f t="shared" ca="1" si="7"/>
        <v>0</v>
      </c>
      <c r="AO30" s="155">
        <f t="shared" si="8"/>
        <v>0</v>
      </c>
      <c r="AP30" s="155">
        <f t="shared" si="9"/>
        <v>0</v>
      </c>
    </row>
    <row r="31" spans="1:59" s="2" customFormat="1" ht="30" customHeight="1" thickTop="1" thickBot="1" x14ac:dyDescent="0.25">
      <c r="A31" s="1"/>
      <c r="B31"/>
      <c r="C31" s="172" t="str">
        <f>IF(Funcionários!C30=0,"",Funcionários!C30)</f>
        <v/>
      </c>
      <c r="D31"/>
      <c r="E31" s="173">
        <f>Lanç!E31</f>
        <v>24</v>
      </c>
      <c r="F31" s="189" t="str">
        <f>Lanç!F31</f>
        <v>Ter</v>
      </c>
      <c r="G31" s="81"/>
      <c r="H31" s="94"/>
      <c r="I31" s="94"/>
      <c r="J31" s="94"/>
      <c r="K31" s="94"/>
      <c r="L31" s="10"/>
      <c r="M31" s="95">
        <f t="shared" si="1"/>
        <v>0</v>
      </c>
      <c r="N31" s="96"/>
      <c r="O31" s="95">
        <f ca="1">IF(OR(G31=0,G31="Férias",G31="Falta Justificada",G31="Feriado",G31="Folga (DSR)"),0,IF(G31="Falta Injustificada",HLOOKUP($F31,Jornada!$X$7:$AD$37,VLOOKUP(INDIRECT($C$5),Jornada!$C$8:$W$37,21,0),0),IF(HLOOKUP($F31,Jornada!$X$7:$AD$37,VLOOKUP(INDIRECT($C$5),Jornada!$C$8:$W$37,21,0),0)-M31&gt;0,HLOOKUP($F31,Jornada!$X$7:$AD$37,VLOOKUP(INDIRECT($C$5),Jornada!$C$8:$W$37,21,0),0)-M31,0)))</f>
        <v>0</v>
      </c>
      <c r="P31" s="190">
        <f ca="1">IF(HLOOKUP($F31,Jornada!$X$7:$AD$37,VLOOKUP(INDIRECT($C$5),Jornada!$C$8:$W$37,21,0),0)-M31&lt;0,ABS(HLOOKUP($F31,Jornada!$X$7:$AD$37,VLOOKUP(INDIRECT($C$5),Jornada!$C$8:$W$37,21,0),0)-M31),0)</f>
        <v>0</v>
      </c>
      <c r="Q31" s="95">
        <f t="shared" si="0"/>
        <v>0</v>
      </c>
      <c r="R31" s="2">
        <f>IF(Q31&gt;$R$7,1,0)</f>
        <v>0</v>
      </c>
      <c r="S31" s="13"/>
      <c r="T31" s="74"/>
      <c r="U31" s="74"/>
      <c r="X31" s="177"/>
      <c r="AB31" s="177">
        <f t="shared" si="10"/>
        <v>24</v>
      </c>
      <c r="AC31" s="2">
        <f>WEEKDAY(AB31)</f>
        <v>3</v>
      </c>
      <c r="AG31" s="220">
        <f t="shared" si="4"/>
        <v>0</v>
      </c>
      <c r="AH31" s="220">
        <f ca="1">IF(HLOOKUP($F31,Jornada!$X$7:$AD$37,VLOOKUP(INDIRECT($C$5),Jornada!$C$8:$W$37,21,0),0)=0,0,VLOOKUP(INDIRECT($C$5),Jornada!$C$8:$H$37,4,0))</f>
        <v>0</v>
      </c>
      <c r="AI31" s="155">
        <f ca="1">IF(AND(I31=0,J31=0,OR(H31&lt;&gt;0,K31&lt;&gt;0),HLOOKUP($F31,Jornada!$X$7:$AD$37,VLOOKUP(INDIRECT($C$5),Jornada!$C$8:$W$37,21,0),0)&gt;$AK$5,M31&gt;$AK$5),VLOOKUP(INDIRECT($C$5),Jornada!$C$8:$H$37,6,0),IF(AG31&gt;VLOOKUP(INDIRECT($C$5),Jornada!$C$8:$H$37,6,0),IF(VLOOKUP(INDIRECT($C$5),Jornada!$C$8:$H$37,6,0)&lt;AG31,0,ABS(VLOOKUP(INDIRECT($C$5),Jornada!$C$8:$H$37,6,0))-AG31),0))</f>
        <v>0</v>
      </c>
      <c r="AJ31" s="155">
        <f>($AJ$7-K31)+H31</f>
        <v>1</v>
      </c>
      <c r="AK31" s="155">
        <f>IF(AJ31&lt;$AK$7,$AK$7-AJ31,$AI$7)</f>
        <v>0</v>
      </c>
      <c r="AL31" s="155">
        <f ca="1">HLOOKUP($F31,Jornada!$I$5:$V$37,VLOOKUP(INDIRECT($C$5),Jornada!$C$8:$W$37,21,0)+2,0)</f>
        <v>0</v>
      </c>
      <c r="AM31" s="155">
        <f ca="1">HLOOKUP($F31,Jornada!$I$4:$V$37,VLOOKUP(INDIRECT($C$5),Jornada!$C$8:$W$37,21,0)+3,0)</f>
        <v>0</v>
      </c>
      <c r="AN31" s="155">
        <f t="shared" ca="1" si="7"/>
        <v>0</v>
      </c>
      <c r="AO31" s="155">
        <f t="shared" si="8"/>
        <v>0</v>
      </c>
      <c r="AP31" s="155">
        <f t="shared" si="9"/>
        <v>0</v>
      </c>
    </row>
    <row r="32" spans="1:59" s="2" customFormat="1" ht="30" customHeight="1" thickTop="1" thickBot="1" x14ac:dyDescent="0.25">
      <c r="A32" s="1"/>
      <c r="B32"/>
      <c r="C32" s="172" t="str">
        <f>IF(Funcionários!C31=0,"",Funcionários!C31)</f>
        <v/>
      </c>
      <c r="D32"/>
      <c r="E32" s="115">
        <f>Lanç!E32</f>
        <v>25</v>
      </c>
      <c r="F32" s="189" t="str">
        <f>Lanç!F32</f>
        <v>Qua</v>
      </c>
      <c r="G32" s="81"/>
      <c r="H32" s="94"/>
      <c r="I32" s="94"/>
      <c r="J32" s="94"/>
      <c r="K32" s="94"/>
      <c r="L32" s="10"/>
      <c r="M32" s="95">
        <f t="shared" si="1"/>
        <v>0</v>
      </c>
      <c r="N32" s="96"/>
      <c r="O32" s="95">
        <f ca="1">IF(OR(G32=0,G32="Férias",G32="Falta Justificada",G32="Feriado",G32="Folga (DSR)"),0,IF(G32="Falta Injustificada",HLOOKUP($F32,Jornada!$X$7:$AD$37,VLOOKUP(INDIRECT($C$5),Jornada!$C$8:$W$37,21,0),0),IF(HLOOKUP($F32,Jornada!$X$7:$AD$37,VLOOKUP(INDIRECT($C$5),Jornada!$C$8:$W$37,21,0),0)-M32&gt;0,HLOOKUP($F32,Jornada!$X$7:$AD$37,VLOOKUP(INDIRECT($C$5),Jornada!$C$8:$W$37,21,0),0)-M32,0)))</f>
        <v>0</v>
      </c>
      <c r="P32" s="190">
        <f ca="1">IF(HLOOKUP($F32,Jornada!$X$7:$AD$37,VLOOKUP(INDIRECT($C$5),Jornada!$C$8:$W$37,21,0),0)-M32&lt;0,ABS(HLOOKUP($F32,Jornada!$X$7:$AD$37,VLOOKUP(INDIRECT($C$5),Jornada!$C$8:$W$37,21,0),0)-M32),0)</f>
        <v>0</v>
      </c>
      <c r="Q32" s="95">
        <f t="shared" si="0"/>
        <v>0</v>
      </c>
      <c r="R32" s="2">
        <f t="shared" si="2"/>
        <v>0</v>
      </c>
      <c r="S32" s="74"/>
      <c r="T32" s="74"/>
      <c r="U32" s="74"/>
      <c r="X32" s="177"/>
      <c r="AB32" s="177">
        <f t="shared" si="10"/>
        <v>25</v>
      </c>
      <c r="AC32" s="2">
        <f t="shared" si="3"/>
        <v>4</v>
      </c>
      <c r="AG32" s="220">
        <f t="shared" si="4"/>
        <v>0</v>
      </c>
      <c r="AH32" s="220">
        <f ca="1">IF(HLOOKUP($F32,Jornada!$X$7:$AD$37,VLOOKUP(INDIRECT($C$5),Jornada!$C$8:$W$37,21,0),0)=0,0,VLOOKUP(INDIRECT($C$5),Jornada!$C$8:$H$37,4,0))</f>
        <v>0</v>
      </c>
      <c r="AI32" s="155">
        <f ca="1">IF(AND(I32=0,J32=0,OR(H32&lt;&gt;0,K32&lt;&gt;0),HLOOKUP($F32,Jornada!$X$7:$AD$37,VLOOKUP(INDIRECT($C$5),Jornada!$C$8:$W$37,21,0),0)&gt;$AK$5,M32&gt;$AK$5),VLOOKUP(INDIRECT($C$5),Jornada!$C$8:$H$37,6,0),IF(AG32&gt;VLOOKUP(INDIRECT($C$5),Jornada!$C$8:$H$37,6,0),IF(VLOOKUP(INDIRECT($C$5),Jornada!$C$8:$H$37,6,0)&lt;AG32,0,ABS(VLOOKUP(INDIRECT($C$5),Jornada!$C$8:$H$37,6,0))-AG32),0))</f>
        <v>0</v>
      </c>
      <c r="AJ32" s="155">
        <f t="shared" si="5"/>
        <v>1</v>
      </c>
      <c r="AK32" s="155">
        <f t="shared" si="6"/>
        <v>0</v>
      </c>
      <c r="AL32" s="155">
        <f ca="1">HLOOKUP($F32,Jornada!$I$5:$V$37,VLOOKUP(INDIRECT($C$5),Jornada!$C$8:$W$37,21,0)+2,0)</f>
        <v>0</v>
      </c>
      <c r="AM32" s="155">
        <f ca="1">HLOOKUP($F32,Jornada!$I$4:$V$37,VLOOKUP(INDIRECT($C$5),Jornada!$C$8:$W$37,21,0)+3,0)</f>
        <v>0</v>
      </c>
      <c r="AN32" s="155">
        <f t="shared" ca="1" si="7"/>
        <v>0</v>
      </c>
      <c r="AO32" s="155">
        <f t="shared" si="8"/>
        <v>0</v>
      </c>
      <c r="AP32" s="155">
        <f t="shared" si="9"/>
        <v>0</v>
      </c>
    </row>
    <row r="33" spans="1:42" s="2" customFormat="1" ht="30" customHeight="1" thickTop="1" thickBot="1" x14ac:dyDescent="0.25">
      <c r="A33" s="1"/>
      <c r="B33"/>
      <c r="C33" s="172" t="str">
        <f>IF(Funcionários!C32=0,"",Funcionários!C32)</f>
        <v/>
      </c>
      <c r="D33"/>
      <c r="E33" s="115">
        <f>Lanç!E33</f>
        <v>26</v>
      </c>
      <c r="F33" s="189" t="str">
        <f>Lanç!F33</f>
        <v>Qui</v>
      </c>
      <c r="G33" s="81"/>
      <c r="H33" s="94"/>
      <c r="I33" s="94"/>
      <c r="J33" s="94"/>
      <c r="K33" s="94"/>
      <c r="L33" s="10"/>
      <c r="M33" s="95">
        <f t="shared" si="1"/>
        <v>0</v>
      </c>
      <c r="N33" s="96"/>
      <c r="O33" s="95">
        <f ca="1">IF(OR(G33=0,G33="Férias",G33="Falta Justificada",G33="Feriado",G33="Folga (DSR)"),0,IF(G33="Falta Injustificada",HLOOKUP($F33,Jornada!$X$7:$AD$37,VLOOKUP(INDIRECT($C$5),Jornada!$C$8:$W$37,21,0),0),IF(HLOOKUP($F33,Jornada!$X$7:$AD$37,VLOOKUP(INDIRECT($C$5),Jornada!$C$8:$W$37,21,0),0)-M33&gt;0,HLOOKUP($F33,Jornada!$X$7:$AD$37,VLOOKUP(INDIRECT($C$5),Jornada!$C$8:$W$37,21,0),0)-M33,0)))</f>
        <v>0</v>
      </c>
      <c r="P33" s="190">
        <f ca="1">IF(HLOOKUP($F33,Jornada!$X$7:$AD$37,VLOOKUP(INDIRECT($C$5),Jornada!$C$8:$W$37,21,0),0)-M33&lt;0,ABS(HLOOKUP($F33,Jornada!$X$7:$AD$37,VLOOKUP(INDIRECT($C$5),Jornada!$C$8:$W$37,21,0),0)-M33),0)</f>
        <v>0</v>
      </c>
      <c r="Q33" s="95">
        <f t="shared" si="0"/>
        <v>0</v>
      </c>
      <c r="R33" s="2">
        <f t="shared" si="2"/>
        <v>0</v>
      </c>
      <c r="S33" s="74"/>
      <c r="T33" s="74"/>
      <c r="U33" s="74"/>
      <c r="X33" s="177"/>
      <c r="AB33" s="177">
        <f t="shared" si="10"/>
        <v>26</v>
      </c>
      <c r="AC33" s="2">
        <f t="shared" si="3"/>
        <v>5</v>
      </c>
      <c r="AG33" s="220">
        <f t="shared" si="4"/>
        <v>0</v>
      </c>
      <c r="AH33" s="220">
        <f ca="1">IF(HLOOKUP($F33,Jornada!$X$7:$AD$37,VLOOKUP(INDIRECT($C$5),Jornada!$C$8:$W$37,21,0),0)=0,0,VLOOKUP(INDIRECT($C$5),Jornada!$C$8:$H$37,4,0))</f>
        <v>0</v>
      </c>
      <c r="AI33" s="155">
        <f ca="1">IF(AND(I33=0,J33=0,OR(H33&lt;&gt;0,K33&lt;&gt;0),HLOOKUP($F33,Jornada!$X$7:$AD$37,VLOOKUP(INDIRECT($C$5),Jornada!$C$8:$W$37,21,0),0)&gt;$AK$5,M33&gt;$AK$5),VLOOKUP(INDIRECT($C$5),Jornada!$C$8:$H$37,6,0),IF(AG33&gt;VLOOKUP(INDIRECT($C$5),Jornada!$C$8:$H$37,6,0),IF(VLOOKUP(INDIRECT($C$5),Jornada!$C$8:$H$37,6,0)&lt;AG33,0,ABS(VLOOKUP(INDIRECT($C$5),Jornada!$C$8:$H$37,6,0))-AG33),0))</f>
        <v>0</v>
      </c>
      <c r="AJ33" s="155">
        <f t="shared" si="5"/>
        <v>1</v>
      </c>
      <c r="AK33" s="155">
        <f t="shared" si="6"/>
        <v>0</v>
      </c>
      <c r="AL33" s="155">
        <f ca="1">HLOOKUP($F33,Jornada!$I$5:$V$37,VLOOKUP(INDIRECT($C$5),Jornada!$C$8:$W$37,21,0)+2,0)</f>
        <v>0</v>
      </c>
      <c r="AM33" s="155">
        <f ca="1">HLOOKUP($F33,Jornada!$I$4:$V$37,VLOOKUP(INDIRECT($C$5),Jornada!$C$8:$W$37,21,0)+3,0)</f>
        <v>0</v>
      </c>
      <c r="AN33" s="155">
        <f t="shared" ca="1" si="7"/>
        <v>0</v>
      </c>
      <c r="AO33" s="155">
        <f t="shared" si="8"/>
        <v>0</v>
      </c>
      <c r="AP33" s="155">
        <f t="shared" si="9"/>
        <v>0</v>
      </c>
    </row>
    <row r="34" spans="1:42" s="2" customFormat="1" ht="30" customHeight="1" thickTop="1" thickBot="1" x14ac:dyDescent="0.25">
      <c r="A34" s="1"/>
      <c r="B34"/>
      <c r="C34" s="172" t="str">
        <f>IF(Funcionários!C33=0,"",Funcionários!C33)</f>
        <v/>
      </c>
      <c r="D34"/>
      <c r="E34" s="115">
        <f>Lanç!E34</f>
        <v>27</v>
      </c>
      <c r="F34" s="189" t="str">
        <f>Lanç!F34</f>
        <v>Sex</v>
      </c>
      <c r="G34" s="81"/>
      <c r="H34" s="94"/>
      <c r="I34" s="94"/>
      <c r="J34" s="94"/>
      <c r="K34" s="94"/>
      <c r="L34" s="10"/>
      <c r="M34" s="95">
        <f t="shared" si="1"/>
        <v>0</v>
      </c>
      <c r="N34" s="96"/>
      <c r="O34" s="95">
        <f ca="1">IF(OR(G34=0,G34="Férias",G34="Falta Justificada",G34="Feriado",G34="Folga (DSR)"),0,IF(G34="Falta Injustificada",HLOOKUP($F34,Jornada!$X$7:$AD$37,VLOOKUP(INDIRECT($C$5),Jornada!$C$8:$W$37,21,0),0),IF(HLOOKUP($F34,Jornada!$X$7:$AD$37,VLOOKUP(INDIRECT($C$5),Jornada!$C$8:$W$37,21,0),0)-M34&gt;0,HLOOKUP($F34,Jornada!$X$7:$AD$37,VLOOKUP(INDIRECT($C$5),Jornada!$C$8:$W$37,21,0),0)-M34,0)))</f>
        <v>0</v>
      </c>
      <c r="P34" s="190">
        <f ca="1">IF(HLOOKUP($F34,Jornada!$X$7:$AD$37,VLOOKUP(INDIRECT($C$5),Jornada!$C$8:$W$37,21,0),0)-M34&lt;0,ABS(HLOOKUP($F34,Jornada!$X$7:$AD$37,VLOOKUP(INDIRECT($C$5),Jornada!$C$8:$W$37,21,0),0)-M34),0)</f>
        <v>0</v>
      </c>
      <c r="Q34" s="95">
        <f t="shared" si="0"/>
        <v>0</v>
      </c>
      <c r="R34" s="2">
        <f t="shared" si="2"/>
        <v>0</v>
      </c>
      <c r="S34" s="74"/>
      <c r="T34" s="74"/>
      <c r="U34" s="74"/>
      <c r="X34" s="177"/>
      <c r="AB34" s="177">
        <f t="shared" si="10"/>
        <v>27</v>
      </c>
      <c r="AC34" s="2">
        <f t="shared" si="3"/>
        <v>6</v>
      </c>
      <c r="AG34" s="220">
        <f t="shared" si="4"/>
        <v>0</v>
      </c>
      <c r="AH34" s="220">
        <f ca="1">IF(HLOOKUP($F34,Jornada!$X$7:$AD$37,VLOOKUP(INDIRECT($C$5),Jornada!$C$8:$W$37,21,0),0)=0,0,VLOOKUP(INDIRECT($C$5),Jornada!$C$8:$H$37,4,0))</f>
        <v>0</v>
      </c>
      <c r="AI34" s="155">
        <f ca="1">IF(AND(I34=0,J34=0,OR(H34&lt;&gt;0,K34&lt;&gt;0),HLOOKUP($F34,Jornada!$X$7:$AD$37,VLOOKUP(INDIRECT($C$5),Jornada!$C$8:$W$37,21,0),0)&gt;$AK$5,M34&gt;$AK$5),VLOOKUP(INDIRECT($C$5),Jornada!$C$8:$H$37,6,0),IF(AG34&gt;VLOOKUP(INDIRECT($C$5),Jornada!$C$8:$H$37,6,0),IF(VLOOKUP(INDIRECT($C$5),Jornada!$C$8:$H$37,6,0)&lt;AG34,0,ABS(VLOOKUP(INDIRECT($C$5),Jornada!$C$8:$H$37,6,0))-AG34),0))</f>
        <v>0</v>
      </c>
      <c r="AJ34" s="155">
        <f t="shared" si="5"/>
        <v>1</v>
      </c>
      <c r="AK34" s="155">
        <f t="shared" si="6"/>
        <v>0</v>
      </c>
      <c r="AL34" s="155">
        <f ca="1">HLOOKUP($F34,Jornada!$I$5:$V$37,VLOOKUP(INDIRECT($C$5),Jornada!$C$8:$W$37,21,0)+2,0)</f>
        <v>0</v>
      </c>
      <c r="AM34" s="155">
        <f ca="1">HLOOKUP($F34,Jornada!$I$4:$V$37,VLOOKUP(INDIRECT($C$5),Jornada!$C$8:$W$37,21,0)+3,0)</f>
        <v>0</v>
      </c>
      <c r="AN34" s="155">
        <f t="shared" ca="1" si="7"/>
        <v>0</v>
      </c>
      <c r="AO34" s="155">
        <f t="shared" si="8"/>
        <v>0</v>
      </c>
      <c r="AP34" s="155">
        <f t="shared" si="9"/>
        <v>0</v>
      </c>
    </row>
    <row r="35" spans="1:42" s="2" customFormat="1" ht="30" customHeight="1" thickTop="1" thickBot="1" x14ac:dyDescent="0.25">
      <c r="A35" s="1"/>
      <c r="B35"/>
      <c r="C35" s="171" t="str">
        <f>IF(Funcionários!C34=0,"",Funcionários!C34)</f>
        <v/>
      </c>
      <c r="D35"/>
      <c r="E35" s="115">
        <f>Lanç!E35</f>
        <v>28</v>
      </c>
      <c r="F35" s="189" t="str">
        <f>Lanç!F35</f>
        <v>Sáb</v>
      </c>
      <c r="G35" s="81"/>
      <c r="H35" s="94"/>
      <c r="I35" s="94"/>
      <c r="J35" s="94"/>
      <c r="K35" s="94"/>
      <c r="L35" s="10"/>
      <c r="M35" s="95">
        <f t="shared" si="1"/>
        <v>0</v>
      </c>
      <c r="N35" s="96"/>
      <c r="O35" s="95">
        <f ca="1">IF(OR(G35=0,G35="Férias",G35="Falta Justificada",G35="Feriado",G35="Folga (DSR)"),0,IF(G35="Falta Injustificada",HLOOKUP($F35,Jornada!$X$7:$AD$37,VLOOKUP(INDIRECT($C$5),Jornada!$C$8:$W$37,21,0),0),IF(HLOOKUP($F35,Jornada!$X$7:$AD$37,VLOOKUP(INDIRECT($C$5),Jornada!$C$8:$W$37,21,0),0)-M35&gt;0,HLOOKUP($F35,Jornada!$X$7:$AD$37,VLOOKUP(INDIRECT($C$5),Jornada!$C$8:$W$37,21,0),0)-M35,0)))</f>
        <v>0</v>
      </c>
      <c r="P35" s="190">
        <f ca="1">IF(HLOOKUP($F35,Jornada!$X$7:$AD$37,VLOOKUP(INDIRECT($C$5),Jornada!$C$8:$W$37,21,0),0)-M35&lt;0,ABS(HLOOKUP($F35,Jornada!$X$7:$AD$37,VLOOKUP(INDIRECT($C$5),Jornada!$C$8:$W$37,21,0),0)-M35),0)</f>
        <v>0</v>
      </c>
      <c r="Q35" s="95">
        <f t="shared" si="0"/>
        <v>0</v>
      </c>
      <c r="R35" s="2">
        <f t="shared" si="2"/>
        <v>0</v>
      </c>
      <c r="S35"/>
      <c r="T35"/>
      <c r="U35"/>
      <c r="X35" s="177"/>
      <c r="AB35" s="177">
        <f>IF(MONTH(AB34+1)&lt;&gt;MONTH(AB34),"",AB34+1)</f>
        <v>28</v>
      </c>
      <c r="AC35" s="2">
        <f t="shared" si="3"/>
        <v>7</v>
      </c>
      <c r="AG35" s="220">
        <f t="shared" si="4"/>
        <v>0</v>
      </c>
      <c r="AH35" s="220">
        <f ca="1">IF(HLOOKUP($F35,Jornada!$X$7:$AD$37,VLOOKUP(INDIRECT($C$5),Jornada!$C$8:$W$37,21,0),0)=0,0,VLOOKUP(INDIRECT($C$5),Jornada!$C$8:$H$37,4,0))</f>
        <v>0</v>
      </c>
      <c r="AI35" s="155">
        <f ca="1">IF(AND(I35=0,J35=0,OR(H35&lt;&gt;0,K35&lt;&gt;0),HLOOKUP($F35,Jornada!$X$7:$AD$37,VLOOKUP(INDIRECT($C$5),Jornada!$C$8:$W$37,21,0),0)&gt;$AK$5,M35&gt;$AK$5),VLOOKUP(INDIRECT($C$5),Jornada!$C$8:$H$37,6,0),IF(AG35&gt;VLOOKUP(INDIRECT($C$5),Jornada!$C$8:$H$37,6,0),IF(VLOOKUP(INDIRECT($C$5),Jornada!$C$8:$H$37,6,0)&lt;AG35,0,ABS(VLOOKUP(INDIRECT($C$5),Jornada!$C$8:$H$37,6,0))-AG35),0))</f>
        <v>0</v>
      </c>
      <c r="AJ35" s="155">
        <f t="shared" si="5"/>
        <v>1</v>
      </c>
      <c r="AK35" s="155">
        <f t="shared" si="6"/>
        <v>0</v>
      </c>
      <c r="AL35" s="155">
        <f ca="1">HLOOKUP($F35,Jornada!$I$5:$V$37,VLOOKUP(INDIRECT($C$5),Jornada!$C$8:$W$37,21,0)+2,0)</f>
        <v>0</v>
      </c>
      <c r="AM35" s="155">
        <f ca="1">HLOOKUP($F35,Jornada!$I$4:$V$37,VLOOKUP(INDIRECT($C$5),Jornada!$C$8:$W$37,21,0)+3,0)</f>
        <v>0</v>
      </c>
      <c r="AN35" s="155">
        <f t="shared" ca="1" si="7"/>
        <v>0</v>
      </c>
      <c r="AO35" s="155">
        <f t="shared" si="8"/>
        <v>0</v>
      </c>
      <c r="AP35" s="155">
        <f t="shared" si="9"/>
        <v>0</v>
      </c>
    </row>
    <row r="36" spans="1:42" s="2" customFormat="1" ht="30" customHeight="1" thickTop="1" thickBot="1" x14ac:dyDescent="0.25">
      <c r="A36" s="1"/>
      <c r="B36"/>
      <c r="C36" s="172" t="str">
        <f>IF(Funcionários!C35=0,"",Funcionários!C35)</f>
        <v/>
      </c>
      <c r="D36"/>
      <c r="E36" s="115">
        <f>Lanç!E36</f>
        <v>29</v>
      </c>
      <c r="F36" s="189" t="str">
        <f>Lanç!F36</f>
        <v>Dom</v>
      </c>
      <c r="G36" s="81"/>
      <c r="H36" s="94"/>
      <c r="I36" s="94"/>
      <c r="J36" s="94"/>
      <c r="K36" s="94"/>
      <c r="L36" s="10"/>
      <c r="M36" s="95">
        <f t="shared" si="1"/>
        <v>0</v>
      </c>
      <c r="N36" s="96"/>
      <c r="O36" s="95">
        <f ca="1">IF(OR(G36=0,G36="Férias",G36="Falta Justificada",G36="Feriado",G36="Folga (DSR)"),0,IF(G36="Falta Injustificada",HLOOKUP($F36,Jornada!$X$7:$AD$37,VLOOKUP(INDIRECT($C$5),Jornada!$C$8:$W$37,21,0),0),IF(HLOOKUP($F36,Jornada!$X$7:$AD$37,VLOOKUP(INDIRECT($C$5),Jornada!$C$8:$W$37,21,0),0)-M36&gt;0,HLOOKUP($F36,Jornada!$X$7:$AD$37,VLOOKUP(INDIRECT($C$5),Jornada!$C$8:$W$37,21,0),0)-M36,0)))</f>
        <v>0</v>
      </c>
      <c r="P36" s="190">
        <f ca="1">IF(HLOOKUP($F36,Jornada!$X$7:$AD$37,VLOOKUP(INDIRECT($C$5),Jornada!$C$8:$W$37,21,0),0)-M36&lt;0,ABS(HLOOKUP($F36,Jornada!$X$7:$AD$37,VLOOKUP(INDIRECT($C$5),Jornada!$C$8:$W$37,21,0),0)-M36),0)</f>
        <v>0</v>
      </c>
      <c r="Q36" s="95">
        <f t="shared" si="0"/>
        <v>0</v>
      </c>
      <c r="R36" s="2">
        <f t="shared" si="2"/>
        <v>0</v>
      </c>
      <c r="S36"/>
      <c r="T36"/>
      <c r="U36"/>
      <c r="X36" s="177"/>
      <c r="AB36" s="177">
        <f>IF(MONTH(AB35+1)&lt;&gt;MONTH(AB35),"",IF(AB35="","",AB35+1))</f>
        <v>29</v>
      </c>
      <c r="AC36" s="2">
        <f>IF(ISERROR(WEEKDAY(AB36)),"",WEEKDAY(AB36))</f>
        <v>1</v>
      </c>
      <c r="AG36" s="220">
        <f t="shared" si="4"/>
        <v>0</v>
      </c>
      <c r="AH36" s="220">
        <f ca="1">IF(HLOOKUP($F36,Jornada!$X$7:$AD$37,VLOOKUP(INDIRECT($C$5),Jornada!$C$8:$W$37,21,0),0)=0,0,VLOOKUP(INDIRECT($C$5),Jornada!$C$8:$H$37,4,0))</f>
        <v>0</v>
      </c>
      <c r="AI36" s="155">
        <f ca="1">IF(AND(I36=0,J36=0,OR(H36&lt;&gt;0,K36&lt;&gt;0),HLOOKUP($F36,Jornada!$X$7:$AD$37,VLOOKUP(INDIRECT($C$5),Jornada!$C$8:$W$37,21,0),0)&gt;$AK$5,M36&gt;$AK$5),VLOOKUP(INDIRECT($C$5),Jornada!$C$8:$H$37,6,0),IF(AG36&gt;VLOOKUP(INDIRECT($C$5),Jornada!$C$8:$H$37,6,0),IF(VLOOKUP(INDIRECT($C$5),Jornada!$C$8:$H$37,6,0)&lt;AG36,0,ABS(VLOOKUP(INDIRECT($C$5),Jornada!$C$8:$H$37,6,0))-AG36),0))</f>
        <v>0</v>
      </c>
      <c r="AJ36" s="155">
        <f t="shared" si="5"/>
        <v>1</v>
      </c>
      <c r="AK36" s="155">
        <f t="shared" si="6"/>
        <v>0</v>
      </c>
      <c r="AL36" s="155">
        <f ca="1">HLOOKUP($F36,Jornada!$I$5:$V$37,VLOOKUP(INDIRECT($C$5),Jornada!$C$8:$W$37,21,0)+2,0)</f>
        <v>0</v>
      </c>
      <c r="AM36" s="155">
        <f ca="1">HLOOKUP($F36,Jornada!$I$4:$V$37,VLOOKUP(INDIRECT($C$5),Jornada!$C$8:$W$37,21,0)+3,0)</f>
        <v>0</v>
      </c>
      <c r="AN36" s="155">
        <f t="shared" ca="1" si="7"/>
        <v>0</v>
      </c>
      <c r="AO36" s="155">
        <f t="shared" si="8"/>
        <v>0</v>
      </c>
      <c r="AP36" s="155">
        <f t="shared" si="9"/>
        <v>0</v>
      </c>
    </row>
    <row r="37" spans="1:42" s="2" customFormat="1" ht="30" customHeight="1" thickTop="1" thickBot="1" x14ac:dyDescent="0.25">
      <c r="A37" s="1"/>
      <c r="B37"/>
      <c r="C37" s="172" t="str">
        <f>IF(Funcionários!C36=0,"",Funcionários!C36)</f>
        <v/>
      </c>
      <c r="D37"/>
      <c r="E37" s="115">
        <f>Lanç!E37</f>
        <v>30</v>
      </c>
      <c r="F37" s="189" t="str">
        <f>Lanç!F37</f>
        <v>Seg</v>
      </c>
      <c r="G37" s="81"/>
      <c r="H37" s="94"/>
      <c r="I37" s="94"/>
      <c r="J37" s="94"/>
      <c r="K37" s="94"/>
      <c r="L37" s="10"/>
      <c r="M37" s="95">
        <f t="shared" si="1"/>
        <v>0</v>
      </c>
      <c r="N37" s="96"/>
      <c r="O37" s="95">
        <f ca="1">IF(OR(G37=0,G37="Férias",G37="Falta Justificada",G37="Feriado",G37="Folga (DSR)"),0,IF(G37="Falta Injustificada",HLOOKUP($F37,Jornada!$X$7:$AD$37,VLOOKUP(INDIRECT($C$5),Jornada!$C$8:$W$37,21,0),0),IF(HLOOKUP($F37,Jornada!$X$7:$AD$37,VLOOKUP(INDIRECT($C$5),Jornada!$C$8:$W$37,21,0),0)-M37&gt;0,HLOOKUP($F37,Jornada!$X$7:$AD$37,VLOOKUP(INDIRECT($C$5),Jornada!$C$8:$W$37,21,0),0)-M37,0)))</f>
        <v>0</v>
      </c>
      <c r="P37" s="190">
        <f ca="1">IF(HLOOKUP($F37,Jornada!$X$7:$AD$37,VLOOKUP(INDIRECT($C$5),Jornada!$C$8:$W$37,21,0),0)-M37&lt;0,ABS(HLOOKUP($F37,Jornada!$X$7:$AD$37,VLOOKUP(INDIRECT($C$5),Jornada!$C$8:$W$37,21,0),0)-M37),0)</f>
        <v>0</v>
      </c>
      <c r="Q37" s="95">
        <f t="shared" si="0"/>
        <v>0</v>
      </c>
      <c r="R37" s="2">
        <f t="shared" si="2"/>
        <v>0</v>
      </c>
      <c r="S37"/>
      <c r="T37"/>
      <c r="U37"/>
      <c r="X37" s="177"/>
      <c r="AB37" s="177">
        <f>IF(AB36="","",IF(MONTH(AB36+1)&lt;&gt;MONTH(AB36),"",AB36+1))</f>
        <v>30</v>
      </c>
      <c r="AC37" s="2">
        <f>IF(ISERROR(WEEKDAY(AB37)),"",WEEKDAY(AB37))</f>
        <v>2</v>
      </c>
      <c r="AG37" s="220">
        <f t="shared" si="4"/>
        <v>0</v>
      </c>
      <c r="AH37" s="220">
        <f ca="1">IF(HLOOKUP($F37,Jornada!$X$7:$AD$37,VLOOKUP(INDIRECT($C$5),Jornada!$C$8:$W$37,21,0),0)=0,0,VLOOKUP(INDIRECT($C$5),Jornada!$C$8:$H$37,4,0))</f>
        <v>0</v>
      </c>
      <c r="AI37" s="155">
        <f ca="1">IF(AND(I37=0,J37=0,OR(H37&lt;&gt;0,K37&lt;&gt;0),HLOOKUP($F37,Jornada!$X$7:$AD$37,VLOOKUP(INDIRECT($C$5),Jornada!$C$8:$W$37,21,0),0)&gt;$AK$5,M37&gt;$AK$5),VLOOKUP(INDIRECT($C$5),Jornada!$C$8:$H$37,6,0),IF(AG37&gt;VLOOKUP(INDIRECT($C$5),Jornada!$C$8:$H$37,6,0),IF(VLOOKUP(INDIRECT($C$5),Jornada!$C$8:$H$37,6,0)&lt;AG37,0,ABS(VLOOKUP(INDIRECT($C$5),Jornada!$C$8:$H$37,6,0))-AG37),0))</f>
        <v>0</v>
      </c>
      <c r="AJ37" s="155">
        <f t="shared" si="5"/>
        <v>1</v>
      </c>
      <c r="AK37" s="155">
        <f t="shared" si="6"/>
        <v>0</v>
      </c>
      <c r="AL37" s="155">
        <f ca="1">HLOOKUP($F37,Jornada!$I$5:$V$37,VLOOKUP(INDIRECT($C$5),Jornada!$C$8:$W$37,21,0)+2,0)</f>
        <v>0</v>
      </c>
      <c r="AM37" s="155">
        <f ca="1">HLOOKUP($F37,Jornada!$I$4:$V$37,VLOOKUP(INDIRECT($C$5),Jornada!$C$8:$W$37,21,0)+3,0)</f>
        <v>0</v>
      </c>
      <c r="AN37" s="155">
        <f t="shared" ca="1" si="7"/>
        <v>0</v>
      </c>
      <c r="AO37" s="155">
        <f t="shared" si="8"/>
        <v>0</v>
      </c>
      <c r="AP37" s="155">
        <f t="shared" si="9"/>
        <v>0</v>
      </c>
    </row>
    <row r="38" spans="1:42" s="2" customFormat="1" ht="30" customHeight="1" thickTop="1" thickBot="1" x14ac:dyDescent="0.25">
      <c r="A38" s="1"/>
      <c r="B38"/>
      <c r="C38"/>
      <c r="D38" s="2">
        <f t="shared" ref="D38" si="11">IF(D37=7,1,D37+1)</f>
        <v>1</v>
      </c>
      <c r="E38" s="210">
        <f>Lanç!E38</f>
        <v>31</v>
      </c>
      <c r="F38" s="210" t="str">
        <f>Lanç!F38</f>
        <v>Ter</v>
      </c>
      <c r="G38" s="81"/>
      <c r="H38" s="94"/>
      <c r="I38" s="94"/>
      <c r="J38" s="94"/>
      <c r="K38" s="94"/>
      <c r="L38" s="197"/>
      <c r="M38" s="95">
        <f t="shared" si="1"/>
        <v>0</v>
      </c>
      <c r="N38" s="196"/>
      <c r="O38" s="95">
        <f ca="1">IF(OR(G38=0,G38="Férias",G38="Falta Justificada",G38="Feriado",G38="Folga (DSR)"),0,IF(G38="Falta Injustificada",HLOOKUP($F38,Jornada!$X$7:$AD$37,VLOOKUP(INDIRECT($C$5),Jornada!$C$8:$W$37,21,0),0),IF(HLOOKUP($F38,Jornada!$X$7:$AD$37,VLOOKUP(INDIRECT($C$5),Jornada!$C$8:$W$37,21,0),0)-M38&gt;0,HLOOKUP($F38,Jornada!$X$7:$AD$37,VLOOKUP(INDIRECT($C$5),Jornada!$C$8:$W$37,21,0),0)-M38,0)))</f>
        <v>0</v>
      </c>
      <c r="P38" s="201">
        <f ca="1">IF(HLOOKUP($F38,Jornada!$X$7:$AD$37,VLOOKUP(INDIRECT($C$5),Jornada!$C$8:$W$37,21,0),0)-M38&lt;0,ABS(HLOOKUP($F38,Jornada!$X$7:$AD$37,VLOOKUP(INDIRECT($C$5),Jornada!$C$8:$W$37,21,0),0)-M38),0)</f>
        <v>0</v>
      </c>
      <c r="Q38" s="95">
        <f t="shared" si="0"/>
        <v>0</v>
      </c>
      <c r="R38" s="2">
        <f t="shared" si="2"/>
        <v>0</v>
      </c>
      <c r="X38" s="177"/>
      <c r="AB38" s="177">
        <f>IF(AB37="","",IF(MONTH(AB37+1)&lt;&gt;MONTH(AB37),"",AB37+1))</f>
        <v>31</v>
      </c>
      <c r="AC38" s="2">
        <f>IF(ISERROR(WEEKDAY(AB38)),"",WEEKDAY(AB38))</f>
        <v>3</v>
      </c>
      <c r="AG38" s="220">
        <f t="shared" si="4"/>
        <v>0</v>
      </c>
      <c r="AH38" s="220">
        <f ca="1">IF(HLOOKUP($F38,Jornada!$X$7:$AD$37,VLOOKUP(INDIRECT($C$5),Jornada!$C$8:$W$37,21,0),0)=0,0,VLOOKUP(INDIRECT($C$5),Jornada!$C$8:$H$37,4,0))</f>
        <v>0</v>
      </c>
      <c r="AI38" s="155">
        <f ca="1">IF(AND(I38=0,J38=0,OR(H38&lt;&gt;0,K38&lt;&gt;0),HLOOKUP($F38,Jornada!$X$7:$AD$37,VLOOKUP(INDIRECT($C$5),Jornada!$C$8:$W$37,21,0),0)&gt;$AK$5,M38&gt;$AK$5),VLOOKUP(INDIRECT($C$5),Jornada!$C$8:$H$37,6,0),IF(AG38&gt;VLOOKUP(INDIRECT($C$5),Jornada!$C$8:$H$37,6,0),IF(VLOOKUP(INDIRECT($C$5),Jornada!$C$8:$H$37,6,0)&lt;AG38,0,ABS(VLOOKUP(INDIRECT($C$5),Jornada!$C$8:$H$37,6,0))-AG38),0))</f>
        <v>0</v>
      </c>
      <c r="AJ38" s="155">
        <f t="shared" si="5"/>
        <v>1</v>
      </c>
      <c r="AK38" s="155">
        <f t="shared" si="6"/>
        <v>0</v>
      </c>
      <c r="AL38" s="155">
        <f ca="1">HLOOKUP($F38,Jornada!$I$5:$V$37,VLOOKUP(INDIRECT($C$5),Jornada!$C$8:$W$37,21,0)+2,0)</f>
        <v>0</v>
      </c>
      <c r="AM38" s="155">
        <f ca="1">HLOOKUP($F38,Jornada!$I$4:$V$37,VLOOKUP(INDIRECT($C$5),Jornada!$C$8:$W$37,21,0)+3,0)</f>
        <v>0</v>
      </c>
      <c r="AN38" s="155">
        <f t="shared" ca="1" si="7"/>
        <v>0</v>
      </c>
      <c r="AO38" s="155">
        <f t="shared" si="8"/>
        <v>0</v>
      </c>
      <c r="AP38" s="155">
        <f t="shared" si="9"/>
        <v>0</v>
      </c>
    </row>
    <row r="39" spans="1:42" s="2" customFormat="1" ht="30" customHeight="1" thickTop="1" x14ac:dyDescent="0.2">
      <c r="A39" s="9"/>
      <c r="B39" s="234"/>
      <c r="C39" s="234"/>
      <c r="D39" s="234"/>
      <c r="E39" s="236">
        <f>EOMONTH(AB8,0)</f>
        <v>31</v>
      </c>
      <c r="F39" s="234">
        <f>DAY(E39)</f>
        <v>31</v>
      </c>
      <c r="G39" s="237">
        <f>COUNTIF(F8:F38,"Dom")+COUNTIF(G8:G38,"Feriado")</f>
        <v>5</v>
      </c>
      <c r="H39" s="238">
        <f>(SUM(Q8:Q38)/(F39-G39))*G39</f>
        <v>0</v>
      </c>
      <c r="I39" s="234"/>
      <c r="J39" s="234"/>
      <c r="K39" s="234"/>
      <c r="L39" s="234"/>
      <c r="M39" s="234"/>
      <c r="Z39" s="219"/>
    </row>
    <row r="40" spans="1:42" s="2" customFormat="1" ht="30" customHeight="1" x14ac:dyDescent="0.2">
      <c r="A40" s="9"/>
      <c r="B40" s="234"/>
      <c r="C40" s="239"/>
      <c r="D40" s="239"/>
      <c r="E40" s="239"/>
      <c r="F40" s="240"/>
      <c r="G40" s="241"/>
      <c r="H40" s="234">
        <f ca="1">IF(INDIRECT($C$5)="",0,VLOOKUP(INDIRECT($C$5),Funcionários!$C$7:$E$36,3,0)+IF(VLOOKUP(INDIRECT($C$5),Jornada!$C$8:$E$37,2,0)="Sim",IF('P Gerais'!$I$8&lt;&gt;0,VLOOKUP(INDIRECT($C$5),Funcionários!$C$7:$E$36,3,0)*'P Gerais'!$L$14,'P Gerais'!$I$8*'P Gerais'!$L$14),0)+IF(VLOOKUP(INDIRECT($C$5),Jornada!$C$8:$E$37,3,0)="Sim",VLOOKUP(INDIRECT($C$5),Funcionários!$C$7:$E$36,3,0)*'P Gerais'!$K$14,0))</f>
        <v>0</v>
      </c>
      <c r="I40" s="234">
        <f ca="1">VLOOKUP(INDIRECT($C$5),Jornada!$C$8:$AF$37,30,0)</f>
        <v>0</v>
      </c>
      <c r="J40" s="234" t="s">
        <v>298</v>
      </c>
      <c r="K40" s="242">
        <f ca="1">IF(I40=0,0,H40/I40)</f>
        <v>0</v>
      </c>
      <c r="L40" s="234"/>
      <c r="M40" s="234"/>
      <c r="Z40" s="219"/>
    </row>
    <row r="41" spans="1:42" s="2" customFormat="1" ht="30" customHeight="1" x14ac:dyDescent="0.2">
      <c r="A41" s="9"/>
      <c r="B41" s="234" t="s">
        <v>52</v>
      </c>
      <c r="C41" s="292" t="s">
        <v>75</v>
      </c>
      <c r="D41" s="292"/>
      <c r="E41" s="292"/>
      <c r="F41" s="243">
        <f t="shared" ref="F41:F47" si="12">SUMIFS($Q$8:$Q$38,$F$8:$F$38,$B41,$G$8:$G$38,"Normal")</f>
        <v>0</v>
      </c>
      <c r="G41" s="244">
        <f>IF($M$41="Sistema de banco de horas",0,'P Gerais'!$C$14)</f>
        <v>0.5</v>
      </c>
      <c r="H41" s="245">
        <f t="shared" ref="H41:H48" ca="1" si="13">IF($M$41="Sistema de banco de horas",0,$K$40*(1+G41)*(F41*24))</f>
        <v>0</v>
      </c>
      <c r="I41" s="243">
        <f t="shared" ref="I41:I47" ca="1" si="14">IF(SUMIF($F$8:$F$38,$B41,$Q$8:$Q$38)-SUMIFS($M$8:$M$38,$F$8:$F$38,$B41,$G$8:$G$38,"Feriado")-SUMIFS($M$8:$M$38,$F$8:$F$38,$B41,$G$8:$G$38,"Folga (DSR)")-SUMIFS($M$8:$M$38,$F$8:$F$38,$B41,$G$8:$G$38,"Férias")-SUMIF($F$8:$F$38,$B41,$AN$8:$AN$38)-SUMIF($F$8:$F$38,$B41,$AO$8:$AO$38)&lt;0,0,SUMIF($F$8:$F$38,$B41,$Q$8:$Q$38)-SUMIFS($M$8:$M$38,$F$8:$F$38,$B41,$G$8:$G$38,"Feriado")-SUMIFS($M$8:$M$38,$F$8:$F$38,$B41,$G$8:$G$38,"Folga (DSR)")-SUMIFS($M$8:$M$38,$F$8:$F$38,$B41,$G$8:$G$38,"Férias")-SUMIF($F$8:$F$38,$B41,$AN$8:$AN$38)-SUMIF($F$8:$F$38,$B41,$AO$8:$AO$38))</f>
        <v>0</v>
      </c>
      <c r="J41" s="245">
        <f ca="1">H41</f>
        <v>0</v>
      </c>
      <c r="K41" s="234"/>
      <c r="L41" s="234"/>
      <c r="M41" s="234">
        <f>'P Gerais'!I10</f>
        <v>0</v>
      </c>
      <c r="Z41" s="219"/>
    </row>
    <row r="42" spans="1:42" s="2" customFormat="1" ht="30" customHeight="1" x14ac:dyDescent="0.2">
      <c r="A42" s="9"/>
      <c r="B42" s="234" t="s">
        <v>53</v>
      </c>
      <c r="C42" s="292" t="s">
        <v>76</v>
      </c>
      <c r="D42" s="292"/>
      <c r="E42" s="292"/>
      <c r="F42" s="243">
        <f t="shared" si="12"/>
        <v>0</v>
      </c>
      <c r="G42" s="244">
        <f>IF($M$41="Sistema de banco de horas",0,'P Gerais'!$C$14)</f>
        <v>0.5</v>
      </c>
      <c r="H42" s="245">
        <f t="shared" ca="1" si="13"/>
        <v>0</v>
      </c>
      <c r="I42" s="243">
        <f t="shared" ca="1" si="14"/>
        <v>0</v>
      </c>
      <c r="J42" s="245">
        <f t="shared" ref="J42:J51" ca="1" si="15">H42</f>
        <v>0</v>
      </c>
      <c r="K42" s="234"/>
      <c r="L42" s="234"/>
      <c r="M42" s="234"/>
      <c r="Z42" s="219"/>
    </row>
    <row r="43" spans="1:42" s="2" customFormat="1" ht="30" customHeight="1" x14ac:dyDescent="0.2">
      <c r="A43" s="9"/>
      <c r="B43" s="234" t="s">
        <v>54</v>
      </c>
      <c r="C43" s="292" t="s">
        <v>77</v>
      </c>
      <c r="D43" s="292"/>
      <c r="E43" s="292"/>
      <c r="F43" s="243">
        <f t="shared" si="12"/>
        <v>0</v>
      </c>
      <c r="G43" s="244">
        <f>IF($M$41="Sistema de banco de horas",0,'P Gerais'!$C$14)</f>
        <v>0.5</v>
      </c>
      <c r="H43" s="245">
        <f t="shared" ca="1" si="13"/>
        <v>0</v>
      </c>
      <c r="I43" s="243">
        <f t="shared" ca="1" si="14"/>
        <v>0</v>
      </c>
      <c r="J43" s="245">
        <f t="shared" ca="1" si="15"/>
        <v>0</v>
      </c>
      <c r="K43" s="234"/>
      <c r="L43" s="234"/>
      <c r="M43" s="234"/>
      <c r="Z43" s="219"/>
    </row>
    <row r="44" spans="1:42" s="2" customFormat="1" ht="30" customHeight="1" x14ac:dyDescent="0.2">
      <c r="A44" s="9"/>
      <c r="B44" s="234" t="s">
        <v>55</v>
      </c>
      <c r="C44" s="292" t="s">
        <v>78</v>
      </c>
      <c r="D44" s="292"/>
      <c r="E44" s="292"/>
      <c r="F44" s="243">
        <f t="shared" si="12"/>
        <v>0</v>
      </c>
      <c r="G44" s="244">
        <f>IF($M$41="Sistema de banco de horas",0,'P Gerais'!$C$14)</f>
        <v>0.5</v>
      </c>
      <c r="H44" s="245">
        <f t="shared" ca="1" si="13"/>
        <v>0</v>
      </c>
      <c r="I44" s="243">
        <f t="shared" ca="1" si="14"/>
        <v>0</v>
      </c>
      <c r="J44" s="245">
        <f t="shared" ca="1" si="15"/>
        <v>0</v>
      </c>
      <c r="K44" s="234"/>
      <c r="L44" s="234"/>
      <c r="M44" s="234"/>
      <c r="Z44" s="219"/>
    </row>
    <row r="45" spans="1:42" s="2" customFormat="1" ht="30" customHeight="1" x14ac:dyDescent="0.2">
      <c r="A45" s="9"/>
      <c r="B45" s="234" t="s">
        <v>56</v>
      </c>
      <c r="C45" s="292" t="s">
        <v>79</v>
      </c>
      <c r="D45" s="292"/>
      <c r="E45" s="292"/>
      <c r="F45" s="243">
        <f t="shared" si="12"/>
        <v>0</v>
      </c>
      <c r="G45" s="244">
        <f>IF($M$41="Sistema de banco de horas",0,'P Gerais'!$C$14)</f>
        <v>0.5</v>
      </c>
      <c r="H45" s="245">
        <f t="shared" ca="1" si="13"/>
        <v>0</v>
      </c>
      <c r="I45" s="243">
        <f t="shared" ca="1" si="14"/>
        <v>0</v>
      </c>
      <c r="J45" s="245">
        <f t="shared" ca="1" si="15"/>
        <v>0</v>
      </c>
      <c r="K45" s="234"/>
      <c r="L45" s="234"/>
      <c r="M45" s="234"/>
      <c r="Z45" s="219"/>
    </row>
    <row r="46" spans="1:42" s="2" customFormat="1" ht="30" customHeight="1" x14ac:dyDescent="0.2">
      <c r="A46" s="9"/>
      <c r="B46" s="234" t="s">
        <v>57</v>
      </c>
      <c r="C46" s="292" t="s">
        <v>82</v>
      </c>
      <c r="D46" s="292"/>
      <c r="E46" s="292"/>
      <c r="F46" s="243">
        <f t="shared" si="12"/>
        <v>0</v>
      </c>
      <c r="G46" s="244">
        <f>IF($M$41="Sistema de banco de horas",0,'P Gerais'!$E$14)</f>
        <v>0.5</v>
      </c>
      <c r="H46" s="245">
        <f t="shared" ca="1" si="13"/>
        <v>0</v>
      </c>
      <c r="I46" s="243">
        <f t="shared" ca="1" si="14"/>
        <v>0</v>
      </c>
      <c r="J46" s="245">
        <f t="shared" ca="1" si="15"/>
        <v>0</v>
      </c>
      <c r="K46" s="234"/>
      <c r="L46" s="234"/>
      <c r="M46" s="234"/>
      <c r="Z46" s="219"/>
    </row>
    <row r="47" spans="1:42" s="2" customFormat="1" ht="30" customHeight="1" x14ac:dyDescent="0.2">
      <c r="A47" s="9"/>
      <c r="B47" s="234" t="s">
        <v>51</v>
      </c>
      <c r="C47" s="292" t="s">
        <v>81</v>
      </c>
      <c r="D47" s="292"/>
      <c r="E47" s="292"/>
      <c r="F47" s="243">
        <f t="shared" si="12"/>
        <v>0</v>
      </c>
      <c r="G47" s="244">
        <f>IF($M$41="Sistema de banco de horas",0,'P Gerais'!$F$14)</f>
        <v>1</v>
      </c>
      <c r="H47" s="245">
        <f t="shared" ca="1" si="13"/>
        <v>0</v>
      </c>
      <c r="I47" s="243">
        <f t="shared" ca="1" si="14"/>
        <v>0</v>
      </c>
      <c r="J47" s="245">
        <f t="shared" ca="1" si="15"/>
        <v>0</v>
      </c>
      <c r="K47" s="234"/>
      <c r="L47" s="234"/>
      <c r="M47" s="234"/>
      <c r="Z47" s="219"/>
    </row>
    <row r="48" spans="1:42" s="2" customFormat="1" ht="30" customHeight="1" x14ac:dyDescent="0.2">
      <c r="A48" s="9"/>
      <c r="B48" s="234"/>
      <c r="C48" s="292" t="s">
        <v>80</v>
      </c>
      <c r="D48" s="292"/>
      <c r="E48" s="292"/>
      <c r="F48" s="243">
        <f>SUMIFS($Q$8:$Q$38,$G$8:$G$38,"Feriado")</f>
        <v>0</v>
      </c>
      <c r="G48" s="244">
        <f>IF($M$41="Sistema de banco de horas",0,'P Gerais'!$I$14)</f>
        <v>1</v>
      </c>
      <c r="H48" s="245">
        <f t="shared" ca="1" si="13"/>
        <v>0</v>
      </c>
      <c r="I48" s="243"/>
      <c r="J48" s="245">
        <f t="shared" ca="1" si="15"/>
        <v>0</v>
      </c>
      <c r="K48" s="234"/>
      <c r="L48" s="234"/>
      <c r="M48" s="234"/>
      <c r="Z48" s="219"/>
    </row>
    <row r="49" spans="1:26" s="2" customFormat="1" ht="15" x14ac:dyDescent="0.2">
      <c r="A49" s="9"/>
      <c r="B49" s="234"/>
      <c r="C49" s="292" t="s">
        <v>146</v>
      </c>
      <c r="D49" s="292"/>
      <c r="E49" s="292"/>
      <c r="F49" s="243">
        <f>SUMIFS($Q$8:$Q$38,$G$8:$G$38,"Folga (DSR)")</f>
        <v>0</v>
      </c>
      <c r="G49" s="244">
        <f>IF($M$41="Sistema de banco de horas",0,'P Gerais'!H14)</f>
        <v>1</v>
      </c>
      <c r="H49" s="245">
        <f ca="1">((F53/(F39-G39))*G39)</f>
        <v>0</v>
      </c>
      <c r="I49" s="243"/>
      <c r="J49" s="245">
        <f t="shared" ca="1" si="15"/>
        <v>0</v>
      </c>
      <c r="K49" s="234"/>
      <c r="L49" s="234"/>
      <c r="M49" s="234"/>
      <c r="Z49" s="219"/>
    </row>
    <row r="50" spans="1:26" s="2" customFormat="1" ht="15" x14ac:dyDescent="0.2">
      <c r="A50" s="9"/>
      <c r="B50" s="234"/>
      <c r="C50" s="292" t="s">
        <v>84</v>
      </c>
      <c r="D50" s="292"/>
      <c r="E50" s="292"/>
      <c r="F50" s="243">
        <f ca="1">IF($M$41="Sistema de banco de horas",(SUM(AI$8:AI$38)*(1+G50)),SUM(AI$8:AI$38))</f>
        <v>0</v>
      </c>
      <c r="G50" s="244">
        <f>IF($M$41="Sistema de banco de horas",0,'P Gerais'!$I$17)</f>
        <v>0.5</v>
      </c>
      <c r="H50" s="245">
        <f ca="1">IF($M$41="Sistema de banco de horas",0,$K$40*(1+G50)*(F50*24))</f>
        <v>0</v>
      </c>
      <c r="I50" s="243">
        <f ca="1">IF(SUM($AN$8:$AO$38)&gt;SUM(AI$8:AI$38),0,SUM(AI$8:AI$38)-SUM($AN$8:$AO$38))</f>
        <v>0</v>
      </c>
      <c r="J50" s="245">
        <f t="shared" ca="1" si="15"/>
        <v>0</v>
      </c>
      <c r="K50" s="234"/>
      <c r="L50" s="234"/>
      <c r="M50" s="234"/>
      <c r="Z50" s="219"/>
    </row>
    <row r="51" spans="1:26" s="2" customFormat="1" ht="15" x14ac:dyDescent="0.2">
      <c r="A51" s="9"/>
      <c r="B51" s="234"/>
      <c r="C51" s="292" t="s">
        <v>85</v>
      </c>
      <c r="D51" s="292"/>
      <c r="E51" s="292"/>
      <c r="F51" s="243">
        <f>IF($M$41="Sistema de banco de horas",(SUM(AK$8:AK$38)*(1+G51)),SUM(AK$8:AK$38))</f>
        <v>0</v>
      </c>
      <c r="G51" s="244">
        <f>IF($M$41="Sistema de banco de horas",0,'P Gerais'!$C$17)</f>
        <v>1</v>
      </c>
      <c r="H51" s="245">
        <f ca="1">IF($M$41="Sistema de banco de horas",0,$K$40*(1+G51)*(F51*24))</f>
        <v>0</v>
      </c>
      <c r="I51" s="243"/>
      <c r="J51" s="245">
        <f t="shared" ca="1" si="15"/>
        <v>0</v>
      </c>
      <c r="K51" s="234"/>
      <c r="L51" s="234"/>
      <c r="M51" s="234"/>
      <c r="Z51" s="219"/>
    </row>
    <row r="52" spans="1:26" s="2" customFormat="1" ht="15" customHeight="1" x14ac:dyDescent="0.2">
      <c r="A52" s="9"/>
      <c r="B52" s="234"/>
      <c r="C52" s="292" t="s">
        <v>87</v>
      </c>
      <c r="D52" s="292"/>
      <c r="E52" s="292"/>
      <c r="F52" s="243">
        <f ca="1">U12</f>
        <v>0</v>
      </c>
      <c r="G52" s="246"/>
      <c r="H52" s="234"/>
      <c r="I52" s="234"/>
      <c r="J52" s="234"/>
      <c r="K52" s="234"/>
      <c r="L52" s="234"/>
      <c r="M52" s="234"/>
      <c r="Z52" s="219"/>
    </row>
    <row r="53" spans="1:26" s="2" customFormat="1" ht="15" x14ac:dyDescent="0.2">
      <c r="A53" s="9"/>
      <c r="B53" s="234"/>
      <c r="C53" s="292" t="s">
        <v>299</v>
      </c>
      <c r="D53" s="292"/>
      <c r="E53" s="292"/>
      <c r="F53" s="247">
        <f ca="1">SUM(H48)+J50+H51+SUM(J41:J47)</f>
        <v>0</v>
      </c>
      <c r="G53" s="248"/>
      <c r="H53" s="234"/>
      <c r="I53" s="234"/>
      <c r="J53" s="234"/>
      <c r="K53" s="234"/>
      <c r="L53" s="234"/>
      <c r="M53" s="234"/>
      <c r="Z53" s="219"/>
    </row>
    <row r="54" spans="1:26" s="2" customFormat="1" ht="15" x14ac:dyDescent="0.2">
      <c r="A54" s="9"/>
      <c r="B54" s="234"/>
      <c r="C54" s="292" t="s">
        <v>88</v>
      </c>
      <c r="D54" s="292"/>
      <c r="E54" s="292"/>
      <c r="F54" s="247">
        <f ca="1">F53+(H49*(1+G49))</f>
        <v>0</v>
      </c>
      <c r="G54" s="248"/>
      <c r="H54" s="249"/>
      <c r="I54" s="234"/>
      <c r="J54" s="234"/>
      <c r="K54" s="234"/>
      <c r="L54" s="234"/>
      <c r="M54" s="234"/>
      <c r="Z54" s="219"/>
    </row>
    <row r="55" spans="1:26" s="2" customFormat="1" ht="15" x14ac:dyDescent="0.2">
      <c r="A55" s="9"/>
      <c r="B55" s="234"/>
      <c r="C55" s="292" t="s">
        <v>89</v>
      </c>
      <c r="D55" s="292"/>
      <c r="E55" s="292"/>
      <c r="F55" s="247">
        <f ca="1">H40+F54</f>
        <v>0</v>
      </c>
      <c r="G55" s="246"/>
      <c r="H55" s="234"/>
      <c r="I55" s="234"/>
      <c r="J55" s="234"/>
      <c r="K55" s="234"/>
      <c r="L55" s="234"/>
      <c r="M55" s="234"/>
      <c r="Z55" s="219"/>
    </row>
    <row r="56" spans="1:26" s="2" customFormat="1" ht="15" x14ac:dyDescent="0.2">
      <c r="A56" s="9"/>
      <c r="B56" s="234"/>
      <c r="C56" s="292" t="s">
        <v>178</v>
      </c>
      <c r="D56" s="292"/>
      <c r="E56" s="292"/>
      <c r="F56" s="243">
        <f>IF($M$41="Sistema de banco de horas",(SUMIF($G$8:$G$38,"Férias",Q8:Q38))*(1+G48),SUMIF($G$8:$G$38,"Férias",Q8:Q38))</f>
        <v>0</v>
      </c>
      <c r="G56" s="246"/>
      <c r="H56" s="234"/>
      <c r="I56" s="234"/>
      <c r="J56" s="234"/>
      <c r="K56" s="234"/>
      <c r="L56" s="234"/>
      <c r="M56" s="234"/>
      <c r="Z56" s="219"/>
    </row>
    <row r="57" spans="1:26" s="2" customFormat="1" ht="15" x14ac:dyDescent="0.2">
      <c r="A57" s="9"/>
      <c r="B57" s="234"/>
      <c r="C57" s="239"/>
      <c r="D57" s="239"/>
      <c r="E57" s="239"/>
      <c r="F57" s="250">
        <f ca="1">U14</f>
        <v>0</v>
      </c>
      <c r="G57" s="246"/>
      <c r="H57" s="234"/>
      <c r="I57" s="234"/>
      <c r="J57" s="234"/>
      <c r="K57" s="234"/>
      <c r="L57" s="234"/>
      <c r="M57" s="234"/>
      <c r="Z57" s="219"/>
    </row>
    <row r="58" spans="1:26" s="2" customFormat="1" ht="15" x14ac:dyDescent="0.2">
      <c r="A58" s="9"/>
      <c r="B58" s="234"/>
      <c r="C58" s="239"/>
      <c r="D58" s="239"/>
      <c r="E58" s="239"/>
      <c r="F58" s="243">
        <f ca="1">SUM(F41:F51)</f>
        <v>0</v>
      </c>
      <c r="G58" s="246"/>
      <c r="H58" s="234"/>
      <c r="I58" s="234"/>
      <c r="J58" s="234"/>
      <c r="K58" s="234"/>
      <c r="L58" s="234"/>
      <c r="M58" s="234"/>
      <c r="Z58" s="219"/>
    </row>
    <row r="59" spans="1:26" s="2" customFormat="1" ht="15" x14ac:dyDescent="0.2">
      <c r="A59" s="9"/>
      <c r="Z59" s="219"/>
    </row>
    <row r="60" spans="1:26" s="2" customFormat="1" ht="15" x14ac:dyDescent="0.2">
      <c r="A60" s="9"/>
      <c r="G60" s="178"/>
      <c r="Z60" s="219"/>
    </row>
    <row r="61" spans="1:26" ht="15" x14ac:dyDescent="0.2"/>
    <row r="62" spans="1:26" ht="15" x14ac:dyDescent="0.2"/>
    <row r="63" spans="1:26" ht="15" x14ac:dyDescent="0.2"/>
    <row r="64" spans="1:26" ht="15" x14ac:dyDescent="0.2"/>
    <row r="65" ht="15" x14ac:dyDescent="0.2"/>
    <row r="66" ht="15" x14ac:dyDescent="0.2"/>
    <row r="67" ht="15" x14ac:dyDescent="0.2"/>
    <row r="68" ht="15" x14ac:dyDescent="0.2"/>
    <row r="69" ht="15" x14ac:dyDescent="0.2"/>
    <row r="70" ht="15" x14ac:dyDescent="0.2"/>
    <row r="71" ht="15" x14ac:dyDescent="0.2"/>
    <row r="72" ht="15" x14ac:dyDescent="0.2"/>
    <row r="73" ht="15" x14ac:dyDescent="0.2"/>
    <row r="74" ht="15" x14ac:dyDescent="0.2"/>
    <row r="75" ht="15" x14ac:dyDescent="0.2"/>
    <row r="76" ht="15" x14ac:dyDescent="0.2"/>
    <row r="77" ht="15" x14ac:dyDescent="0.2"/>
    <row r="78" ht="15" x14ac:dyDescent="0.2"/>
    <row r="79" ht="15" x14ac:dyDescent="0.2"/>
    <row r="80" ht="15" x14ac:dyDescent="0.2"/>
    <row r="81" ht="15" x14ac:dyDescent="0.2"/>
    <row r="82" ht="15" x14ac:dyDescent="0.2"/>
    <row r="83" ht="15" x14ac:dyDescent="0.2"/>
    <row r="84" ht="15" x14ac:dyDescent="0.2"/>
    <row r="85" ht="15" x14ac:dyDescent="0.2"/>
    <row r="86" ht="15" x14ac:dyDescent="0.2"/>
    <row r="87" ht="15" x14ac:dyDescent="0.2"/>
    <row r="88" ht="15" x14ac:dyDescent="0.2"/>
    <row r="89" ht="15" x14ac:dyDescent="0.2"/>
    <row r="90" ht="15" x14ac:dyDescent="0.2"/>
    <row r="91" ht="15" x14ac:dyDescent="0.2"/>
    <row r="92" ht="15" x14ac:dyDescent="0.2"/>
    <row r="93" ht="15" x14ac:dyDescent="0.2"/>
    <row r="94" ht="15" x14ac:dyDescent="0.2"/>
    <row r="95" ht="15" x14ac:dyDescent="0.2"/>
    <row r="96" ht="15" x14ac:dyDescent="0.2"/>
    <row r="97" ht="15" x14ac:dyDescent="0.2"/>
    <row r="98" ht="15" x14ac:dyDescent="0.2"/>
    <row r="99" ht="15" x14ac:dyDescent="0.2"/>
    <row r="100" ht="15" x14ac:dyDescent="0.2"/>
    <row r="101" ht="15" x14ac:dyDescent="0.2"/>
    <row r="102" ht="15" x14ac:dyDescent="0.2"/>
    <row r="103" ht="15" x14ac:dyDescent="0.2"/>
  </sheetData>
  <sheetProtection sheet="1" objects="1" scenarios="1" selectLockedCells="1"/>
  <mergeCells count="34">
    <mergeCell ref="C56:E56"/>
    <mergeCell ref="C48:E48"/>
    <mergeCell ref="C49:E49"/>
    <mergeCell ref="C50:E50"/>
    <mergeCell ref="C52:E52"/>
    <mergeCell ref="C53:E53"/>
    <mergeCell ref="C54:E54"/>
    <mergeCell ref="C51:E51"/>
    <mergeCell ref="C44:E44"/>
    <mergeCell ref="C55:E55"/>
    <mergeCell ref="C45:E45"/>
    <mergeCell ref="C46:E46"/>
    <mergeCell ref="C47:E47"/>
    <mergeCell ref="S22:U22"/>
    <mergeCell ref="C41:E41"/>
    <mergeCell ref="C42:E42"/>
    <mergeCell ref="C43:E43"/>
    <mergeCell ref="S26:U28"/>
    <mergeCell ref="S23:U25"/>
    <mergeCell ref="E7:F7"/>
    <mergeCell ref="I7:J7"/>
    <mergeCell ref="S7:U7"/>
    <mergeCell ref="S8:T9"/>
    <mergeCell ref="U8:U9"/>
    <mergeCell ref="S16:T17"/>
    <mergeCell ref="U16:U17"/>
    <mergeCell ref="S18:T19"/>
    <mergeCell ref="S10:T11"/>
    <mergeCell ref="U10:U11"/>
    <mergeCell ref="S12:T13"/>
    <mergeCell ref="U12:U13"/>
    <mergeCell ref="S14:T15"/>
    <mergeCell ref="U14:U15"/>
    <mergeCell ref="U18:U19"/>
  </mergeCells>
  <conditionalFormatting sqref="M8:M37">
    <cfRule type="cellIs" dxfId="156" priority="124" operator="greaterThan">
      <formula>0</formula>
    </cfRule>
  </conditionalFormatting>
  <conditionalFormatting sqref="L36:L37 N36:N37">
    <cfRule type="expression" dxfId="155" priority="91">
      <formula>AND($E36&lt;$E$35,$E$8=1)</formula>
    </cfRule>
    <cfRule type="expression" dxfId="154" priority="92">
      <formula>AND($E36&gt;=$E$8,$E$8&lt;&gt;1)</formula>
    </cfRule>
  </conditionalFormatting>
  <conditionalFormatting sqref="E36:E38">
    <cfRule type="expression" dxfId="153" priority="89">
      <formula>AND($E36&lt;$E$35,$E$8=1)</formula>
    </cfRule>
    <cfRule type="expression" dxfId="152" priority="90">
      <formula>AND($E36&gt;=$E$8,$E$8&lt;&gt;1)</formula>
    </cfRule>
  </conditionalFormatting>
  <conditionalFormatting sqref="O8:O37">
    <cfRule type="cellIs" dxfId="151" priority="84" operator="greaterThan">
      <formula>0.000001</formula>
    </cfRule>
  </conditionalFormatting>
  <conditionalFormatting sqref="O36:O37">
    <cfRule type="expression" dxfId="150" priority="82">
      <formula>AND($E36&lt;$E$35,$E$8=1)</formula>
    </cfRule>
    <cfRule type="expression" dxfId="149" priority="83">
      <formula>AND($E36&gt;=$E$8,$E$8&lt;&gt;1)</formula>
    </cfRule>
  </conditionalFormatting>
  <conditionalFormatting sqref="F8:F38">
    <cfRule type="containsText" dxfId="148" priority="80" operator="containsText" text="Dom">
      <formula>NOT(ISERROR(SEARCH("Dom",F8)))</formula>
    </cfRule>
    <cfRule type="containsText" dxfId="147" priority="81" operator="containsText" text="Sáb">
      <formula>NOT(ISERROR(SEARCH("Sáb",F8)))</formula>
    </cfRule>
  </conditionalFormatting>
  <conditionalFormatting sqref="Q8:Q37">
    <cfRule type="cellIs" dxfId="146" priority="78" operator="greaterThan">
      <formula>0.000001</formula>
    </cfRule>
  </conditionalFormatting>
  <conditionalFormatting sqref="G8:K35">
    <cfRule type="expression" dxfId="145" priority="48">
      <formula>OR($G8="Férias",$G8="Falta Injustificada")</formula>
    </cfRule>
    <cfRule type="expression" dxfId="144" priority="49">
      <formula>$G8="Folga (DSR)"</formula>
    </cfRule>
    <cfRule type="expression" dxfId="143" priority="50">
      <formula>$G8="Feriado"</formula>
    </cfRule>
    <cfRule type="expression" dxfId="142" priority="51">
      <formula>$F8="Dom"</formula>
    </cfRule>
  </conditionalFormatting>
  <conditionalFormatting sqref="H8:K35">
    <cfRule type="expression" dxfId="141" priority="47">
      <formula>OR($G8="Falta Justificada",$G8="Falta Injustificada")</formula>
    </cfRule>
  </conditionalFormatting>
  <conditionalFormatting sqref="G36:K37">
    <cfRule type="expression" dxfId="140" priority="43">
      <formula>OR($G36="Férias",$G36="Falta Injustificada")</formula>
    </cfRule>
    <cfRule type="expression" dxfId="139" priority="44">
      <formula>$G36="Folga (DSR)"</formula>
    </cfRule>
    <cfRule type="expression" dxfId="138" priority="45">
      <formula>$G36="Feriado"</formula>
    </cfRule>
    <cfRule type="expression" dxfId="137" priority="46">
      <formula>$F36="Dom"</formula>
    </cfRule>
  </conditionalFormatting>
  <conditionalFormatting sqref="G36:K37">
    <cfRule type="expression" dxfId="136" priority="40">
      <formula>AND($E36&lt;$E$35,$E$8=1)</formula>
    </cfRule>
    <cfRule type="expression" dxfId="135" priority="41">
      <formula>AND($E36&gt;=$E$8,$E$8&lt;&gt;1)</formula>
    </cfRule>
  </conditionalFormatting>
  <conditionalFormatting sqref="H36:K37">
    <cfRule type="expression" dxfId="134" priority="42">
      <formula>OR($G36="Falta Justificada",$G36="Falta Injustificada")</formula>
    </cfRule>
  </conditionalFormatting>
  <conditionalFormatting sqref="O38">
    <cfRule type="cellIs" dxfId="133" priority="38" operator="greaterThan">
      <formula>0.000001</formula>
    </cfRule>
  </conditionalFormatting>
  <conditionalFormatting sqref="M38">
    <cfRule type="cellIs" dxfId="132" priority="39" operator="greaterThan">
      <formula>0</formula>
    </cfRule>
  </conditionalFormatting>
  <conditionalFormatting sqref="L38:O38">
    <cfRule type="expression" dxfId="131" priority="37">
      <formula>AND($E38&gt;=$E$8,$E$8&lt;&gt;1)</formula>
    </cfRule>
  </conditionalFormatting>
  <conditionalFormatting sqref="G38:K38">
    <cfRule type="expression" dxfId="130" priority="24">
      <formula>OR($G38="Férias",$G38="Falta Injustificada")</formula>
    </cfRule>
    <cfRule type="expression" dxfId="129" priority="25">
      <formula>$G38="Folga (DSR)"</formula>
    </cfRule>
    <cfRule type="expression" dxfId="128" priority="26">
      <formula>$G38="Feriado"</formula>
    </cfRule>
    <cfRule type="expression" dxfId="127" priority="27">
      <formula>$F38="Dom"</formula>
    </cfRule>
  </conditionalFormatting>
  <conditionalFormatting sqref="H38:K38">
    <cfRule type="expression" dxfId="126" priority="23">
      <formula>OR($G38="Falta Justificada",$G38="Falta Injustificada")</formula>
    </cfRule>
  </conditionalFormatting>
  <conditionalFormatting sqref="Q38">
    <cfRule type="cellIs" dxfId="125" priority="20" operator="greaterThan">
      <formula>0.000001</formula>
    </cfRule>
  </conditionalFormatting>
  <conditionalFormatting sqref="L38:Q38">
    <cfRule type="expression" dxfId="124" priority="36">
      <formula>AND($E38&lt;$E$35,$E$8=1)</formula>
    </cfRule>
  </conditionalFormatting>
  <conditionalFormatting sqref="G38:Q38">
    <cfRule type="expression" dxfId="123" priority="21">
      <formula>AND($E38&lt;$E$35,$E$8=1)</formula>
    </cfRule>
    <cfRule type="expression" dxfId="122" priority="22">
      <formula>AND($E38&gt;=$E$8,$E$8&lt;&gt;1)</formula>
    </cfRule>
  </conditionalFormatting>
  <conditionalFormatting sqref="U10:U11">
    <cfRule type="expression" dxfId="121" priority="8">
      <formula>$V$11="Negativo"</formula>
    </cfRule>
  </conditionalFormatting>
  <conditionalFormatting sqref="U12:U13">
    <cfRule type="expression" dxfId="120" priority="492">
      <formula>$U$14&gt;$F$58</formula>
    </cfRule>
  </conditionalFormatting>
  <conditionalFormatting sqref="F40">
    <cfRule type="expression" dxfId="119" priority="493">
      <formula>$E40="Folga(DSR)"</formula>
    </cfRule>
    <cfRule type="expression" dxfId="118" priority="494">
      <formula>$E40="Feriado"</formula>
    </cfRule>
    <cfRule type="expression" dxfId="117" priority="495">
      <formula>$D40="Dom"</formula>
    </cfRule>
  </conditionalFormatting>
  <dataValidations count="3">
    <dataValidation type="time" allowBlank="1" showInputMessage="1" showErrorMessage="1" sqref="H8:K38">
      <formula1>0</formula1>
      <formula2>0.999988425925926</formula2>
    </dataValidation>
    <dataValidation type="list" allowBlank="1" showInputMessage="1" showErrorMessage="1" sqref="G8:G38">
      <formula1>"Normal,Feriado,Folga (DSR),Falta Justificada,Férias,Falta Injustificada"</formula1>
    </dataValidation>
    <dataValidation type="list" allowBlank="1" showInputMessage="1" showErrorMessage="1" sqref="E9:E35">
      <formula1>"1,5,10,16"</formula1>
    </dataValidation>
  </dataValidations>
  <hyperlinks>
    <hyperlink ref="C8" location="Lanç!A1" display="Lanç!A1"/>
    <hyperlink ref="C9" location="'Lanç (2)'!A1" display="'Lanç (2)'!A1"/>
    <hyperlink ref="C10" location="'Lanç (3)'!A1" display="'Lanç (3)'!A1"/>
    <hyperlink ref="C11" location="'Lanç (4)'!A1" display="'Lanç (4)'!A1"/>
    <hyperlink ref="C12" location="'Lanç (5)'!A1" display="'Lanç (5)'!A1"/>
    <hyperlink ref="C13" location="'Lanç (6)'!A1" display="'Lanç (6)'!A1"/>
    <hyperlink ref="C14" location="'Lanç (7)'!A1" display="'Lanç (7)'!A1"/>
    <hyperlink ref="C15" location="'Lanç (8)'!A1" display="'Lanç (8)'!A1"/>
    <hyperlink ref="C16" location="'Lanç (9)'!A1" display="'Lanç (9)'!A1"/>
    <hyperlink ref="C17" location="'Lanç (10)'!A1" display="'Lanç (10)'!A1"/>
    <hyperlink ref="C18" location="'Lanç (11)'!A1" display="'Lanç (11)'!A1"/>
    <hyperlink ref="C19" location="'Lanç (12)'!A1" display="'Lanç (12)'!A1"/>
    <hyperlink ref="C20" location="'Lanç (13)'!A1" display="'Lanç (13)'!A1"/>
    <hyperlink ref="C21" location="'Lanç (14)'!A1" display="'Lanç (14)'!A1"/>
    <hyperlink ref="C22" location="'Lanç (15)'!A1" display="'Lanç (15)'!A1"/>
    <hyperlink ref="C23" location="'Lanç (16)'!A1" display="'Lanç (16)'!A1"/>
    <hyperlink ref="C24" location="'Lanç (17)'!A1" display="'Lanç (17)'!A1"/>
    <hyperlink ref="C25" location="'Lanç (18)'!A1" display="'Lanç (18)'!A1"/>
    <hyperlink ref="C26" location="'Lanç (19)'!A1" display="'Lanç (19)'!A1"/>
    <hyperlink ref="C27" location="'Lanç (20)'!A1" display="'Lanç (20)'!A1"/>
    <hyperlink ref="C28" location="'Lanç (21)'!A1" display="'Lanç (21)'!A1"/>
    <hyperlink ref="C29" location="'Lanç (22)'!A1" display="'Lanç (22)'!A1"/>
    <hyperlink ref="C30" location="'Lanç (23)'!A1" display="'Lanç (23)'!A1"/>
    <hyperlink ref="C31" location="'Lanç (24)'!A1" display="'Lanç (24)'!A1"/>
    <hyperlink ref="C32" location="'Lanç (25)'!A1" display="'Lanç (25)'!A1"/>
    <hyperlink ref="C33" location="'Lanç (26)'!A1" display="'Lanç (26)'!A1"/>
    <hyperlink ref="C34" location="'Lanç (27)'!A1" display="'Lanç (27)'!A1"/>
    <hyperlink ref="C35" location="'Lanç (28)'!A1" display="'Lanç (28)'!A1"/>
    <hyperlink ref="C36" location="'Lanç (29)'!A1" display="'Lanç (29)'!A1"/>
    <hyperlink ref="C37" location="'Lanç (30)'!A1" display="'Lanç (30)'!A1"/>
  </hyperlinks>
  <printOptions horizontalCentered="1"/>
  <pageMargins left="0.23622047244094502" right="0.23622047244094502" top="0.74803149606299202" bottom="0.74803149606299202" header="0.31496062992126" footer="0.31496062992126"/>
  <pageSetup paperSize="9" scale="53" orientation="portrait" cellComments="atEnd"/>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69" id="{F9E31500-D19B-3B4C-89DB-6D15F75EBBB4}">
            <xm:f>'P Gerais'!$I$10:$M$10="Pagas em Dinheiro"</xm:f>
            <x14:dxf>
              <font>
                <color theme="0"/>
              </font>
              <fill>
                <patternFill>
                  <bgColor theme="0"/>
                </patternFill>
              </fill>
              <border>
                <left/>
                <right/>
                <top/>
                <bottom/>
              </border>
            </x14:dxf>
          </x14:cfRule>
          <xm:sqref>S10:T13</xm:sqref>
        </x14:conditionalFormatting>
        <x14:conditionalFormatting xmlns:xm="http://schemas.microsoft.com/office/excel/2006/main">
          <x14:cfRule type="expression" priority="68" id="{65758E2F-6F73-7D4F-A484-BB09E6488F20}">
            <xm:f>'P Gerais'!$I$10:$M$10="Sistema de banco de horas"</xm:f>
            <x14:dxf>
              <font>
                <color theme="0"/>
              </font>
              <fill>
                <patternFill>
                  <bgColor theme="0"/>
                </patternFill>
              </fill>
              <border>
                <left/>
                <right/>
                <top/>
                <bottom/>
              </border>
            </x14:dxf>
          </x14:cfRule>
          <xm:sqref>S18:T19</xm:sqref>
        </x14:conditionalFormatting>
        <x14:conditionalFormatting xmlns:xm="http://schemas.microsoft.com/office/excel/2006/main">
          <x14:cfRule type="expression" priority="10" id="{02A43089-3D57-1941-B884-354B634CC948}">
            <xm:f>'P Gerais'!$I$10:$M$10="Sistema de banco de horas"</xm:f>
            <x14:dxf>
              <font>
                <color theme="0"/>
              </font>
              <fill>
                <patternFill>
                  <bgColor theme="0"/>
                </patternFill>
              </fill>
              <border>
                <left/>
                <right/>
                <top/>
                <bottom/>
              </border>
            </x14:dxf>
          </x14:cfRule>
          <xm:sqref>U18:U19</xm:sqref>
        </x14:conditionalFormatting>
        <x14:conditionalFormatting xmlns:xm="http://schemas.microsoft.com/office/excel/2006/main">
          <x14:cfRule type="expression" priority="7" id="{A7A95829-D57F-3E45-A6F7-65A421581429}">
            <xm:f>'P Gerais'!$I$10:$M$10="Pagas em Dinheiro"</xm:f>
            <x14:dxf>
              <font>
                <color theme="0"/>
              </font>
              <fill>
                <patternFill>
                  <bgColor theme="0"/>
                </patternFill>
              </fill>
              <border>
                <left/>
                <right/>
                <top/>
                <bottom/>
              </border>
            </x14:dxf>
          </x14:cfRule>
          <xm:sqref>U10:U13</xm:sqref>
        </x14:conditionalFormatting>
      </x14:conditionalFormattings>
    </ext>
  </extLs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31" enableFormatConditionsCalculation="0"/>
  <dimension ref="A1:BG103"/>
  <sheetViews>
    <sheetView showGridLines="0" zoomScale="90" zoomScaleNormal="90" zoomScalePageLayoutView="90" workbookViewId="0">
      <selection activeCell="I12" sqref="I12"/>
    </sheetView>
  </sheetViews>
  <sheetFormatPr baseColWidth="10" defaultColWidth="0" defaultRowHeight="0" customHeight="1" zeroHeight="1" x14ac:dyDescent="0.2"/>
  <cols>
    <col min="1" max="1" width="27.83203125" style="194" customWidth="1"/>
    <col min="2" max="2" width="3.83203125" style="14" customWidth="1"/>
    <col min="3" max="3" width="33.33203125" style="14" customWidth="1"/>
    <col min="4" max="4" width="2.83203125" style="14" customWidth="1"/>
    <col min="5" max="5" width="5.83203125" style="14" customWidth="1"/>
    <col min="6" max="6" width="11.83203125" style="14" customWidth="1"/>
    <col min="7" max="7" width="14.33203125" style="195" customWidth="1"/>
    <col min="8" max="11" width="9.83203125" style="14" customWidth="1"/>
    <col min="12" max="12" width="1.83203125" style="14" customWidth="1"/>
    <col min="13" max="13" width="13.33203125" style="14" customWidth="1"/>
    <col min="14" max="14" width="1.83203125" style="14" customWidth="1"/>
    <col min="15" max="15" width="13.33203125" style="14" customWidth="1"/>
    <col min="16" max="16" width="1.83203125" style="14" customWidth="1"/>
    <col min="17" max="17" width="13.33203125" style="14" customWidth="1"/>
    <col min="18" max="18" width="4.83203125" style="2" bestFit="1" customWidth="1"/>
    <col min="19" max="21" width="11.83203125" style="14" customWidth="1"/>
    <col min="22" max="23" width="8.83203125" style="2" customWidth="1"/>
    <col min="24" max="24" width="11.33203125" style="2" bestFit="1" customWidth="1"/>
    <col min="25" max="25" width="8.83203125" style="2" customWidth="1"/>
    <col min="26" max="26" width="8.1640625" style="219" bestFit="1" customWidth="1"/>
    <col min="27" max="27" width="8.83203125" style="2" customWidth="1"/>
    <col min="28" max="28" width="11.33203125" style="2" bestFit="1" customWidth="1"/>
    <col min="29" max="43" width="8.83203125" style="2" customWidth="1"/>
    <col min="44" max="50" width="11.33203125" style="2" customWidth="1"/>
    <col min="51" max="57" width="11.33203125" style="14" customWidth="1"/>
    <col min="58" max="16384" width="8.83203125" style="14" hidden="1"/>
  </cols>
  <sheetData>
    <row r="1" spans="1:59" s="15" customFormat="1" ht="33.75" customHeight="1" x14ac:dyDescent="0.3">
      <c r="A1" s="56"/>
      <c r="B1" s="3"/>
      <c r="C1" s="4" t="s">
        <v>30</v>
      </c>
      <c r="D1" s="3"/>
      <c r="E1" s="3"/>
      <c r="F1" s="3"/>
      <c r="G1" s="77"/>
      <c r="H1" s="3"/>
      <c r="I1" s="3"/>
      <c r="J1" s="3"/>
      <c r="K1" s="3"/>
      <c r="L1" s="3"/>
      <c r="M1" s="3"/>
      <c r="N1" s="3"/>
      <c r="O1" s="3"/>
      <c r="Q1" s="3"/>
      <c r="S1" s="3"/>
      <c r="T1" s="3"/>
      <c r="U1" s="3"/>
      <c r="Z1" s="174"/>
    </row>
    <row r="2" spans="1:59" s="15" customFormat="1" ht="21.5" customHeight="1" x14ac:dyDescent="0.2">
      <c r="A2" s="1"/>
      <c r="B2" s="3"/>
      <c r="C2" s="3"/>
      <c r="D2" s="3"/>
      <c r="E2" s="3"/>
      <c r="F2" s="3"/>
      <c r="G2" s="77"/>
      <c r="H2" s="3"/>
      <c r="I2" s="3"/>
      <c r="J2" s="3"/>
      <c r="K2" s="3"/>
      <c r="L2" s="3"/>
      <c r="M2" s="3"/>
      <c r="N2" s="3"/>
      <c r="O2" s="3"/>
      <c r="Q2" s="3"/>
      <c r="S2" s="3"/>
      <c r="T2" s="3"/>
      <c r="U2" s="3"/>
      <c r="Z2" s="174"/>
    </row>
    <row r="3" spans="1:59" s="15" customFormat="1" ht="21.5" customHeight="1" x14ac:dyDescent="0.2">
      <c r="A3" s="1"/>
      <c r="B3" s="3"/>
      <c r="C3" s="3"/>
      <c r="D3" s="3"/>
      <c r="E3" s="3"/>
      <c r="F3" s="3"/>
      <c r="G3" s="77"/>
      <c r="H3" s="3"/>
      <c r="I3" s="3"/>
      <c r="J3" s="3"/>
      <c r="K3" s="3"/>
      <c r="L3" s="3"/>
      <c r="M3" s="3"/>
      <c r="N3" s="3"/>
      <c r="O3" s="3"/>
      <c r="Q3" s="3"/>
      <c r="S3" s="3"/>
      <c r="T3" s="3"/>
      <c r="U3" s="3"/>
      <c r="Z3" s="174"/>
    </row>
    <row r="4" spans="1:59" s="2" customFormat="1" ht="30" customHeight="1" x14ac:dyDescent="0.2">
      <c r="A4" s="1"/>
      <c r="B4"/>
      <c r="C4"/>
      <c r="D4"/>
      <c r="E4"/>
      <c r="F4"/>
      <c r="G4" s="78"/>
      <c r="H4"/>
      <c r="I4"/>
      <c r="J4"/>
      <c r="K4"/>
      <c r="L4"/>
      <c r="M4"/>
      <c r="N4"/>
      <c r="O4" s="13"/>
      <c r="Q4"/>
      <c r="S4"/>
      <c r="T4"/>
      <c r="U4"/>
      <c r="Z4" s="219"/>
      <c r="AN4" s="175"/>
    </row>
    <row r="5" spans="1:59" s="2" customFormat="1" ht="30" customHeight="1" x14ac:dyDescent="0.2">
      <c r="A5" s="1"/>
      <c r="B5"/>
      <c r="C5" s="160" t="s">
        <v>212</v>
      </c>
      <c r="D5"/>
      <c r="E5"/>
      <c r="F5"/>
      <c r="G5"/>
      <c r="H5"/>
      <c r="I5"/>
      <c r="J5"/>
      <c r="K5" s="157">
        <f ca="1">IF(ISERROR(VLOOKUP(INDIRECT($C$5),Jornada!$C$8:$F$37,4,0)),0,VLOOKUP(INDIRECT($C$5),Jornada!$C$8:$F$37,4,0))</f>
        <v>0</v>
      </c>
      <c r="L5" s="158"/>
      <c r="M5" s="157">
        <f ca="1">IF(ISERROR(VLOOKUP(INDIRECT($C$5),Jornada!$C$8:$G$37,5,0)),0,VLOOKUP(INDIRECT($C$5),Jornada!$C$8:$G$37,5,0))</f>
        <v>0</v>
      </c>
      <c r="N5"/>
      <c r="O5" s="69"/>
      <c r="Q5"/>
      <c r="S5"/>
      <c r="T5"/>
      <c r="U5" s="12"/>
      <c r="Z5" s="219"/>
      <c r="AC5" s="12"/>
      <c r="AK5" s="179">
        <v>0.25</v>
      </c>
      <c r="AL5" s="155">
        <v>0.91666666666666663</v>
      </c>
      <c r="AM5" s="155">
        <v>0.20833333333333334</v>
      </c>
      <c r="AN5" s="155">
        <v>1</v>
      </c>
      <c r="AO5" s="155">
        <v>0.70833333333333337</v>
      </c>
    </row>
    <row r="6" spans="1:59" s="2" customFormat="1" ht="8" customHeight="1" thickBot="1" x14ac:dyDescent="0.25">
      <c r="A6" s="1"/>
      <c r="B6"/>
      <c r="C6" s="75"/>
      <c r="D6"/>
      <c r="E6"/>
      <c r="F6"/>
      <c r="G6" s="78"/>
      <c r="H6"/>
      <c r="I6"/>
      <c r="J6"/>
      <c r="M6" s="220">
        <v>1</v>
      </c>
      <c r="N6"/>
      <c r="O6" s="11"/>
      <c r="Q6" s="11"/>
      <c r="S6"/>
      <c r="T6"/>
      <c r="Z6" s="176"/>
    </row>
    <row r="7" spans="1:59" s="2" customFormat="1" ht="30" customHeight="1" thickTop="1" thickBot="1" x14ac:dyDescent="0.25">
      <c r="A7" s="1"/>
      <c r="B7"/>
      <c r="C7" s="76" t="s">
        <v>176</v>
      </c>
      <c r="D7"/>
      <c r="E7" s="281" t="str">
        <f>Lanç!E7</f>
        <v>Janeiro</v>
      </c>
      <c r="F7" s="283"/>
      <c r="G7" s="79" t="s">
        <v>58</v>
      </c>
      <c r="H7" s="82" t="s">
        <v>0</v>
      </c>
      <c r="I7" s="293" t="s">
        <v>59</v>
      </c>
      <c r="J7" s="293"/>
      <c r="K7" s="82" t="s">
        <v>60</v>
      </c>
      <c r="L7"/>
      <c r="M7" s="73" t="s">
        <v>61</v>
      </c>
      <c r="N7"/>
      <c r="O7" s="73" t="s">
        <v>62</v>
      </c>
      <c r="Q7" s="73" t="s">
        <v>63</v>
      </c>
      <c r="R7" s="155">
        <v>8.3333333333333329E-2</v>
      </c>
      <c r="S7" s="293" t="s">
        <v>64</v>
      </c>
      <c r="T7" s="293"/>
      <c r="U7" s="293"/>
      <c r="W7" s="2" t="s">
        <v>90</v>
      </c>
      <c r="X7" s="156">
        <v>1</v>
      </c>
      <c r="AB7" s="2">
        <f>VLOOKUP($E$7,$W$7:$X$18,2,0)</f>
        <v>1</v>
      </c>
      <c r="AG7" s="176" t="s">
        <v>167</v>
      </c>
      <c r="AH7" s="176" t="s">
        <v>168</v>
      </c>
      <c r="AI7" s="155">
        <v>0</v>
      </c>
      <c r="AJ7" s="155">
        <v>1</v>
      </c>
      <c r="AK7" s="155">
        <v>0.45833333333333331</v>
      </c>
      <c r="AL7" s="2" t="s">
        <v>0</v>
      </c>
      <c r="AM7" s="2" t="s">
        <v>162</v>
      </c>
      <c r="AN7" s="2" t="s">
        <v>184</v>
      </c>
      <c r="BE7" s="14"/>
      <c r="BF7" s="14"/>
      <c r="BG7" s="14"/>
    </row>
    <row r="8" spans="1:59" s="2" customFormat="1" ht="30" customHeight="1" thickTop="1" thickBot="1" x14ac:dyDescent="0.25">
      <c r="A8" s="1"/>
      <c r="B8"/>
      <c r="C8" s="172" t="str">
        <f>IF(Funcionários!C7=0,"",Funcionários!C7)</f>
        <v/>
      </c>
      <c r="D8"/>
      <c r="E8" s="115">
        <f>Lanç!E8</f>
        <v>1</v>
      </c>
      <c r="F8" s="189" t="str">
        <f>Lanç!F8</f>
        <v>Dom</v>
      </c>
      <c r="G8" s="80"/>
      <c r="H8" s="93"/>
      <c r="I8" s="93"/>
      <c r="J8" s="93"/>
      <c r="K8" s="93"/>
      <c r="L8" s="10"/>
      <c r="M8" s="95">
        <f>IF(AND(H8=K8,H8&lt;&gt;0),$M$6-IF(J8&lt;I8,$AJ$7+J8-I8,J8-I8),IF(H8&gt;K8,(K8+1-H8)-IF(J8&lt;I8,$AJ$7+J8-I8,J8-I8),(K8-H8)-IF(J8&lt;I8,$AJ$7+J8-I8,J8-I8)))</f>
        <v>0</v>
      </c>
      <c r="N8" s="96"/>
      <c r="O8" s="95">
        <f ca="1">IF(OR(G8=0,G8="Férias",G8="Falta Justificada",G8="Feriado",G8="Folga (DSR)"),0,IF(G8="Falta Injustificada",HLOOKUP($F8,Jornada!$X$7:$AD$37,VLOOKUP(INDIRECT($C$5),Jornada!$C$8:$W$37,21,0),0),IF(HLOOKUP($F8,Jornada!$X$7:$AD$37,VLOOKUP(INDIRECT($C$5),Jornada!$C$8:$W$37,21,0),0)-M8&gt;0,HLOOKUP($F8,Jornada!$X$7:$AD$37,VLOOKUP(INDIRECT($C$5),Jornada!$C$8:$W$37,21,0),0)-M8,0)))</f>
        <v>0</v>
      </c>
      <c r="P8" s="190">
        <f ca="1">IF(HLOOKUP($F8,Jornada!$X$7:$AD$37,VLOOKUP(INDIRECT($C$5),Jornada!$C$8:$W$37,21,0),0)-M8&lt;0,ABS(HLOOKUP($F8,Jornada!$X$7:$AD$37,VLOOKUP(INDIRECT($C$5),Jornada!$C$8:$W$37,21,0),0)-M8),0)</f>
        <v>0</v>
      </c>
      <c r="Q8" s="95">
        <f t="shared" ref="Q8:Q38" si="0">IF(G8="Normal",P8,IF(G8=0,0,IF(OR(G8="Feriado",G8="Férias"),IF(H8&gt;K8,(K8+1-H8)-IF(J8&lt;I8,$AJ$7+J8-I8,J8-I8),(K8-H8)-IF(J8&lt;I8,$AJ$7+J8-I8,J8-I8)),IF(G8="Folga (DSR)",IF(H8&gt;K8,(K8+1-H8)-IF(J8&lt;I8,$AJ$7+J8-I8,J8-I8),(K8-H8)-IF(J8&lt;I8,$AJ$7+J8-I8,J8-I8)),IF(G8="Falta Justificada",IF(H8&gt;K8,(K8+1-H8)-IF(J8&lt;I8,$AJ$7+J8-I8,J8-I8),(K8-H8)-IF(J8&lt;I8,$AJ$7+J8-I8,J8-I8)),0)))))</f>
        <v>0</v>
      </c>
      <c r="R8" s="2">
        <f>IF(Q8&gt;$R$7,1,0)</f>
        <v>0</v>
      </c>
      <c r="S8" s="294" t="s">
        <v>65</v>
      </c>
      <c r="T8" s="294"/>
      <c r="U8" s="295">
        <f>SUM(M8:M38)</f>
        <v>0</v>
      </c>
      <c r="W8" s="2" t="s">
        <v>91</v>
      </c>
      <c r="X8" s="156">
        <v>2</v>
      </c>
      <c r="AB8" s="177">
        <f>DATE('P Gerais'!$D$6,AB7,1)</f>
        <v>1</v>
      </c>
      <c r="AC8" s="2">
        <f>WEEKDAY(AB8)</f>
        <v>1</v>
      </c>
      <c r="AE8" s="2">
        <v>1</v>
      </c>
      <c r="AF8" s="2" t="s">
        <v>51</v>
      </c>
      <c r="AG8" s="220">
        <f>IF(J8&lt;I8,$AJ$7+J8-I8,J8-I8)</f>
        <v>0</v>
      </c>
      <c r="AH8" s="220">
        <f ca="1">IF(HLOOKUP($F8,Jornada!$X$7:$AD$37,VLOOKUP(INDIRECT($C$5),Jornada!$C$8:$W$37,21,0),0)=0,0,VLOOKUP(INDIRECT($C$5),Jornada!$C$8:$H$37,4,0))</f>
        <v>0</v>
      </c>
      <c r="AI8" s="155">
        <f ca="1">IF(AND(I8=0,J8=0,OR(H8&lt;&gt;0,K8&lt;&gt;0),HLOOKUP($F8,Jornada!$X$7:$AD$37,VLOOKUP(INDIRECT($C$5),Jornada!$C$8:$W$37,21,0),0)&gt;$AK$5,M8&gt;$AK$5),VLOOKUP(INDIRECT($C$5),Jornada!$C$8:$H$37,6,0),IF(AG8&gt;VLOOKUP(INDIRECT($C$5),Jornada!$C$8:$H$37,6,0),IF(VLOOKUP(INDIRECT($C$5),Jornada!$C$8:$H$37,6,0)&lt;AG8,0,ABS(VLOOKUP(INDIRECT($C$5),Jornada!$C$8:$H$37,6,0))-AG8),0))</f>
        <v>0</v>
      </c>
      <c r="AJ8" s="155">
        <f>($AJ$7-K8)+H8</f>
        <v>1</v>
      </c>
      <c r="AK8" s="155">
        <f>IF(AJ8&lt;$AK$7,$AK$7-AJ8,$AI$7)</f>
        <v>0</v>
      </c>
      <c r="AL8" s="155">
        <f ca="1">HLOOKUP($F8,Jornada!$I$5:$V$37,VLOOKUP(INDIRECT($C$5),Jornada!$C$8:$W$37,21,0)+2,0)</f>
        <v>0</v>
      </c>
      <c r="AM8" s="155">
        <f ca="1">HLOOKUP($F8,Jornada!$I$4:$V$37,VLOOKUP(INDIRECT($C$5),Jornada!$C$8:$W$37,21,0)+3,0)</f>
        <v>0</v>
      </c>
      <c r="AN8" s="155">
        <f ca="1">IF(AND(AL8&gt;=$AL$5,AL8&lt;$AN$5,H8&gt;=$AL$5,H8&lt;AL8),AL8-H8,IF(AND(AL8&gt;$AI$7,AL8&lt;=$AM$5,H8&gt;=$AL$5,H8&lt;=$AN$5),$AN$5-H8+AL8,IF(AND(AL8&gt;=$AI$7,AL8&lt;=$AM$5,H8&gt;=$AI$7,H8&lt;=$AM$5,H8&lt;AL8),H8-AL8,0)))</f>
        <v>0</v>
      </c>
      <c r="AO8" s="155">
        <f>IF(AP8&gt;Q8,0,AP8)</f>
        <v>0</v>
      </c>
      <c r="AP8" s="155">
        <f>IF(Q8=0,0,IF(AND(AM8&gt;=$AL$5,AM8&lt;$AN$5,K8&gt;=$AL$5,K8&lt;$AM$5,K8&gt;AM8),K8-AM8,IF(AND(AM8&gt;=$AL$5,AM8&lt;$AN$5,K8&lt;$AN$5,K8&gt;AM8),K8-$AL$5,IF(AND(AM8&gt;=$AI$7,AM8&lt;$AM$5,K8&lt;$AM$5),K8-AM8,IF(AND(AM8&lt;&gt;AI7,AM8&gt;=$AI$7,AM8&lt;=$AM$5,K8&gt;$AM$5,K8&gt;AM8),$AM$5-AM8,IF(AND(K8&gt;$AL$5,K8&lt;$AN$5),K8-$AL$5,IF(AND(K8&gt;$AI$7,K8&lt;$AM$5),$AN$5-$AL$5+K8,IF(AND(OR(K8&gt;$AL$5,H8&gt;$AO$5),AM8&gt;=$AI$7,AM8&lt;$AM$5,K8&gt;$AM$5),(1+$AM$5-$AL$5)-AG8,0))))))))</f>
        <v>0</v>
      </c>
      <c r="BE8" s="14"/>
      <c r="BF8" s="14"/>
      <c r="BG8" s="14"/>
    </row>
    <row r="9" spans="1:59" s="2" customFormat="1" ht="30" customHeight="1" thickTop="1" thickBot="1" x14ac:dyDescent="0.25">
      <c r="A9" s="1"/>
      <c r="B9"/>
      <c r="C9" s="172" t="str">
        <f>IF(Funcionários!C8=0,"",Funcionários!C8)</f>
        <v/>
      </c>
      <c r="D9"/>
      <c r="E9" s="115">
        <f>Lanç!E9</f>
        <v>2</v>
      </c>
      <c r="F9" s="189" t="str">
        <f>Lanç!F9</f>
        <v>Seg</v>
      </c>
      <c r="G9" s="81"/>
      <c r="H9" s="94"/>
      <c r="I9" s="94"/>
      <c r="J9" s="94"/>
      <c r="K9" s="94"/>
      <c r="L9" s="10"/>
      <c r="M9" s="95">
        <f t="shared" ref="M9:M38" si="1">IF(AND(H9=K9,H9&lt;&gt;0),$M$6-IF(J9&lt;I9,$AJ$7+J9-I9,J9-I9),IF(H9&gt;K9,(K9+1-H9)-IF(J9&lt;I9,$AJ$7+J9-I9,J9-I9),(K9-H9)-IF(J9&lt;I9,$AJ$7+J9-I9,J9-I9)))</f>
        <v>0</v>
      </c>
      <c r="N9" s="96"/>
      <c r="O9" s="95">
        <f ca="1">IF(OR(G9=0,G9="Férias",G9="Falta Justificada",G9="Feriado",G9="Folga (DSR)"),0,IF(G9="Falta Injustificada",HLOOKUP($F9,Jornada!$X$7:$AD$37,VLOOKUP(INDIRECT($C$5),Jornada!$C$8:$W$37,21,0),0),IF(HLOOKUP($F9,Jornada!$X$7:$AD$37,VLOOKUP(INDIRECT($C$5),Jornada!$C$8:$W$37,21,0),0)-M9&gt;0,HLOOKUP($F9,Jornada!$X$7:$AD$37,VLOOKUP(INDIRECT($C$5),Jornada!$C$8:$W$37,21,0),0)-M9,0)))</f>
        <v>0</v>
      </c>
      <c r="P9" s="190">
        <f ca="1">IF(HLOOKUP($F9,Jornada!$X$7:$AD$37,VLOOKUP(INDIRECT($C$5),Jornada!$C$8:$W$37,21,0),0)-M9&lt;0,ABS(HLOOKUP($F9,Jornada!$X$7:$AD$37,VLOOKUP(INDIRECT($C$5),Jornada!$C$8:$W$37,21,0),0)-M9),0)</f>
        <v>0</v>
      </c>
      <c r="Q9" s="95">
        <f t="shared" si="0"/>
        <v>0</v>
      </c>
      <c r="R9" s="2">
        <f t="shared" ref="R9:R38" si="2">IF(Q9&gt;$R$7,1,0)</f>
        <v>0</v>
      </c>
      <c r="S9" s="294"/>
      <c r="T9" s="294"/>
      <c r="U9" s="295"/>
      <c r="W9" s="2" t="s">
        <v>92</v>
      </c>
      <c r="X9" s="156">
        <v>3</v>
      </c>
      <c r="AB9" s="177">
        <f>AB8+1</f>
        <v>2</v>
      </c>
      <c r="AC9" s="2">
        <f t="shared" ref="AC9:AC35" si="3">WEEKDAY(AB9)</f>
        <v>2</v>
      </c>
      <c r="AE9" s="2">
        <v>2</v>
      </c>
      <c r="AF9" s="2" t="s">
        <v>52</v>
      </c>
      <c r="AG9" s="220">
        <f t="shared" ref="AG9:AG38" si="4">IF(J9&lt;I9,$AJ$7+J9-I9,J9-I9)</f>
        <v>0</v>
      </c>
      <c r="AH9" s="220">
        <f ca="1">IF(HLOOKUP($F9,Jornada!$X$7:$AD$37,VLOOKUP(INDIRECT($C$5),Jornada!$C$8:$W$37,21,0),0)=0,0,VLOOKUP(INDIRECT($C$5),Jornada!$C$8:$H$37,4,0))</f>
        <v>0</v>
      </c>
      <c r="AI9" s="155">
        <f ca="1">IF(AND(I9=0,J9=0,OR(H9&lt;&gt;0,K9&lt;&gt;0),HLOOKUP($F9,Jornada!$X$7:$AD$37,VLOOKUP(INDIRECT($C$5),Jornada!$C$8:$W$37,21,0),0)&gt;$AK$5,M9&gt;$AK$5),VLOOKUP(INDIRECT($C$5),Jornada!$C$8:$H$37,6,0),IF(AG9&gt;VLOOKUP(INDIRECT($C$5),Jornada!$C$8:$H$37,6,0),IF(VLOOKUP(INDIRECT($C$5),Jornada!$C$8:$H$37,6,0)&lt;AG9,0,ABS(VLOOKUP(INDIRECT($C$5),Jornada!$C$8:$H$37,6,0))-AG9),0))</f>
        <v>0</v>
      </c>
      <c r="AJ9" s="155">
        <f t="shared" ref="AJ9:AJ38" si="5">($AJ$7-K9)+H9</f>
        <v>1</v>
      </c>
      <c r="AK9" s="155">
        <f t="shared" ref="AK9:AK38" si="6">IF(AJ9&lt;$AK$7,$AK$7-AJ9,$AI$7)</f>
        <v>0</v>
      </c>
      <c r="AL9" s="155">
        <f ca="1">HLOOKUP($F9,Jornada!$I$5:$V$37,VLOOKUP(INDIRECT($C$5),Jornada!$C$8:$W$37,21,0)+2,0)</f>
        <v>0</v>
      </c>
      <c r="AM9" s="155">
        <f ca="1">HLOOKUP($F9,Jornada!$I$4:$V$37,VLOOKUP(INDIRECT($C$5),Jornada!$C$8:$W$37,21,0)+3,0)</f>
        <v>0</v>
      </c>
      <c r="AN9" s="155">
        <f t="shared" ref="AN9:AN38" ca="1" si="7">IF(AND(AL9&gt;=$AL$5,AL9&lt;$AN$5,H9&gt;=$AL$5,H9&lt;AL9),AL9-H9,IF(AND(AL9&gt;$AI$7,AL9&lt;=$AM$5,H9&gt;=$AL$5,H9&lt;=$AN$5),$AN$5-H9+AL9,IF(AND(AL9&gt;=$AI$7,AL9&lt;=$AM$5,H9&gt;=$AI$7,H9&lt;=$AM$5,H9&lt;AL9),H9-AL9,0)))</f>
        <v>0</v>
      </c>
      <c r="AO9" s="155">
        <f t="shared" ref="AO9:AO38" si="8">IF(AP9&gt;Q9,0,AP9)</f>
        <v>0</v>
      </c>
      <c r="AP9" s="155">
        <f t="shared" ref="AP9:AP38" si="9">IF(Q9=0,0,IF(AND(AM9&gt;=$AL$5,AM9&lt;$AN$5,K9&gt;=$AL$5,K9&lt;$AM$5,K9&gt;AM9),K9-AM9,IF(AND(AM9&gt;=$AL$5,AM9&lt;$AN$5,K9&lt;$AN$5,K9&gt;AM9),K9-$AL$5,IF(AND(AM9&gt;=$AI$7,AM9&lt;$AM$5,K9&lt;$AM$5),K9-AM9,IF(AND(AM9&lt;&gt;AI8,AM9&gt;=$AI$7,AM9&lt;=$AM$5,K9&gt;$AM$5,K9&gt;AM9),$AM$5-AM9,IF(AND(K9&gt;$AL$5,K9&lt;$AN$5),K9-$AL$5,IF(AND(K9&gt;$AI$7,K9&lt;$AM$5),$AN$5-$AL$5+K9,IF(AND(OR(K9&gt;$AL$5,H9&gt;$AO$5),AM9&gt;=$AI$7,AM9&lt;$AM$5,K9&gt;$AM$5),(1+$AM$5-$AL$5)-AG9,0))))))))</f>
        <v>0</v>
      </c>
      <c r="BE9" s="14"/>
      <c r="BF9" s="14"/>
      <c r="BG9" s="14"/>
    </row>
    <row r="10" spans="1:59" s="2" customFormat="1" ht="30" customHeight="1" thickTop="1" thickBot="1" x14ac:dyDescent="0.25">
      <c r="A10" s="1"/>
      <c r="B10"/>
      <c r="C10" s="172" t="str">
        <f>IF(Funcionários!C9=0,"",Funcionários!C9)</f>
        <v/>
      </c>
      <c r="D10"/>
      <c r="E10" s="115">
        <f>Lanç!E10</f>
        <v>3</v>
      </c>
      <c r="F10" s="189" t="str">
        <f>Lanç!F10</f>
        <v>Ter</v>
      </c>
      <c r="G10" s="81"/>
      <c r="H10" s="94"/>
      <c r="I10" s="94"/>
      <c r="J10" s="94"/>
      <c r="K10" s="94"/>
      <c r="L10" s="10"/>
      <c r="M10" s="95">
        <f t="shared" si="1"/>
        <v>0</v>
      </c>
      <c r="N10" s="96"/>
      <c r="O10" s="95">
        <f ca="1">IF(OR(G10=0,G10="Férias",G10="Falta Justificada",G10="Feriado",G10="Folga (DSR)"),0,IF(G10="Falta Injustificada",HLOOKUP($F10,Jornada!$X$7:$AD$37,VLOOKUP(INDIRECT($C$5),Jornada!$C$8:$W$37,21,0),0),IF(HLOOKUP($F10,Jornada!$X$7:$AD$37,VLOOKUP(INDIRECT($C$5),Jornada!$C$8:$W$37,21,0),0)-M10&gt;0,HLOOKUP($F10,Jornada!$X$7:$AD$37,VLOOKUP(INDIRECT($C$5),Jornada!$C$8:$W$37,21,0),0)-M10,0)))</f>
        <v>0</v>
      </c>
      <c r="P10" s="190">
        <f ca="1">IF(HLOOKUP($F10,Jornada!$X$7:$AD$37,VLOOKUP(INDIRECT($C$5),Jornada!$C$8:$W$37,21,0),0)-M10&lt;0,ABS(HLOOKUP($F10,Jornada!$X$7:$AD$37,VLOOKUP(INDIRECT($C$5),Jornada!$C$8:$W$37,21,0),0)-M10),0)</f>
        <v>0</v>
      </c>
      <c r="Q10" s="95">
        <f t="shared" si="0"/>
        <v>0</v>
      </c>
      <c r="R10" s="2">
        <f t="shared" si="2"/>
        <v>0</v>
      </c>
      <c r="S10" s="294" t="s">
        <v>66</v>
      </c>
      <c r="T10" s="294"/>
      <c r="U10" s="295">
        <f ca="1">IF(M5="Horas devidas",ABS(-K5+F58-U14),ABS(K5+F58-U14))</f>
        <v>0</v>
      </c>
      <c r="W10" s="2" t="s">
        <v>93</v>
      </c>
      <c r="X10" s="156">
        <v>4</v>
      </c>
      <c r="AB10" s="177">
        <f t="shared" ref="AB10:AB34" si="10">AB9+1</f>
        <v>3</v>
      </c>
      <c r="AC10" s="2">
        <f t="shared" si="3"/>
        <v>3</v>
      </c>
      <c r="AE10" s="2">
        <v>3</v>
      </c>
      <c r="AF10" s="2" t="s">
        <v>53</v>
      </c>
      <c r="AG10" s="220">
        <f t="shared" si="4"/>
        <v>0</v>
      </c>
      <c r="AH10" s="220">
        <f ca="1">IF(HLOOKUP($F10,Jornada!$X$7:$AD$37,VLOOKUP(INDIRECT($C$5),Jornada!$C$8:$W$37,21,0),0)=0,0,VLOOKUP(INDIRECT($C$5),Jornada!$C$8:$H$37,4,0))</f>
        <v>0</v>
      </c>
      <c r="AI10" s="155">
        <f ca="1">IF(AND(I10=0,J10=0,OR(H10&lt;&gt;0,K10&lt;&gt;0),HLOOKUP($F10,Jornada!$X$7:$AD$37,VLOOKUP(INDIRECT($C$5),Jornada!$C$8:$W$37,21,0),0)&gt;$AK$5,M10&gt;$AK$5),VLOOKUP(INDIRECT($C$5),Jornada!$C$8:$H$37,6,0),IF(AG10&gt;VLOOKUP(INDIRECT($C$5),Jornada!$C$8:$H$37,6,0),IF(VLOOKUP(INDIRECT($C$5),Jornada!$C$8:$H$37,6,0)&lt;AG10,0,ABS(VLOOKUP(INDIRECT($C$5),Jornada!$C$8:$H$37,6,0))-AG10),0))</f>
        <v>0</v>
      </c>
      <c r="AJ10" s="155">
        <f t="shared" si="5"/>
        <v>1</v>
      </c>
      <c r="AK10" s="155">
        <f t="shared" si="6"/>
        <v>0</v>
      </c>
      <c r="AL10" s="155">
        <f ca="1">HLOOKUP($F10,Jornada!$I$5:$V$37,VLOOKUP(INDIRECT($C$5),Jornada!$C$8:$W$37,21,0)+2,0)</f>
        <v>0</v>
      </c>
      <c r="AM10" s="155">
        <f ca="1">HLOOKUP($F10,Jornada!$I$4:$V$37,VLOOKUP(INDIRECT($C$5),Jornada!$C$8:$W$37,21,0)+3,0)</f>
        <v>0</v>
      </c>
      <c r="AN10" s="155">
        <f t="shared" ca="1" si="7"/>
        <v>0</v>
      </c>
      <c r="AO10" s="155">
        <f t="shared" si="8"/>
        <v>0</v>
      </c>
      <c r="AP10" s="155">
        <f t="shared" si="9"/>
        <v>0</v>
      </c>
      <c r="BE10" s="14"/>
      <c r="BF10" s="14"/>
      <c r="BG10" s="14"/>
    </row>
    <row r="11" spans="1:59" s="2" customFormat="1" ht="30" customHeight="1" thickTop="1" thickBot="1" x14ac:dyDescent="0.25">
      <c r="A11" s="1"/>
      <c r="B11"/>
      <c r="C11" s="172" t="str">
        <f>IF(Funcionários!C10=0,"",Funcionários!C10)</f>
        <v/>
      </c>
      <c r="D11"/>
      <c r="E11" s="115">
        <f>Lanç!E11</f>
        <v>4</v>
      </c>
      <c r="F11" s="189" t="str">
        <f>Lanç!F11</f>
        <v>Qua</v>
      </c>
      <c r="G11" s="81"/>
      <c r="H11" s="94"/>
      <c r="I11" s="94"/>
      <c r="J11" s="94"/>
      <c r="K11" s="94"/>
      <c r="L11" s="10"/>
      <c r="M11" s="95">
        <f t="shared" si="1"/>
        <v>0</v>
      </c>
      <c r="N11" s="96"/>
      <c r="O11" s="95">
        <f ca="1">IF(OR(G11=0,G11="Férias",G11="Falta Justificada",G11="Feriado",G11="Folga (DSR)"),0,IF(G11="Falta Injustificada",HLOOKUP($F11,Jornada!$X$7:$AD$37,VLOOKUP(INDIRECT($C$5),Jornada!$C$8:$W$37,21,0),0),IF(HLOOKUP($F11,Jornada!$X$7:$AD$37,VLOOKUP(INDIRECT($C$5),Jornada!$C$8:$W$37,21,0),0)-M11&gt;0,HLOOKUP($F11,Jornada!$X$7:$AD$37,VLOOKUP(INDIRECT($C$5),Jornada!$C$8:$W$37,21,0),0)-M11,0)))</f>
        <v>0</v>
      </c>
      <c r="P11" s="190">
        <f ca="1">IF(HLOOKUP($F11,Jornada!$X$7:$AD$37,VLOOKUP(INDIRECT($C$5),Jornada!$C$8:$W$37,21,0),0)-M11&lt;0,ABS(HLOOKUP($F11,Jornada!$X$7:$AD$37,VLOOKUP(INDIRECT($C$5),Jornada!$C$8:$W$37,21,0),0)-M11),0)</f>
        <v>0</v>
      </c>
      <c r="Q11" s="95">
        <f t="shared" si="0"/>
        <v>0</v>
      </c>
      <c r="R11" s="2">
        <f t="shared" si="2"/>
        <v>0</v>
      </c>
      <c r="S11" s="294"/>
      <c r="T11" s="294"/>
      <c r="U11" s="295"/>
      <c r="V11" s="2">
        <f ca="1">IF(AND(K5&gt;U12,M5="Horas devidas"),"Negativo",IF(AND(U12&gt;K5,U14&gt;F58),"Negativo",0))</f>
        <v>0</v>
      </c>
      <c r="W11" s="2" t="s">
        <v>94</v>
      </c>
      <c r="X11" s="156">
        <v>5</v>
      </c>
      <c r="Z11" s="2" t="str">
        <f ca="1">IF(AND(M5="horas extras",Z13="positivo"),"positivo",IF(AND(M5="horas devidas",Z13="Negativo"),"Negativo",IF(AND(Z13="positivo",M5="horas devidas",U12&gt;K5),"Positivo","Negativo")))</f>
        <v>Negativo</v>
      </c>
      <c r="AB11" s="177">
        <f t="shared" si="10"/>
        <v>4</v>
      </c>
      <c r="AC11" s="2">
        <f t="shared" si="3"/>
        <v>4</v>
      </c>
      <c r="AE11" s="2">
        <v>4</v>
      </c>
      <c r="AF11" s="2" t="s">
        <v>54</v>
      </c>
      <c r="AG11" s="220">
        <f t="shared" si="4"/>
        <v>0</v>
      </c>
      <c r="AH11" s="220">
        <f ca="1">IF(HLOOKUP($F11,Jornada!$X$7:$AD$37,VLOOKUP(INDIRECT($C$5),Jornada!$C$8:$W$37,21,0),0)=0,0,VLOOKUP(INDIRECT($C$5),Jornada!$C$8:$H$37,4,0))</f>
        <v>0</v>
      </c>
      <c r="AI11" s="155">
        <f ca="1">IF(AND(I11=0,J11=0,OR(H11&lt;&gt;0,K11&lt;&gt;0),HLOOKUP($F11,Jornada!$X$7:$AD$37,VLOOKUP(INDIRECT($C$5),Jornada!$C$8:$W$37,21,0),0)&gt;$AK$5,M11&gt;$AK$5),VLOOKUP(INDIRECT($C$5),Jornada!$C$8:$H$37,6,0),IF(AG11&gt;VLOOKUP(INDIRECT($C$5),Jornada!$C$8:$H$37,6,0),IF(VLOOKUP(INDIRECT($C$5),Jornada!$C$8:$H$37,6,0)&lt;AG11,0,ABS(VLOOKUP(INDIRECT($C$5),Jornada!$C$8:$H$37,6,0))-AG11),0))</f>
        <v>0</v>
      </c>
      <c r="AJ11" s="155">
        <f t="shared" si="5"/>
        <v>1</v>
      </c>
      <c r="AK11" s="155">
        <f t="shared" si="6"/>
        <v>0</v>
      </c>
      <c r="AL11" s="155">
        <f ca="1">HLOOKUP($F11,Jornada!$I$5:$V$37,VLOOKUP(INDIRECT($C$5),Jornada!$C$8:$W$37,21,0)+2,0)</f>
        <v>0</v>
      </c>
      <c r="AM11" s="155">
        <f ca="1">HLOOKUP($F11,Jornada!$I$4:$V$37,VLOOKUP(INDIRECT($C$5),Jornada!$C$8:$W$37,21,0)+3,0)</f>
        <v>0</v>
      </c>
      <c r="AN11" s="155">
        <f t="shared" ca="1" si="7"/>
        <v>0</v>
      </c>
      <c r="AO11" s="155">
        <f t="shared" si="8"/>
        <v>0</v>
      </c>
      <c r="AP11" s="155">
        <f t="shared" si="9"/>
        <v>0</v>
      </c>
      <c r="BE11" s="14"/>
      <c r="BF11" s="14"/>
      <c r="BG11" s="14"/>
    </row>
    <row r="12" spans="1:59" s="2" customFormat="1" ht="30" customHeight="1" thickTop="1" thickBot="1" x14ac:dyDescent="0.25">
      <c r="A12" s="1"/>
      <c r="B12"/>
      <c r="C12" s="172" t="str">
        <f>IF(Funcionários!C11=0,"",Funcionários!C11)</f>
        <v/>
      </c>
      <c r="D12"/>
      <c r="E12" s="115">
        <f>Lanç!E12</f>
        <v>5</v>
      </c>
      <c r="F12" s="189" t="str">
        <f>Lanç!F12</f>
        <v>Qui</v>
      </c>
      <c r="G12" s="81"/>
      <c r="H12" s="94"/>
      <c r="I12" s="94"/>
      <c r="J12" s="94"/>
      <c r="K12" s="94"/>
      <c r="L12" s="10"/>
      <c r="M12" s="95">
        <f t="shared" si="1"/>
        <v>0</v>
      </c>
      <c r="N12" s="96"/>
      <c r="O12" s="95">
        <f ca="1">IF(OR(G12=0,G12="Férias",G12="Falta Justificada",G12="Feriado",G12="Folga (DSR)"),0,IF(G12="Falta Injustificada",HLOOKUP($F12,Jornada!$X$7:$AD$37,VLOOKUP(INDIRECT($C$5),Jornada!$C$8:$W$37,21,0),0),IF(HLOOKUP($F12,Jornada!$X$7:$AD$37,VLOOKUP(INDIRECT($C$5),Jornada!$C$8:$W$37,21,0),0)-M12&gt;0,HLOOKUP($F12,Jornada!$X$7:$AD$37,VLOOKUP(INDIRECT($C$5),Jornada!$C$8:$W$37,21,0),0)-M12,0)))</f>
        <v>0</v>
      </c>
      <c r="P12" s="190">
        <f ca="1">IF(HLOOKUP($F12,Jornada!$X$7:$AD$37,VLOOKUP(INDIRECT($C$5),Jornada!$C$8:$W$37,21,0),0)-M12&lt;0,ABS(HLOOKUP($F12,Jornada!$X$7:$AD$37,VLOOKUP(INDIRECT($C$5),Jornada!$C$8:$W$37,21,0),0)-M12),0)</f>
        <v>0</v>
      </c>
      <c r="Q12" s="95">
        <f t="shared" si="0"/>
        <v>0</v>
      </c>
      <c r="R12" s="2">
        <f t="shared" si="2"/>
        <v>0</v>
      </c>
      <c r="S12" s="294" t="s">
        <v>175</v>
      </c>
      <c r="T12" s="294"/>
      <c r="U12" s="295">
        <f ca="1">IF(U14&gt;=F58,(U14)-F58,(F58-U14))</f>
        <v>0</v>
      </c>
      <c r="W12" s="2" t="s">
        <v>95</v>
      </c>
      <c r="X12" s="156">
        <v>6</v>
      </c>
      <c r="AB12" s="177">
        <f t="shared" si="10"/>
        <v>5</v>
      </c>
      <c r="AC12" s="2">
        <f t="shared" si="3"/>
        <v>5</v>
      </c>
      <c r="AE12" s="2">
        <v>5</v>
      </c>
      <c r="AF12" s="2" t="s">
        <v>55</v>
      </c>
      <c r="AG12" s="220">
        <f t="shared" si="4"/>
        <v>0</v>
      </c>
      <c r="AH12" s="220">
        <f ca="1">IF(HLOOKUP($F12,Jornada!$X$7:$AD$37,VLOOKUP(INDIRECT($C$5),Jornada!$C$8:$W$37,21,0),0)=0,0,VLOOKUP(INDIRECT($C$5),Jornada!$C$8:$H$37,4,0))</f>
        <v>0</v>
      </c>
      <c r="AI12" s="155">
        <f ca="1">IF(AND(I12=0,J12=0,OR(H12&lt;&gt;0,K12&lt;&gt;0),HLOOKUP($F12,Jornada!$X$7:$AD$37,VLOOKUP(INDIRECT($C$5),Jornada!$C$8:$W$37,21,0),0)&gt;$AK$5,M12&gt;$AK$5),VLOOKUP(INDIRECT($C$5),Jornada!$C$8:$H$37,6,0),IF(AG12&gt;VLOOKUP(INDIRECT($C$5),Jornada!$C$8:$H$37,6,0),IF(VLOOKUP(INDIRECT($C$5),Jornada!$C$8:$H$37,6,0)&lt;AG12,0,ABS(VLOOKUP(INDIRECT($C$5),Jornada!$C$8:$H$37,6,0))-AG12),0))</f>
        <v>0</v>
      </c>
      <c r="AJ12" s="155">
        <f t="shared" si="5"/>
        <v>1</v>
      </c>
      <c r="AK12" s="155">
        <f t="shared" si="6"/>
        <v>0</v>
      </c>
      <c r="AL12" s="155">
        <f ca="1">HLOOKUP($F12,Jornada!$I$5:$V$37,VLOOKUP(INDIRECT($C$5),Jornada!$C$8:$W$37,21,0)+2,0)</f>
        <v>0</v>
      </c>
      <c r="AM12" s="155">
        <f ca="1">HLOOKUP($F12,Jornada!$I$4:$V$37,VLOOKUP(INDIRECT($C$5),Jornada!$C$8:$W$37,21,0)+3,0)</f>
        <v>0</v>
      </c>
      <c r="AN12" s="155">
        <f t="shared" ca="1" si="7"/>
        <v>0</v>
      </c>
      <c r="AO12" s="155">
        <f t="shared" si="8"/>
        <v>0</v>
      </c>
      <c r="AP12" s="155">
        <f t="shared" si="9"/>
        <v>0</v>
      </c>
      <c r="BE12" s="14"/>
      <c r="BF12" s="14"/>
      <c r="BG12" s="14"/>
    </row>
    <row r="13" spans="1:59" s="2" customFormat="1" ht="30" customHeight="1" thickTop="1" thickBot="1" x14ac:dyDescent="0.25">
      <c r="A13" s="1"/>
      <c r="B13"/>
      <c r="C13" s="172" t="str">
        <f>IF(Funcionários!C12=0,"",Funcionários!C12)</f>
        <v/>
      </c>
      <c r="D13"/>
      <c r="E13" s="115">
        <f>Lanç!E13</f>
        <v>6</v>
      </c>
      <c r="F13" s="189" t="str">
        <f>Lanç!F13</f>
        <v>Sex</v>
      </c>
      <c r="G13" s="81"/>
      <c r="H13" s="94"/>
      <c r="I13" s="94"/>
      <c r="J13" s="94"/>
      <c r="K13" s="94"/>
      <c r="L13" s="10"/>
      <c r="M13" s="95">
        <f t="shared" si="1"/>
        <v>0</v>
      </c>
      <c r="N13" s="96"/>
      <c r="O13" s="95">
        <f ca="1">IF(OR(G13=0,G13="Férias",G13="Falta Justificada",G13="Feriado",G13="Folga (DSR)"),0,IF(G13="Falta Injustificada",HLOOKUP($F13,Jornada!$X$7:$AD$37,VLOOKUP(INDIRECT($C$5),Jornada!$C$8:$W$37,21,0),0),IF(HLOOKUP($F13,Jornada!$X$7:$AD$37,VLOOKUP(INDIRECT($C$5),Jornada!$C$8:$W$37,21,0),0)-M13&gt;0,HLOOKUP($F13,Jornada!$X$7:$AD$37,VLOOKUP(INDIRECT($C$5),Jornada!$C$8:$W$37,21,0),0)-M13,0)))</f>
        <v>0</v>
      </c>
      <c r="P13" s="190">
        <f ca="1">IF(HLOOKUP($F13,Jornada!$X$7:$AD$37,VLOOKUP(INDIRECT($C$5),Jornada!$C$8:$W$37,21,0),0)-M13&lt;0,ABS(HLOOKUP($F13,Jornada!$X$7:$AD$37,VLOOKUP(INDIRECT($C$5),Jornada!$C$8:$W$37,21,0),0)-M13),0)</f>
        <v>0</v>
      </c>
      <c r="Q13" s="95">
        <f t="shared" si="0"/>
        <v>0</v>
      </c>
      <c r="R13" s="2">
        <f t="shared" si="2"/>
        <v>0</v>
      </c>
      <c r="S13" s="294"/>
      <c r="T13" s="294"/>
      <c r="U13" s="295"/>
      <c r="W13" s="2" t="s">
        <v>96</v>
      </c>
      <c r="X13" s="156">
        <v>7</v>
      </c>
      <c r="Z13" s="2" t="str">
        <f ca="1">IF(U14&gt;F58,"Negativo","Positivo")</f>
        <v>Positivo</v>
      </c>
      <c r="AB13" s="177">
        <f t="shared" si="10"/>
        <v>6</v>
      </c>
      <c r="AC13" s="2">
        <f t="shared" si="3"/>
        <v>6</v>
      </c>
      <c r="AE13" s="2">
        <v>6</v>
      </c>
      <c r="AF13" s="2" t="s">
        <v>56</v>
      </c>
      <c r="AG13" s="220">
        <f t="shared" si="4"/>
        <v>0</v>
      </c>
      <c r="AH13" s="220">
        <f ca="1">IF(HLOOKUP($F13,Jornada!$X$7:$AD$37,VLOOKUP(INDIRECT($C$5),Jornada!$C$8:$W$37,21,0),0)=0,0,VLOOKUP(INDIRECT($C$5),Jornada!$C$8:$H$37,4,0))</f>
        <v>0</v>
      </c>
      <c r="AI13" s="155">
        <f ca="1">IF(AND(I13=0,J13=0,OR(H13&lt;&gt;0,K13&lt;&gt;0),HLOOKUP($F13,Jornada!$X$7:$AD$37,VLOOKUP(INDIRECT($C$5),Jornada!$C$8:$W$37,21,0),0)&gt;$AK$5,M13&gt;$AK$5),VLOOKUP(INDIRECT($C$5),Jornada!$C$8:$H$37,6,0),IF(AG13&gt;VLOOKUP(INDIRECT($C$5),Jornada!$C$8:$H$37,6,0),IF(VLOOKUP(INDIRECT($C$5),Jornada!$C$8:$H$37,6,0)&lt;AG13,0,ABS(VLOOKUP(INDIRECT($C$5),Jornada!$C$8:$H$37,6,0))-AG13),0))</f>
        <v>0</v>
      </c>
      <c r="AJ13" s="155">
        <f t="shared" si="5"/>
        <v>1</v>
      </c>
      <c r="AK13" s="155">
        <f t="shared" si="6"/>
        <v>0</v>
      </c>
      <c r="AL13" s="155">
        <f ca="1">HLOOKUP($F13,Jornada!$I$5:$V$37,VLOOKUP(INDIRECT($C$5),Jornada!$C$8:$W$37,21,0)+2,0)</f>
        <v>0</v>
      </c>
      <c r="AM13" s="155">
        <f ca="1">HLOOKUP($F13,Jornada!$I$4:$V$37,VLOOKUP(INDIRECT($C$5),Jornada!$C$8:$W$37,21,0)+3,0)</f>
        <v>0</v>
      </c>
      <c r="AN13" s="155">
        <f t="shared" ca="1" si="7"/>
        <v>0</v>
      </c>
      <c r="AO13" s="155">
        <f t="shared" si="8"/>
        <v>0</v>
      </c>
      <c r="AP13" s="155">
        <f t="shared" si="9"/>
        <v>0</v>
      </c>
      <c r="BE13" s="14"/>
      <c r="BF13" s="14"/>
      <c r="BG13" s="14"/>
    </row>
    <row r="14" spans="1:59" s="2" customFormat="1" ht="30" customHeight="1" thickTop="1" thickBot="1" x14ac:dyDescent="0.25">
      <c r="A14" s="1"/>
      <c r="B14"/>
      <c r="C14" s="172" t="str">
        <f>IF(Funcionários!C13=0,"",Funcionários!C13)</f>
        <v/>
      </c>
      <c r="D14"/>
      <c r="E14" s="115">
        <f>Lanç!E14</f>
        <v>7</v>
      </c>
      <c r="F14" s="189" t="str">
        <f>Lanç!F14</f>
        <v>Sáb</v>
      </c>
      <c r="G14" s="81"/>
      <c r="H14" s="94"/>
      <c r="I14" s="94"/>
      <c r="J14" s="94"/>
      <c r="K14" s="94"/>
      <c r="L14" s="10"/>
      <c r="M14" s="95">
        <f t="shared" si="1"/>
        <v>0</v>
      </c>
      <c r="N14" s="96"/>
      <c r="O14" s="95">
        <f ca="1">IF(OR(G14=0,G14="Férias",G14="Falta Justificada",G14="Feriado",G14="Folga (DSR)"),0,IF(G14="Falta Injustificada",HLOOKUP($F14,Jornada!$X$7:$AD$37,VLOOKUP(INDIRECT($C$5),Jornada!$C$8:$W$37,21,0),0),IF(HLOOKUP($F14,Jornada!$X$7:$AD$37,VLOOKUP(INDIRECT($C$5),Jornada!$C$8:$W$37,21,0),0)-M14&gt;0,HLOOKUP($F14,Jornada!$X$7:$AD$37,VLOOKUP(INDIRECT($C$5),Jornada!$C$8:$W$37,21,0),0)-M14,0)))</f>
        <v>0</v>
      </c>
      <c r="P14" s="190">
        <f ca="1">IF(HLOOKUP($F14,Jornada!$X$7:$AD$37,VLOOKUP(INDIRECT($C$5),Jornada!$C$8:$W$37,21,0),0)-M14&lt;0,ABS(HLOOKUP($F14,Jornada!$X$7:$AD$37,VLOOKUP(INDIRECT($C$5),Jornada!$C$8:$W$37,21,0),0)-M14),0)</f>
        <v>0</v>
      </c>
      <c r="Q14" s="95">
        <f t="shared" si="0"/>
        <v>0</v>
      </c>
      <c r="R14" s="2">
        <f t="shared" si="2"/>
        <v>0</v>
      </c>
      <c r="S14" s="294" t="s">
        <v>68</v>
      </c>
      <c r="T14" s="294"/>
      <c r="U14" s="295">
        <f ca="1">SUM(O8:O38)</f>
        <v>0</v>
      </c>
      <c r="W14" s="2" t="s">
        <v>97</v>
      </c>
      <c r="X14" s="156">
        <v>8</v>
      </c>
      <c r="AB14" s="177">
        <f t="shared" si="10"/>
        <v>7</v>
      </c>
      <c r="AC14" s="2">
        <f t="shared" si="3"/>
        <v>7</v>
      </c>
      <c r="AE14" s="2">
        <v>7</v>
      </c>
      <c r="AF14" s="2" t="s">
        <v>57</v>
      </c>
      <c r="AG14" s="220">
        <f t="shared" si="4"/>
        <v>0</v>
      </c>
      <c r="AH14" s="220">
        <f ca="1">IF(HLOOKUP($F14,Jornada!$X$7:$AD$37,VLOOKUP(INDIRECT($C$5),Jornada!$C$8:$W$37,21,0),0)=0,0,VLOOKUP(INDIRECT($C$5),Jornada!$C$8:$H$37,4,0))</f>
        <v>0</v>
      </c>
      <c r="AI14" s="155">
        <f ca="1">IF(AND(I14=0,J14=0,OR(H14&lt;&gt;0,K14&lt;&gt;0),HLOOKUP($F14,Jornada!$X$7:$AD$37,VLOOKUP(INDIRECT($C$5),Jornada!$C$8:$W$37,21,0),0)&gt;$AK$5,M14&gt;$AK$5),VLOOKUP(INDIRECT($C$5),Jornada!$C$8:$H$37,6,0),IF(AG14&gt;VLOOKUP(INDIRECT($C$5),Jornada!$C$8:$H$37,6,0),IF(VLOOKUP(INDIRECT($C$5),Jornada!$C$8:$H$37,6,0)&lt;AG14,0,ABS(VLOOKUP(INDIRECT($C$5),Jornada!$C$8:$H$37,6,0))-AG14),0))</f>
        <v>0</v>
      </c>
      <c r="AJ14" s="155">
        <f t="shared" si="5"/>
        <v>1</v>
      </c>
      <c r="AK14" s="155">
        <f t="shared" si="6"/>
        <v>0</v>
      </c>
      <c r="AL14" s="155">
        <f ca="1">HLOOKUP($F14,Jornada!$I$5:$V$37,VLOOKUP(INDIRECT($C$5),Jornada!$C$8:$W$37,21,0)+2,0)</f>
        <v>0</v>
      </c>
      <c r="AM14" s="155">
        <f ca="1">HLOOKUP($F14,Jornada!$I$4:$V$37,VLOOKUP(INDIRECT($C$5),Jornada!$C$8:$W$37,21,0)+3,0)</f>
        <v>0</v>
      </c>
      <c r="AN14" s="155">
        <f t="shared" ca="1" si="7"/>
        <v>0</v>
      </c>
      <c r="AO14" s="155">
        <f t="shared" si="8"/>
        <v>0</v>
      </c>
      <c r="AP14" s="155">
        <f t="shared" si="9"/>
        <v>0</v>
      </c>
      <c r="BE14" s="14"/>
      <c r="BF14" s="14"/>
      <c r="BG14" s="14"/>
    </row>
    <row r="15" spans="1:59" s="2" customFormat="1" ht="30" customHeight="1" thickTop="1" thickBot="1" x14ac:dyDescent="0.25">
      <c r="A15" s="1"/>
      <c r="B15"/>
      <c r="C15" s="172" t="str">
        <f>IF(Funcionários!C14=0,"",Funcionários!C14)</f>
        <v/>
      </c>
      <c r="D15"/>
      <c r="E15" s="115">
        <f>Lanç!E15</f>
        <v>8</v>
      </c>
      <c r="F15" s="189" t="str">
        <f>Lanç!F15</f>
        <v>Dom</v>
      </c>
      <c r="G15" s="81"/>
      <c r="H15" s="94"/>
      <c r="I15" s="94"/>
      <c r="J15" s="94"/>
      <c r="K15" s="94"/>
      <c r="L15" s="10"/>
      <c r="M15" s="95">
        <f t="shared" si="1"/>
        <v>0</v>
      </c>
      <c r="N15" s="96"/>
      <c r="O15" s="95">
        <f ca="1">IF(OR(G15=0,G15="Férias",G15="Falta Justificada",G15="Feriado",G15="Folga (DSR)"),0,IF(G15="Falta Injustificada",HLOOKUP($F15,Jornada!$X$7:$AD$37,VLOOKUP(INDIRECT($C$5),Jornada!$C$8:$W$37,21,0),0),IF(HLOOKUP($F15,Jornada!$X$7:$AD$37,VLOOKUP(INDIRECT($C$5),Jornada!$C$8:$W$37,21,0),0)-M15&gt;0,HLOOKUP($F15,Jornada!$X$7:$AD$37,VLOOKUP(INDIRECT($C$5),Jornada!$C$8:$W$37,21,0),0)-M15,0)))</f>
        <v>0</v>
      </c>
      <c r="P15" s="190">
        <f ca="1">IF(HLOOKUP($F15,Jornada!$X$7:$AD$37,VLOOKUP(INDIRECT($C$5),Jornada!$C$8:$W$37,21,0),0)-M15&lt;0,ABS(HLOOKUP($F15,Jornada!$X$7:$AD$37,VLOOKUP(INDIRECT($C$5),Jornada!$C$8:$W$37,21,0),0)-M15),0)</f>
        <v>0</v>
      </c>
      <c r="Q15" s="95">
        <f t="shared" si="0"/>
        <v>0</v>
      </c>
      <c r="R15" s="2">
        <f t="shared" si="2"/>
        <v>0</v>
      </c>
      <c r="S15" s="294"/>
      <c r="T15" s="294"/>
      <c r="U15" s="295"/>
      <c r="W15" s="2" t="s">
        <v>98</v>
      </c>
      <c r="X15" s="156">
        <v>9</v>
      </c>
      <c r="AB15" s="177">
        <f t="shared" si="10"/>
        <v>8</v>
      </c>
      <c r="AC15" s="2">
        <f t="shared" si="3"/>
        <v>1</v>
      </c>
      <c r="AG15" s="220">
        <f t="shared" si="4"/>
        <v>0</v>
      </c>
      <c r="AH15" s="220">
        <f ca="1">IF(HLOOKUP($F15,Jornada!$X$7:$AD$37,VLOOKUP(INDIRECT($C$5),Jornada!$C$8:$W$37,21,0),0)=0,0,VLOOKUP(INDIRECT($C$5),Jornada!$C$8:$H$37,4,0))</f>
        <v>0</v>
      </c>
      <c r="AI15" s="155">
        <f ca="1">IF(AND(I15=0,J15=0,OR(H15&lt;&gt;0,K15&lt;&gt;0),HLOOKUP($F15,Jornada!$X$7:$AD$37,VLOOKUP(INDIRECT($C$5),Jornada!$C$8:$W$37,21,0),0)&gt;$AK$5,M15&gt;$AK$5),VLOOKUP(INDIRECT($C$5),Jornada!$C$8:$H$37,6,0),IF(AG15&gt;VLOOKUP(INDIRECT($C$5),Jornada!$C$8:$H$37,6,0),IF(VLOOKUP(INDIRECT($C$5),Jornada!$C$8:$H$37,6,0)&lt;AG15,0,ABS(VLOOKUP(INDIRECT($C$5),Jornada!$C$8:$H$37,6,0))-AG15),0))</f>
        <v>0</v>
      </c>
      <c r="AJ15" s="155">
        <f t="shared" si="5"/>
        <v>1</v>
      </c>
      <c r="AK15" s="155">
        <f t="shared" si="6"/>
        <v>0</v>
      </c>
      <c r="AL15" s="155">
        <f ca="1">HLOOKUP($F15,Jornada!$I$5:$V$37,VLOOKUP(INDIRECT($C$5),Jornada!$C$8:$W$37,21,0)+2,0)</f>
        <v>0</v>
      </c>
      <c r="AM15" s="155">
        <f ca="1">HLOOKUP($F15,Jornada!$I$4:$V$37,VLOOKUP(INDIRECT($C$5),Jornada!$C$8:$W$37,21,0)+3,0)</f>
        <v>0</v>
      </c>
      <c r="AN15" s="155">
        <f t="shared" ca="1" si="7"/>
        <v>0</v>
      </c>
      <c r="AO15" s="155">
        <f t="shared" si="8"/>
        <v>0</v>
      </c>
      <c r="AP15" s="155">
        <f t="shared" si="9"/>
        <v>0</v>
      </c>
      <c r="BE15" s="14"/>
      <c r="BF15" s="14"/>
      <c r="BG15" s="14"/>
    </row>
    <row r="16" spans="1:59" s="2" customFormat="1" ht="30" customHeight="1" thickTop="1" thickBot="1" x14ac:dyDescent="0.25">
      <c r="A16" s="1"/>
      <c r="B16"/>
      <c r="C16" s="172" t="str">
        <f>IF(Funcionários!C15=0,"",Funcionários!C15)</f>
        <v/>
      </c>
      <c r="D16"/>
      <c r="E16" s="115">
        <f>Lanç!E16</f>
        <v>9</v>
      </c>
      <c r="F16" s="189" t="str">
        <f>Lanç!F16</f>
        <v>Seg</v>
      </c>
      <c r="G16" s="81"/>
      <c r="H16" s="94"/>
      <c r="I16" s="94"/>
      <c r="J16" s="94"/>
      <c r="K16" s="94"/>
      <c r="L16" s="10"/>
      <c r="M16" s="95">
        <f t="shared" si="1"/>
        <v>0</v>
      </c>
      <c r="N16" s="96"/>
      <c r="O16" s="95">
        <f ca="1">IF(OR(G16=0,G16="Férias",G16="Falta Justificada",G16="Feriado",G16="Folga (DSR)"),0,IF(G16="Falta Injustificada",HLOOKUP($F16,Jornada!$X$7:$AD$37,VLOOKUP(INDIRECT($C$5),Jornada!$C$8:$W$37,21,0),0),IF(HLOOKUP($F16,Jornada!$X$7:$AD$37,VLOOKUP(INDIRECT($C$5),Jornada!$C$8:$W$37,21,0),0)-M16&gt;0,HLOOKUP($F16,Jornada!$X$7:$AD$37,VLOOKUP(INDIRECT($C$5),Jornada!$C$8:$W$37,21,0),0)-M16,0)))</f>
        <v>0</v>
      </c>
      <c r="P16" s="190">
        <f ca="1">IF(HLOOKUP($F16,Jornada!$X$7:$AD$37,VLOOKUP(INDIRECT($C$5),Jornada!$C$8:$W$37,21,0),0)-M16&lt;0,ABS(HLOOKUP($F16,Jornada!$X$7:$AD$37,VLOOKUP(INDIRECT($C$5),Jornada!$C$8:$W$37,21,0),0)-M16),0)</f>
        <v>0</v>
      </c>
      <c r="Q16" s="95">
        <f t="shared" si="0"/>
        <v>0</v>
      </c>
      <c r="R16" s="2">
        <f t="shared" si="2"/>
        <v>0</v>
      </c>
      <c r="S16" s="294" t="s">
        <v>67</v>
      </c>
      <c r="T16" s="294"/>
      <c r="U16" s="295">
        <f>SUM(Q8:Q38)</f>
        <v>0</v>
      </c>
      <c r="W16" s="2" t="s">
        <v>99</v>
      </c>
      <c r="X16" s="156">
        <v>10</v>
      </c>
      <c r="AB16" s="177">
        <f t="shared" si="10"/>
        <v>9</v>
      </c>
      <c r="AC16" s="2">
        <f t="shared" si="3"/>
        <v>2</v>
      </c>
      <c r="AG16" s="220">
        <f t="shared" si="4"/>
        <v>0</v>
      </c>
      <c r="AH16" s="220">
        <f ca="1">IF(HLOOKUP($F16,Jornada!$X$7:$AD$37,VLOOKUP(INDIRECT($C$5),Jornada!$C$8:$W$37,21,0),0)=0,0,VLOOKUP(INDIRECT($C$5),Jornada!$C$8:$H$37,4,0))</f>
        <v>0</v>
      </c>
      <c r="AI16" s="155">
        <f ca="1">IF(AND(I16=0,J16=0,OR(H16&lt;&gt;0,K16&lt;&gt;0),HLOOKUP($F16,Jornada!$X$7:$AD$37,VLOOKUP(INDIRECT($C$5),Jornada!$C$8:$W$37,21,0),0)&gt;$AK$5,M16&gt;$AK$5),VLOOKUP(INDIRECT($C$5),Jornada!$C$8:$H$37,6,0),IF(AG16&gt;VLOOKUP(INDIRECT($C$5),Jornada!$C$8:$H$37,6,0),IF(VLOOKUP(INDIRECT($C$5),Jornada!$C$8:$H$37,6,0)&lt;AG16,0,ABS(VLOOKUP(INDIRECT($C$5),Jornada!$C$8:$H$37,6,0))-AG16),0))</f>
        <v>0</v>
      </c>
      <c r="AJ16" s="155">
        <f t="shared" si="5"/>
        <v>1</v>
      </c>
      <c r="AK16" s="155">
        <f t="shared" si="6"/>
        <v>0</v>
      </c>
      <c r="AL16" s="155">
        <f ca="1">HLOOKUP($F16,Jornada!$I$5:$V$37,VLOOKUP(INDIRECT($C$5),Jornada!$C$8:$W$37,21,0)+2,0)</f>
        <v>0</v>
      </c>
      <c r="AM16" s="155">
        <f ca="1">HLOOKUP($F16,Jornada!$I$4:$V$37,VLOOKUP(INDIRECT($C$5),Jornada!$C$8:$W$37,21,0)+3,0)</f>
        <v>0</v>
      </c>
      <c r="AN16" s="155">
        <f t="shared" ca="1" si="7"/>
        <v>0</v>
      </c>
      <c r="AO16" s="155">
        <f t="shared" si="8"/>
        <v>0</v>
      </c>
      <c r="AP16" s="155">
        <f t="shared" si="9"/>
        <v>0</v>
      </c>
      <c r="BE16" s="14"/>
      <c r="BF16" s="14"/>
      <c r="BG16" s="14"/>
    </row>
    <row r="17" spans="1:59" s="2" customFormat="1" ht="30" customHeight="1" thickTop="1" thickBot="1" x14ac:dyDescent="0.25">
      <c r="A17" s="1"/>
      <c r="B17"/>
      <c r="C17" s="172" t="str">
        <f>IF(Funcionários!C16=0,"",Funcionários!C16)</f>
        <v/>
      </c>
      <c r="D17"/>
      <c r="E17" s="115">
        <f>Lanç!E17</f>
        <v>10</v>
      </c>
      <c r="F17" s="189" t="str">
        <f>Lanç!F17</f>
        <v>Ter</v>
      </c>
      <c r="G17" s="81"/>
      <c r="H17" s="94"/>
      <c r="I17" s="94"/>
      <c r="J17" s="94"/>
      <c r="K17" s="94"/>
      <c r="L17" s="10"/>
      <c r="M17" s="95">
        <f t="shared" si="1"/>
        <v>0</v>
      </c>
      <c r="N17" s="96"/>
      <c r="O17" s="95">
        <f ca="1">IF(OR(G17=0,G17="Férias",G17="Falta Justificada",G17="Feriado",G17="Folga (DSR)"),0,IF(G17="Falta Injustificada",HLOOKUP($F17,Jornada!$X$7:$AD$37,VLOOKUP(INDIRECT($C$5),Jornada!$C$8:$W$37,21,0),0),IF(HLOOKUP($F17,Jornada!$X$7:$AD$37,VLOOKUP(INDIRECT($C$5),Jornada!$C$8:$W$37,21,0),0)-M17&gt;0,HLOOKUP($F17,Jornada!$X$7:$AD$37,VLOOKUP(INDIRECT($C$5),Jornada!$C$8:$W$37,21,0),0)-M17,0)))</f>
        <v>0</v>
      </c>
      <c r="P17" s="190">
        <f ca="1">IF(HLOOKUP($F17,Jornada!$X$7:$AD$37,VLOOKUP(INDIRECT($C$5),Jornada!$C$8:$W$37,21,0),0)-M17&lt;0,ABS(HLOOKUP($F17,Jornada!$X$7:$AD$37,VLOOKUP(INDIRECT($C$5),Jornada!$C$8:$W$37,21,0),0)-M17),0)</f>
        <v>0</v>
      </c>
      <c r="Q17" s="95">
        <f t="shared" si="0"/>
        <v>0</v>
      </c>
      <c r="R17" s="2">
        <f t="shared" si="2"/>
        <v>0</v>
      </c>
      <c r="S17" s="294"/>
      <c r="T17" s="294"/>
      <c r="U17" s="295"/>
      <c r="W17" s="2" t="s">
        <v>100</v>
      </c>
      <c r="X17" s="156">
        <v>11</v>
      </c>
      <c r="AB17" s="177">
        <f t="shared" si="10"/>
        <v>10</v>
      </c>
      <c r="AC17" s="2">
        <f t="shared" si="3"/>
        <v>3</v>
      </c>
      <c r="AG17" s="220">
        <f t="shared" si="4"/>
        <v>0</v>
      </c>
      <c r="AH17" s="220">
        <f ca="1">IF(HLOOKUP($F17,Jornada!$X$7:$AD$37,VLOOKUP(INDIRECT($C$5),Jornada!$C$8:$W$37,21,0),0)=0,0,VLOOKUP(INDIRECT($C$5),Jornada!$C$8:$H$37,4,0))</f>
        <v>0</v>
      </c>
      <c r="AI17" s="155">
        <f ca="1">IF(AND(I17=0,J17=0,OR(H17&lt;&gt;0,K17&lt;&gt;0),HLOOKUP($F17,Jornada!$X$7:$AD$37,VLOOKUP(INDIRECT($C$5),Jornada!$C$8:$W$37,21,0),0)&gt;$AK$5,M17&gt;$AK$5),VLOOKUP(INDIRECT($C$5),Jornada!$C$8:$H$37,6,0),IF(AG17&gt;VLOOKUP(INDIRECT($C$5),Jornada!$C$8:$H$37,6,0),IF(VLOOKUP(INDIRECT($C$5),Jornada!$C$8:$H$37,6,0)&lt;AG17,0,ABS(VLOOKUP(INDIRECT($C$5),Jornada!$C$8:$H$37,6,0))-AG17),0))</f>
        <v>0</v>
      </c>
      <c r="AJ17" s="155">
        <f t="shared" si="5"/>
        <v>1</v>
      </c>
      <c r="AK17" s="155">
        <f t="shared" si="6"/>
        <v>0</v>
      </c>
      <c r="AL17" s="155">
        <f ca="1">HLOOKUP($F17,Jornada!$I$5:$V$37,VLOOKUP(INDIRECT($C$5),Jornada!$C$8:$W$37,21,0)+2,0)</f>
        <v>0</v>
      </c>
      <c r="AM17" s="155">
        <f ca="1">HLOOKUP($F17,Jornada!$I$4:$V$37,VLOOKUP(INDIRECT($C$5),Jornada!$C$8:$W$37,21,0)+3,0)</f>
        <v>0</v>
      </c>
      <c r="AN17" s="155">
        <f t="shared" ca="1" si="7"/>
        <v>0</v>
      </c>
      <c r="AO17" s="155">
        <f t="shared" si="8"/>
        <v>0</v>
      </c>
      <c r="AP17" s="155">
        <f t="shared" si="9"/>
        <v>0</v>
      </c>
      <c r="BE17" s="14"/>
      <c r="BF17" s="14"/>
      <c r="BG17" s="14"/>
    </row>
    <row r="18" spans="1:59" s="2" customFormat="1" ht="30" customHeight="1" thickTop="1" thickBot="1" x14ac:dyDescent="0.25">
      <c r="A18" s="1"/>
      <c r="B18"/>
      <c r="C18" s="172" t="str">
        <f>IF(Funcionários!C17=0,"",Funcionários!C17)</f>
        <v/>
      </c>
      <c r="D18"/>
      <c r="E18" s="115">
        <f>Lanç!E18</f>
        <v>11</v>
      </c>
      <c r="F18" s="189" t="str">
        <f>Lanç!F18</f>
        <v>Qua</v>
      </c>
      <c r="G18" s="81"/>
      <c r="H18" s="94"/>
      <c r="I18" s="94"/>
      <c r="J18" s="94"/>
      <c r="K18" s="94"/>
      <c r="L18" s="10"/>
      <c r="M18" s="95">
        <f t="shared" si="1"/>
        <v>0</v>
      </c>
      <c r="N18" s="96"/>
      <c r="O18" s="95">
        <f ca="1">IF(OR(G18=0,G18="Férias",G18="Falta Justificada",G18="Feriado",G18="Folga (DSR)"),0,IF(G18="Falta Injustificada",HLOOKUP($F18,Jornada!$X$7:$AD$37,VLOOKUP(INDIRECT($C$5),Jornada!$C$8:$W$37,21,0),0),IF(HLOOKUP($F18,Jornada!$X$7:$AD$37,VLOOKUP(INDIRECT($C$5),Jornada!$C$8:$W$37,21,0),0)-M18&gt;0,HLOOKUP($F18,Jornada!$X$7:$AD$37,VLOOKUP(INDIRECT($C$5),Jornada!$C$8:$W$37,21,0),0)-M18,0)))</f>
        <v>0</v>
      </c>
      <c r="P18" s="190">
        <f ca="1">IF(HLOOKUP($F18,Jornada!$X$7:$AD$37,VLOOKUP(INDIRECT($C$5),Jornada!$C$8:$W$37,21,0),0)-M18&lt;0,ABS(HLOOKUP($F18,Jornada!$X$7:$AD$37,VLOOKUP(INDIRECT($C$5),Jornada!$C$8:$W$37,21,0),0)-M18),0)</f>
        <v>0</v>
      </c>
      <c r="Q18" s="95">
        <f t="shared" si="0"/>
        <v>0</v>
      </c>
      <c r="R18" s="2">
        <f t="shared" si="2"/>
        <v>0</v>
      </c>
      <c r="S18" s="294" t="s">
        <v>69</v>
      </c>
      <c r="T18" s="294"/>
      <c r="U18" s="299">
        <f ca="1">F54</f>
        <v>0</v>
      </c>
      <c r="W18" s="2" t="s">
        <v>101</v>
      </c>
      <c r="X18" s="156">
        <v>12</v>
      </c>
      <c r="AB18" s="177">
        <f t="shared" si="10"/>
        <v>11</v>
      </c>
      <c r="AC18" s="2">
        <f t="shared" si="3"/>
        <v>4</v>
      </c>
      <c r="AG18" s="220">
        <f t="shared" si="4"/>
        <v>0</v>
      </c>
      <c r="AH18" s="220">
        <f ca="1">IF(HLOOKUP($F18,Jornada!$X$7:$AD$37,VLOOKUP(INDIRECT($C$5),Jornada!$C$8:$W$37,21,0),0)=0,0,VLOOKUP(INDIRECT($C$5),Jornada!$C$8:$H$37,4,0))</f>
        <v>0</v>
      </c>
      <c r="AI18" s="155">
        <f ca="1">IF(AND(I18=0,J18=0,OR(H18&lt;&gt;0,K18&lt;&gt;0),HLOOKUP($F18,Jornada!$X$7:$AD$37,VLOOKUP(INDIRECT($C$5),Jornada!$C$8:$W$37,21,0),0)&gt;$AK$5,M18&gt;$AK$5),VLOOKUP(INDIRECT($C$5),Jornada!$C$8:$H$37,6,0),IF(AG18&gt;VLOOKUP(INDIRECT($C$5),Jornada!$C$8:$H$37,6,0),IF(VLOOKUP(INDIRECT($C$5),Jornada!$C$8:$H$37,6,0)&lt;AG18,0,ABS(VLOOKUP(INDIRECT($C$5),Jornada!$C$8:$H$37,6,0))-AG18),0))</f>
        <v>0</v>
      </c>
      <c r="AJ18" s="155">
        <f t="shared" si="5"/>
        <v>1</v>
      </c>
      <c r="AK18" s="155">
        <f t="shared" si="6"/>
        <v>0</v>
      </c>
      <c r="AL18" s="155">
        <f ca="1">HLOOKUP($F18,Jornada!$I$5:$V$37,VLOOKUP(INDIRECT($C$5),Jornada!$C$8:$W$37,21,0)+2,0)</f>
        <v>0</v>
      </c>
      <c r="AM18" s="155">
        <f ca="1">HLOOKUP($F18,Jornada!$I$4:$V$37,VLOOKUP(INDIRECT($C$5),Jornada!$C$8:$W$37,21,0)+3,0)</f>
        <v>0</v>
      </c>
      <c r="AN18" s="155">
        <f t="shared" ca="1" si="7"/>
        <v>0</v>
      </c>
      <c r="AO18" s="155">
        <f t="shared" si="8"/>
        <v>0</v>
      </c>
      <c r="AP18" s="155">
        <f t="shared" si="9"/>
        <v>0</v>
      </c>
      <c r="BE18" s="14"/>
      <c r="BF18" s="14"/>
      <c r="BG18" s="14"/>
    </row>
    <row r="19" spans="1:59" s="2" customFormat="1" ht="30" customHeight="1" thickTop="1" thickBot="1" x14ac:dyDescent="0.25">
      <c r="A19" s="1"/>
      <c r="B19"/>
      <c r="C19" s="172" t="str">
        <f>IF(Funcionários!C18=0,"",Funcionários!C18)</f>
        <v/>
      </c>
      <c r="D19"/>
      <c r="E19" s="115">
        <f>Lanç!E19</f>
        <v>12</v>
      </c>
      <c r="F19" s="189" t="str">
        <f>Lanç!F19</f>
        <v>Qui</v>
      </c>
      <c r="G19" s="81"/>
      <c r="H19" s="94"/>
      <c r="I19" s="94"/>
      <c r="J19" s="94"/>
      <c r="K19" s="94"/>
      <c r="L19" s="10"/>
      <c r="M19" s="95">
        <f t="shared" si="1"/>
        <v>0</v>
      </c>
      <c r="N19" s="96"/>
      <c r="O19" s="95">
        <f ca="1">IF(OR(G19=0,G19="Férias",G19="Falta Justificada",G19="Feriado",G19="Folga (DSR)"),0,IF(G19="Falta Injustificada",HLOOKUP($F19,Jornada!$X$7:$AD$37,VLOOKUP(INDIRECT($C$5),Jornada!$C$8:$W$37,21,0),0),IF(HLOOKUP($F19,Jornada!$X$7:$AD$37,VLOOKUP(INDIRECT($C$5),Jornada!$C$8:$W$37,21,0),0)-M19&gt;0,HLOOKUP($F19,Jornada!$X$7:$AD$37,VLOOKUP(INDIRECT($C$5),Jornada!$C$8:$W$37,21,0),0)-M19,0)))</f>
        <v>0</v>
      </c>
      <c r="P19" s="190">
        <f ca="1">IF(HLOOKUP($F19,Jornada!$X$7:$AD$37,VLOOKUP(INDIRECT($C$5),Jornada!$C$8:$W$37,21,0),0)-M19&lt;0,ABS(HLOOKUP($F19,Jornada!$X$7:$AD$37,VLOOKUP(INDIRECT($C$5),Jornada!$C$8:$W$37,21,0),0)-M19),0)</f>
        <v>0</v>
      </c>
      <c r="Q19" s="95">
        <f t="shared" si="0"/>
        <v>0</v>
      </c>
      <c r="R19" s="2">
        <f t="shared" si="2"/>
        <v>0</v>
      </c>
      <c r="S19" s="294"/>
      <c r="T19" s="294"/>
      <c r="U19" s="299"/>
      <c r="X19" s="177"/>
      <c r="AB19" s="177">
        <f t="shared" si="10"/>
        <v>12</v>
      </c>
      <c r="AC19" s="2">
        <f t="shared" si="3"/>
        <v>5</v>
      </c>
      <c r="AG19" s="220">
        <f t="shared" si="4"/>
        <v>0</v>
      </c>
      <c r="AH19" s="220">
        <f ca="1">IF(HLOOKUP($F19,Jornada!$X$7:$AD$37,VLOOKUP(INDIRECT($C$5),Jornada!$C$8:$W$37,21,0),0)=0,0,VLOOKUP(INDIRECT($C$5),Jornada!$C$8:$H$37,4,0))</f>
        <v>0</v>
      </c>
      <c r="AI19" s="155">
        <f ca="1">IF(AND(I19=0,J19=0,OR(H19&lt;&gt;0,K19&lt;&gt;0),HLOOKUP($F19,Jornada!$X$7:$AD$37,VLOOKUP(INDIRECT($C$5),Jornada!$C$8:$W$37,21,0),0)&gt;$AK$5,M19&gt;$AK$5),VLOOKUP(INDIRECT($C$5),Jornada!$C$8:$H$37,6,0),IF(AG19&gt;VLOOKUP(INDIRECT($C$5),Jornada!$C$8:$H$37,6,0),IF(VLOOKUP(INDIRECT($C$5),Jornada!$C$8:$H$37,6,0)&lt;AG19,0,ABS(VLOOKUP(INDIRECT($C$5),Jornada!$C$8:$H$37,6,0))-AG19),0))</f>
        <v>0</v>
      </c>
      <c r="AJ19" s="155">
        <f t="shared" si="5"/>
        <v>1</v>
      </c>
      <c r="AK19" s="155">
        <f t="shared" si="6"/>
        <v>0</v>
      </c>
      <c r="AL19" s="155">
        <f ca="1">HLOOKUP($F19,Jornada!$I$5:$V$37,VLOOKUP(INDIRECT($C$5),Jornada!$C$8:$W$37,21,0)+2,0)</f>
        <v>0</v>
      </c>
      <c r="AM19" s="155">
        <f ca="1">HLOOKUP($F19,Jornada!$I$4:$V$37,VLOOKUP(INDIRECT($C$5),Jornada!$C$8:$W$37,21,0)+3,0)</f>
        <v>0</v>
      </c>
      <c r="AN19" s="155">
        <f t="shared" ca="1" si="7"/>
        <v>0</v>
      </c>
      <c r="AO19" s="155">
        <f t="shared" si="8"/>
        <v>0</v>
      </c>
      <c r="AP19" s="155">
        <f t="shared" si="9"/>
        <v>0</v>
      </c>
      <c r="BE19" s="14"/>
      <c r="BF19" s="14"/>
      <c r="BG19" s="14"/>
    </row>
    <row r="20" spans="1:59" s="2" customFormat="1" ht="30" customHeight="1" thickTop="1" thickBot="1" x14ac:dyDescent="0.25">
      <c r="A20" s="1"/>
      <c r="B20"/>
      <c r="C20" s="172" t="str">
        <f>IF(Funcionários!C19=0,"",Funcionários!C19)</f>
        <v/>
      </c>
      <c r="D20"/>
      <c r="E20" s="115">
        <f>Lanç!E20</f>
        <v>13</v>
      </c>
      <c r="F20" s="189" t="str">
        <f>Lanç!F20</f>
        <v>Sex</v>
      </c>
      <c r="G20" s="81"/>
      <c r="H20" s="94"/>
      <c r="I20" s="94"/>
      <c r="J20" s="94"/>
      <c r="K20" s="94"/>
      <c r="L20" s="10"/>
      <c r="M20" s="95">
        <f t="shared" si="1"/>
        <v>0</v>
      </c>
      <c r="N20" s="96"/>
      <c r="O20" s="95">
        <f ca="1">IF(OR(G20=0,G20="Férias",G20="Falta Justificada",G20="Feriado",G20="Folga (DSR)"),0,IF(G20="Falta Injustificada",HLOOKUP($F20,Jornada!$X$7:$AD$37,VLOOKUP(INDIRECT($C$5),Jornada!$C$8:$W$37,21,0),0),IF(HLOOKUP($F20,Jornada!$X$7:$AD$37,VLOOKUP(INDIRECT($C$5),Jornada!$C$8:$W$37,21,0),0)-M20&gt;0,HLOOKUP($F20,Jornada!$X$7:$AD$37,VLOOKUP(INDIRECT($C$5),Jornada!$C$8:$W$37,21,0),0)-M20,0)))</f>
        <v>0</v>
      </c>
      <c r="P20" s="190">
        <f ca="1">IF(HLOOKUP($F20,Jornada!$X$7:$AD$37,VLOOKUP(INDIRECT($C$5),Jornada!$C$8:$W$37,21,0),0)-M20&lt;0,ABS(HLOOKUP($F20,Jornada!$X$7:$AD$37,VLOOKUP(INDIRECT($C$5),Jornada!$C$8:$W$37,21,0),0)-M20),0)</f>
        <v>0</v>
      </c>
      <c r="Q20" s="95">
        <f t="shared" si="0"/>
        <v>0</v>
      </c>
      <c r="R20" s="2">
        <f t="shared" si="2"/>
        <v>0</v>
      </c>
      <c r="S20"/>
      <c r="T20"/>
      <c r="U20"/>
      <c r="X20" s="177"/>
      <c r="AB20" s="177">
        <f t="shared" si="10"/>
        <v>13</v>
      </c>
      <c r="AC20" s="2">
        <f t="shared" si="3"/>
        <v>6</v>
      </c>
      <c r="AG20" s="220">
        <f t="shared" si="4"/>
        <v>0</v>
      </c>
      <c r="AH20" s="220">
        <f ca="1">IF(HLOOKUP($F20,Jornada!$X$7:$AD$37,VLOOKUP(INDIRECT($C$5),Jornada!$C$8:$W$37,21,0),0)=0,0,VLOOKUP(INDIRECT($C$5),Jornada!$C$8:$H$37,4,0))</f>
        <v>0</v>
      </c>
      <c r="AI20" s="155">
        <f ca="1">IF(AND(I20=0,J20=0,OR(H20&lt;&gt;0,K20&lt;&gt;0),HLOOKUP($F20,Jornada!$X$7:$AD$37,VLOOKUP(INDIRECT($C$5),Jornada!$C$8:$W$37,21,0),0)&gt;$AK$5,M20&gt;$AK$5),VLOOKUP(INDIRECT($C$5),Jornada!$C$8:$H$37,6,0),IF(AG20&gt;VLOOKUP(INDIRECT($C$5),Jornada!$C$8:$H$37,6,0),IF(VLOOKUP(INDIRECT($C$5),Jornada!$C$8:$H$37,6,0)&lt;AG20,0,ABS(VLOOKUP(INDIRECT($C$5),Jornada!$C$8:$H$37,6,0))-AG20),0))</f>
        <v>0</v>
      </c>
      <c r="AJ20" s="155">
        <f t="shared" si="5"/>
        <v>1</v>
      </c>
      <c r="AK20" s="155">
        <f t="shared" si="6"/>
        <v>0</v>
      </c>
      <c r="AL20" s="155">
        <f ca="1">HLOOKUP($F20,Jornada!$I$5:$V$37,VLOOKUP(INDIRECT($C$5),Jornada!$C$8:$W$37,21,0)+2,0)</f>
        <v>0</v>
      </c>
      <c r="AM20" s="155">
        <f ca="1">HLOOKUP($F20,Jornada!$I$4:$V$37,VLOOKUP(INDIRECT($C$5),Jornada!$C$8:$W$37,21,0)+3,0)</f>
        <v>0</v>
      </c>
      <c r="AN20" s="155">
        <f t="shared" ca="1" si="7"/>
        <v>0</v>
      </c>
      <c r="AO20" s="155">
        <f t="shared" si="8"/>
        <v>0</v>
      </c>
      <c r="AP20" s="155">
        <f t="shared" si="9"/>
        <v>0</v>
      </c>
      <c r="BE20" s="14"/>
      <c r="BF20" s="14"/>
      <c r="BG20" s="14"/>
    </row>
    <row r="21" spans="1:59" s="2" customFormat="1" ht="30" customHeight="1" thickTop="1" thickBot="1" x14ac:dyDescent="0.25">
      <c r="A21" s="1"/>
      <c r="B21"/>
      <c r="C21" s="172" t="str">
        <f>IF(Funcionários!C20=0,"",Funcionários!C20)</f>
        <v/>
      </c>
      <c r="D21"/>
      <c r="E21" s="115">
        <f>Lanç!E21</f>
        <v>14</v>
      </c>
      <c r="F21" s="189" t="str">
        <f>Lanç!F21</f>
        <v>Sáb</v>
      </c>
      <c r="G21" s="81"/>
      <c r="H21" s="94"/>
      <c r="I21" s="94"/>
      <c r="J21" s="94"/>
      <c r="K21" s="94"/>
      <c r="L21" s="10"/>
      <c r="M21" s="95">
        <f t="shared" si="1"/>
        <v>0</v>
      </c>
      <c r="N21" s="96"/>
      <c r="O21" s="95">
        <f ca="1">IF(OR(G21=0,G21="Férias",G21="Falta Justificada",G21="Feriado",G21="Folga (DSR)"),0,IF(G21="Falta Injustificada",HLOOKUP($F21,Jornada!$X$7:$AD$37,VLOOKUP(INDIRECT($C$5),Jornada!$C$8:$W$37,21,0),0),IF(HLOOKUP($F21,Jornada!$X$7:$AD$37,VLOOKUP(INDIRECT($C$5),Jornada!$C$8:$W$37,21,0),0)-M21&gt;0,HLOOKUP($F21,Jornada!$X$7:$AD$37,VLOOKUP(INDIRECT($C$5),Jornada!$C$8:$W$37,21,0),0)-M21,0)))</f>
        <v>0</v>
      </c>
      <c r="P21" s="190">
        <f ca="1">IF(HLOOKUP($F21,Jornada!$X$7:$AD$37,VLOOKUP(INDIRECT($C$5),Jornada!$C$8:$W$37,21,0),0)-M21&lt;0,ABS(HLOOKUP($F21,Jornada!$X$7:$AD$37,VLOOKUP(INDIRECT($C$5),Jornada!$C$8:$W$37,21,0),0)-M21),0)</f>
        <v>0</v>
      </c>
      <c r="Q21" s="95">
        <f t="shared" si="0"/>
        <v>0</v>
      </c>
      <c r="R21" s="2">
        <f t="shared" si="2"/>
        <v>0</v>
      </c>
      <c r="S21"/>
      <c r="T21"/>
      <c r="U21"/>
      <c r="X21" s="177"/>
      <c r="AB21" s="177">
        <f t="shared" si="10"/>
        <v>14</v>
      </c>
      <c r="AC21" s="2">
        <f t="shared" si="3"/>
        <v>7</v>
      </c>
      <c r="AG21" s="220">
        <f t="shared" si="4"/>
        <v>0</v>
      </c>
      <c r="AH21" s="220">
        <f ca="1">IF(HLOOKUP($F21,Jornada!$X$7:$AD$37,VLOOKUP(INDIRECT($C$5),Jornada!$C$8:$W$37,21,0),0)=0,0,VLOOKUP(INDIRECT($C$5),Jornada!$C$8:$H$37,4,0))</f>
        <v>0</v>
      </c>
      <c r="AI21" s="155">
        <f ca="1">IF(AND(I21=0,J21=0,OR(H21&lt;&gt;0,K21&lt;&gt;0),HLOOKUP($F21,Jornada!$X$7:$AD$37,VLOOKUP(INDIRECT($C$5),Jornada!$C$8:$W$37,21,0),0)&gt;$AK$5,M21&gt;$AK$5),VLOOKUP(INDIRECT($C$5),Jornada!$C$8:$H$37,6,0),IF(AG21&gt;VLOOKUP(INDIRECT($C$5),Jornada!$C$8:$H$37,6,0),IF(VLOOKUP(INDIRECT($C$5),Jornada!$C$8:$H$37,6,0)&lt;AG21,0,ABS(VLOOKUP(INDIRECT($C$5),Jornada!$C$8:$H$37,6,0))-AG21),0))</f>
        <v>0</v>
      </c>
      <c r="AJ21" s="155">
        <f t="shared" si="5"/>
        <v>1</v>
      </c>
      <c r="AK21" s="155">
        <f t="shared" si="6"/>
        <v>0</v>
      </c>
      <c r="AL21" s="155">
        <f ca="1">HLOOKUP($F21,Jornada!$I$5:$V$37,VLOOKUP(INDIRECT($C$5),Jornada!$C$8:$W$37,21,0)+2,0)</f>
        <v>0</v>
      </c>
      <c r="AM21" s="155">
        <f ca="1">HLOOKUP($F21,Jornada!$I$4:$V$37,VLOOKUP(INDIRECT($C$5),Jornada!$C$8:$W$37,21,0)+3,0)</f>
        <v>0</v>
      </c>
      <c r="AN21" s="155">
        <f t="shared" ca="1" si="7"/>
        <v>0</v>
      </c>
      <c r="AO21" s="155">
        <f t="shared" si="8"/>
        <v>0</v>
      </c>
      <c r="AP21" s="155">
        <f t="shared" si="9"/>
        <v>0</v>
      </c>
      <c r="BE21" s="14"/>
      <c r="BF21" s="14"/>
      <c r="BG21" s="14"/>
    </row>
    <row r="22" spans="1:59" s="2" customFormat="1" ht="30" customHeight="1" thickTop="1" thickBot="1" x14ac:dyDescent="0.25">
      <c r="A22" s="1"/>
      <c r="B22"/>
      <c r="C22" s="172" t="str">
        <f>IF(Funcionários!C21=0,"",Funcionários!C21)</f>
        <v/>
      </c>
      <c r="D22"/>
      <c r="E22" s="115">
        <f>Lanç!E22</f>
        <v>15</v>
      </c>
      <c r="F22" s="189" t="str">
        <f>Lanç!F22</f>
        <v>Dom</v>
      </c>
      <c r="G22" s="81"/>
      <c r="H22" s="94"/>
      <c r="I22" s="94"/>
      <c r="J22" s="94"/>
      <c r="K22" s="94"/>
      <c r="L22" s="10"/>
      <c r="M22" s="95">
        <f t="shared" si="1"/>
        <v>0</v>
      </c>
      <c r="N22" s="96"/>
      <c r="O22" s="95">
        <f ca="1">IF(OR(G22=0,G22="Férias",G22="Falta Justificada",G22="Feriado",G22="Folga (DSR)"),0,IF(G22="Falta Injustificada",HLOOKUP($F22,Jornada!$X$7:$AD$37,VLOOKUP(INDIRECT($C$5),Jornada!$C$8:$W$37,21,0),0),IF(HLOOKUP($F22,Jornada!$X$7:$AD$37,VLOOKUP(INDIRECT($C$5),Jornada!$C$8:$W$37,21,0),0)-M22&gt;0,HLOOKUP($F22,Jornada!$X$7:$AD$37,VLOOKUP(INDIRECT($C$5),Jornada!$C$8:$W$37,21,0),0)-M22,0)))</f>
        <v>0</v>
      </c>
      <c r="P22" s="190">
        <f ca="1">IF(HLOOKUP($F22,Jornada!$X$7:$AD$37,VLOOKUP(INDIRECT($C$5),Jornada!$C$8:$W$37,21,0),0)-M22&lt;0,ABS(HLOOKUP($F22,Jornada!$X$7:$AD$37,VLOOKUP(INDIRECT($C$5),Jornada!$C$8:$W$37,21,0),0)-M22),0)</f>
        <v>0</v>
      </c>
      <c r="Q22" s="95">
        <f t="shared" si="0"/>
        <v>0</v>
      </c>
      <c r="R22" s="2">
        <f t="shared" si="2"/>
        <v>0</v>
      </c>
      <c r="S22" s="300" t="s">
        <v>63</v>
      </c>
      <c r="T22" s="301"/>
      <c r="U22" s="302"/>
      <c r="X22" s="177"/>
      <c r="AB22" s="177">
        <f t="shared" si="10"/>
        <v>15</v>
      </c>
      <c r="AC22" s="2">
        <f t="shared" si="3"/>
        <v>1</v>
      </c>
      <c r="AG22" s="220">
        <f t="shared" si="4"/>
        <v>0</v>
      </c>
      <c r="AH22" s="220">
        <f ca="1">IF(HLOOKUP($F22,Jornada!$X$7:$AD$37,VLOOKUP(INDIRECT($C$5),Jornada!$C$8:$W$37,21,0),0)=0,0,VLOOKUP(INDIRECT($C$5),Jornada!$C$8:$H$37,4,0))</f>
        <v>0</v>
      </c>
      <c r="AI22" s="155">
        <f ca="1">IF(AND(I22=0,J22=0,OR(H22&lt;&gt;0,K22&lt;&gt;0),HLOOKUP($F22,Jornada!$X$7:$AD$37,VLOOKUP(INDIRECT($C$5),Jornada!$C$8:$W$37,21,0),0)&gt;$AK$5,M22&gt;$AK$5),VLOOKUP(INDIRECT($C$5),Jornada!$C$8:$H$37,6,0),IF(AG22&gt;VLOOKUP(INDIRECT($C$5),Jornada!$C$8:$H$37,6,0),IF(VLOOKUP(INDIRECT($C$5),Jornada!$C$8:$H$37,6,0)&lt;AG22,0,ABS(VLOOKUP(INDIRECT($C$5),Jornada!$C$8:$H$37,6,0))-AG22),0))</f>
        <v>0</v>
      </c>
      <c r="AJ22" s="155">
        <f t="shared" si="5"/>
        <v>1</v>
      </c>
      <c r="AK22" s="155">
        <f t="shared" si="6"/>
        <v>0</v>
      </c>
      <c r="AL22" s="155">
        <f ca="1">HLOOKUP($F22,Jornada!$I$5:$V$37,VLOOKUP(INDIRECT($C$5),Jornada!$C$8:$W$37,21,0)+2,0)</f>
        <v>0</v>
      </c>
      <c r="AM22" s="155">
        <f ca="1">HLOOKUP($F22,Jornada!$I$4:$V$37,VLOOKUP(INDIRECT($C$5),Jornada!$C$8:$W$37,21,0)+3,0)</f>
        <v>0</v>
      </c>
      <c r="AN22" s="155">
        <f t="shared" ca="1" si="7"/>
        <v>0</v>
      </c>
      <c r="AO22" s="155">
        <f t="shared" si="8"/>
        <v>0</v>
      </c>
      <c r="AP22" s="155">
        <f t="shared" si="9"/>
        <v>0</v>
      </c>
      <c r="BE22" s="14"/>
      <c r="BF22" s="14"/>
      <c r="BG22" s="14"/>
    </row>
    <row r="23" spans="1:59" s="2" customFormat="1" ht="30" customHeight="1" thickTop="1" thickBot="1" x14ac:dyDescent="0.25">
      <c r="A23" s="1"/>
      <c r="B23"/>
      <c r="C23" s="172" t="str">
        <f>IF(Funcionários!C22=0,"",Funcionários!C22)</f>
        <v/>
      </c>
      <c r="D23"/>
      <c r="E23" s="115">
        <f>Lanç!E23</f>
        <v>16</v>
      </c>
      <c r="F23" s="189" t="str">
        <f>Lanç!F23</f>
        <v>Seg</v>
      </c>
      <c r="G23" s="81"/>
      <c r="H23" s="94"/>
      <c r="I23" s="94"/>
      <c r="J23" s="94"/>
      <c r="K23" s="94"/>
      <c r="L23" s="10"/>
      <c r="M23" s="95">
        <f t="shared" si="1"/>
        <v>0</v>
      </c>
      <c r="N23" s="96"/>
      <c r="O23" s="95">
        <f ca="1">IF(OR(G23=0,G23="Férias",G23="Falta Justificada",G23="Feriado",G23="Folga (DSR)"),0,IF(G23="Falta Injustificada",HLOOKUP($F23,Jornada!$X$7:$AD$37,VLOOKUP(INDIRECT($C$5),Jornada!$C$8:$W$37,21,0),0),IF(HLOOKUP($F23,Jornada!$X$7:$AD$37,VLOOKUP(INDIRECT($C$5),Jornada!$C$8:$W$37,21,0),0)-M23&gt;0,HLOOKUP($F23,Jornada!$X$7:$AD$37,VLOOKUP(INDIRECT($C$5),Jornada!$C$8:$W$37,21,0),0)-M23,0)))</f>
        <v>0</v>
      </c>
      <c r="P23" s="190">
        <f ca="1">IF(HLOOKUP($F23,Jornada!$X$7:$AD$37,VLOOKUP(INDIRECT($C$5),Jornada!$C$8:$W$37,21,0),0)-M23&lt;0,ABS(HLOOKUP($F23,Jornada!$X$7:$AD$37,VLOOKUP(INDIRECT($C$5),Jornada!$C$8:$W$37,21,0),0)-M23),0)</f>
        <v>0</v>
      </c>
      <c r="Q23" s="95">
        <f t="shared" si="0"/>
        <v>0</v>
      </c>
      <c r="R23" s="2">
        <f t="shared" si="2"/>
        <v>0</v>
      </c>
      <c r="S23" s="296" t="str">
        <f>IF(SUM(R8:R38)&gt;0,"Segundo o art 59 da CLT, o máximo de horas extras permitidas por dia são 2 horas.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T23" s="297"/>
      <c r="U23" s="298"/>
      <c r="X23" s="177"/>
      <c r="AB23" s="177">
        <f t="shared" si="10"/>
        <v>16</v>
      </c>
      <c r="AC23" s="2">
        <f t="shared" si="3"/>
        <v>2</v>
      </c>
      <c r="AG23" s="220">
        <f t="shared" si="4"/>
        <v>0</v>
      </c>
      <c r="AH23" s="220">
        <f ca="1">IF(HLOOKUP($F23,Jornada!$X$7:$AD$37,VLOOKUP(INDIRECT($C$5),Jornada!$C$8:$W$37,21,0),0)=0,0,VLOOKUP(INDIRECT($C$5),Jornada!$C$8:$H$37,4,0))</f>
        <v>0</v>
      </c>
      <c r="AI23" s="155">
        <f ca="1">IF(AND(I23=0,J23=0,OR(H23&lt;&gt;0,K23&lt;&gt;0),HLOOKUP($F23,Jornada!$X$7:$AD$37,VLOOKUP(INDIRECT($C$5),Jornada!$C$8:$W$37,21,0),0)&gt;$AK$5,M23&gt;$AK$5),VLOOKUP(INDIRECT($C$5),Jornada!$C$8:$H$37,6,0),IF(AG23&gt;VLOOKUP(INDIRECT($C$5),Jornada!$C$8:$H$37,6,0),IF(VLOOKUP(INDIRECT($C$5),Jornada!$C$8:$H$37,6,0)&lt;AG23,0,ABS(VLOOKUP(INDIRECT($C$5),Jornada!$C$8:$H$37,6,0))-AG23),0))</f>
        <v>0</v>
      </c>
      <c r="AJ23" s="155">
        <f t="shared" si="5"/>
        <v>1</v>
      </c>
      <c r="AK23" s="155">
        <f t="shared" si="6"/>
        <v>0</v>
      </c>
      <c r="AL23" s="155">
        <f ca="1">HLOOKUP($F23,Jornada!$I$5:$V$37,VLOOKUP(INDIRECT($C$5),Jornada!$C$8:$W$37,21,0)+2,0)</f>
        <v>0</v>
      </c>
      <c r="AM23" s="155">
        <f ca="1">HLOOKUP($F23,Jornada!$I$4:$V$37,VLOOKUP(INDIRECT($C$5),Jornada!$C$8:$W$37,21,0)+3,0)</f>
        <v>0</v>
      </c>
      <c r="AN23" s="155">
        <f t="shared" ca="1" si="7"/>
        <v>0</v>
      </c>
      <c r="AO23" s="155">
        <f t="shared" si="8"/>
        <v>0</v>
      </c>
      <c r="AP23" s="155">
        <f t="shared" si="9"/>
        <v>0</v>
      </c>
      <c r="BE23" s="14"/>
      <c r="BF23" s="14"/>
      <c r="BG23" s="14"/>
    </row>
    <row r="24" spans="1:59" s="2" customFormat="1" ht="30" customHeight="1" thickTop="1" thickBot="1" x14ac:dyDescent="0.25">
      <c r="A24" s="1"/>
      <c r="B24"/>
      <c r="C24" s="172" t="str">
        <f>IF(Funcionários!C23=0,"",Funcionários!C23)</f>
        <v/>
      </c>
      <c r="D24"/>
      <c r="E24" s="115">
        <f>Lanç!E24</f>
        <v>17</v>
      </c>
      <c r="F24" s="189" t="str">
        <f>Lanç!F24</f>
        <v>Ter</v>
      </c>
      <c r="G24" s="81"/>
      <c r="H24" s="94"/>
      <c r="I24" s="94"/>
      <c r="J24" s="94"/>
      <c r="K24" s="94"/>
      <c r="L24" s="10"/>
      <c r="M24" s="95">
        <f t="shared" si="1"/>
        <v>0</v>
      </c>
      <c r="N24" s="96"/>
      <c r="O24" s="95">
        <f ca="1">IF(OR(G24=0,G24="Férias",G24="Falta Justificada",G24="Feriado",G24="Folga (DSR)"),0,IF(G24="Falta Injustificada",HLOOKUP($F24,Jornada!$X$7:$AD$37,VLOOKUP(INDIRECT($C$5),Jornada!$C$8:$W$37,21,0),0),IF(HLOOKUP($F24,Jornada!$X$7:$AD$37,VLOOKUP(INDIRECT($C$5),Jornada!$C$8:$W$37,21,0),0)-M24&gt;0,HLOOKUP($F24,Jornada!$X$7:$AD$37,VLOOKUP(INDIRECT($C$5),Jornada!$C$8:$W$37,21,0),0)-M24,0)))</f>
        <v>0</v>
      </c>
      <c r="P24" s="190">
        <f ca="1">IF(HLOOKUP($F24,Jornada!$X$7:$AD$37,VLOOKUP(INDIRECT($C$5),Jornada!$C$8:$W$37,21,0),0)-M24&lt;0,ABS(HLOOKUP($F24,Jornada!$X$7:$AD$37,VLOOKUP(INDIRECT($C$5),Jornada!$C$8:$W$37,21,0),0)-M24),0)</f>
        <v>0</v>
      </c>
      <c r="Q24" s="95">
        <f t="shared" si="0"/>
        <v>0</v>
      </c>
      <c r="R24" s="2">
        <f t="shared" si="2"/>
        <v>0</v>
      </c>
      <c r="S24" s="296"/>
      <c r="T24" s="297"/>
      <c r="U24" s="298"/>
      <c r="X24" s="177"/>
      <c r="AB24" s="177">
        <f t="shared" si="10"/>
        <v>17</v>
      </c>
      <c r="AC24" s="2">
        <f t="shared" si="3"/>
        <v>3</v>
      </c>
      <c r="AG24" s="220">
        <f t="shared" si="4"/>
        <v>0</v>
      </c>
      <c r="AH24" s="220">
        <f ca="1">IF(HLOOKUP($F24,Jornada!$X$7:$AD$37,VLOOKUP(INDIRECT($C$5),Jornada!$C$8:$W$37,21,0),0)=0,0,VLOOKUP(INDIRECT($C$5),Jornada!$C$8:$H$37,4,0))</f>
        <v>0</v>
      </c>
      <c r="AI24" s="155">
        <f ca="1">IF(AND(I24=0,J24=0,OR(H24&lt;&gt;0,K24&lt;&gt;0),HLOOKUP($F24,Jornada!$X$7:$AD$37,VLOOKUP(INDIRECT($C$5),Jornada!$C$8:$W$37,21,0),0)&gt;$AK$5,M24&gt;$AK$5),VLOOKUP(INDIRECT($C$5),Jornada!$C$8:$H$37,6,0),IF(AG24&gt;VLOOKUP(INDIRECT($C$5),Jornada!$C$8:$H$37,6,0),IF(VLOOKUP(INDIRECT($C$5),Jornada!$C$8:$H$37,6,0)&lt;AG24,0,ABS(VLOOKUP(INDIRECT($C$5),Jornada!$C$8:$H$37,6,0))-AG24),0))</f>
        <v>0</v>
      </c>
      <c r="AJ24" s="155">
        <f t="shared" si="5"/>
        <v>1</v>
      </c>
      <c r="AK24" s="155">
        <f t="shared" si="6"/>
        <v>0</v>
      </c>
      <c r="AL24" s="155">
        <f ca="1">HLOOKUP($F24,Jornada!$I$5:$V$37,VLOOKUP(INDIRECT($C$5),Jornada!$C$8:$W$37,21,0)+2,0)</f>
        <v>0</v>
      </c>
      <c r="AM24" s="155">
        <f ca="1">HLOOKUP($F24,Jornada!$I$4:$V$37,VLOOKUP(INDIRECT($C$5),Jornada!$C$8:$W$37,21,0)+3,0)</f>
        <v>0</v>
      </c>
      <c r="AN24" s="155">
        <f t="shared" ca="1" si="7"/>
        <v>0</v>
      </c>
      <c r="AO24" s="155">
        <f t="shared" si="8"/>
        <v>0</v>
      </c>
      <c r="AP24" s="155">
        <f t="shared" si="9"/>
        <v>0</v>
      </c>
      <c r="BE24" s="14"/>
      <c r="BF24" s="14"/>
      <c r="BG24" s="14"/>
    </row>
    <row r="25" spans="1:59" s="2" customFormat="1" ht="30" customHeight="1" thickTop="1" thickBot="1" x14ac:dyDescent="0.25">
      <c r="A25" s="1"/>
      <c r="B25"/>
      <c r="C25" s="172" t="str">
        <f>IF(Funcionários!C24=0,"",Funcionários!C24)</f>
        <v/>
      </c>
      <c r="D25"/>
      <c r="E25" s="115">
        <f>Lanç!E25</f>
        <v>18</v>
      </c>
      <c r="F25" s="189" t="str">
        <f>Lanç!F25</f>
        <v>Qua</v>
      </c>
      <c r="G25" s="81"/>
      <c r="H25" s="94"/>
      <c r="I25" s="94"/>
      <c r="J25" s="94"/>
      <c r="K25" s="94"/>
      <c r="L25" s="10"/>
      <c r="M25" s="95">
        <f t="shared" si="1"/>
        <v>0</v>
      </c>
      <c r="N25" s="96"/>
      <c r="O25" s="95">
        <f ca="1">IF(OR(G25=0,G25="Férias",G25="Falta Justificada",G25="Feriado",G25="Folga (DSR)"),0,IF(G25="Falta Injustificada",HLOOKUP($F25,Jornada!$X$7:$AD$37,VLOOKUP(INDIRECT($C$5),Jornada!$C$8:$W$37,21,0),0),IF(HLOOKUP($F25,Jornada!$X$7:$AD$37,VLOOKUP(INDIRECT($C$5),Jornada!$C$8:$W$37,21,0),0)-M25&gt;0,HLOOKUP($F25,Jornada!$X$7:$AD$37,VLOOKUP(INDIRECT($C$5),Jornada!$C$8:$W$37,21,0),0)-M25,0)))</f>
        <v>0</v>
      </c>
      <c r="P25" s="190">
        <f ca="1">IF(HLOOKUP($F25,Jornada!$X$7:$AD$37,VLOOKUP(INDIRECT($C$5),Jornada!$C$8:$W$37,21,0),0)-M25&lt;0,ABS(HLOOKUP($F25,Jornada!$X$7:$AD$37,VLOOKUP(INDIRECT($C$5),Jornada!$C$8:$W$37,21,0),0)-M25),0)</f>
        <v>0</v>
      </c>
      <c r="Q25" s="95">
        <f t="shared" si="0"/>
        <v>0</v>
      </c>
      <c r="R25" s="2">
        <f t="shared" si="2"/>
        <v>0</v>
      </c>
      <c r="S25" s="296"/>
      <c r="T25" s="297"/>
      <c r="U25" s="298"/>
      <c r="X25" s="177"/>
      <c r="Z25" s="2">
        <f>IF(SUM(R8:R38)&gt;0,1,0)</f>
        <v>0</v>
      </c>
      <c r="AB25" s="177">
        <f t="shared" si="10"/>
        <v>18</v>
      </c>
      <c r="AC25" s="2">
        <f t="shared" si="3"/>
        <v>4</v>
      </c>
      <c r="AG25" s="220">
        <f t="shared" si="4"/>
        <v>0</v>
      </c>
      <c r="AH25" s="220">
        <f ca="1">IF(HLOOKUP($F25,Jornada!$X$7:$AD$37,VLOOKUP(INDIRECT($C$5),Jornada!$C$8:$W$37,21,0),0)=0,0,VLOOKUP(INDIRECT($C$5),Jornada!$C$8:$H$37,4,0))</f>
        <v>0</v>
      </c>
      <c r="AI25" s="155">
        <f ca="1">IF(AND(I25=0,J25=0,OR(H25&lt;&gt;0,K25&lt;&gt;0),HLOOKUP($F25,Jornada!$X$7:$AD$37,VLOOKUP(INDIRECT($C$5),Jornada!$C$8:$W$37,21,0),0)&gt;$AK$5,M25&gt;$AK$5),VLOOKUP(INDIRECT($C$5),Jornada!$C$8:$H$37,6,0),IF(AG25&gt;VLOOKUP(INDIRECT($C$5),Jornada!$C$8:$H$37,6,0),IF(VLOOKUP(INDIRECT($C$5),Jornada!$C$8:$H$37,6,0)&lt;AG25,0,ABS(VLOOKUP(INDIRECT($C$5),Jornada!$C$8:$H$37,6,0))-AG25),0))</f>
        <v>0</v>
      </c>
      <c r="AJ25" s="155">
        <f t="shared" si="5"/>
        <v>1</v>
      </c>
      <c r="AK25" s="155">
        <f t="shared" si="6"/>
        <v>0</v>
      </c>
      <c r="AL25" s="155">
        <f ca="1">HLOOKUP($F25,Jornada!$I$5:$V$37,VLOOKUP(INDIRECT($C$5),Jornada!$C$8:$W$37,21,0)+2,0)</f>
        <v>0</v>
      </c>
      <c r="AM25" s="155">
        <f ca="1">HLOOKUP($F25,Jornada!$I$4:$V$37,VLOOKUP(INDIRECT($C$5),Jornada!$C$8:$W$37,21,0)+3,0)</f>
        <v>0</v>
      </c>
      <c r="AN25" s="155">
        <f t="shared" ca="1" si="7"/>
        <v>0</v>
      </c>
      <c r="AO25" s="155">
        <f t="shared" si="8"/>
        <v>0</v>
      </c>
      <c r="AP25" s="155">
        <f t="shared" si="9"/>
        <v>0</v>
      </c>
      <c r="BE25" s="14"/>
      <c r="BF25" s="14"/>
      <c r="BG25" s="14"/>
    </row>
    <row r="26" spans="1:59" s="2" customFormat="1" ht="30" customHeight="1" thickTop="1" thickBot="1" x14ac:dyDescent="0.25">
      <c r="A26" s="1"/>
      <c r="B26"/>
      <c r="C26" s="172" t="str">
        <f>IF(Funcionários!C25=0,"",Funcionários!C25)</f>
        <v/>
      </c>
      <c r="D26"/>
      <c r="E26" s="115">
        <f>Lanç!E26</f>
        <v>19</v>
      </c>
      <c r="F26" s="189" t="str">
        <f>Lanç!F26</f>
        <v>Qui</v>
      </c>
      <c r="G26" s="81"/>
      <c r="H26" s="94"/>
      <c r="I26" s="94"/>
      <c r="J26" s="94"/>
      <c r="K26" s="94"/>
      <c r="L26" s="10"/>
      <c r="M26" s="95">
        <f t="shared" si="1"/>
        <v>0</v>
      </c>
      <c r="N26" s="96"/>
      <c r="O26" s="95">
        <f ca="1">IF(OR(G26=0,G26="Férias",G26="Falta Justificada",G26="Feriado",G26="Folga (DSR)"),0,IF(G26="Falta Injustificada",HLOOKUP($F26,Jornada!$X$7:$AD$37,VLOOKUP(INDIRECT($C$5),Jornada!$C$8:$W$37,21,0),0),IF(HLOOKUP($F26,Jornada!$X$7:$AD$37,VLOOKUP(INDIRECT($C$5),Jornada!$C$8:$W$37,21,0),0)-M26&gt;0,HLOOKUP($F26,Jornada!$X$7:$AD$37,VLOOKUP(INDIRECT($C$5),Jornada!$C$8:$W$37,21,0),0)-M26,0)))</f>
        <v>0</v>
      </c>
      <c r="P26" s="190">
        <f ca="1">IF(HLOOKUP($F26,Jornada!$X$7:$AD$37,VLOOKUP(INDIRECT($C$5),Jornada!$C$8:$W$37,21,0),0)-M26&lt;0,ABS(HLOOKUP($F26,Jornada!$X$7:$AD$37,VLOOKUP(INDIRECT($C$5),Jornada!$C$8:$W$37,21,0),0)-M26),0)</f>
        <v>0</v>
      </c>
      <c r="Q26" s="95">
        <f t="shared" si="0"/>
        <v>0</v>
      </c>
      <c r="R26" s="2">
        <f t="shared" si="2"/>
        <v>0</v>
      </c>
      <c r="S26" s="296" t="str">
        <f>IF(COUNTIF(G8:G38,"Folga (DSR)")&lt;DAY(E39)/8,"O mês não está contemplando um DSR (Descanso Semanal Remunerado) por semana. Isso pode configurar uma irregularidade segundo as leis trabalhistas.","Parabéns!! Sua folha de pagamento contempla uma DSR por semana conforme a lei trabalhista.")</f>
        <v>O mês não está contemplando um DSR (Descanso Semanal Remunerado) por semana. Isso pode configurar uma irregularidade segundo as leis trabalhistas.</v>
      </c>
      <c r="T26" s="297"/>
      <c r="U26" s="298"/>
      <c r="X26" s="177"/>
      <c r="AB26" s="177">
        <f t="shared" si="10"/>
        <v>19</v>
      </c>
      <c r="AC26" s="2">
        <f t="shared" si="3"/>
        <v>5</v>
      </c>
      <c r="AG26" s="220">
        <f t="shared" si="4"/>
        <v>0</v>
      </c>
      <c r="AH26" s="220">
        <f ca="1">IF(HLOOKUP($F26,Jornada!$X$7:$AD$37,VLOOKUP(INDIRECT($C$5),Jornada!$C$8:$W$37,21,0),0)=0,0,VLOOKUP(INDIRECT($C$5),Jornada!$C$8:$H$37,4,0))</f>
        <v>0</v>
      </c>
      <c r="AI26" s="155">
        <f ca="1">IF(AND(I26=0,J26=0,OR(H26&lt;&gt;0,K26&lt;&gt;0),HLOOKUP($F26,Jornada!$X$7:$AD$37,VLOOKUP(INDIRECT($C$5),Jornada!$C$8:$W$37,21,0),0)&gt;$AK$5,M26&gt;$AK$5),VLOOKUP(INDIRECT($C$5),Jornada!$C$8:$H$37,6,0),IF(AG26&gt;VLOOKUP(INDIRECT($C$5),Jornada!$C$8:$H$37,6,0),IF(VLOOKUP(INDIRECT($C$5),Jornada!$C$8:$H$37,6,0)&lt;AG26,0,ABS(VLOOKUP(INDIRECT($C$5),Jornada!$C$8:$H$37,6,0))-AG26),0))</f>
        <v>0</v>
      </c>
      <c r="AJ26" s="155">
        <f t="shared" si="5"/>
        <v>1</v>
      </c>
      <c r="AK26" s="155">
        <f t="shared" si="6"/>
        <v>0</v>
      </c>
      <c r="AL26" s="155">
        <f ca="1">HLOOKUP($F26,Jornada!$I$5:$V$37,VLOOKUP(INDIRECT($C$5),Jornada!$C$8:$W$37,21,0)+2,0)</f>
        <v>0</v>
      </c>
      <c r="AM26" s="155">
        <f ca="1">HLOOKUP($F26,Jornada!$I$4:$V$37,VLOOKUP(INDIRECT($C$5),Jornada!$C$8:$W$37,21,0)+3,0)</f>
        <v>0</v>
      </c>
      <c r="AN26" s="155">
        <f t="shared" ca="1" si="7"/>
        <v>0</v>
      </c>
      <c r="AO26" s="155">
        <f t="shared" si="8"/>
        <v>0</v>
      </c>
      <c r="AP26" s="155">
        <f t="shared" si="9"/>
        <v>0</v>
      </c>
      <c r="BE26" s="14"/>
      <c r="BF26" s="14"/>
      <c r="BG26" s="14"/>
    </row>
    <row r="27" spans="1:59" s="2" customFormat="1" ht="30" customHeight="1" thickTop="1" thickBot="1" x14ac:dyDescent="0.25">
      <c r="A27" s="1"/>
      <c r="B27"/>
      <c r="C27" s="172" t="str">
        <f>IF(Funcionários!C26=0,"",Funcionários!C26)</f>
        <v/>
      </c>
      <c r="D27"/>
      <c r="E27" s="115">
        <f>Lanç!E27</f>
        <v>20</v>
      </c>
      <c r="F27" s="189" t="str">
        <f>Lanç!F27</f>
        <v>Sex</v>
      </c>
      <c r="G27" s="81"/>
      <c r="H27" s="94"/>
      <c r="I27" s="94"/>
      <c r="J27" s="94"/>
      <c r="K27" s="94"/>
      <c r="L27" s="10"/>
      <c r="M27" s="95">
        <f t="shared" si="1"/>
        <v>0</v>
      </c>
      <c r="N27" s="96"/>
      <c r="O27" s="95">
        <f ca="1">IF(OR(G27=0,G27="Férias",G27="Falta Justificada",G27="Feriado",G27="Folga (DSR)"),0,IF(G27="Falta Injustificada",HLOOKUP($F27,Jornada!$X$7:$AD$37,VLOOKUP(INDIRECT($C$5),Jornada!$C$8:$W$37,21,0),0),IF(HLOOKUP($F27,Jornada!$X$7:$AD$37,VLOOKUP(INDIRECT($C$5),Jornada!$C$8:$W$37,21,0),0)-M27&gt;0,HLOOKUP($F27,Jornada!$X$7:$AD$37,VLOOKUP(INDIRECT($C$5),Jornada!$C$8:$W$37,21,0),0)-M27,0)))</f>
        <v>0</v>
      </c>
      <c r="P27" s="190">
        <f ca="1">IF(HLOOKUP($F27,Jornada!$X$7:$AD$37,VLOOKUP(INDIRECT($C$5),Jornada!$C$8:$W$37,21,0),0)-M27&lt;0,ABS(HLOOKUP($F27,Jornada!$X$7:$AD$37,VLOOKUP(INDIRECT($C$5),Jornada!$C$8:$W$37,21,0),0)-M27),0)</f>
        <v>0</v>
      </c>
      <c r="Q27" s="95">
        <f t="shared" si="0"/>
        <v>0</v>
      </c>
      <c r="R27" s="2">
        <f t="shared" si="2"/>
        <v>0</v>
      </c>
      <c r="S27" s="296"/>
      <c r="T27" s="297"/>
      <c r="U27" s="298"/>
      <c r="X27" s="177"/>
      <c r="AB27" s="177">
        <f t="shared" si="10"/>
        <v>20</v>
      </c>
      <c r="AC27" s="2">
        <f t="shared" si="3"/>
        <v>6</v>
      </c>
      <c r="AG27" s="220">
        <f t="shared" si="4"/>
        <v>0</v>
      </c>
      <c r="AH27" s="220">
        <f ca="1">IF(HLOOKUP($F27,Jornada!$X$7:$AD$37,VLOOKUP(INDIRECT($C$5),Jornada!$C$8:$W$37,21,0),0)=0,0,VLOOKUP(INDIRECT($C$5),Jornada!$C$8:$H$37,4,0))</f>
        <v>0</v>
      </c>
      <c r="AI27" s="155">
        <f ca="1">IF(AND(I27=0,J27=0,OR(H27&lt;&gt;0,K27&lt;&gt;0),HLOOKUP($F27,Jornada!$X$7:$AD$37,VLOOKUP(INDIRECT($C$5),Jornada!$C$8:$W$37,21,0),0)&gt;$AK$5,M27&gt;$AK$5),VLOOKUP(INDIRECT($C$5),Jornada!$C$8:$H$37,6,0),IF(AG27&gt;VLOOKUP(INDIRECT($C$5),Jornada!$C$8:$H$37,6,0),IF(VLOOKUP(INDIRECT($C$5),Jornada!$C$8:$H$37,6,0)&lt;AG27,0,ABS(VLOOKUP(INDIRECT($C$5),Jornada!$C$8:$H$37,6,0))-AG27),0))</f>
        <v>0</v>
      </c>
      <c r="AJ27" s="155">
        <f t="shared" si="5"/>
        <v>1</v>
      </c>
      <c r="AK27" s="155">
        <f t="shared" si="6"/>
        <v>0</v>
      </c>
      <c r="AL27" s="155">
        <f ca="1">HLOOKUP($F27,Jornada!$I$5:$V$37,VLOOKUP(INDIRECT($C$5),Jornada!$C$8:$W$37,21,0)+2,0)</f>
        <v>0</v>
      </c>
      <c r="AM27" s="155">
        <f ca="1">HLOOKUP($F27,Jornada!$I$4:$V$37,VLOOKUP(INDIRECT($C$5),Jornada!$C$8:$W$37,21,0)+3,0)</f>
        <v>0</v>
      </c>
      <c r="AN27" s="155">
        <f t="shared" ca="1" si="7"/>
        <v>0</v>
      </c>
      <c r="AO27" s="155">
        <f t="shared" si="8"/>
        <v>0</v>
      </c>
      <c r="AP27" s="155">
        <f t="shared" si="9"/>
        <v>0</v>
      </c>
    </row>
    <row r="28" spans="1:59" s="2" customFormat="1" ht="30" customHeight="1" thickTop="1" thickBot="1" x14ac:dyDescent="0.25">
      <c r="A28" s="1"/>
      <c r="B28"/>
      <c r="C28" s="172" t="str">
        <f>IF(Funcionários!C27=0,"",Funcionários!C27)</f>
        <v/>
      </c>
      <c r="D28"/>
      <c r="E28" s="115">
        <f>Lanç!E28</f>
        <v>21</v>
      </c>
      <c r="F28" s="189" t="str">
        <f>Lanç!F28</f>
        <v>Sáb</v>
      </c>
      <c r="G28" s="81"/>
      <c r="H28" s="94"/>
      <c r="I28" s="94"/>
      <c r="J28" s="94"/>
      <c r="K28" s="94"/>
      <c r="L28" s="10"/>
      <c r="M28" s="95">
        <f t="shared" si="1"/>
        <v>0</v>
      </c>
      <c r="N28" s="96"/>
      <c r="O28" s="95">
        <f ca="1">IF(OR(G28=0,G28="Férias",G28="Falta Justificada",G28="Feriado",G28="Folga (DSR)"),0,IF(G28="Falta Injustificada",HLOOKUP($F28,Jornada!$X$7:$AD$37,VLOOKUP(INDIRECT($C$5),Jornada!$C$8:$W$37,21,0),0),IF(HLOOKUP($F28,Jornada!$X$7:$AD$37,VLOOKUP(INDIRECT($C$5),Jornada!$C$8:$W$37,21,0),0)-M28&gt;0,HLOOKUP($F28,Jornada!$X$7:$AD$37,VLOOKUP(INDIRECT($C$5),Jornada!$C$8:$W$37,21,0),0)-M28,0)))</f>
        <v>0</v>
      </c>
      <c r="P28" s="190">
        <f ca="1">IF(HLOOKUP($F28,Jornada!$X$7:$AD$37,VLOOKUP(INDIRECT($C$5),Jornada!$C$8:$W$37,21,0),0)-M28&lt;0,ABS(HLOOKUP($F28,Jornada!$X$7:$AD$37,VLOOKUP(INDIRECT($C$5),Jornada!$C$8:$W$37,21,0),0)-M28),0)</f>
        <v>0</v>
      </c>
      <c r="Q28" s="95">
        <f t="shared" si="0"/>
        <v>0</v>
      </c>
      <c r="R28" s="2">
        <f t="shared" si="2"/>
        <v>0</v>
      </c>
      <c r="S28" s="296"/>
      <c r="T28" s="297"/>
      <c r="U28" s="298"/>
      <c r="X28" s="177"/>
      <c r="AB28" s="177">
        <f t="shared" si="10"/>
        <v>21</v>
      </c>
      <c r="AC28" s="2">
        <f t="shared" si="3"/>
        <v>7</v>
      </c>
      <c r="AG28" s="220">
        <f t="shared" si="4"/>
        <v>0</v>
      </c>
      <c r="AH28" s="220">
        <f ca="1">IF(HLOOKUP($F28,Jornada!$X$7:$AD$37,VLOOKUP(INDIRECT($C$5),Jornada!$C$8:$W$37,21,0),0)=0,0,VLOOKUP(INDIRECT($C$5),Jornada!$C$8:$H$37,4,0))</f>
        <v>0</v>
      </c>
      <c r="AI28" s="155">
        <f ca="1">IF(AND(I28=0,J28=0,OR(H28&lt;&gt;0,K28&lt;&gt;0),HLOOKUP($F28,Jornada!$X$7:$AD$37,VLOOKUP(INDIRECT($C$5),Jornada!$C$8:$W$37,21,0),0)&gt;$AK$5,M28&gt;$AK$5),VLOOKUP(INDIRECT($C$5),Jornada!$C$8:$H$37,6,0),IF(AG28&gt;VLOOKUP(INDIRECT($C$5),Jornada!$C$8:$H$37,6,0),IF(VLOOKUP(INDIRECT($C$5),Jornada!$C$8:$H$37,6,0)&lt;AG28,0,ABS(VLOOKUP(INDIRECT($C$5),Jornada!$C$8:$H$37,6,0))-AG28),0))</f>
        <v>0</v>
      </c>
      <c r="AJ28" s="155">
        <f t="shared" si="5"/>
        <v>1</v>
      </c>
      <c r="AK28" s="155">
        <f t="shared" si="6"/>
        <v>0</v>
      </c>
      <c r="AL28" s="155">
        <f ca="1">HLOOKUP($F28,Jornada!$I$5:$V$37,VLOOKUP(INDIRECT($C$5),Jornada!$C$8:$W$37,21,0)+2,0)</f>
        <v>0</v>
      </c>
      <c r="AM28" s="155">
        <f ca="1">HLOOKUP($F28,Jornada!$I$4:$V$37,VLOOKUP(INDIRECT($C$5),Jornada!$C$8:$W$37,21,0)+3,0)</f>
        <v>0</v>
      </c>
      <c r="AN28" s="155">
        <f t="shared" ca="1" si="7"/>
        <v>0</v>
      </c>
      <c r="AO28" s="155">
        <f t="shared" si="8"/>
        <v>0</v>
      </c>
      <c r="AP28" s="155">
        <f t="shared" si="9"/>
        <v>0</v>
      </c>
    </row>
    <row r="29" spans="1:59" s="2" customFormat="1" ht="30" customHeight="1" thickTop="1" thickBot="1" x14ac:dyDescent="0.25">
      <c r="A29" s="1"/>
      <c r="B29"/>
      <c r="C29" s="172" t="str">
        <f>IF(Funcionários!C28=0,"",Funcionários!C28)</f>
        <v/>
      </c>
      <c r="D29"/>
      <c r="E29" s="115">
        <f>Lanç!E29</f>
        <v>22</v>
      </c>
      <c r="F29" s="189" t="str">
        <f>Lanç!F29</f>
        <v>Dom</v>
      </c>
      <c r="G29" s="81"/>
      <c r="H29" s="94"/>
      <c r="I29" s="94"/>
      <c r="J29" s="94"/>
      <c r="K29" s="94"/>
      <c r="L29" s="10"/>
      <c r="M29" s="95">
        <f t="shared" si="1"/>
        <v>0</v>
      </c>
      <c r="N29" s="96"/>
      <c r="O29" s="95">
        <f ca="1">IF(OR(G29=0,G29="Férias",G29="Falta Justificada",G29="Feriado",G29="Folga (DSR)"),0,IF(G29="Falta Injustificada",HLOOKUP($F29,Jornada!$X$7:$AD$37,VLOOKUP(INDIRECT($C$5),Jornada!$C$8:$W$37,21,0),0),IF(HLOOKUP($F29,Jornada!$X$7:$AD$37,VLOOKUP(INDIRECT($C$5),Jornada!$C$8:$W$37,21,0),0)-M29&gt;0,HLOOKUP($F29,Jornada!$X$7:$AD$37,VLOOKUP(INDIRECT($C$5),Jornada!$C$8:$W$37,21,0),0)-M29,0)))</f>
        <v>0</v>
      </c>
      <c r="P29" s="190">
        <f ca="1">IF(HLOOKUP($F29,Jornada!$X$7:$AD$37,VLOOKUP(INDIRECT($C$5),Jornada!$C$8:$W$37,21,0),0)-M29&lt;0,ABS(HLOOKUP($F29,Jornada!$X$7:$AD$37,VLOOKUP(INDIRECT($C$5),Jornada!$C$8:$W$37,21,0),0)-M29),0)</f>
        <v>0</v>
      </c>
      <c r="Q29" s="95">
        <f t="shared" si="0"/>
        <v>0</v>
      </c>
      <c r="R29" s="2">
        <f t="shared" si="2"/>
        <v>0</v>
      </c>
      <c r="S29" s="13"/>
      <c r="T29" s="74"/>
      <c r="U29" s="74"/>
      <c r="X29" s="177"/>
      <c r="AB29" s="177">
        <f t="shared" si="10"/>
        <v>22</v>
      </c>
      <c r="AC29" s="2">
        <f t="shared" si="3"/>
        <v>1</v>
      </c>
      <c r="AG29" s="220">
        <f t="shared" si="4"/>
        <v>0</v>
      </c>
      <c r="AH29" s="220">
        <f ca="1">IF(HLOOKUP($F29,Jornada!$X$7:$AD$37,VLOOKUP(INDIRECT($C$5),Jornada!$C$8:$W$37,21,0),0)=0,0,VLOOKUP(INDIRECT($C$5),Jornada!$C$8:$H$37,4,0))</f>
        <v>0</v>
      </c>
      <c r="AI29" s="155">
        <f ca="1">IF(AND(I29=0,J29=0,OR(H29&lt;&gt;0,K29&lt;&gt;0),HLOOKUP($F29,Jornada!$X$7:$AD$37,VLOOKUP(INDIRECT($C$5),Jornada!$C$8:$W$37,21,0),0)&gt;$AK$5,M29&gt;$AK$5),VLOOKUP(INDIRECT($C$5),Jornada!$C$8:$H$37,6,0),IF(AG29&gt;VLOOKUP(INDIRECT($C$5),Jornada!$C$8:$H$37,6,0),IF(VLOOKUP(INDIRECT($C$5),Jornada!$C$8:$H$37,6,0)&lt;AG29,0,ABS(VLOOKUP(INDIRECT($C$5),Jornada!$C$8:$H$37,6,0))-AG29),0))</f>
        <v>0</v>
      </c>
      <c r="AJ29" s="155">
        <f t="shared" si="5"/>
        <v>1</v>
      </c>
      <c r="AK29" s="155">
        <f t="shared" si="6"/>
        <v>0</v>
      </c>
      <c r="AL29" s="155">
        <f ca="1">HLOOKUP($F29,Jornada!$I$5:$V$37,VLOOKUP(INDIRECT($C$5),Jornada!$C$8:$W$37,21,0)+2,0)</f>
        <v>0</v>
      </c>
      <c r="AM29" s="155">
        <f ca="1">HLOOKUP($F29,Jornada!$I$4:$V$37,VLOOKUP(INDIRECT($C$5),Jornada!$C$8:$W$37,21,0)+3,0)</f>
        <v>0</v>
      </c>
      <c r="AN29" s="155">
        <f t="shared" ca="1" si="7"/>
        <v>0</v>
      </c>
      <c r="AO29" s="155">
        <f t="shared" si="8"/>
        <v>0</v>
      </c>
      <c r="AP29" s="155">
        <f t="shared" si="9"/>
        <v>0</v>
      </c>
    </row>
    <row r="30" spans="1:59" s="2" customFormat="1" ht="30" customHeight="1" thickTop="1" thickBot="1" x14ac:dyDescent="0.25">
      <c r="A30" s="1"/>
      <c r="B30"/>
      <c r="C30" s="172" t="str">
        <f>IF(Funcionários!C29=0,"",Funcionários!C29)</f>
        <v/>
      </c>
      <c r="D30"/>
      <c r="E30" s="173">
        <f>Lanç!E30</f>
        <v>23</v>
      </c>
      <c r="F30" s="189" t="str">
        <f>Lanç!F30</f>
        <v>Seg</v>
      </c>
      <c r="G30" s="81"/>
      <c r="H30" s="94"/>
      <c r="I30" s="94"/>
      <c r="J30" s="94"/>
      <c r="K30" s="94"/>
      <c r="L30" s="10"/>
      <c r="M30" s="95">
        <f t="shared" si="1"/>
        <v>0</v>
      </c>
      <c r="N30" s="96"/>
      <c r="O30" s="95">
        <f ca="1">IF(OR(G30=0,G30="Férias",G30="Falta Justificada",G30="Feriado",G30="Folga (DSR)"),0,IF(G30="Falta Injustificada",HLOOKUP($F30,Jornada!$X$7:$AD$37,VLOOKUP(INDIRECT($C$5),Jornada!$C$8:$W$37,21,0),0),IF(HLOOKUP($F30,Jornada!$X$7:$AD$37,VLOOKUP(INDIRECT($C$5),Jornada!$C$8:$W$37,21,0),0)-M30&gt;0,HLOOKUP($F30,Jornada!$X$7:$AD$37,VLOOKUP(INDIRECT($C$5),Jornada!$C$8:$W$37,21,0),0)-M30,0)))</f>
        <v>0</v>
      </c>
      <c r="P30" s="190">
        <f ca="1">IF(HLOOKUP($F30,Jornada!$X$7:$AD$37,VLOOKUP(INDIRECT($C$5),Jornada!$C$8:$W$37,21,0),0)-M30&lt;0,ABS(HLOOKUP($F30,Jornada!$X$7:$AD$37,VLOOKUP(INDIRECT($C$5),Jornada!$C$8:$W$37,21,0),0)-M30),0)</f>
        <v>0</v>
      </c>
      <c r="Q30" s="95">
        <f t="shared" si="0"/>
        <v>0</v>
      </c>
      <c r="R30" s="2">
        <f>IF(Q30&gt;$R$7,1,0)</f>
        <v>0</v>
      </c>
      <c r="S30" s="13"/>
      <c r="T30" s="74"/>
      <c r="U30" s="74"/>
      <c r="X30" s="177"/>
      <c r="AB30" s="177">
        <f t="shared" si="10"/>
        <v>23</v>
      </c>
      <c r="AC30" s="2">
        <f>WEEKDAY(AB30)</f>
        <v>2</v>
      </c>
      <c r="AG30" s="220">
        <f t="shared" si="4"/>
        <v>0</v>
      </c>
      <c r="AH30" s="220">
        <f ca="1">IF(HLOOKUP($F30,Jornada!$X$7:$AD$37,VLOOKUP(INDIRECT($C$5),Jornada!$C$8:$W$37,21,0),0)=0,0,VLOOKUP(INDIRECT($C$5),Jornada!$C$8:$H$37,4,0))</f>
        <v>0</v>
      </c>
      <c r="AI30" s="155">
        <f ca="1">IF(AND(I30=0,J30=0,OR(H30&lt;&gt;0,K30&lt;&gt;0),HLOOKUP($F30,Jornada!$X$7:$AD$37,VLOOKUP(INDIRECT($C$5),Jornada!$C$8:$W$37,21,0),0)&gt;$AK$5,M30&gt;$AK$5),VLOOKUP(INDIRECT($C$5),Jornada!$C$8:$H$37,6,0),IF(AG30&gt;VLOOKUP(INDIRECT($C$5),Jornada!$C$8:$H$37,6,0),IF(VLOOKUP(INDIRECT($C$5),Jornada!$C$8:$H$37,6,0)&lt;AG30,0,ABS(VLOOKUP(INDIRECT($C$5),Jornada!$C$8:$H$37,6,0))-AG30),0))</f>
        <v>0</v>
      </c>
      <c r="AJ30" s="155">
        <f>($AJ$7-K30)+H30</f>
        <v>1</v>
      </c>
      <c r="AK30" s="155">
        <f>IF(AJ30&lt;$AK$7,$AK$7-AJ30,$AI$7)</f>
        <v>0</v>
      </c>
      <c r="AL30" s="155">
        <f ca="1">HLOOKUP($F30,Jornada!$I$5:$V$37,VLOOKUP(INDIRECT($C$5),Jornada!$C$8:$W$37,21,0)+2,0)</f>
        <v>0</v>
      </c>
      <c r="AM30" s="155">
        <f ca="1">HLOOKUP($F30,Jornada!$I$4:$V$37,VLOOKUP(INDIRECT($C$5),Jornada!$C$8:$W$37,21,0)+3,0)</f>
        <v>0</v>
      </c>
      <c r="AN30" s="155">
        <f t="shared" ca="1" si="7"/>
        <v>0</v>
      </c>
      <c r="AO30" s="155">
        <f t="shared" si="8"/>
        <v>0</v>
      </c>
      <c r="AP30" s="155">
        <f t="shared" si="9"/>
        <v>0</v>
      </c>
    </row>
    <row r="31" spans="1:59" s="2" customFormat="1" ht="30" customHeight="1" thickTop="1" thickBot="1" x14ac:dyDescent="0.25">
      <c r="A31" s="1"/>
      <c r="B31"/>
      <c r="C31" s="172" t="str">
        <f>IF(Funcionários!C30=0,"",Funcionários!C30)</f>
        <v/>
      </c>
      <c r="D31"/>
      <c r="E31" s="173">
        <f>Lanç!E31</f>
        <v>24</v>
      </c>
      <c r="F31" s="189" t="str">
        <f>Lanç!F31</f>
        <v>Ter</v>
      </c>
      <c r="G31" s="81"/>
      <c r="H31" s="94"/>
      <c r="I31" s="94"/>
      <c r="J31" s="94"/>
      <c r="K31" s="94"/>
      <c r="L31" s="10"/>
      <c r="M31" s="95">
        <f t="shared" si="1"/>
        <v>0</v>
      </c>
      <c r="N31" s="96"/>
      <c r="O31" s="95">
        <f ca="1">IF(OR(G31=0,G31="Férias",G31="Falta Justificada",G31="Feriado",G31="Folga (DSR)"),0,IF(G31="Falta Injustificada",HLOOKUP($F31,Jornada!$X$7:$AD$37,VLOOKUP(INDIRECT($C$5),Jornada!$C$8:$W$37,21,0),0),IF(HLOOKUP($F31,Jornada!$X$7:$AD$37,VLOOKUP(INDIRECT($C$5),Jornada!$C$8:$W$37,21,0),0)-M31&gt;0,HLOOKUP($F31,Jornada!$X$7:$AD$37,VLOOKUP(INDIRECT($C$5),Jornada!$C$8:$W$37,21,0),0)-M31,0)))</f>
        <v>0</v>
      </c>
      <c r="P31" s="190">
        <f ca="1">IF(HLOOKUP($F31,Jornada!$X$7:$AD$37,VLOOKUP(INDIRECT($C$5),Jornada!$C$8:$W$37,21,0),0)-M31&lt;0,ABS(HLOOKUP($F31,Jornada!$X$7:$AD$37,VLOOKUP(INDIRECT($C$5),Jornada!$C$8:$W$37,21,0),0)-M31),0)</f>
        <v>0</v>
      </c>
      <c r="Q31" s="95">
        <f t="shared" si="0"/>
        <v>0</v>
      </c>
      <c r="R31" s="2">
        <f>IF(Q31&gt;$R$7,1,0)</f>
        <v>0</v>
      </c>
      <c r="S31" s="13"/>
      <c r="T31" s="74"/>
      <c r="U31" s="74"/>
      <c r="X31" s="177"/>
      <c r="AB31" s="177">
        <f t="shared" si="10"/>
        <v>24</v>
      </c>
      <c r="AC31" s="2">
        <f>WEEKDAY(AB31)</f>
        <v>3</v>
      </c>
      <c r="AG31" s="220">
        <f t="shared" si="4"/>
        <v>0</v>
      </c>
      <c r="AH31" s="220">
        <f ca="1">IF(HLOOKUP($F31,Jornada!$X$7:$AD$37,VLOOKUP(INDIRECT($C$5),Jornada!$C$8:$W$37,21,0),0)=0,0,VLOOKUP(INDIRECT($C$5),Jornada!$C$8:$H$37,4,0))</f>
        <v>0</v>
      </c>
      <c r="AI31" s="155">
        <f ca="1">IF(AND(I31=0,J31=0,OR(H31&lt;&gt;0,K31&lt;&gt;0),HLOOKUP($F31,Jornada!$X$7:$AD$37,VLOOKUP(INDIRECT($C$5),Jornada!$C$8:$W$37,21,0),0)&gt;$AK$5,M31&gt;$AK$5),VLOOKUP(INDIRECT($C$5),Jornada!$C$8:$H$37,6,0),IF(AG31&gt;VLOOKUP(INDIRECT($C$5),Jornada!$C$8:$H$37,6,0),IF(VLOOKUP(INDIRECT($C$5),Jornada!$C$8:$H$37,6,0)&lt;AG31,0,ABS(VLOOKUP(INDIRECT($C$5),Jornada!$C$8:$H$37,6,0))-AG31),0))</f>
        <v>0</v>
      </c>
      <c r="AJ31" s="155">
        <f>($AJ$7-K31)+H31</f>
        <v>1</v>
      </c>
      <c r="AK31" s="155">
        <f>IF(AJ31&lt;$AK$7,$AK$7-AJ31,$AI$7)</f>
        <v>0</v>
      </c>
      <c r="AL31" s="155">
        <f ca="1">HLOOKUP($F31,Jornada!$I$5:$V$37,VLOOKUP(INDIRECT($C$5),Jornada!$C$8:$W$37,21,0)+2,0)</f>
        <v>0</v>
      </c>
      <c r="AM31" s="155">
        <f ca="1">HLOOKUP($F31,Jornada!$I$4:$V$37,VLOOKUP(INDIRECT($C$5),Jornada!$C$8:$W$37,21,0)+3,0)</f>
        <v>0</v>
      </c>
      <c r="AN31" s="155">
        <f t="shared" ca="1" si="7"/>
        <v>0</v>
      </c>
      <c r="AO31" s="155">
        <f t="shared" si="8"/>
        <v>0</v>
      </c>
      <c r="AP31" s="155">
        <f t="shared" si="9"/>
        <v>0</v>
      </c>
    </row>
    <row r="32" spans="1:59" s="2" customFormat="1" ht="30" customHeight="1" thickTop="1" thickBot="1" x14ac:dyDescent="0.25">
      <c r="A32" s="1"/>
      <c r="B32"/>
      <c r="C32" s="172" t="str">
        <f>IF(Funcionários!C31=0,"",Funcionários!C31)</f>
        <v/>
      </c>
      <c r="D32"/>
      <c r="E32" s="115">
        <f>Lanç!E32</f>
        <v>25</v>
      </c>
      <c r="F32" s="189" t="str">
        <f>Lanç!F32</f>
        <v>Qua</v>
      </c>
      <c r="G32" s="81"/>
      <c r="H32" s="94"/>
      <c r="I32" s="94"/>
      <c r="J32" s="94"/>
      <c r="K32" s="94"/>
      <c r="L32" s="10"/>
      <c r="M32" s="95">
        <f t="shared" si="1"/>
        <v>0</v>
      </c>
      <c r="N32" s="96"/>
      <c r="O32" s="95">
        <f ca="1">IF(OR(G32=0,G32="Férias",G32="Falta Justificada",G32="Feriado",G32="Folga (DSR)"),0,IF(G32="Falta Injustificada",HLOOKUP($F32,Jornada!$X$7:$AD$37,VLOOKUP(INDIRECT($C$5),Jornada!$C$8:$W$37,21,0),0),IF(HLOOKUP($F32,Jornada!$X$7:$AD$37,VLOOKUP(INDIRECT($C$5),Jornada!$C$8:$W$37,21,0),0)-M32&gt;0,HLOOKUP($F32,Jornada!$X$7:$AD$37,VLOOKUP(INDIRECT($C$5),Jornada!$C$8:$W$37,21,0),0)-M32,0)))</f>
        <v>0</v>
      </c>
      <c r="P32" s="190">
        <f ca="1">IF(HLOOKUP($F32,Jornada!$X$7:$AD$37,VLOOKUP(INDIRECT($C$5),Jornada!$C$8:$W$37,21,0),0)-M32&lt;0,ABS(HLOOKUP($F32,Jornada!$X$7:$AD$37,VLOOKUP(INDIRECT($C$5),Jornada!$C$8:$W$37,21,0),0)-M32),0)</f>
        <v>0</v>
      </c>
      <c r="Q32" s="95">
        <f t="shared" si="0"/>
        <v>0</v>
      </c>
      <c r="R32" s="2">
        <f t="shared" si="2"/>
        <v>0</v>
      </c>
      <c r="S32" s="74"/>
      <c r="T32" s="74"/>
      <c r="U32" s="74"/>
      <c r="X32" s="177"/>
      <c r="AB32" s="177">
        <f t="shared" si="10"/>
        <v>25</v>
      </c>
      <c r="AC32" s="2">
        <f t="shared" si="3"/>
        <v>4</v>
      </c>
      <c r="AG32" s="220">
        <f t="shared" si="4"/>
        <v>0</v>
      </c>
      <c r="AH32" s="220">
        <f ca="1">IF(HLOOKUP($F32,Jornada!$X$7:$AD$37,VLOOKUP(INDIRECT($C$5),Jornada!$C$8:$W$37,21,0),0)=0,0,VLOOKUP(INDIRECT($C$5),Jornada!$C$8:$H$37,4,0))</f>
        <v>0</v>
      </c>
      <c r="AI32" s="155">
        <f ca="1">IF(AND(I32=0,J32=0,OR(H32&lt;&gt;0,K32&lt;&gt;0),HLOOKUP($F32,Jornada!$X$7:$AD$37,VLOOKUP(INDIRECT($C$5),Jornada!$C$8:$W$37,21,0),0)&gt;$AK$5,M32&gt;$AK$5),VLOOKUP(INDIRECT($C$5),Jornada!$C$8:$H$37,6,0),IF(AG32&gt;VLOOKUP(INDIRECT($C$5),Jornada!$C$8:$H$37,6,0),IF(VLOOKUP(INDIRECT($C$5),Jornada!$C$8:$H$37,6,0)&lt;AG32,0,ABS(VLOOKUP(INDIRECT($C$5),Jornada!$C$8:$H$37,6,0))-AG32),0))</f>
        <v>0</v>
      </c>
      <c r="AJ32" s="155">
        <f t="shared" si="5"/>
        <v>1</v>
      </c>
      <c r="AK32" s="155">
        <f t="shared" si="6"/>
        <v>0</v>
      </c>
      <c r="AL32" s="155">
        <f ca="1">HLOOKUP($F32,Jornada!$I$5:$V$37,VLOOKUP(INDIRECT($C$5),Jornada!$C$8:$W$37,21,0)+2,0)</f>
        <v>0</v>
      </c>
      <c r="AM32" s="155">
        <f ca="1">HLOOKUP($F32,Jornada!$I$4:$V$37,VLOOKUP(INDIRECT($C$5),Jornada!$C$8:$W$37,21,0)+3,0)</f>
        <v>0</v>
      </c>
      <c r="AN32" s="155">
        <f t="shared" ca="1" si="7"/>
        <v>0</v>
      </c>
      <c r="AO32" s="155">
        <f t="shared" si="8"/>
        <v>0</v>
      </c>
      <c r="AP32" s="155">
        <f t="shared" si="9"/>
        <v>0</v>
      </c>
    </row>
    <row r="33" spans="1:42" s="2" customFormat="1" ht="30" customHeight="1" thickTop="1" thickBot="1" x14ac:dyDescent="0.25">
      <c r="A33" s="1"/>
      <c r="B33"/>
      <c r="C33" s="172" t="str">
        <f>IF(Funcionários!C32=0,"",Funcionários!C32)</f>
        <v/>
      </c>
      <c r="D33"/>
      <c r="E33" s="115">
        <f>Lanç!E33</f>
        <v>26</v>
      </c>
      <c r="F33" s="189" t="str">
        <f>Lanç!F33</f>
        <v>Qui</v>
      </c>
      <c r="G33" s="81"/>
      <c r="H33" s="94"/>
      <c r="I33" s="94"/>
      <c r="J33" s="94"/>
      <c r="K33" s="94"/>
      <c r="L33" s="10"/>
      <c r="M33" s="95">
        <f t="shared" si="1"/>
        <v>0</v>
      </c>
      <c r="N33" s="96"/>
      <c r="O33" s="95">
        <f ca="1">IF(OR(G33=0,G33="Férias",G33="Falta Justificada",G33="Feriado",G33="Folga (DSR)"),0,IF(G33="Falta Injustificada",HLOOKUP($F33,Jornada!$X$7:$AD$37,VLOOKUP(INDIRECT($C$5),Jornada!$C$8:$W$37,21,0),0),IF(HLOOKUP($F33,Jornada!$X$7:$AD$37,VLOOKUP(INDIRECT($C$5),Jornada!$C$8:$W$37,21,0),0)-M33&gt;0,HLOOKUP($F33,Jornada!$X$7:$AD$37,VLOOKUP(INDIRECT($C$5),Jornada!$C$8:$W$37,21,0),0)-M33,0)))</f>
        <v>0</v>
      </c>
      <c r="P33" s="190">
        <f ca="1">IF(HLOOKUP($F33,Jornada!$X$7:$AD$37,VLOOKUP(INDIRECT($C$5),Jornada!$C$8:$W$37,21,0),0)-M33&lt;0,ABS(HLOOKUP($F33,Jornada!$X$7:$AD$37,VLOOKUP(INDIRECT($C$5),Jornada!$C$8:$W$37,21,0),0)-M33),0)</f>
        <v>0</v>
      </c>
      <c r="Q33" s="95">
        <f t="shared" si="0"/>
        <v>0</v>
      </c>
      <c r="R33" s="2">
        <f t="shared" si="2"/>
        <v>0</v>
      </c>
      <c r="S33" s="74"/>
      <c r="T33" s="74"/>
      <c r="U33" s="74"/>
      <c r="X33" s="177"/>
      <c r="AB33" s="177">
        <f t="shared" si="10"/>
        <v>26</v>
      </c>
      <c r="AC33" s="2">
        <f t="shared" si="3"/>
        <v>5</v>
      </c>
      <c r="AG33" s="220">
        <f t="shared" si="4"/>
        <v>0</v>
      </c>
      <c r="AH33" s="220">
        <f ca="1">IF(HLOOKUP($F33,Jornada!$X$7:$AD$37,VLOOKUP(INDIRECT($C$5),Jornada!$C$8:$W$37,21,0),0)=0,0,VLOOKUP(INDIRECT($C$5),Jornada!$C$8:$H$37,4,0))</f>
        <v>0</v>
      </c>
      <c r="AI33" s="155">
        <f ca="1">IF(AND(I33=0,J33=0,OR(H33&lt;&gt;0,K33&lt;&gt;0),HLOOKUP($F33,Jornada!$X$7:$AD$37,VLOOKUP(INDIRECT($C$5),Jornada!$C$8:$W$37,21,0),0)&gt;$AK$5,M33&gt;$AK$5),VLOOKUP(INDIRECT($C$5),Jornada!$C$8:$H$37,6,0),IF(AG33&gt;VLOOKUP(INDIRECT($C$5),Jornada!$C$8:$H$37,6,0),IF(VLOOKUP(INDIRECT($C$5),Jornada!$C$8:$H$37,6,0)&lt;AG33,0,ABS(VLOOKUP(INDIRECT($C$5),Jornada!$C$8:$H$37,6,0))-AG33),0))</f>
        <v>0</v>
      </c>
      <c r="AJ33" s="155">
        <f t="shared" si="5"/>
        <v>1</v>
      </c>
      <c r="AK33" s="155">
        <f t="shared" si="6"/>
        <v>0</v>
      </c>
      <c r="AL33" s="155">
        <f ca="1">HLOOKUP($F33,Jornada!$I$5:$V$37,VLOOKUP(INDIRECT($C$5),Jornada!$C$8:$W$37,21,0)+2,0)</f>
        <v>0</v>
      </c>
      <c r="AM33" s="155">
        <f ca="1">HLOOKUP($F33,Jornada!$I$4:$V$37,VLOOKUP(INDIRECT($C$5),Jornada!$C$8:$W$37,21,0)+3,0)</f>
        <v>0</v>
      </c>
      <c r="AN33" s="155">
        <f t="shared" ca="1" si="7"/>
        <v>0</v>
      </c>
      <c r="AO33" s="155">
        <f t="shared" si="8"/>
        <v>0</v>
      </c>
      <c r="AP33" s="155">
        <f t="shared" si="9"/>
        <v>0</v>
      </c>
    </row>
    <row r="34" spans="1:42" s="2" customFormat="1" ht="30" customHeight="1" thickTop="1" thickBot="1" x14ac:dyDescent="0.25">
      <c r="A34" s="1"/>
      <c r="B34"/>
      <c r="C34" s="172" t="str">
        <f>IF(Funcionários!C33=0,"",Funcionários!C33)</f>
        <v/>
      </c>
      <c r="D34"/>
      <c r="E34" s="115">
        <f>Lanç!E34</f>
        <v>27</v>
      </c>
      <c r="F34" s="189" t="str">
        <f>Lanç!F34</f>
        <v>Sex</v>
      </c>
      <c r="G34" s="81"/>
      <c r="H34" s="94"/>
      <c r="I34" s="94"/>
      <c r="J34" s="94"/>
      <c r="K34" s="94"/>
      <c r="L34" s="10"/>
      <c r="M34" s="95">
        <f t="shared" si="1"/>
        <v>0</v>
      </c>
      <c r="N34" s="96"/>
      <c r="O34" s="95">
        <f ca="1">IF(OR(G34=0,G34="Férias",G34="Falta Justificada",G34="Feriado",G34="Folga (DSR)"),0,IF(G34="Falta Injustificada",HLOOKUP($F34,Jornada!$X$7:$AD$37,VLOOKUP(INDIRECT($C$5),Jornada!$C$8:$W$37,21,0),0),IF(HLOOKUP($F34,Jornada!$X$7:$AD$37,VLOOKUP(INDIRECT($C$5),Jornada!$C$8:$W$37,21,0),0)-M34&gt;0,HLOOKUP($F34,Jornada!$X$7:$AD$37,VLOOKUP(INDIRECT($C$5),Jornada!$C$8:$W$37,21,0),0)-M34,0)))</f>
        <v>0</v>
      </c>
      <c r="P34" s="190">
        <f ca="1">IF(HLOOKUP($F34,Jornada!$X$7:$AD$37,VLOOKUP(INDIRECT($C$5),Jornada!$C$8:$W$37,21,0),0)-M34&lt;0,ABS(HLOOKUP($F34,Jornada!$X$7:$AD$37,VLOOKUP(INDIRECT($C$5),Jornada!$C$8:$W$37,21,0),0)-M34),0)</f>
        <v>0</v>
      </c>
      <c r="Q34" s="95">
        <f t="shared" si="0"/>
        <v>0</v>
      </c>
      <c r="R34" s="2">
        <f t="shared" si="2"/>
        <v>0</v>
      </c>
      <c r="S34" s="74"/>
      <c r="T34" s="74"/>
      <c r="U34" s="74"/>
      <c r="X34" s="177"/>
      <c r="AB34" s="177">
        <f t="shared" si="10"/>
        <v>27</v>
      </c>
      <c r="AC34" s="2">
        <f t="shared" si="3"/>
        <v>6</v>
      </c>
      <c r="AG34" s="220">
        <f t="shared" si="4"/>
        <v>0</v>
      </c>
      <c r="AH34" s="220">
        <f ca="1">IF(HLOOKUP($F34,Jornada!$X$7:$AD$37,VLOOKUP(INDIRECT($C$5),Jornada!$C$8:$W$37,21,0),0)=0,0,VLOOKUP(INDIRECT($C$5),Jornada!$C$8:$H$37,4,0))</f>
        <v>0</v>
      </c>
      <c r="AI34" s="155">
        <f ca="1">IF(AND(I34=0,J34=0,OR(H34&lt;&gt;0,K34&lt;&gt;0),HLOOKUP($F34,Jornada!$X$7:$AD$37,VLOOKUP(INDIRECT($C$5),Jornada!$C$8:$W$37,21,0),0)&gt;$AK$5,M34&gt;$AK$5),VLOOKUP(INDIRECT($C$5),Jornada!$C$8:$H$37,6,0),IF(AG34&gt;VLOOKUP(INDIRECT($C$5),Jornada!$C$8:$H$37,6,0),IF(VLOOKUP(INDIRECT($C$5),Jornada!$C$8:$H$37,6,0)&lt;AG34,0,ABS(VLOOKUP(INDIRECT($C$5),Jornada!$C$8:$H$37,6,0))-AG34),0))</f>
        <v>0</v>
      </c>
      <c r="AJ34" s="155">
        <f t="shared" si="5"/>
        <v>1</v>
      </c>
      <c r="AK34" s="155">
        <f t="shared" si="6"/>
        <v>0</v>
      </c>
      <c r="AL34" s="155">
        <f ca="1">HLOOKUP($F34,Jornada!$I$5:$V$37,VLOOKUP(INDIRECT($C$5),Jornada!$C$8:$W$37,21,0)+2,0)</f>
        <v>0</v>
      </c>
      <c r="AM34" s="155">
        <f ca="1">HLOOKUP($F34,Jornada!$I$4:$V$37,VLOOKUP(INDIRECT($C$5),Jornada!$C$8:$W$37,21,0)+3,0)</f>
        <v>0</v>
      </c>
      <c r="AN34" s="155">
        <f t="shared" ca="1" si="7"/>
        <v>0</v>
      </c>
      <c r="AO34" s="155">
        <f t="shared" si="8"/>
        <v>0</v>
      </c>
      <c r="AP34" s="155">
        <f t="shared" si="9"/>
        <v>0</v>
      </c>
    </row>
    <row r="35" spans="1:42" s="2" customFormat="1" ht="30" customHeight="1" thickTop="1" thickBot="1" x14ac:dyDescent="0.25">
      <c r="A35" s="1"/>
      <c r="B35"/>
      <c r="C35" s="172" t="str">
        <f>IF(Funcionários!C34=0,"",Funcionários!C34)</f>
        <v/>
      </c>
      <c r="D35"/>
      <c r="E35" s="115">
        <f>Lanç!E35</f>
        <v>28</v>
      </c>
      <c r="F35" s="189" t="str">
        <f>Lanç!F35</f>
        <v>Sáb</v>
      </c>
      <c r="G35" s="81"/>
      <c r="H35" s="94"/>
      <c r="I35" s="94"/>
      <c r="J35" s="94"/>
      <c r="K35" s="94"/>
      <c r="L35" s="10"/>
      <c r="M35" s="95">
        <f t="shared" si="1"/>
        <v>0</v>
      </c>
      <c r="N35" s="96"/>
      <c r="O35" s="95">
        <f ca="1">IF(OR(G35=0,G35="Férias",G35="Falta Justificada",G35="Feriado",G35="Folga (DSR)"),0,IF(G35="Falta Injustificada",HLOOKUP($F35,Jornada!$X$7:$AD$37,VLOOKUP(INDIRECT($C$5),Jornada!$C$8:$W$37,21,0),0),IF(HLOOKUP($F35,Jornada!$X$7:$AD$37,VLOOKUP(INDIRECT($C$5),Jornada!$C$8:$W$37,21,0),0)-M35&gt;0,HLOOKUP($F35,Jornada!$X$7:$AD$37,VLOOKUP(INDIRECT($C$5),Jornada!$C$8:$W$37,21,0),0)-M35,0)))</f>
        <v>0</v>
      </c>
      <c r="P35" s="190">
        <f ca="1">IF(HLOOKUP($F35,Jornada!$X$7:$AD$37,VLOOKUP(INDIRECT($C$5),Jornada!$C$8:$W$37,21,0),0)-M35&lt;0,ABS(HLOOKUP($F35,Jornada!$X$7:$AD$37,VLOOKUP(INDIRECT($C$5),Jornada!$C$8:$W$37,21,0),0)-M35),0)</f>
        <v>0</v>
      </c>
      <c r="Q35" s="95">
        <f t="shared" si="0"/>
        <v>0</v>
      </c>
      <c r="R35" s="2">
        <f t="shared" si="2"/>
        <v>0</v>
      </c>
      <c r="S35"/>
      <c r="T35"/>
      <c r="U35"/>
      <c r="X35" s="177"/>
      <c r="AB35" s="177">
        <f>IF(MONTH(AB34+1)&lt;&gt;MONTH(AB34),"",AB34+1)</f>
        <v>28</v>
      </c>
      <c r="AC35" s="2">
        <f t="shared" si="3"/>
        <v>7</v>
      </c>
      <c r="AG35" s="220">
        <f t="shared" si="4"/>
        <v>0</v>
      </c>
      <c r="AH35" s="220">
        <f ca="1">IF(HLOOKUP($F35,Jornada!$X$7:$AD$37,VLOOKUP(INDIRECT($C$5),Jornada!$C$8:$W$37,21,0),0)=0,0,VLOOKUP(INDIRECT($C$5),Jornada!$C$8:$H$37,4,0))</f>
        <v>0</v>
      </c>
      <c r="AI35" s="155">
        <f ca="1">IF(AND(I35=0,J35=0,OR(H35&lt;&gt;0,K35&lt;&gt;0),HLOOKUP($F35,Jornada!$X$7:$AD$37,VLOOKUP(INDIRECT($C$5),Jornada!$C$8:$W$37,21,0),0)&gt;$AK$5,M35&gt;$AK$5),VLOOKUP(INDIRECT($C$5),Jornada!$C$8:$H$37,6,0),IF(AG35&gt;VLOOKUP(INDIRECT($C$5),Jornada!$C$8:$H$37,6,0),IF(VLOOKUP(INDIRECT($C$5),Jornada!$C$8:$H$37,6,0)&lt;AG35,0,ABS(VLOOKUP(INDIRECT($C$5),Jornada!$C$8:$H$37,6,0))-AG35),0))</f>
        <v>0</v>
      </c>
      <c r="AJ35" s="155">
        <f t="shared" si="5"/>
        <v>1</v>
      </c>
      <c r="AK35" s="155">
        <f t="shared" si="6"/>
        <v>0</v>
      </c>
      <c r="AL35" s="155">
        <f ca="1">HLOOKUP($F35,Jornada!$I$5:$V$37,VLOOKUP(INDIRECT($C$5),Jornada!$C$8:$W$37,21,0)+2,0)</f>
        <v>0</v>
      </c>
      <c r="AM35" s="155">
        <f ca="1">HLOOKUP($F35,Jornada!$I$4:$V$37,VLOOKUP(INDIRECT($C$5),Jornada!$C$8:$W$37,21,0)+3,0)</f>
        <v>0</v>
      </c>
      <c r="AN35" s="155">
        <f t="shared" ca="1" si="7"/>
        <v>0</v>
      </c>
      <c r="AO35" s="155">
        <f t="shared" si="8"/>
        <v>0</v>
      </c>
      <c r="AP35" s="155">
        <f t="shared" si="9"/>
        <v>0</v>
      </c>
    </row>
    <row r="36" spans="1:42" s="2" customFormat="1" ht="30" customHeight="1" thickTop="1" thickBot="1" x14ac:dyDescent="0.25">
      <c r="A36" s="1"/>
      <c r="B36"/>
      <c r="C36" s="171" t="str">
        <f>IF(Funcionários!C35=0,"",Funcionários!C35)</f>
        <v/>
      </c>
      <c r="D36"/>
      <c r="E36" s="115">
        <f>Lanç!E36</f>
        <v>29</v>
      </c>
      <c r="F36" s="189" t="str">
        <f>Lanç!F36</f>
        <v>Dom</v>
      </c>
      <c r="G36" s="81"/>
      <c r="H36" s="94"/>
      <c r="I36" s="94"/>
      <c r="J36" s="94"/>
      <c r="K36" s="94"/>
      <c r="L36" s="10"/>
      <c r="M36" s="95">
        <f t="shared" si="1"/>
        <v>0</v>
      </c>
      <c r="N36" s="96"/>
      <c r="O36" s="95">
        <f ca="1">IF(OR(G36=0,G36="Férias",G36="Falta Justificada",G36="Feriado",G36="Folga (DSR)"),0,IF(G36="Falta Injustificada",HLOOKUP($F36,Jornada!$X$7:$AD$37,VLOOKUP(INDIRECT($C$5),Jornada!$C$8:$W$37,21,0),0),IF(HLOOKUP($F36,Jornada!$X$7:$AD$37,VLOOKUP(INDIRECT($C$5),Jornada!$C$8:$W$37,21,0),0)-M36&gt;0,HLOOKUP($F36,Jornada!$X$7:$AD$37,VLOOKUP(INDIRECT($C$5),Jornada!$C$8:$W$37,21,0),0)-M36,0)))</f>
        <v>0</v>
      </c>
      <c r="P36" s="190">
        <f ca="1">IF(HLOOKUP($F36,Jornada!$X$7:$AD$37,VLOOKUP(INDIRECT($C$5),Jornada!$C$8:$W$37,21,0),0)-M36&lt;0,ABS(HLOOKUP($F36,Jornada!$X$7:$AD$37,VLOOKUP(INDIRECT($C$5),Jornada!$C$8:$W$37,21,0),0)-M36),0)</f>
        <v>0</v>
      </c>
      <c r="Q36" s="95">
        <f t="shared" si="0"/>
        <v>0</v>
      </c>
      <c r="R36" s="2">
        <f t="shared" si="2"/>
        <v>0</v>
      </c>
      <c r="S36"/>
      <c r="T36"/>
      <c r="U36"/>
      <c r="X36" s="177"/>
      <c r="AB36" s="177">
        <f>IF(MONTH(AB35+1)&lt;&gt;MONTH(AB35),"",IF(AB35="","",AB35+1))</f>
        <v>29</v>
      </c>
      <c r="AC36" s="2">
        <f>IF(ISERROR(WEEKDAY(AB36)),"",WEEKDAY(AB36))</f>
        <v>1</v>
      </c>
      <c r="AG36" s="220">
        <f t="shared" si="4"/>
        <v>0</v>
      </c>
      <c r="AH36" s="220">
        <f ca="1">IF(HLOOKUP($F36,Jornada!$X$7:$AD$37,VLOOKUP(INDIRECT($C$5),Jornada!$C$8:$W$37,21,0),0)=0,0,VLOOKUP(INDIRECT($C$5),Jornada!$C$8:$H$37,4,0))</f>
        <v>0</v>
      </c>
      <c r="AI36" s="155">
        <f ca="1">IF(AND(I36=0,J36=0,OR(H36&lt;&gt;0,K36&lt;&gt;0),HLOOKUP($F36,Jornada!$X$7:$AD$37,VLOOKUP(INDIRECT($C$5),Jornada!$C$8:$W$37,21,0),0)&gt;$AK$5,M36&gt;$AK$5),VLOOKUP(INDIRECT($C$5),Jornada!$C$8:$H$37,6,0),IF(AG36&gt;VLOOKUP(INDIRECT($C$5),Jornada!$C$8:$H$37,6,0),IF(VLOOKUP(INDIRECT($C$5),Jornada!$C$8:$H$37,6,0)&lt;AG36,0,ABS(VLOOKUP(INDIRECT($C$5),Jornada!$C$8:$H$37,6,0))-AG36),0))</f>
        <v>0</v>
      </c>
      <c r="AJ36" s="155">
        <f t="shared" si="5"/>
        <v>1</v>
      </c>
      <c r="AK36" s="155">
        <f t="shared" si="6"/>
        <v>0</v>
      </c>
      <c r="AL36" s="155">
        <f ca="1">HLOOKUP($F36,Jornada!$I$5:$V$37,VLOOKUP(INDIRECT($C$5),Jornada!$C$8:$W$37,21,0)+2,0)</f>
        <v>0</v>
      </c>
      <c r="AM36" s="155">
        <f ca="1">HLOOKUP($F36,Jornada!$I$4:$V$37,VLOOKUP(INDIRECT($C$5),Jornada!$C$8:$W$37,21,0)+3,0)</f>
        <v>0</v>
      </c>
      <c r="AN36" s="155">
        <f t="shared" ca="1" si="7"/>
        <v>0</v>
      </c>
      <c r="AO36" s="155">
        <f t="shared" si="8"/>
        <v>0</v>
      </c>
      <c r="AP36" s="155">
        <f t="shared" si="9"/>
        <v>0</v>
      </c>
    </row>
    <row r="37" spans="1:42" s="2" customFormat="1" ht="30" customHeight="1" thickTop="1" thickBot="1" x14ac:dyDescent="0.25">
      <c r="A37" s="1"/>
      <c r="B37"/>
      <c r="C37" s="172" t="str">
        <f>IF(Funcionários!C36=0,"",Funcionários!C36)</f>
        <v/>
      </c>
      <c r="D37"/>
      <c r="E37" s="115">
        <f>Lanç!E37</f>
        <v>30</v>
      </c>
      <c r="F37" s="189" t="str">
        <f>Lanç!F37</f>
        <v>Seg</v>
      </c>
      <c r="G37" s="81"/>
      <c r="H37" s="94"/>
      <c r="I37" s="94"/>
      <c r="J37" s="94"/>
      <c r="K37" s="94"/>
      <c r="L37" s="10"/>
      <c r="M37" s="95">
        <f t="shared" si="1"/>
        <v>0</v>
      </c>
      <c r="N37" s="96"/>
      <c r="O37" s="95">
        <f ca="1">IF(OR(G37=0,G37="Férias",G37="Falta Justificada",G37="Feriado",G37="Folga (DSR)"),0,IF(G37="Falta Injustificada",HLOOKUP($F37,Jornada!$X$7:$AD$37,VLOOKUP(INDIRECT($C$5),Jornada!$C$8:$W$37,21,0),0),IF(HLOOKUP($F37,Jornada!$X$7:$AD$37,VLOOKUP(INDIRECT($C$5),Jornada!$C$8:$W$37,21,0),0)-M37&gt;0,HLOOKUP($F37,Jornada!$X$7:$AD$37,VLOOKUP(INDIRECT($C$5),Jornada!$C$8:$W$37,21,0),0)-M37,0)))</f>
        <v>0</v>
      </c>
      <c r="P37" s="190">
        <f ca="1">IF(HLOOKUP($F37,Jornada!$X$7:$AD$37,VLOOKUP(INDIRECT($C$5),Jornada!$C$8:$W$37,21,0),0)-M37&lt;0,ABS(HLOOKUP($F37,Jornada!$X$7:$AD$37,VLOOKUP(INDIRECT($C$5),Jornada!$C$8:$W$37,21,0),0)-M37),0)</f>
        <v>0</v>
      </c>
      <c r="Q37" s="95">
        <f t="shared" si="0"/>
        <v>0</v>
      </c>
      <c r="R37" s="2">
        <f t="shared" si="2"/>
        <v>0</v>
      </c>
      <c r="S37"/>
      <c r="T37"/>
      <c r="U37"/>
      <c r="X37" s="177"/>
      <c r="AB37" s="177">
        <f>IF(AB36="","",IF(MONTH(AB36+1)&lt;&gt;MONTH(AB36),"",AB36+1))</f>
        <v>30</v>
      </c>
      <c r="AC37" s="2">
        <f>IF(ISERROR(WEEKDAY(AB37)),"",WEEKDAY(AB37))</f>
        <v>2</v>
      </c>
      <c r="AG37" s="220">
        <f t="shared" si="4"/>
        <v>0</v>
      </c>
      <c r="AH37" s="220">
        <f ca="1">IF(HLOOKUP($F37,Jornada!$X$7:$AD$37,VLOOKUP(INDIRECT($C$5),Jornada!$C$8:$W$37,21,0),0)=0,0,VLOOKUP(INDIRECT($C$5),Jornada!$C$8:$H$37,4,0))</f>
        <v>0</v>
      </c>
      <c r="AI37" s="155">
        <f ca="1">IF(AND(I37=0,J37=0,OR(H37&lt;&gt;0,K37&lt;&gt;0),HLOOKUP($F37,Jornada!$X$7:$AD$37,VLOOKUP(INDIRECT($C$5),Jornada!$C$8:$W$37,21,0),0)&gt;$AK$5,M37&gt;$AK$5),VLOOKUP(INDIRECT($C$5),Jornada!$C$8:$H$37,6,0),IF(AG37&gt;VLOOKUP(INDIRECT($C$5),Jornada!$C$8:$H$37,6,0),IF(VLOOKUP(INDIRECT($C$5),Jornada!$C$8:$H$37,6,0)&lt;AG37,0,ABS(VLOOKUP(INDIRECT($C$5),Jornada!$C$8:$H$37,6,0))-AG37),0))</f>
        <v>0</v>
      </c>
      <c r="AJ37" s="155">
        <f t="shared" si="5"/>
        <v>1</v>
      </c>
      <c r="AK37" s="155">
        <f t="shared" si="6"/>
        <v>0</v>
      </c>
      <c r="AL37" s="155">
        <f ca="1">HLOOKUP($F37,Jornada!$I$5:$V$37,VLOOKUP(INDIRECT($C$5),Jornada!$C$8:$W$37,21,0)+2,0)</f>
        <v>0</v>
      </c>
      <c r="AM37" s="155">
        <f ca="1">HLOOKUP($F37,Jornada!$I$4:$V$37,VLOOKUP(INDIRECT($C$5),Jornada!$C$8:$W$37,21,0)+3,0)</f>
        <v>0</v>
      </c>
      <c r="AN37" s="155">
        <f t="shared" ca="1" si="7"/>
        <v>0</v>
      </c>
      <c r="AO37" s="155">
        <f t="shared" si="8"/>
        <v>0</v>
      </c>
      <c r="AP37" s="155">
        <f t="shared" si="9"/>
        <v>0</v>
      </c>
    </row>
    <row r="38" spans="1:42" s="2" customFormat="1" ht="30" customHeight="1" thickTop="1" thickBot="1" x14ac:dyDescent="0.25">
      <c r="A38" s="1"/>
      <c r="B38"/>
      <c r="C38"/>
      <c r="D38" s="2">
        <f t="shared" ref="D38" si="11">IF(D37=7,1,D37+1)</f>
        <v>1</v>
      </c>
      <c r="E38" s="210">
        <f>Lanç!E38</f>
        <v>31</v>
      </c>
      <c r="F38" s="210" t="str">
        <f>Lanç!F38</f>
        <v>Ter</v>
      </c>
      <c r="G38" s="81"/>
      <c r="H38" s="94"/>
      <c r="I38" s="94"/>
      <c r="J38" s="94"/>
      <c r="K38" s="94"/>
      <c r="L38" s="197"/>
      <c r="M38" s="95">
        <f t="shared" si="1"/>
        <v>0</v>
      </c>
      <c r="N38" s="196"/>
      <c r="O38" s="95">
        <f ca="1">IF(OR(G38=0,G38="Férias",G38="Falta Justificada",G38="Feriado",G38="Folga (DSR)"),0,IF(G38="Falta Injustificada",HLOOKUP($F38,Jornada!$X$7:$AD$37,VLOOKUP(INDIRECT($C$5),Jornada!$C$8:$W$37,21,0),0),IF(HLOOKUP($F38,Jornada!$X$7:$AD$37,VLOOKUP(INDIRECT($C$5),Jornada!$C$8:$W$37,21,0),0)-M38&gt;0,HLOOKUP($F38,Jornada!$X$7:$AD$37,VLOOKUP(INDIRECT($C$5),Jornada!$C$8:$W$37,21,0),0)-M38,0)))</f>
        <v>0</v>
      </c>
      <c r="P38" s="201">
        <f ca="1">IF(HLOOKUP($F38,Jornada!$X$7:$AD$37,VLOOKUP(INDIRECT($C$5),Jornada!$C$8:$W$37,21,0),0)-M38&lt;0,ABS(HLOOKUP($F38,Jornada!$X$7:$AD$37,VLOOKUP(INDIRECT($C$5),Jornada!$C$8:$W$37,21,0),0)-M38),0)</f>
        <v>0</v>
      </c>
      <c r="Q38" s="95">
        <f t="shared" si="0"/>
        <v>0</v>
      </c>
      <c r="R38" s="2">
        <f t="shared" si="2"/>
        <v>0</v>
      </c>
      <c r="X38" s="177"/>
      <c r="AB38" s="177">
        <f>IF(AB37="","",IF(MONTH(AB37+1)&lt;&gt;MONTH(AB37),"",AB37+1))</f>
        <v>31</v>
      </c>
      <c r="AC38" s="2">
        <f>IF(ISERROR(WEEKDAY(AB38)),"",WEEKDAY(AB38))</f>
        <v>3</v>
      </c>
      <c r="AG38" s="220">
        <f t="shared" si="4"/>
        <v>0</v>
      </c>
      <c r="AH38" s="220">
        <f ca="1">IF(HLOOKUP($F38,Jornada!$X$7:$AD$37,VLOOKUP(INDIRECT($C$5),Jornada!$C$8:$W$37,21,0),0)=0,0,VLOOKUP(INDIRECT($C$5),Jornada!$C$8:$H$37,4,0))</f>
        <v>0</v>
      </c>
      <c r="AI38" s="155">
        <f ca="1">IF(AND(I38=0,J38=0,OR(H38&lt;&gt;0,K38&lt;&gt;0),HLOOKUP($F38,Jornada!$X$7:$AD$37,VLOOKUP(INDIRECT($C$5),Jornada!$C$8:$W$37,21,0),0)&gt;$AK$5,M38&gt;$AK$5),VLOOKUP(INDIRECT($C$5),Jornada!$C$8:$H$37,6,0),IF(AG38&gt;VLOOKUP(INDIRECT($C$5),Jornada!$C$8:$H$37,6,0),IF(VLOOKUP(INDIRECT($C$5),Jornada!$C$8:$H$37,6,0)&lt;AG38,0,ABS(VLOOKUP(INDIRECT($C$5),Jornada!$C$8:$H$37,6,0))-AG38),0))</f>
        <v>0</v>
      </c>
      <c r="AJ38" s="155">
        <f t="shared" si="5"/>
        <v>1</v>
      </c>
      <c r="AK38" s="155">
        <f t="shared" si="6"/>
        <v>0</v>
      </c>
      <c r="AL38" s="155">
        <f ca="1">HLOOKUP($F38,Jornada!$I$5:$V$37,VLOOKUP(INDIRECT($C$5),Jornada!$C$8:$W$37,21,0)+2,0)</f>
        <v>0</v>
      </c>
      <c r="AM38" s="155">
        <f ca="1">HLOOKUP($F38,Jornada!$I$4:$V$37,VLOOKUP(INDIRECT($C$5),Jornada!$C$8:$W$37,21,0)+3,0)</f>
        <v>0</v>
      </c>
      <c r="AN38" s="155">
        <f t="shared" ca="1" si="7"/>
        <v>0</v>
      </c>
      <c r="AO38" s="155">
        <f t="shared" si="8"/>
        <v>0</v>
      </c>
      <c r="AP38" s="155">
        <f t="shared" si="9"/>
        <v>0</v>
      </c>
    </row>
    <row r="39" spans="1:42" s="2" customFormat="1" ht="30" customHeight="1" thickTop="1" x14ac:dyDescent="0.2">
      <c r="A39" s="9"/>
      <c r="B39" s="234"/>
      <c r="C39" s="234"/>
      <c r="D39" s="234"/>
      <c r="E39" s="236">
        <f>EOMONTH(AB8,0)</f>
        <v>31</v>
      </c>
      <c r="F39" s="234">
        <f>DAY(E39)</f>
        <v>31</v>
      </c>
      <c r="G39" s="237">
        <f>COUNTIF(F8:F38,"Dom")+COUNTIF(G8:G38,"Feriado")</f>
        <v>5</v>
      </c>
      <c r="H39" s="238">
        <f>(SUM(Q8:Q38)/(F39-G39))*G39</f>
        <v>0</v>
      </c>
      <c r="I39" s="234"/>
      <c r="J39" s="234"/>
      <c r="K39" s="234"/>
      <c r="L39" s="234"/>
      <c r="M39" s="234"/>
      <c r="Z39" s="219"/>
    </row>
    <row r="40" spans="1:42" s="2" customFormat="1" ht="30" customHeight="1" x14ac:dyDescent="0.2">
      <c r="A40" s="9"/>
      <c r="B40" s="234"/>
      <c r="C40" s="239"/>
      <c r="D40" s="239"/>
      <c r="E40" s="239"/>
      <c r="F40" s="240"/>
      <c r="G40" s="241"/>
      <c r="H40" s="234">
        <f ca="1">IF(INDIRECT($C$5)="",0,VLOOKUP(INDIRECT($C$5),Funcionários!$C$7:$E$36,3,0)+IF(VLOOKUP(INDIRECT($C$5),Jornada!$C$8:$E$37,2,0)="Sim",IF('P Gerais'!$I$8&lt;&gt;0,VLOOKUP(INDIRECT($C$5),Funcionários!$C$7:$E$36,3,0)*'P Gerais'!$L$14,'P Gerais'!$I$8*'P Gerais'!$L$14),0)+IF(VLOOKUP(INDIRECT($C$5),Jornada!$C$8:$E$37,3,0)="Sim",VLOOKUP(INDIRECT($C$5),Funcionários!$C$7:$E$36,3,0)*'P Gerais'!$K$14,0))</f>
        <v>0</v>
      </c>
      <c r="I40" s="234">
        <f ca="1">VLOOKUP(INDIRECT($C$5),Jornada!$C$8:$AF$37,30,0)</f>
        <v>0</v>
      </c>
      <c r="J40" s="234" t="s">
        <v>298</v>
      </c>
      <c r="K40" s="242">
        <f ca="1">IF(I40=0,0,H40/I40)</f>
        <v>0</v>
      </c>
      <c r="L40" s="234"/>
      <c r="M40" s="234"/>
      <c r="Z40" s="219"/>
    </row>
    <row r="41" spans="1:42" s="2" customFormat="1" ht="30" customHeight="1" x14ac:dyDescent="0.2">
      <c r="A41" s="9"/>
      <c r="B41" s="234" t="s">
        <v>52</v>
      </c>
      <c r="C41" s="292" t="s">
        <v>75</v>
      </c>
      <c r="D41" s="292"/>
      <c r="E41" s="292"/>
      <c r="F41" s="243">
        <f t="shared" ref="F41:F47" si="12">SUMIFS($Q$8:$Q$38,$F$8:$F$38,$B41,$G$8:$G$38,"Normal")</f>
        <v>0</v>
      </c>
      <c r="G41" s="244">
        <f>IF($M$41="Sistema de banco de horas",0,'P Gerais'!$C$14)</f>
        <v>0.5</v>
      </c>
      <c r="H41" s="245">
        <f t="shared" ref="H41:H48" ca="1" si="13">IF($M$41="Sistema de banco de horas",0,$K$40*(1+G41)*(F41*24))</f>
        <v>0</v>
      </c>
      <c r="I41" s="243">
        <f t="shared" ref="I41:I47" ca="1" si="14">IF(SUMIF($F$8:$F$38,$B41,$Q$8:$Q$38)-SUMIFS($M$8:$M$38,$F$8:$F$38,$B41,$G$8:$G$38,"Feriado")-SUMIFS($M$8:$M$38,$F$8:$F$38,$B41,$G$8:$G$38,"Folga (DSR)")-SUMIFS($M$8:$M$38,$F$8:$F$38,$B41,$G$8:$G$38,"Férias")-SUMIF($F$8:$F$38,$B41,$AN$8:$AN$38)-SUMIF($F$8:$F$38,$B41,$AO$8:$AO$38)&lt;0,0,SUMIF($F$8:$F$38,$B41,$Q$8:$Q$38)-SUMIFS($M$8:$M$38,$F$8:$F$38,$B41,$G$8:$G$38,"Feriado")-SUMIFS($M$8:$M$38,$F$8:$F$38,$B41,$G$8:$G$38,"Folga (DSR)")-SUMIFS($M$8:$M$38,$F$8:$F$38,$B41,$G$8:$G$38,"Férias")-SUMIF($F$8:$F$38,$B41,$AN$8:$AN$38)-SUMIF($F$8:$F$38,$B41,$AO$8:$AO$38))</f>
        <v>0</v>
      </c>
      <c r="J41" s="245">
        <f ca="1">H41</f>
        <v>0</v>
      </c>
      <c r="K41" s="234"/>
      <c r="L41" s="234"/>
      <c r="M41" s="234">
        <f>'P Gerais'!I10</f>
        <v>0</v>
      </c>
      <c r="Z41" s="219"/>
    </row>
    <row r="42" spans="1:42" s="2" customFormat="1" ht="30" customHeight="1" x14ac:dyDescent="0.2">
      <c r="A42" s="9"/>
      <c r="B42" s="234" t="s">
        <v>53</v>
      </c>
      <c r="C42" s="292" t="s">
        <v>76</v>
      </c>
      <c r="D42" s="292"/>
      <c r="E42" s="292"/>
      <c r="F42" s="243">
        <f t="shared" si="12"/>
        <v>0</v>
      </c>
      <c r="G42" s="244">
        <f>IF($M$41="Sistema de banco de horas",0,'P Gerais'!$C$14)</f>
        <v>0.5</v>
      </c>
      <c r="H42" s="245">
        <f t="shared" ca="1" si="13"/>
        <v>0</v>
      </c>
      <c r="I42" s="243">
        <f t="shared" ca="1" si="14"/>
        <v>0</v>
      </c>
      <c r="J42" s="245">
        <f t="shared" ref="J42:J51" ca="1" si="15">H42</f>
        <v>0</v>
      </c>
      <c r="K42" s="234"/>
      <c r="L42" s="234"/>
      <c r="M42" s="234"/>
      <c r="Z42" s="219"/>
    </row>
    <row r="43" spans="1:42" s="2" customFormat="1" ht="30" customHeight="1" x14ac:dyDescent="0.2">
      <c r="A43" s="9"/>
      <c r="B43" s="234" t="s">
        <v>54</v>
      </c>
      <c r="C43" s="292" t="s">
        <v>77</v>
      </c>
      <c r="D43" s="292"/>
      <c r="E43" s="292"/>
      <c r="F43" s="243">
        <f t="shared" si="12"/>
        <v>0</v>
      </c>
      <c r="G43" s="244">
        <f>IF($M$41="Sistema de banco de horas",0,'P Gerais'!$C$14)</f>
        <v>0.5</v>
      </c>
      <c r="H43" s="245">
        <f t="shared" ca="1" si="13"/>
        <v>0</v>
      </c>
      <c r="I43" s="243">
        <f t="shared" ca="1" si="14"/>
        <v>0</v>
      </c>
      <c r="J43" s="245">
        <f t="shared" ca="1" si="15"/>
        <v>0</v>
      </c>
      <c r="K43" s="234"/>
      <c r="L43" s="234"/>
      <c r="M43" s="234"/>
      <c r="Z43" s="219"/>
    </row>
    <row r="44" spans="1:42" s="2" customFormat="1" ht="30" customHeight="1" x14ac:dyDescent="0.2">
      <c r="A44" s="9"/>
      <c r="B44" s="234" t="s">
        <v>55</v>
      </c>
      <c r="C44" s="292" t="s">
        <v>78</v>
      </c>
      <c r="D44" s="292"/>
      <c r="E44" s="292"/>
      <c r="F44" s="243">
        <f t="shared" si="12"/>
        <v>0</v>
      </c>
      <c r="G44" s="244">
        <f>IF($M$41="Sistema de banco de horas",0,'P Gerais'!$C$14)</f>
        <v>0.5</v>
      </c>
      <c r="H44" s="245">
        <f t="shared" ca="1" si="13"/>
        <v>0</v>
      </c>
      <c r="I44" s="243">
        <f t="shared" ca="1" si="14"/>
        <v>0</v>
      </c>
      <c r="J44" s="245">
        <f t="shared" ca="1" si="15"/>
        <v>0</v>
      </c>
      <c r="K44" s="234"/>
      <c r="L44" s="234"/>
      <c r="M44" s="234"/>
      <c r="Z44" s="219"/>
    </row>
    <row r="45" spans="1:42" s="2" customFormat="1" ht="30" customHeight="1" x14ac:dyDescent="0.2">
      <c r="A45" s="9"/>
      <c r="B45" s="234" t="s">
        <v>56</v>
      </c>
      <c r="C45" s="292" t="s">
        <v>79</v>
      </c>
      <c r="D45" s="292"/>
      <c r="E45" s="292"/>
      <c r="F45" s="243">
        <f t="shared" si="12"/>
        <v>0</v>
      </c>
      <c r="G45" s="244">
        <f>IF($M$41="Sistema de banco de horas",0,'P Gerais'!$C$14)</f>
        <v>0.5</v>
      </c>
      <c r="H45" s="245">
        <f t="shared" ca="1" si="13"/>
        <v>0</v>
      </c>
      <c r="I45" s="243">
        <f t="shared" ca="1" si="14"/>
        <v>0</v>
      </c>
      <c r="J45" s="245">
        <f t="shared" ca="1" si="15"/>
        <v>0</v>
      </c>
      <c r="K45" s="234"/>
      <c r="L45" s="234"/>
      <c r="M45" s="234"/>
      <c r="Z45" s="219"/>
    </row>
    <row r="46" spans="1:42" s="2" customFormat="1" ht="30" customHeight="1" x14ac:dyDescent="0.2">
      <c r="A46" s="9"/>
      <c r="B46" s="234" t="s">
        <v>57</v>
      </c>
      <c r="C46" s="292" t="s">
        <v>82</v>
      </c>
      <c r="D46" s="292"/>
      <c r="E46" s="292"/>
      <c r="F46" s="243">
        <f t="shared" si="12"/>
        <v>0</v>
      </c>
      <c r="G46" s="244">
        <f>IF($M$41="Sistema de banco de horas",0,'P Gerais'!$E$14)</f>
        <v>0.5</v>
      </c>
      <c r="H46" s="245">
        <f t="shared" ca="1" si="13"/>
        <v>0</v>
      </c>
      <c r="I46" s="243">
        <f t="shared" ca="1" si="14"/>
        <v>0</v>
      </c>
      <c r="J46" s="245">
        <f t="shared" ca="1" si="15"/>
        <v>0</v>
      </c>
      <c r="K46" s="234"/>
      <c r="L46" s="234"/>
      <c r="M46" s="234"/>
      <c r="Z46" s="219"/>
    </row>
    <row r="47" spans="1:42" s="2" customFormat="1" ht="30" customHeight="1" x14ac:dyDescent="0.2">
      <c r="A47" s="9"/>
      <c r="B47" s="234" t="s">
        <v>51</v>
      </c>
      <c r="C47" s="292" t="s">
        <v>81</v>
      </c>
      <c r="D47" s="292"/>
      <c r="E47" s="292"/>
      <c r="F47" s="243">
        <f t="shared" si="12"/>
        <v>0</v>
      </c>
      <c r="G47" s="244">
        <f>IF($M$41="Sistema de banco de horas",0,'P Gerais'!$F$14)</f>
        <v>1</v>
      </c>
      <c r="H47" s="245">
        <f t="shared" ca="1" si="13"/>
        <v>0</v>
      </c>
      <c r="I47" s="243">
        <f t="shared" ca="1" si="14"/>
        <v>0</v>
      </c>
      <c r="J47" s="245">
        <f t="shared" ca="1" si="15"/>
        <v>0</v>
      </c>
      <c r="K47" s="234"/>
      <c r="L47" s="234"/>
      <c r="M47" s="234"/>
      <c r="Z47" s="219"/>
    </row>
    <row r="48" spans="1:42" s="2" customFormat="1" ht="30" customHeight="1" x14ac:dyDescent="0.2">
      <c r="A48" s="9"/>
      <c r="B48" s="234"/>
      <c r="C48" s="292" t="s">
        <v>80</v>
      </c>
      <c r="D48" s="292"/>
      <c r="E48" s="292"/>
      <c r="F48" s="243">
        <f>SUMIFS($Q$8:$Q$38,$G$8:$G$38,"Feriado")</f>
        <v>0</v>
      </c>
      <c r="G48" s="244">
        <f>IF($M$41="Sistema de banco de horas",0,'P Gerais'!$I$14)</f>
        <v>1</v>
      </c>
      <c r="H48" s="245">
        <f t="shared" ca="1" si="13"/>
        <v>0</v>
      </c>
      <c r="I48" s="243"/>
      <c r="J48" s="245">
        <f t="shared" ca="1" si="15"/>
        <v>0</v>
      </c>
      <c r="K48" s="234"/>
      <c r="L48" s="234"/>
      <c r="M48" s="234"/>
      <c r="Z48" s="219"/>
    </row>
    <row r="49" spans="1:26" s="2" customFormat="1" ht="15" x14ac:dyDescent="0.2">
      <c r="A49" s="9"/>
      <c r="B49" s="234"/>
      <c r="C49" s="292" t="s">
        <v>146</v>
      </c>
      <c r="D49" s="292"/>
      <c r="E49" s="292"/>
      <c r="F49" s="243">
        <f>SUMIFS($Q$8:$Q$38,$G$8:$G$38,"Folga (DSR)")</f>
        <v>0</v>
      </c>
      <c r="G49" s="244">
        <f>IF($M$41="Sistema de banco de horas",0,'P Gerais'!H14)</f>
        <v>1</v>
      </c>
      <c r="H49" s="245">
        <f ca="1">((F53/(F39-G39))*G39)</f>
        <v>0</v>
      </c>
      <c r="I49" s="243"/>
      <c r="J49" s="245">
        <f t="shared" ca="1" si="15"/>
        <v>0</v>
      </c>
      <c r="K49" s="234"/>
      <c r="L49" s="234"/>
      <c r="M49" s="234"/>
      <c r="Z49" s="219"/>
    </row>
    <row r="50" spans="1:26" s="2" customFormat="1" ht="15" x14ac:dyDescent="0.2">
      <c r="A50" s="9"/>
      <c r="B50" s="234"/>
      <c r="C50" s="292" t="s">
        <v>84</v>
      </c>
      <c r="D50" s="292"/>
      <c r="E50" s="292"/>
      <c r="F50" s="243">
        <f ca="1">IF($M$41="Sistema de banco de horas",(SUM(AI$8:AI$38)*(1+G50)),SUM(AI$8:AI$38))</f>
        <v>0</v>
      </c>
      <c r="G50" s="244">
        <f>IF($M$41="Sistema de banco de horas",0,'P Gerais'!$I$17)</f>
        <v>0.5</v>
      </c>
      <c r="H50" s="245">
        <f ca="1">IF($M$41="Sistema de banco de horas",0,$K$40*(1+G50)*(F50*24))</f>
        <v>0</v>
      </c>
      <c r="I50" s="243">
        <f ca="1">IF(SUM($AN$8:$AO$38)&gt;SUM(AI$8:AI$38),0,SUM(AI$8:AI$38)-SUM($AN$8:$AO$38))</f>
        <v>0</v>
      </c>
      <c r="J50" s="245">
        <f t="shared" ca="1" si="15"/>
        <v>0</v>
      </c>
      <c r="K50" s="234"/>
      <c r="L50" s="234"/>
      <c r="M50" s="234"/>
      <c r="Z50" s="219"/>
    </row>
    <row r="51" spans="1:26" s="2" customFormat="1" ht="15" x14ac:dyDescent="0.2">
      <c r="A51" s="9"/>
      <c r="B51" s="234"/>
      <c r="C51" s="292" t="s">
        <v>85</v>
      </c>
      <c r="D51" s="292"/>
      <c r="E51" s="292"/>
      <c r="F51" s="243">
        <f>IF($M$41="Sistema de banco de horas",(SUM(AK$8:AK$38)*(1+G51)),SUM(AK$8:AK$38))</f>
        <v>0</v>
      </c>
      <c r="G51" s="244">
        <f>IF($M$41="Sistema de banco de horas",0,'P Gerais'!$C$17)</f>
        <v>1</v>
      </c>
      <c r="H51" s="245">
        <f ca="1">IF($M$41="Sistema de banco de horas",0,$K$40*(1+G51)*(F51*24))</f>
        <v>0</v>
      </c>
      <c r="I51" s="243"/>
      <c r="J51" s="245">
        <f t="shared" ca="1" si="15"/>
        <v>0</v>
      </c>
      <c r="K51" s="234"/>
      <c r="L51" s="234"/>
      <c r="M51" s="234"/>
      <c r="Z51" s="219"/>
    </row>
    <row r="52" spans="1:26" s="2" customFormat="1" ht="15" customHeight="1" x14ac:dyDescent="0.2">
      <c r="A52" s="9"/>
      <c r="B52" s="234"/>
      <c r="C52" s="292" t="s">
        <v>87</v>
      </c>
      <c r="D52" s="292"/>
      <c r="E52" s="292"/>
      <c r="F52" s="243">
        <f ca="1">U12</f>
        <v>0</v>
      </c>
      <c r="G52" s="246"/>
      <c r="H52" s="234"/>
      <c r="I52" s="234"/>
      <c r="J52" s="234"/>
      <c r="K52" s="234"/>
      <c r="L52" s="234"/>
      <c r="M52" s="234"/>
      <c r="Z52" s="219"/>
    </row>
    <row r="53" spans="1:26" s="2" customFormat="1" ht="15" x14ac:dyDescent="0.2">
      <c r="A53" s="9"/>
      <c r="B53" s="234"/>
      <c r="C53" s="292" t="s">
        <v>299</v>
      </c>
      <c r="D53" s="292"/>
      <c r="E53" s="292"/>
      <c r="F53" s="247">
        <f ca="1">SUM(H48)+J50+H51+SUM(J41:J47)</f>
        <v>0</v>
      </c>
      <c r="G53" s="248"/>
      <c r="H53" s="234"/>
      <c r="I53" s="234"/>
      <c r="J53" s="234"/>
      <c r="K53" s="234"/>
      <c r="L53" s="234"/>
      <c r="M53" s="234"/>
      <c r="Z53" s="219"/>
    </row>
    <row r="54" spans="1:26" s="2" customFormat="1" ht="15" x14ac:dyDescent="0.2">
      <c r="A54" s="9"/>
      <c r="B54" s="234"/>
      <c r="C54" s="292" t="s">
        <v>88</v>
      </c>
      <c r="D54" s="292"/>
      <c r="E54" s="292"/>
      <c r="F54" s="247">
        <f ca="1">F53+(H49*(1+G49))</f>
        <v>0</v>
      </c>
      <c r="G54" s="248"/>
      <c r="H54" s="249"/>
      <c r="I54" s="234"/>
      <c r="J54" s="234"/>
      <c r="K54" s="234"/>
      <c r="L54" s="234"/>
      <c r="M54" s="234"/>
      <c r="Z54" s="219"/>
    </row>
    <row r="55" spans="1:26" s="2" customFormat="1" ht="15" x14ac:dyDescent="0.2">
      <c r="A55" s="9"/>
      <c r="B55" s="234"/>
      <c r="C55" s="292" t="s">
        <v>89</v>
      </c>
      <c r="D55" s="292"/>
      <c r="E55" s="292"/>
      <c r="F55" s="247">
        <f ca="1">H40+F54</f>
        <v>0</v>
      </c>
      <c r="G55" s="246"/>
      <c r="H55" s="234"/>
      <c r="I55" s="234"/>
      <c r="J55" s="234"/>
      <c r="K55" s="234"/>
      <c r="L55" s="234"/>
      <c r="M55" s="234"/>
      <c r="Z55" s="219"/>
    </row>
    <row r="56" spans="1:26" s="2" customFormat="1" ht="15" x14ac:dyDescent="0.2">
      <c r="A56" s="9"/>
      <c r="B56" s="234"/>
      <c r="C56" s="292" t="s">
        <v>178</v>
      </c>
      <c r="D56" s="292"/>
      <c r="E56" s="292"/>
      <c r="F56" s="243">
        <f>IF($M$41="Sistema de banco de horas",(SUMIF($G$8:$G$38,"Férias",Q8:Q38))*(1+G48),SUMIF($G$8:$G$38,"Férias",Q8:Q38))</f>
        <v>0</v>
      </c>
      <c r="G56" s="246"/>
      <c r="H56" s="234"/>
      <c r="I56" s="234"/>
      <c r="J56" s="234"/>
      <c r="K56" s="234"/>
      <c r="L56" s="234"/>
      <c r="M56" s="234"/>
      <c r="Z56" s="219"/>
    </row>
    <row r="57" spans="1:26" s="2" customFormat="1" ht="15" x14ac:dyDescent="0.2">
      <c r="A57" s="9"/>
      <c r="B57" s="234"/>
      <c r="C57" s="239"/>
      <c r="D57" s="239"/>
      <c r="E57" s="239"/>
      <c r="F57" s="250">
        <f ca="1">U14</f>
        <v>0</v>
      </c>
      <c r="G57" s="246"/>
      <c r="H57" s="234"/>
      <c r="I57" s="234"/>
      <c r="J57" s="234"/>
      <c r="K57" s="234"/>
      <c r="L57" s="234"/>
      <c r="M57" s="234"/>
      <c r="Z57" s="219"/>
    </row>
    <row r="58" spans="1:26" s="2" customFormat="1" ht="15" x14ac:dyDescent="0.2">
      <c r="A58" s="9"/>
      <c r="B58" s="234"/>
      <c r="C58" s="239"/>
      <c r="D58" s="239"/>
      <c r="E58" s="239"/>
      <c r="F58" s="243">
        <f ca="1">SUM(F41:F51)</f>
        <v>0</v>
      </c>
      <c r="G58" s="246"/>
      <c r="H58" s="234"/>
      <c r="I58" s="234"/>
      <c r="J58" s="234"/>
      <c r="K58" s="234"/>
      <c r="L58" s="234"/>
      <c r="M58" s="234"/>
      <c r="Z58" s="219"/>
    </row>
    <row r="59" spans="1:26" s="2" customFormat="1" ht="15" x14ac:dyDescent="0.2">
      <c r="A59" s="9"/>
      <c r="Z59" s="219"/>
    </row>
    <row r="60" spans="1:26" s="2" customFormat="1" ht="15" x14ac:dyDescent="0.2">
      <c r="A60" s="9"/>
      <c r="G60" s="178"/>
      <c r="Z60" s="219"/>
    </row>
    <row r="61" spans="1:26" ht="15" x14ac:dyDescent="0.2"/>
    <row r="62" spans="1:26" ht="15" x14ac:dyDescent="0.2"/>
    <row r="63" spans="1:26" ht="15" x14ac:dyDescent="0.2"/>
    <row r="64" spans="1:26" ht="15" x14ac:dyDescent="0.2"/>
    <row r="65" ht="15" x14ac:dyDescent="0.2"/>
    <row r="66" ht="15" x14ac:dyDescent="0.2"/>
    <row r="67" ht="15" x14ac:dyDescent="0.2"/>
    <row r="68" ht="15" x14ac:dyDescent="0.2"/>
    <row r="69" ht="15" x14ac:dyDescent="0.2"/>
    <row r="70" ht="15" x14ac:dyDescent="0.2"/>
    <row r="71" ht="15" x14ac:dyDescent="0.2"/>
    <row r="72" ht="15" x14ac:dyDescent="0.2"/>
    <row r="73" ht="15" x14ac:dyDescent="0.2"/>
    <row r="74" ht="15" x14ac:dyDescent="0.2"/>
    <row r="75" ht="15" x14ac:dyDescent="0.2"/>
    <row r="76" ht="15" x14ac:dyDescent="0.2"/>
    <row r="77" ht="15" x14ac:dyDescent="0.2"/>
    <row r="78" ht="15" x14ac:dyDescent="0.2"/>
    <row r="79" ht="15" x14ac:dyDescent="0.2"/>
    <row r="80" ht="15" x14ac:dyDescent="0.2"/>
    <row r="81" ht="15" x14ac:dyDescent="0.2"/>
    <row r="82" ht="15" x14ac:dyDescent="0.2"/>
    <row r="83" ht="15" x14ac:dyDescent="0.2"/>
    <row r="84" ht="15" x14ac:dyDescent="0.2"/>
    <row r="85" ht="15" x14ac:dyDescent="0.2"/>
    <row r="86" ht="15" x14ac:dyDescent="0.2"/>
    <row r="87" ht="15" x14ac:dyDescent="0.2"/>
    <row r="88" ht="15" x14ac:dyDescent="0.2"/>
    <row r="89" ht="15" x14ac:dyDescent="0.2"/>
    <row r="90" ht="15" x14ac:dyDescent="0.2"/>
    <row r="91" ht="15" x14ac:dyDescent="0.2"/>
    <row r="92" ht="15" x14ac:dyDescent="0.2"/>
    <row r="93" ht="15" x14ac:dyDescent="0.2"/>
    <row r="94" ht="15" x14ac:dyDescent="0.2"/>
    <row r="95" ht="15" x14ac:dyDescent="0.2"/>
    <row r="96" ht="15" x14ac:dyDescent="0.2"/>
    <row r="97" ht="15" x14ac:dyDescent="0.2"/>
    <row r="98" ht="15" x14ac:dyDescent="0.2"/>
    <row r="99" ht="15" x14ac:dyDescent="0.2"/>
    <row r="100" ht="15" x14ac:dyDescent="0.2"/>
    <row r="101" ht="15" x14ac:dyDescent="0.2"/>
    <row r="102" ht="15" x14ac:dyDescent="0.2"/>
    <row r="103" ht="15" x14ac:dyDescent="0.2"/>
  </sheetData>
  <sheetProtection sheet="1" objects="1" scenarios="1" selectLockedCells="1"/>
  <mergeCells count="34">
    <mergeCell ref="C56:E56"/>
    <mergeCell ref="C48:E48"/>
    <mergeCell ref="C49:E49"/>
    <mergeCell ref="C50:E50"/>
    <mergeCell ref="C52:E52"/>
    <mergeCell ref="C53:E53"/>
    <mergeCell ref="C54:E54"/>
    <mergeCell ref="C51:E51"/>
    <mergeCell ref="C44:E44"/>
    <mergeCell ref="C55:E55"/>
    <mergeCell ref="C45:E45"/>
    <mergeCell ref="C46:E46"/>
    <mergeCell ref="C47:E47"/>
    <mergeCell ref="S22:U22"/>
    <mergeCell ref="C41:E41"/>
    <mergeCell ref="C42:E42"/>
    <mergeCell ref="C43:E43"/>
    <mergeCell ref="S26:U28"/>
    <mergeCell ref="S23:U25"/>
    <mergeCell ref="E7:F7"/>
    <mergeCell ref="I7:J7"/>
    <mergeCell ref="S7:U7"/>
    <mergeCell ref="S8:T9"/>
    <mergeCell ref="U8:U9"/>
    <mergeCell ref="S16:T17"/>
    <mergeCell ref="U16:U17"/>
    <mergeCell ref="S18:T19"/>
    <mergeCell ref="S10:T11"/>
    <mergeCell ref="U10:U11"/>
    <mergeCell ref="S12:T13"/>
    <mergeCell ref="U12:U13"/>
    <mergeCell ref="S14:T15"/>
    <mergeCell ref="U14:U15"/>
    <mergeCell ref="U18:U19"/>
  </mergeCells>
  <conditionalFormatting sqref="M8:M37">
    <cfRule type="cellIs" dxfId="112" priority="124" operator="greaterThan">
      <formula>0</formula>
    </cfRule>
  </conditionalFormatting>
  <conditionalFormatting sqref="L36:L37 N36:N37">
    <cfRule type="expression" dxfId="111" priority="91">
      <formula>AND($E36&lt;$E$35,$E$8=1)</formula>
    </cfRule>
    <cfRule type="expression" dxfId="110" priority="92">
      <formula>AND($E36&gt;=$E$8,$E$8&lt;&gt;1)</formula>
    </cfRule>
  </conditionalFormatting>
  <conditionalFormatting sqref="E36:E38">
    <cfRule type="expression" dxfId="109" priority="89">
      <formula>AND($E36&lt;$E$35,$E$8=1)</formula>
    </cfRule>
    <cfRule type="expression" dxfId="108" priority="90">
      <formula>AND($E36&gt;=$E$8,$E$8&lt;&gt;1)</formula>
    </cfRule>
  </conditionalFormatting>
  <conditionalFormatting sqref="O8:O37">
    <cfRule type="cellIs" dxfId="107" priority="84" operator="greaterThan">
      <formula>0.000001</formula>
    </cfRule>
  </conditionalFormatting>
  <conditionalFormatting sqref="O36:O37">
    <cfRule type="expression" dxfId="106" priority="82">
      <formula>AND($E36&lt;$E$35,$E$8=1)</formula>
    </cfRule>
    <cfRule type="expression" dxfId="105" priority="83">
      <formula>AND($E36&gt;=$E$8,$E$8&lt;&gt;1)</formula>
    </cfRule>
  </conditionalFormatting>
  <conditionalFormatting sqref="F8:F38">
    <cfRule type="containsText" dxfId="104" priority="80" operator="containsText" text="Dom">
      <formula>NOT(ISERROR(SEARCH("Dom",F8)))</formula>
    </cfRule>
    <cfRule type="containsText" dxfId="103" priority="81" operator="containsText" text="Sáb">
      <formula>NOT(ISERROR(SEARCH("Sáb",F8)))</formula>
    </cfRule>
  </conditionalFormatting>
  <conditionalFormatting sqref="Q8:Q37">
    <cfRule type="cellIs" dxfId="102" priority="78" operator="greaterThan">
      <formula>0.000001</formula>
    </cfRule>
  </conditionalFormatting>
  <conditionalFormatting sqref="G8:K35">
    <cfRule type="expression" dxfId="101" priority="48">
      <formula>OR($G8="Férias",$G8="Falta Injustificada")</formula>
    </cfRule>
    <cfRule type="expression" dxfId="100" priority="49">
      <formula>$G8="Folga (DSR)"</formula>
    </cfRule>
    <cfRule type="expression" dxfId="99" priority="50">
      <formula>$G8="Feriado"</formula>
    </cfRule>
    <cfRule type="expression" dxfId="98" priority="51">
      <formula>$F8="Dom"</formula>
    </cfRule>
  </conditionalFormatting>
  <conditionalFormatting sqref="H8:K35">
    <cfRule type="expression" dxfId="97" priority="47">
      <formula>OR($G8="Falta Justificada",$G8="Falta Injustificada")</formula>
    </cfRule>
  </conditionalFormatting>
  <conditionalFormatting sqref="G36:K37">
    <cfRule type="expression" dxfId="96" priority="43">
      <formula>OR($G36="Férias",$G36="Falta Injustificada")</formula>
    </cfRule>
    <cfRule type="expression" dxfId="95" priority="44">
      <formula>$G36="Folga (DSR)"</formula>
    </cfRule>
    <cfRule type="expression" dxfId="94" priority="45">
      <formula>$G36="Feriado"</formula>
    </cfRule>
    <cfRule type="expression" dxfId="93" priority="46">
      <formula>$F36="Dom"</formula>
    </cfRule>
  </conditionalFormatting>
  <conditionalFormatting sqref="G36:K37">
    <cfRule type="expression" dxfId="92" priority="40">
      <formula>AND($E36&lt;$E$35,$E$8=1)</formula>
    </cfRule>
    <cfRule type="expression" dxfId="91" priority="41">
      <formula>AND($E36&gt;=$E$8,$E$8&lt;&gt;1)</formula>
    </cfRule>
  </conditionalFormatting>
  <conditionalFormatting sqref="H36:K37">
    <cfRule type="expression" dxfId="90" priority="42">
      <formula>OR($G36="Falta Justificada",$G36="Falta Injustificada")</formula>
    </cfRule>
  </conditionalFormatting>
  <conditionalFormatting sqref="O38">
    <cfRule type="cellIs" dxfId="89" priority="38" operator="greaterThan">
      <formula>0.000001</formula>
    </cfRule>
  </conditionalFormatting>
  <conditionalFormatting sqref="M38">
    <cfRule type="cellIs" dxfId="88" priority="39" operator="greaterThan">
      <formula>0</formula>
    </cfRule>
  </conditionalFormatting>
  <conditionalFormatting sqref="L38:O38">
    <cfRule type="expression" dxfId="87" priority="37">
      <formula>AND($E38&gt;=$E$8,$E$8&lt;&gt;1)</formula>
    </cfRule>
  </conditionalFormatting>
  <conditionalFormatting sqref="G38:K38">
    <cfRule type="expression" dxfId="86" priority="24">
      <formula>OR($G38="Férias",$G38="Falta Injustificada")</formula>
    </cfRule>
    <cfRule type="expression" dxfId="85" priority="25">
      <formula>$G38="Folga (DSR)"</formula>
    </cfRule>
    <cfRule type="expression" dxfId="84" priority="26">
      <formula>$G38="Feriado"</formula>
    </cfRule>
    <cfRule type="expression" dxfId="83" priority="27">
      <formula>$F38="Dom"</formula>
    </cfRule>
  </conditionalFormatting>
  <conditionalFormatting sqref="H38:K38">
    <cfRule type="expression" dxfId="82" priority="23">
      <formula>OR($G38="Falta Justificada",$G38="Falta Injustificada")</formula>
    </cfRule>
  </conditionalFormatting>
  <conditionalFormatting sqref="Q38">
    <cfRule type="cellIs" dxfId="81" priority="20" operator="greaterThan">
      <formula>0.000001</formula>
    </cfRule>
  </conditionalFormatting>
  <conditionalFormatting sqref="L38:Q38">
    <cfRule type="expression" dxfId="80" priority="36">
      <formula>AND($E38&lt;$E$35,$E$8=1)</formula>
    </cfRule>
  </conditionalFormatting>
  <conditionalFormatting sqref="G38:Q38">
    <cfRule type="expression" dxfId="79" priority="21">
      <formula>AND($E38&lt;$E$35,$E$8=1)</formula>
    </cfRule>
    <cfRule type="expression" dxfId="78" priority="22">
      <formula>AND($E38&gt;=$E$8,$E$8&lt;&gt;1)</formula>
    </cfRule>
  </conditionalFormatting>
  <conditionalFormatting sqref="U10:U11">
    <cfRule type="expression" dxfId="77" priority="8">
      <formula>$V$11="Negativo"</formula>
    </cfRule>
  </conditionalFormatting>
  <conditionalFormatting sqref="U12:U13">
    <cfRule type="expression" dxfId="76" priority="488">
      <formula>$U$14&gt;$F$58</formula>
    </cfRule>
  </conditionalFormatting>
  <conditionalFormatting sqref="F40">
    <cfRule type="expression" dxfId="75" priority="489">
      <formula>$E40="Folga(DSR)"</formula>
    </cfRule>
    <cfRule type="expression" dxfId="74" priority="490">
      <formula>$E40="Feriado"</formula>
    </cfRule>
    <cfRule type="expression" dxfId="73" priority="491">
      <formula>$D40="Dom"</formula>
    </cfRule>
  </conditionalFormatting>
  <dataValidations count="3">
    <dataValidation type="list" allowBlank="1" showInputMessage="1" showErrorMessage="1" sqref="G8:G38">
      <formula1>"Normal,Feriado,Folga (DSR),Falta Justificada,Férias,Falta Injustificada"</formula1>
    </dataValidation>
    <dataValidation type="time" allowBlank="1" showInputMessage="1" showErrorMessage="1" sqref="H8:K38">
      <formula1>0</formula1>
      <formula2>0.999988425925926</formula2>
    </dataValidation>
    <dataValidation type="list" allowBlank="1" showInputMessage="1" showErrorMessage="1" sqref="E9:E35">
      <formula1>"1,5,10,16"</formula1>
    </dataValidation>
  </dataValidations>
  <hyperlinks>
    <hyperlink ref="C8" location="Lanç!A1" display="Lanç!A1"/>
    <hyperlink ref="C9" location="'Lanç (2)'!A1" display="'Lanç (2)'!A1"/>
    <hyperlink ref="C10" location="'Lanç (3)'!A1" display="'Lanç (3)'!A1"/>
    <hyperlink ref="C11" location="'Lanç (4)'!A1" display="'Lanç (4)'!A1"/>
    <hyperlink ref="C12" location="'Lanç (5)'!A1" display="'Lanç (5)'!A1"/>
    <hyperlink ref="C13" location="'Lanç (6)'!A1" display="'Lanç (6)'!A1"/>
    <hyperlink ref="C14" location="'Lanç (7)'!A1" display="'Lanç (7)'!A1"/>
    <hyperlink ref="C15" location="'Lanç (8)'!A1" display="'Lanç (8)'!A1"/>
    <hyperlink ref="C16" location="'Lanç (9)'!A1" display="'Lanç (9)'!A1"/>
    <hyperlink ref="C17" location="'Lanç (10)'!A1" display="'Lanç (10)'!A1"/>
    <hyperlink ref="C18" location="'Lanç (11)'!A1" display="'Lanç (11)'!A1"/>
    <hyperlink ref="C19" location="'Lanç (12)'!A1" display="'Lanç (12)'!A1"/>
    <hyperlink ref="C20" location="'Lanç (13)'!A1" display="'Lanç (13)'!A1"/>
    <hyperlink ref="C21" location="'Lanç (14)'!A1" display="'Lanç (14)'!A1"/>
    <hyperlink ref="C22" location="'Lanç (15)'!A1" display="'Lanç (15)'!A1"/>
    <hyperlink ref="C23" location="'Lanç (16)'!A1" display="'Lanç (16)'!A1"/>
    <hyperlink ref="C24" location="'Lanç (17)'!A1" display="'Lanç (17)'!A1"/>
    <hyperlink ref="C25" location="'Lanç (18)'!A1" display="'Lanç (18)'!A1"/>
    <hyperlink ref="C26" location="'Lanç (19)'!A1" display="'Lanç (19)'!A1"/>
    <hyperlink ref="C27" location="'Lanç (20)'!A1" display="'Lanç (20)'!A1"/>
    <hyperlink ref="C28" location="'Lanç (21)'!A1" display="'Lanç (21)'!A1"/>
    <hyperlink ref="C29" location="'Lanç (22)'!A1" display="'Lanç (22)'!A1"/>
    <hyperlink ref="C30" location="'Lanç (23)'!A1" display="'Lanç (23)'!A1"/>
    <hyperlink ref="C31" location="'Lanç (24)'!A1" display="'Lanç (24)'!A1"/>
    <hyperlink ref="C32" location="'Lanç (25)'!A1" display="'Lanç (25)'!A1"/>
    <hyperlink ref="C33" location="'Lanç (26)'!A1" display="'Lanç (26)'!A1"/>
    <hyperlink ref="C34" location="'Lanç (27)'!A1" display="'Lanç (27)'!A1"/>
    <hyperlink ref="C35" location="'Lanç (28)'!A1" display="'Lanç (28)'!A1"/>
    <hyperlink ref="C36" location="'Lanç (29)'!A1" display="'Lanç (29)'!A1"/>
    <hyperlink ref="C37" location="'Lanç (30)'!A1" display="'Lanç (30)'!A1"/>
  </hyperlinks>
  <printOptions horizontalCentered="1"/>
  <pageMargins left="0.23622047244094502" right="0.23622047244094502" top="0.74803149606299202" bottom="0.74803149606299202" header="0.31496062992126" footer="0.31496062992126"/>
  <pageSetup paperSize="9" scale="53" orientation="portrait" cellComments="atEnd"/>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69" id="{3CDFDBFD-8F7F-0C49-B177-BA625D7D9ADE}">
            <xm:f>'P Gerais'!$I$10:$M$10="Pagas em Dinheiro"</xm:f>
            <x14:dxf>
              <font>
                <color theme="0"/>
              </font>
              <fill>
                <patternFill>
                  <bgColor theme="0"/>
                </patternFill>
              </fill>
              <border>
                <left/>
                <right/>
                <top/>
                <bottom/>
              </border>
            </x14:dxf>
          </x14:cfRule>
          <xm:sqref>S10:T13</xm:sqref>
        </x14:conditionalFormatting>
        <x14:conditionalFormatting xmlns:xm="http://schemas.microsoft.com/office/excel/2006/main">
          <x14:cfRule type="expression" priority="68" id="{B09294E0-F8FB-E844-BA0A-1072DDBF0D71}">
            <xm:f>'P Gerais'!$I$10:$M$10="Sistema de banco de horas"</xm:f>
            <x14:dxf>
              <font>
                <color theme="0"/>
              </font>
              <fill>
                <patternFill>
                  <bgColor theme="0"/>
                </patternFill>
              </fill>
              <border>
                <left/>
                <right/>
                <top/>
                <bottom/>
              </border>
            </x14:dxf>
          </x14:cfRule>
          <xm:sqref>S18:T19</xm:sqref>
        </x14:conditionalFormatting>
        <x14:conditionalFormatting xmlns:xm="http://schemas.microsoft.com/office/excel/2006/main">
          <x14:cfRule type="expression" priority="10" id="{DB7679F0-D78F-F746-ACD4-5587E0BC1450}">
            <xm:f>'P Gerais'!$I$10:$M$10="Sistema de banco de horas"</xm:f>
            <x14:dxf>
              <font>
                <color theme="0"/>
              </font>
              <fill>
                <patternFill>
                  <bgColor theme="0"/>
                </patternFill>
              </fill>
              <border>
                <left/>
                <right/>
                <top/>
                <bottom/>
              </border>
            </x14:dxf>
          </x14:cfRule>
          <xm:sqref>U18:U19</xm:sqref>
        </x14:conditionalFormatting>
        <x14:conditionalFormatting xmlns:xm="http://schemas.microsoft.com/office/excel/2006/main">
          <x14:cfRule type="expression" priority="7" id="{42513E2F-907D-A249-AA10-426C838A413D}">
            <xm:f>'P Gerais'!$I$10:$M$10="Pagas em Dinheiro"</xm:f>
            <x14:dxf>
              <font>
                <color theme="0"/>
              </font>
              <fill>
                <patternFill>
                  <bgColor theme="0"/>
                </patternFill>
              </fill>
              <border>
                <left/>
                <right/>
                <top/>
                <bottom/>
              </border>
            </x14:dxf>
          </x14:cfRule>
          <xm:sqref>U10:U13</xm:sqref>
        </x14:conditionalFormatting>
      </x14:conditionalFormattings>
    </ext>
  </extLs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32" enableFormatConditionsCalculation="0"/>
  <dimension ref="A1:BG103"/>
  <sheetViews>
    <sheetView showGridLines="0" zoomScale="90" zoomScaleNormal="90" zoomScalePageLayoutView="90" workbookViewId="0">
      <selection activeCell="I12" sqref="I12"/>
    </sheetView>
  </sheetViews>
  <sheetFormatPr baseColWidth="10" defaultColWidth="0" defaultRowHeight="0" customHeight="1" zeroHeight="1" x14ac:dyDescent="0.2"/>
  <cols>
    <col min="1" max="1" width="27.83203125" style="194" customWidth="1"/>
    <col min="2" max="2" width="3.83203125" style="14" customWidth="1"/>
    <col min="3" max="3" width="33.33203125" style="14" customWidth="1"/>
    <col min="4" max="4" width="2.83203125" style="14" customWidth="1"/>
    <col min="5" max="5" width="5.83203125" style="14" customWidth="1"/>
    <col min="6" max="6" width="11.83203125" style="14" customWidth="1"/>
    <col min="7" max="7" width="14.33203125" style="195" customWidth="1"/>
    <col min="8" max="11" width="9.83203125" style="14" customWidth="1"/>
    <col min="12" max="12" width="1.83203125" style="14" customWidth="1"/>
    <col min="13" max="13" width="13.33203125" style="14" customWidth="1"/>
    <col min="14" max="14" width="1.83203125" style="14" customWidth="1"/>
    <col min="15" max="15" width="13.33203125" style="14" customWidth="1"/>
    <col min="16" max="16" width="1.83203125" style="14" customWidth="1"/>
    <col min="17" max="17" width="13.33203125" style="14" customWidth="1"/>
    <col min="18" max="18" width="4.83203125" style="2" bestFit="1" customWidth="1"/>
    <col min="19" max="21" width="11.83203125" style="14" customWidth="1"/>
    <col min="22" max="23" width="8.83203125" style="2" customWidth="1"/>
    <col min="24" max="24" width="11.33203125" style="2" bestFit="1" customWidth="1"/>
    <col min="25" max="25" width="8.83203125" style="2" customWidth="1"/>
    <col min="26" max="26" width="8.1640625" style="219" bestFit="1" customWidth="1"/>
    <col min="27" max="27" width="8.83203125" style="2" customWidth="1"/>
    <col min="28" max="28" width="11.33203125" style="2" bestFit="1" customWidth="1"/>
    <col min="29" max="43" width="8.83203125" style="2" customWidth="1"/>
    <col min="44" max="50" width="11.33203125" style="2" customWidth="1"/>
    <col min="51" max="57" width="11.33203125" style="14" customWidth="1"/>
    <col min="58" max="16384" width="8.83203125" style="14" hidden="1"/>
  </cols>
  <sheetData>
    <row r="1" spans="1:59" s="15" customFormat="1" ht="33.75" customHeight="1" x14ac:dyDescent="0.3">
      <c r="A1" s="56"/>
      <c r="B1" s="3"/>
      <c r="C1" s="4" t="s">
        <v>30</v>
      </c>
      <c r="D1" s="3"/>
      <c r="E1" s="3"/>
      <c r="F1" s="3"/>
      <c r="G1" s="77"/>
      <c r="H1" s="3"/>
      <c r="I1" s="3"/>
      <c r="J1" s="3"/>
      <c r="K1" s="3"/>
      <c r="L1" s="3"/>
      <c r="M1" s="3"/>
      <c r="N1" s="3"/>
      <c r="O1" s="3"/>
      <c r="Q1" s="3"/>
      <c r="S1" s="3"/>
      <c r="T1" s="3"/>
      <c r="U1" s="3"/>
      <c r="Z1" s="174"/>
    </row>
    <row r="2" spans="1:59" s="15" customFormat="1" ht="21.5" customHeight="1" x14ac:dyDescent="0.2">
      <c r="A2" s="1"/>
      <c r="B2" s="3"/>
      <c r="C2" s="3"/>
      <c r="D2" s="3"/>
      <c r="E2" s="3"/>
      <c r="F2" s="3"/>
      <c r="G2" s="77"/>
      <c r="H2" s="3"/>
      <c r="I2" s="3"/>
      <c r="J2" s="3"/>
      <c r="K2" s="3"/>
      <c r="L2" s="3"/>
      <c r="M2" s="3"/>
      <c r="N2" s="3"/>
      <c r="O2" s="3"/>
      <c r="Q2" s="3"/>
      <c r="S2" s="3"/>
      <c r="T2" s="3"/>
      <c r="U2" s="3"/>
      <c r="Z2" s="174"/>
    </row>
    <row r="3" spans="1:59" s="15" customFormat="1" ht="21.5" customHeight="1" x14ac:dyDescent="0.2">
      <c r="A3" s="1"/>
      <c r="B3" s="3"/>
      <c r="C3" s="3"/>
      <c r="D3" s="3"/>
      <c r="E3" s="3"/>
      <c r="F3" s="3"/>
      <c r="G3" s="77"/>
      <c r="H3" s="3"/>
      <c r="I3" s="3"/>
      <c r="J3" s="3"/>
      <c r="K3" s="3"/>
      <c r="L3" s="3"/>
      <c r="M3" s="3"/>
      <c r="N3" s="3"/>
      <c r="O3" s="3"/>
      <c r="Q3" s="3"/>
      <c r="S3" s="3"/>
      <c r="T3" s="3"/>
      <c r="U3" s="3"/>
      <c r="Z3" s="174"/>
    </row>
    <row r="4" spans="1:59" s="2" customFormat="1" ht="30" customHeight="1" x14ac:dyDescent="0.2">
      <c r="A4" s="1"/>
      <c r="B4"/>
      <c r="C4"/>
      <c r="D4"/>
      <c r="E4"/>
      <c r="F4"/>
      <c r="G4" s="78"/>
      <c r="H4"/>
      <c r="I4"/>
      <c r="J4"/>
      <c r="K4"/>
      <c r="L4"/>
      <c r="M4"/>
      <c r="N4"/>
      <c r="O4" s="13"/>
      <c r="Q4"/>
      <c r="S4"/>
      <c r="T4"/>
      <c r="U4"/>
      <c r="Z4" s="219"/>
      <c r="AN4" s="175"/>
    </row>
    <row r="5" spans="1:59" s="2" customFormat="1" ht="30" customHeight="1" x14ac:dyDescent="0.2">
      <c r="A5" s="1"/>
      <c r="B5"/>
      <c r="C5" s="160" t="s">
        <v>213</v>
      </c>
      <c r="D5"/>
      <c r="E5"/>
      <c r="F5"/>
      <c r="G5"/>
      <c r="H5"/>
      <c r="I5"/>
      <c r="J5"/>
      <c r="K5" s="157">
        <f ca="1">IF(ISERROR(VLOOKUP(INDIRECT($C$5),Jornada!$C$8:$F$37,4,0)),0,VLOOKUP(INDIRECT($C$5),Jornada!$C$8:$F$37,4,0))</f>
        <v>0</v>
      </c>
      <c r="L5" s="158"/>
      <c r="M5" s="157">
        <f ca="1">IF(ISERROR(VLOOKUP(INDIRECT($C$5),Jornada!$C$8:$G$37,5,0)),0,VLOOKUP(INDIRECT($C$5),Jornada!$C$8:$G$37,5,0))</f>
        <v>0</v>
      </c>
      <c r="N5"/>
      <c r="O5" s="69"/>
      <c r="Q5"/>
      <c r="S5"/>
      <c r="T5"/>
      <c r="U5" s="12"/>
      <c r="Z5" s="219"/>
      <c r="AC5" s="12"/>
      <c r="AK5" s="179">
        <v>0.25</v>
      </c>
      <c r="AL5" s="155">
        <v>0.91666666666666663</v>
      </c>
      <c r="AM5" s="155">
        <v>0.20833333333333334</v>
      </c>
      <c r="AN5" s="155">
        <v>1</v>
      </c>
      <c r="AO5" s="155">
        <v>0.70833333333333337</v>
      </c>
    </row>
    <row r="6" spans="1:59" s="2" customFormat="1" ht="8" customHeight="1" thickBot="1" x14ac:dyDescent="0.25">
      <c r="A6" s="1"/>
      <c r="B6"/>
      <c r="C6" s="75"/>
      <c r="D6"/>
      <c r="E6"/>
      <c r="F6"/>
      <c r="G6" s="78"/>
      <c r="H6"/>
      <c r="I6"/>
      <c r="J6"/>
      <c r="M6" s="220">
        <v>1</v>
      </c>
      <c r="N6"/>
      <c r="O6" s="11"/>
      <c r="Q6" s="11"/>
      <c r="S6"/>
      <c r="T6"/>
      <c r="Z6" s="176"/>
    </row>
    <row r="7" spans="1:59" s="2" customFormat="1" ht="30" customHeight="1" thickTop="1" thickBot="1" x14ac:dyDescent="0.25">
      <c r="A7" s="1"/>
      <c r="B7"/>
      <c r="C7" s="76" t="s">
        <v>176</v>
      </c>
      <c r="D7"/>
      <c r="E7" s="281" t="str">
        <f>Lanç!E7</f>
        <v>Janeiro</v>
      </c>
      <c r="F7" s="283"/>
      <c r="G7" s="79" t="s">
        <v>58</v>
      </c>
      <c r="H7" s="82" t="s">
        <v>0</v>
      </c>
      <c r="I7" s="293" t="s">
        <v>59</v>
      </c>
      <c r="J7" s="293"/>
      <c r="K7" s="82" t="s">
        <v>60</v>
      </c>
      <c r="L7"/>
      <c r="M7" s="73" t="s">
        <v>61</v>
      </c>
      <c r="N7"/>
      <c r="O7" s="73" t="s">
        <v>62</v>
      </c>
      <c r="Q7" s="73" t="s">
        <v>63</v>
      </c>
      <c r="R7" s="155">
        <v>8.3333333333333329E-2</v>
      </c>
      <c r="S7" s="293" t="s">
        <v>64</v>
      </c>
      <c r="T7" s="293"/>
      <c r="U7" s="293"/>
      <c r="W7" s="2" t="s">
        <v>90</v>
      </c>
      <c r="X7" s="156">
        <v>1</v>
      </c>
      <c r="AB7" s="2">
        <f>VLOOKUP($E$7,$W$7:$X$18,2,0)</f>
        <v>1</v>
      </c>
      <c r="AG7" s="176" t="s">
        <v>167</v>
      </c>
      <c r="AH7" s="176" t="s">
        <v>168</v>
      </c>
      <c r="AI7" s="155">
        <v>0</v>
      </c>
      <c r="AJ7" s="155">
        <v>1</v>
      </c>
      <c r="AK7" s="155">
        <v>0.45833333333333331</v>
      </c>
      <c r="AL7" s="2" t="s">
        <v>0</v>
      </c>
      <c r="AM7" s="2" t="s">
        <v>162</v>
      </c>
      <c r="AN7" s="2" t="s">
        <v>184</v>
      </c>
      <c r="BE7" s="14"/>
      <c r="BF7" s="14"/>
      <c r="BG7" s="14"/>
    </row>
    <row r="8" spans="1:59" s="2" customFormat="1" ht="30" customHeight="1" thickTop="1" thickBot="1" x14ac:dyDescent="0.25">
      <c r="A8" s="1"/>
      <c r="B8"/>
      <c r="C8" s="172" t="str">
        <f>IF(Funcionários!C7=0,"",Funcionários!C7)</f>
        <v/>
      </c>
      <c r="D8"/>
      <c r="E8" s="115">
        <f>Lanç!E8</f>
        <v>1</v>
      </c>
      <c r="F8" s="189" t="str">
        <f>Lanç!F8</f>
        <v>Dom</v>
      </c>
      <c r="G8" s="80"/>
      <c r="H8" s="93"/>
      <c r="I8" s="93"/>
      <c r="J8" s="93"/>
      <c r="K8" s="93"/>
      <c r="L8" s="10"/>
      <c r="M8" s="95">
        <f>IF(AND(H8=K8,H8&lt;&gt;0),$M$6-IF(J8&lt;I8,$AJ$7+J8-I8,J8-I8),IF(H8&gt;K8,(K8+1-H8)-IF(J8&lt;I8,$AJ$7+J8-I8,J8-I8),(K8-H8)-IF(J8&lt;I8,$AJ$7+J8-I8,J8-I8)))</f>
        <v>0</v>
      </c>
      <c r="N8" s="96"/>
      <c r="O8" s="95">
        <f ca="1">IF(OR(G8=0,G8="Férias",G8="Falta Justificada",G8="Feriado",G8="Folga (DSR)"),0,IF(G8="Falta Injustificada",HLOOKUP($F8,Jornada!$X$7:$AD$37,VLOOKUP(INDIRECT($C$5),Jornada!$C$8:$W$37,21,0),0),IF(HLOOKUP($F8,Jornada!$X$7:$AD$37,VLOOKUP(INDIRECT($C$5),Jornada!$C$8:$W$37,21,0),0)-M8&gt;0,HLOOKUP($F8,Jornada!$X$7:$AD$37,VLOOKUP(INDIRECT($C$5),Jornada!$C$8:$W$37,21,0),0)-M8,0)))</f>
        <v>0</v>
      </c>
      <c r="P8" s="190">
        <f ca="1">IF(HLOOKUP($F8,Jornada!$X$7:$AD$37,VLOOKUP(INDIRECT($C$5),Jornada!$C$8:$W$37,21,0),0)-M8&lt;0,ABS(HLOOKUP($F8,Jornada!$X$7:$AD$37,VLOOKUP(INDIRECT($C$5),Jornada!$C$8:$W$37,21,0),0)-M8),0)</f>
        <v>0</v>
      </c>
      <c r="Q8" s="95">
        <f t="shared" ref="Q8:Q38" si="0">IF(G8="Normal",P8,IF(G8=0,0,IF(OR(G8="Feriado",G8="Férias"),IF(H8&gt;K8,(K8+1-H8)-IF(J8&lt;I8,$AJ$7+J8-I8,J8-I8),(K8-H8)-IF(J8&lt;I8,$AJ$7+J8-I8,J8-I8)),IF(G8="Folga (DSR)",IF(H8&gt;K8,(K8+1-H8)-IF(J8&lt;I8,$AJ$7+J8-I8,J8-I8),(K8-H8)-IF(J8&lt;I8,$AJ$7+J8-I8,J8-I8)),IF(G8="Falta Justificada",IF(H8&gt;K8,(K8+1-H8)-IF(J8&lt;I8,$AJ$7+J8-I8,J8-I8),(K8-H8)-IF(J8&lt;I8,$AJ$7+J8-I8,J8-I8)),0)))))</f>
        <v>0</v>
      </c>
      <c r="R8" s="2">
        <f>IF(Q8&gt;$R$7,1,0)</f>
        <v>0</v>
      </c>
      <c r="S8" s="294" t="s">
        <v>65</v>
      </c>
      <c r="T8" s="294"/>
      <c r="U8" s="295">
        <f>SUM(M8:M38)</f>
        <v>0</v>
      </c>
      <c r="W8" s="2" t="s">
        <v>91</v>
      </c>
      <c r="X8" s="156">
        <v>2</v>
      </c>
      <c r="AB8" s="177">
        <f>DATE('P Gerais'!$D$6,AB7,1)</f>
        <v>1</v>
      </c>
      <c r="AC8" s="2">
        <f>WEEKDAY(AB8)</f>
        <v>1</v>
      </c>
      <c r="AE8" s="2">
        <v>1</v>
      </c>
      <c r="AF8" s="2" t="s">
        <v>51</v>
      </c>
      <c r="AG8" s="220">
        <f>IF(J8&lt;I8,$AJ$7+J8-I8,J8-I8)</f>
        <v>0</v>
      </c>
      <c r="AH8" s="220">
        <f ca="1">IF(HLOOKUP($F8,Jornada!$X$7:$AD$37,VLOOKUP(INDIRECT($C$5),Jornada!$C$8:$W$37,21,0),0)=0,0,VLOOKUP(INDIRECT($C$5),Jornada!$C$8:$H$37,4,0))</f>
        <v>0</v>
      </c>
      <c r="AI8" s="155">
        <f ca="1">IF(AND(I8=0,J8=0,OR(H8&lt;&gt;0,K8&lt;&gt;0),HLOOKUP($F8,Jornada!$X$7:$AD$37,VLOOKUP(INDIRECT($C$5),Jornada!$C$8:$W$37,21,0),0)&gt;$AK$5,M8&gt;$AK$5),VLOOKUP(INDIRECT($C$5),Jornada!$C$8:$H$37,6,0),IF(AG8&gt;VLOOKUP(INDIRECT($C$5),Jornada!$C$8:$H$37,6,0),IF(VLOOKUP(INDIRECT($C$5),Jornada!$C$8:$H$37,6,0)&lt;AG8,0,ABS(VLOOKUP(INDIRECT($C$5),Jornada!$C$8:$H$37,6,0))-AG8),0))</f>
        <v>0</v>
      </c>
      <c r="AJ8" s="155">
        <f>($AJ$7-K8)+H8</f>
        <v>1</v>
      </c>
      <c r="AK8" s="155">
        <f>IF(AJ8&lt;$AK$7,$AK$7-AJ8,$AI$7)</f>
        <v>0</v>
      </c>
      <c r="AL8" s="155">
        <f ca="1">HLOOKUP($F8,Jornada!$I$5:$V$37,VLOOKUP(INDIRECT($C$5),Jornada!$C$8:$W$37,21,0)+2,0)</f>
        <v>0</v>
      </c>
      <c r="AM8" s="155">
        <f ca="1">HLOOKUP($F8,Jornada!$I$4:$V$37,VLOOKUP(INDIRECT($C$5),Jornada!$C$8:$W$37,21,0)+3,0)</f>
        <v>0</v>
      </c>
      <c r="AN8" s="155">
        <f ca="1">IF(AND(AL8&gt;=$AL$5,AL8&lt;$AN$5,H8&gt;=$AL$5,H8&lt;AL8),AL8-H8,IF(AND(AL8&gt;$AI$7,AL8&lt;=$AM$5,H8&gt;=$AL$5,H8&lt;=$AN$5),$AN$5-H8+AL8,IF(AND(AL8&gt;=$AI$7,AL8&lt;=$AM$5,H8&gt;=$AI$7,H8&lt;=$AM$5,H8&lt;AL8),H8-AL8,0)))</f>
        <v>0</v>
      </c>
      <c r="AO8" s="155">
        <f>IF(AP8&gt;Q8,0,AP8)</f>
        <v>0</v>
      </c>
      <c r="AP8" s="155">
        <f>IF(Q8=0,0,IF(AND(AM8&gt;=$AL$5,AM8&lt;$AN$5,K8&gt;=$AL$5,K8&lt;$AM$5,K8&gt;AM8),K8-AM8,IF(AND(AM8&gt;=$AL$5,AM8&lt;$AN$5,K8&lt;$AN$5,K8&gt;AM8),K8-$AL$5,IF(AND(AM8&gt;=$AI$7,AM8&lt;$AM$5,K8&lt;$AM$5),K8-AM8,IF(AND(AM8&lt;&gt;AI7,AM8&gt;=$AI$7,AM8&lt;=$AM$5,K8&gt;$AM$5,K8&gt;AM8),$AM$5-AM8,IF(AND(K8&gt;$AL$5,K8&lt;$AN$5),K8-$AL$5,IF(AND(K8&gt;$AI$7,K8&lt;$AM$5),$AN$5-$AL$5+K8,IF(AND(OR(K8&gt;$AL$5,H8&gt;$AO$5),AM8&gt;=$AI$7,AM8&lt;$AM$5,K8&gt;$AM$5),(1+$AM$5-$AL$5)-AG8,0))))))))</f>
        <v>0</v>
      </c>
      <c r="BE8" s="14"/>
      <c r="BF8" s="14"/>
      <c r="BG8" s="14"/>
    </row>
    <row r="9" spans="1:59" s="2" customFormat="1" ht="30" customHeight="1" thickTop="1" thickBot="1" x14ac:dyDescent="0.25">
      <c r="A9" s="1"/>
      <c r="B9"/>
      <c r="C9" s="172" t="str">
        <f>IF(Funcionários!C8=0,"",Funcionários!C8)</f>
        <v/>
      </c>
      <c r="D9"/>
      <c r="E9" s="115">
        <f>Lanç!E9</f>
        <v>2</v>
      </c>
      <c r="F9" s="189" t="str">
        <f>Lanç!F9</f>
        <v>Seg</v>
      </c>
      <c r="G9" s="81"/>
      <c r="H9" s="94"/>
      <c r="I9" s="94"/>
      <c r="J9" s="94"/>
      <c r="K9" s="94"/>
      <c r="L9" s="10"/>
      <c r="M9" s="95">
        <f t="shared" ref="M9:M38" si="1">IF(AND(H9=K9,H9&lt;&gt;0),$M$6-IF(J9&lt;I9,$AJ$7+J9-I9,J9-I9),IF(H9&gt;K9,(K9+1-H9)-IF(J9&lt;I9,$AJ$7+J9-I9,J9-I9),(K9-H9)-IF(J9&lt;I9,$AJ$7+J9-I9,J9-I9)))</f>
        <v>0</v>
      </c>
      <c r="N9" s="96"/>
      <c r="O9" s="95">
        <f ca="1">IF(OR(G9=0,G9="Férias",G9="Falta Justificada",G9="Feriado",G9="Folga (DSR)"),0,IF(G9="Falta Injustificada",HLOOKUP($F9,Jornada!$X$7:$AD$37,VLOOKUP(INDIRECT($C$5),Jornada!$C$8:$W$37,21,0),0),IF(HLOOKUP($F9,Jornada!$X$7:$AD$37,VLOOKUP(INDIRECT($C$5),Jornada!$C$8:$W$37,21,0),0)-M9&gt;0,HLOOKUP($F9,Jornada!$X$7:$AD$37,VLOOKUP(INDIRECT($C$5),Jornada!$C$8:$W$37,21,0),0)-M9,0)))</f>
        <v>0</v>
      </c>
      <c r="P9" s="190">
        <f ca="1">IF(HLOOKUP($F9,Jornada!$X$7:$AD$37,VLOOKUP(INDIRECT($C$5),Jornada!$C$8:$W$37,21,0),0)-M9&lt;0,ABS(HLOOKUP($F9,Jornada!$X$7:$AD$37,VLOOKUP(INDIRECT($C$5),Jornada!$C$8:$W$37,21,0),0)-M9),0)</f>
        <v>0</v>
      </c>
      <c r="Q9" s="95">
        <f t="shared" si="0"/>
        <v>0</v>
      </c>
      <c r="R9" s="2">
        <f t="shared" ref="R9:R38" si="2">IF(Q9&gt;$R$7,1,0)</f>
        <v>0</v>
      </c>
      <c r="S9" s="294"/>
      <c r="T9" s="294"/>
      <c r="U9" s="295"/>
      <c r="W9" s="2" t="s">
        <v>92</v>
      </c>
      <c r="X9" s="156">
        <v>3</v>
      </c>
      <c r="AB9" s="177">
        <f>AB8+1</f>
        <v>2</v>
      </c>
      <c r="AC9" s="2">
        <f t="shared" ref="AC9:AC35" si="3">WEEKDAY(AB9)</f>
        <v>2</v>
      </c>
      <c r="AE9" s="2">
        <v>2</v>
      </c>
      <c r="AF9" s="2" t="s">
        <v>52</v>
      </c>
      <c r="AG9" s="220">
        <f t="shared" ref="AG9:AG38" si="4">IF(J9&lt;I9,$AJ$7+J9-I9,J9-I9)</f>
        <v>0</v>
      </c>
      <c r="AH9" s="220">
        <f ca="1">IF(HLOOKUP($F9,Jornada!$X$7:$AD$37,VLOOKUP(INDIRECT($C$5),Jornada!$C$8:$W$37,21,0),0)=0,0,VLOOKUP(INDIRECT($C$5),Jornada!$C$8:$H$37,4,0))</f>
        <v>0</v>
      </c>
      <c r="AI9" s="155">
        <f ca="1">IF(AND(I9=0,J9=0,OR(H9&lt;&gt;0,K9&lt;&gt;0),HLOOKUP($F9,Jornada!$X$7:$AD$37,VLOOKUP(INDIRECT($C$5),Jornada!$C$8:$W$37,21,0),0)&gt;$AK$5,M9&gt;$AK$5),VLOOKUP(INDIRECT($C$5),Jornada!$C$8:$H$37,6,0),IF(AG9&gt;VLOOKUP(INDIRECT($C$5),Jornada!$C$8:$H$37,6,0),IF(VLOOKUP(INDIRECT($C$5),Jornada!$C$8:$H$37,6,0)&lt;AG9,0,ABS(VLOOKUP(INDIRECT($C$5),Jornada!$C$8:$H$37,6,0))-AG9),0))</f>
        <v>0</v>
      </c>
      <c r="AJ9" s="155">
        <f t="shared" ref="AJ9:AJ38" si="5">($AJ$7-K9)+H9</f>
        <v>1</v>
      </c>
      <c r="AK9" s="155">
        <f t="shared" ref="AK9:AK38" si="6">IF(AJ9&lt;$AK$7,$AK$7-AJ9,$AI$7)</f>
        <v>0</v>
      </c>
      <c r="AL9" s="155">
        <f ca="1">HLOOKUP($F9,Jornada!$I$5:$V$37,VLOOKUP(INDIRECT($C$5),Jornada!$C$8:$W$37,21,0)+2,0)</f>
        <v>0</v>
      </c>
      <c r="AM9" s="155">
        <f ca="1">HLOOKUP($F9,Jornada!$I$4:$V$37,VLOOKUP(INDIRECT($C$5),Jornada!$C$8:$W$37,21,0)+3,0)</f>
        <v>0</v>
      </c>
      <c r="AN9" s="155">
        <f t="shared" ref="AN9:AN38" ca="1" si="7">IF(AND(AL9&gt;=$AL$5,AL9&lt;$AN$5,H9&gt;=$AL$5,H9&lt;AL9),AL9-H9,IF(AND(AL9&gt;$AI$7,AL9&lt;=$AM$5,H9&gt;=$AL$5,H9&lt;=$AN$5),$AN$5-H9+AL9,IF(AND(AL9&gt;=$AI$7,AL9&lt;=$AM$5,H9&gt;=$AI$7,H9&lt;=$AM$5,H9&lt;AL9),H9-AL9,0)))</f>
        <v>0</v>
      </c>
      <c r="AO9" s="155">
        <f t="shared" ref="AO9:AO38" si="8">IF(AP9&gt;Q9,0,AP9)</f>
        <v>0</v>
      </c>
      <c r="AP9" s="155">
        <f t="shared" ref="AP9:AP38" si="9">IF(Q9=0,0,IF(AND(AM9&gt;=$AL$5,AM9&lt;$AN$5,K9&gt;=$AL$5,K9&lt;$AM$5,K9&gt;AM9),K9-AM9,IF(AND(AM9&gt;=$AL$5,AM9&lt;$AN$5,K9&lt;$AN$5,K9&gt;AM9),K9-$AL$5,IF(AND(AM9&gt;=$AI$7,AM9&lt;$AM$5,K9&lt;$AM$5),K9-AM9,IF(AND(AM9&lt;&gt;AI8,AM9&gt;=$AI$7,AM9&lt;=$AM$5,K9&gt;$AM$5,K9&gt;AM9),$AM$5-AM9,IF(AND(K9&gt;$AL$5,K9&lt;$AN$5),K9-$AL$5,IF(AND(K9&gt;$AI$7,K9&lt;$AM$5),$AN$5-$AL$5+K9,IF(AND(OR(K9&gt;$AL$5,H9&gt;$AO$5),AM9&gt;=$AI$7,AM9&lt;$AM$5,K9&gt;$AM$5),(1+$AM$5-$AL$5)-AG9,0))))))))</f>
        <v>0</v>
      </c>
      <c r="BE9" s="14"/>
      <c r="BF9" s="14"/>
      <c r="BG9" s="14"/>
    </row>
    <row r="10" spans="1:59" s="2" customFormat="1" ht="30" customHeight="1" thickTop="1" thickBot="1" x14ac:dyDescent="0.25">
      <c r="A10" s="1"/>
      <c r="B10"/>
      <c r="C10" s="172" t="str">
        <f>IF(Funcionários!C9=0,"",Funcionários!C9)</f>
        <v/>
      </c>
      <c r="D10"/>
      <c r="E10" s="115">
        <f>Lanç!E10</f>
        <v>3</v>
      </c>
      <c r="F10" s="189" t="str">
        <f>Lanç!F10</f>
        <v>Ter</v>
      </c>
      <c r="G10" s="81"/>
      <c r="H10" s="94"/>
      <c r="I10" s="94"/>
      <c r="J10" s="94"/>
      <c r="K10" s="94"/>
      <c r="L10" s="10"/>
      <c r="M10" s="95">
        <f t="shared" si="1"/>
        <v>0</v>
      </c>
      <c r="N10" s="96"/>
      <c r="O10" s="95">
        <f ca="1">IF(OR(G10=0,G10="Férias",G10="Falta Justificada",G10="Feriado",G10="Folga (DSR)"),0,IF(G10="Falta Injustificada",HLOOKUP($F10,Jornada!$X$7:$AD$37,VLOOKUP(INDIRECT($C$5),Jornada!$C$8:$W$37,21,0),0),IF(HLOOKUP($F10,Jornada!$X$7:$AD$37,VLOOKUP(INDIRECT($C$5),Jornada!$C$8:$W$37,21,0),0)-M10&gt;0,HLOOKUP($F10,Jornada!$X$7:$AD$37,VLOOKUP(INDIRECT($C$5),Jornada!$C$8:$W$37,21,0),0)-M10,0)))</f>
        <v>0</v>
      </c>
      <c r="P10" s="190">
        <f ca="1">IF(HLOOKUP($F10,Jornada!$X$7:$AD$37,VLOOKUP(INDIRECT($C$5),Jornada!$C$8:$W$37,21,0),0)-M10&lt;0,ABS(HLOOKUP($F10,Jornada!$X$7:$AD$37,VLOOKUP(INDIRECT($C$5),Jornada!$C$8:$W$37,21,0),0)-M10),0)</f>
        <v>0</v>
      </c>
      <c r="Q10" s="95">
        <f t="shared" si="0"/>
        <v>0</v>
      </c>
      <c r="R10" s="2">
        <f t="shared" si="2"/>
        <v>0</v>
      </c>
      <c r="S10" s="294" t="s">
        <v>66</v>
      </c>
      <c r="T10" s="294"/>
      <c r="U10" s="295">
        <f ca="1">IF(M5="Horas devidas",ABS(-K5+F58-U14),ABS(K5+F58-U14))</f>
        <v>0</v>
      </c>
      <c r="W10" s="2" t="s">
        <v>93</v>
      </c>
      <c r="X10" s="156">
        <v>4</v>
      </c>
      <c r="AB10" s="177">
        <f t="shared" ref="AB10:AB34" si="10">AB9+1</f>
        <v>3</v>
      </c>
      <c r="AC10" s="2">
        <f t="shared" si="3"/>
        <v>3</v>
      </c>
      <c r="AE10" s="2">
        <v>3</v>
      </c>
      <c r="AF10" s="2" t="s">
        <v>53</v>
      </c>
      <c r="AG10" s="220">
        <f t="shared" si="4"/>
        <v>0</v>
      </c>
      <c r="AH10" s="220">
        <f ca="1">IF(HLOOKUP($F10,Jornada!$X$7:$AD$37,VLOOKUP(INDIRECT($C$5),Jornada!$C$8:$W$37,21,0),0)=0,0,VLOOKUP(INDIRECT($C$5),Jornada!$C$8:$H$37,4,0))</f>
        <v>0</v>
      </c>
      <c r="AI10" s="155">
        <f ca="1">IF(AND(I10=0,J10=0,OR(H10&lt;&gt;0,K10&lt;&gt;0),HLOOKUP($F10,Jornada!$X$7:$AD$37,VLOOKUP(INDIRECT($C$5),Jornada!$C$8:$W$37,21,0),0)&gt;$AK$5,M10&gt;$AK$5),VLOOKUP(INDIRECT($C$5),Jornada!$C$8:$H$37,6,0),IF(AG10&gt;VLOOKUP(INDIRECT($C$5),Jornada!$C$8:$H$37,6,0),IF(VLOOKUP(INDIRECT($C$5),Jornada!$C$8:$H$37,6,0)&lt;AG10,0,ABS(VLOOKUP(INDIRECT($C$5),Jornada!$C$8:$H$37,6,0))-AG10),0))</f>
        <v>0</v>
      </c>
      <c r="AJ10" s="155">
        <f t="shared" si="5"/>
        <v>1</v>
      </c>
      <c r="AK10" s="155">
        <f t="shared" si="6"/>
        <v>0</v>
      </c>
      <c r="AL10" s="155">
        <f ca="1">HLOOKUP($F10,Jornada!$I$5:$V$37,VLOOKUP(INDIRECT($C$5),Jornada!$C$8:$W$37,21,0)+2,0)</f>
        <v>0</v>
      </c>
      <c r="AM10" s="155">
        <f ca="1">HLOOKUP($F10,Jornada!$I$4:$V$37,VLOOKUP(INDIRECT($C$5),Jornada!$C$8:$W$37,21,0)+3,0)</f>
        <v>0</v>
      </c>
      <c r="AN10" s="155">
        <f t="shared" ca="1" si="7"/>
        <v>0</v>
      </c>
      <c r="AO10" s="155">
        <f t="shared" si="8"/>
        <v>0</v>
      </c>
      <c r="AP10" s="155">
        <f t="shared" si="9"/>
        <v>0</v>
      </c>
      <c r="BE10" s="14"/>
      <c r="BF10" s="14"/>
      <c r="BG10" s="14"/>
    </row>
    <row r="11" spans="1:59" s="2" customFormat="1" ht="30" customHeight="1" thickTop="1" thickBot="1" x14ac:dyDescent="0.25">
      <c r="A11" s="1"/>
      <c r="B11"/>
      <c r="C11" s="172" t="str">
        <f>IF(Funcionários!C10=0,"",Funcionários!C10)</f>
        <v/>
      </c>
      <c r="D11"/>
      <c r="E11" s="115">
        <f>Lanç!E11</f>
        <v>4</v>
      </c>
      <c r="F11" s="189" t="str">
        <f>Lanç!F11</f>
        <v>Qua</v>
      </c>
      <c r="G11" s="81"/>
      <c r="H11" s="94"/>
      <c r="I11" s="94"/>
      <c r="J11" s="94"/>
      <c r="K11" s="94"/>
      <c r="L11" s="10"/>
      <c r="M11" s="95">
        <f t="shared" si="1"/>
        <v>0</v>
      </c>
      <c r="N11" s="96"/>
      <c r="O11" s="95">
        <f ca="1">IF(OR(G11=0,G11="Férias",G11="Falta Justificada",G11="Feriado",G11="Folga (DSR)"),0,IF(G11="Falta Injustificada",HLOOKUP($F11,Jornada!$X$7:$AD$37,VLOOKUP(INDIRECT($C$5),Jornada!$C$8:$W$37,21,0),0),IF(HLOOKUP($F11,Jornada!$X$7:$AD$37,VLOOKUP(INDIRECT($C$5),Jornada!$C$8:$W$37,21,0),0)-M11&gt;0,HLOOKUP($F11,Jornada!$X$7:$AD$37,VLOOKUP(INDIRECT($C$5),Jornada!$C$8:$W$37,21,0),0)-M11,0)))</f>
        <v>0</v>
      </c>
      <c r="P11" s="190">
        <f ca="1">IF(HLOOKUP($F11,Jornada!$X$7:$AD$37,VLOOKUP(INDIRECT($C$5),Jornada!$C$8:$W$37,21,0),0)-M11&lt;0,ABS(HLOOKUP($F11,Jornada!$X$7:$AD$37,VLOOKUP(INDIRECT($C$5),Jornada!$C$8:$W$37,21,0),0)-M11),0)</f>
        <v>0</v>
      </c>
      <c r="Q11" s="95">
        <f t="shared" si="0"/>
        <v>0</v>
      </c>
      <c r="R11" s="2">
        <f t="shared" si="2"/>
        <v>0</v>
      </c>
      <c r="S11" s="294"/>
      <c r="T11" s="294"/>
      <c r="U11" s="295"/>
      <c r="V11" s="2">
        <f ca="1">IF(AND(K5&gt;U12,M5="Horas devidas"),"Negativo",IF(AND(U12&gt;K5,U14&gt;F58),"Negativo",0))</f>
        <v>0</v>
      </c>
      <c r="W11" s="2" t="s">
        <v>94</v>
      </c>
      <c r="X11" s="156">
        <v>5</v>
      </c>
      <c r="Z11" s="2" t="str">
        <f ca="1">IF(AND(M5="horas extras",Z13="positivo"),"positivo",IF(AND(M5="horas devidas",Z13="Negativo"),"Negativo",IF(AND(Z13="positivo",M5="horas devidas",U12&gt;K5),"Positivo","Negativo")))</f>
        <v>Negativo</v>
      </c>
      <c r="AB11" s="177">
        <f t="shared" si="10"/>
        <v>4</v>
      </c>
      <c r="AC11" s="2">
        <f t="shared" si="3"/>
        <v>4</v>
      </c>
      <c r="AE11" s="2">
        <v>4</v>
      </c>
      <c r="AF11" s="2" t="s">
        <v>54</v>
      </c>
      <c r="AG11" s="220">
        <f t="shared" si="4"/>
        <v>0</v>
      </c>
      <c r="AH11" s="220">
        <f ca="1">IF(HLOOKUP($F11,Jornada!$X$7:$AD$37,VLOOKUP(INDIRECT($C$5),Jornada!$C$8:$W$37,21,0),0)=0,0,VLOOKUP(INDIRECT($C$5),Jornada!$C$8:$H$37,4,0))</f>
        <v>0</v>
      </c>
      <c r="AI11" s="155">
        <f ca="1">IF(AND(I11=0,J11=0,OR(H11&lt;&gt;0,K11&lt;&gt;0),HLOOKUP($F11,Jornada!$X$7:$AD$37,VLOOKUP(INDIRECT($C$5),Jornada!$C$8:$W$37,21,0),0)&gt;$AK$5,M11&gt;$AK$5),VLOOKUP(INDIRECT($C$5),Jornada!$C$8:$H$37,6,0),IF(AG11&gt;VLOOKUP(INDIRECT($C$5),Jornada!$C$8:$H$37,6,0),IF(VLOOKUP(INDIRECT($C$5),Jornada!$C$8:$H$37,6,0)&lt;AG11,0,ABS(VLOOKUP(INDIRECT($C$5),Jornada!$C$8:$H$37,6,0))-AG11),0))</f>
        <v>0</v>
      </c>
      <c r="AJ11" s="155">
        <f t="shared" si="5"/>
        <v>1</v>
      </c>
      <c r="AK11" s="155">
        <f t="shared" si="6"/>
        <v>0</v>
      </c>
      <c r="AL11" s="155">
        <f ca="1">HLOOKUP($F11,Jornada!$I$5:$V$37,VLOOKUP(INDIRECT($C$5),Jornada!$C$8:$W$37,21,0)+2,0)</f>
        <v>0</v>
      </c>
      <c r="AM11" s="155">
        <f ca="1">HLOOKUP($F11,Jornada!$I$4:$V$37,VLOOKUP(INDIRECT($C$5),Jornada!$C$8:$W$37,21,0)+3,0)</f>
        <v>0</v>
      </c>
      <c r="AN11" s="155">
        <f t="shared" ca="1" si="7"/>
        <v>0</v>
      </c>
      <c r="AO11" s="155">
        <f t="shared" si="8"/>
        <v>0</v>
      </c>
      <c r="AP11" s="155">
        <f t="shared" si="9"/>
        <v>0</v>
      </c>
      <c r="BE11" s="14"/>
      <c r="BF11" s="14"/>
      <c r="BG11" s="14"/>
    </row>
    <row r="12" spans="1:59" s="2" customFormat="1" ht="30" customHeight="1" thickTop="1" thickBot="1" x14ac:dyDescent="0.25">
      <c r="A12" s="1"/>
      <c r="B12"/>
      <c r="C12" s="172" t="str">
        <f>IF(Funcionários!C11=0,"",Funcionários!C11)</f>
        <v/>
      </c>
      <c r="D12"/>
      <c r="E12" s="115">
        <f>Lanç!E12</f>
        <v>5</v>
      </c>
      <c r="F12" s="189" t="str">
        <f>Lanç!F12</f>
        <v>Qui</v>
      </c>
      <c r="G12" s="81"/>
      <c r="H12" s="94"/>
      <c r="I12" s="94"/>
      <c r="J12" s="94"/>
      <c r="K12" s="94"/>
      <c r="L12" s="10"/>
      <c r="M12" s="95">
        <f t="shared" si="1"/>
        <v>0</v>
      </c>
      <c r="N12" s="96"/>
      <c r="O12" s="95">
        <f ca="1">IF(OR(G12=0,G12="Férias",G12="Falta Justificada",G12="Feriado",G12="Folga (DSR)"),0,IF(G12="Falta Injustificada",HLOOKUP($F12,Jornada!$X$7:$AD$37,VLOOKUP(INDIRECT($C$5),Jornada!$C$8:$W$37,21,0),0),IF(HLOOKUP($F12,Jornada!$X$7:$AD$37,VLOOKUP(INDIRECT($C$5),Jornada!$C$8:$W$37,21,0),0)-M12&gt;0,HLOOKUP($F12,Jornada!$X$7:$AD$37,VLOOKUP(INDIRECT($C$5),Jornada!$C$8:$W$37,21,0),0)-M12,0)))</f>
        <v>0</v>
      </c>
      <c r="P12" s="190">
        <f ca="1">IF(HLOOKUP($F12,Jornada!$X$7:$AD$37,VLOOKUP(INDIRECT($C$5),Jornada!$C$8:$W$37,21,0),0)-M12&lt;0,ABS(HLOOKUP($F12,Jornada!$X$7:$AD$37,VLOOKUP(INDIRECT($C$5),Jornada!$C$8:$W$37,21,0),0)-M12),0)</f>
        <v>0</v>
      </c>
      <c r="Q12" s="95">
        <f t="shared" si="0"/>
        <v>0</v>
      </c>
      <c r="R12" s="2">
        <f t="shared" si="2"/>
        <v>0</v>
      </c>
      <c r="S12" s="294" t="s">
        <v>175</v>
      </c>
      <c r="T12" s="294"/>
      <c r="U12" s="295">
        <f ca="1">IF(U14&gt;=F58,(U14)-F58,(F58-U14))</f>
        <v>0</v>
      </c>
      <c r="W12" s="2" t="s">
        <v>95</v>
      </c>
      <c r="X12" s="156">
        <v>6</v>
      </c>
      <c r="AB12" s="177">
        <f t="shared" si="10"/>
        <v>5</v>
      </c>
      <c r="AC12" s="2">
        <f t="shared" si="3"/>
        <v>5</v>
      </c>
      <c r="AE12" s="2">
        <v>5</v>
      </c>
      <c r="AF12" s="2" t="s">
        <v>55</v>
      </c>
      <c r="AG12" s="220">
        <f t="shared" si="4"/>
        <v>0</v>
      </c>
      <c r="AH12" s="220">
        <f ca="1">IF(HLOOKUP($F12,Jornada!$X$7:$AD$37,VLOOKUP(INDIRECT($C$5),Jornada!$C$8:$W$37,21,0),0)=0,0,VLOOKUP(INDIRECT($C$5),Jornada!$C$8:$H$37,4,0))</f>
        <v>0</v>
      </c>
      <c r="AI12" s="155">
        <f ca="1">IF(AND(I12=0,J12=0,OR(H12&lt;&gt;0,K12&lt;&gt;0),HLOOKUP($F12,Jornada!$X$7:$AD$37,VLOOKUP(INDIRECT($C$5),Jornada!$C$8:$W$37,21,0),0)&gt;$AK$5,M12&gt;$AK$5),VLOOKUP(INDIRECT($C$5),Jornada!$C$8:$H$37,6,0),IF(AG12&gt;VLOOKUP(INDIRECT($C$5),Jornada!$C$8:$H$37,6,0),IF(VLOOKUP(INDIRECT($C$5),Jornada!$C$8:$H$37,6,0)&lt;AG12,0,ABS(VLOOKUP(INDIRECT($C$5),Jornada!$C$8:$H$37,6,0))-AG12),0))</f>
        <v>0</v>
      </c>
      <c r="AJ12" s="155">
        <f t="shared" si="5"/>
        <v>1</v>
      </c>
      <c r="AK12" s="155">
        <f t="shared" si="6"/>
        <v>0</v>
      </c>
      <c r="AL12" s="155">
        <f ca="1">HLOOKUP($F12,Jornada!$I$5:$V$37,VLOOKUP(INDIRECT($C$5),Jornada!$C$8:$W$37,21,0)+2,0)</f>
        <v>0</v>
      </c>
      <c r="AM12" s="155">
        <f ca="1">HLOOKUP($F12,Jornada!$I$4:$V$37,VLOOKUP(INDIRECT($C$5),Jornada!$C$8:$W$37,21,0)+3,0)</f>
        <v>0</v>
      </c>
      <c r="AN12" s="155">
        <f t="shared" ca="1" si="7"/>
        <v>0</v>
      </c>
      <c r="AO12" s="155">
        <f t="shared" si="8"/>
        <v>0</v>
      </c>
      <c r="AP12" s="155">
        <f t="shared" si="9"/>
        <v>0</v>
      </c>
      <c r="BE12" s="14"/>
      <c r="BF12" s="14"/>
      <c r="BG12" s="14"/>
    </row>
    <row r="13" spans="1:59" s="2" customFormat="1" ht="30" customHeight="1" thickTop="1" thickBot="1" x14ac:dyDescent="0.25">
      <c r="A13" s="1"/>
      <c r="B13"/>
      <c r="C13" s="172" t="str">
        <f>IF(Funcionários!C12=0,"",Funcionários!C12)</f>
        <v/>
      </c>
      <c r="D13"/>
      <c r="E13" s="115">
        <f>Lanç!E13</f>
        <v>6</v>
      </c>
      <c r="F13" s="189" t="str">
        <f>Lanç!F13</f>
        <v>Sex</v>
      </c>
      <c r="G13" s="81"/>
      <c r="H13" s="94"/>
      <c r="I13" s="94"/>
      <c r="J13" s="94"/>
      <c r="K13" s="94"/>
      <c r="L13" s="10"/>
      <c r="M13" s="95">
        <f t="shared" si="1"/>
        <v>0</v>
      </c>
      <c r="N13" s="96"/>
      <c r="O13" s="95">
        <f ca="1">IF(OR(G13=0,G13="Férias",G13="Falta Justificada",G13="Feriado",G13="Folga (DSR)"),0,IF(G13="Falta Injustificada",HLOOKUP($F13,Jornada!$X$7:$AD$37,VLOOKUP(INDIRECT($C$5),Jornada!$C$8:$W$37,21,0),0),IF(HLOOKUP($F13,Jornada!$X$7:$AD$37,VLOOKUP(INDIRECT($C$5),Jornada!$C$8:$W$37,21,0),0)-M13&gt;0,HLOOKUP($F13,Jornada!$X$7:$AD$37,VLOOKUP(INDIRECT($C$5),Jornada!$C$8:$W$37,21,0),0)-M13,0)))</f>
        <v>0</v>
      </c>
      <c r="P13" s="190">
        <f ca="1">IF(HLOOKUP($F13,Jornada!$X$7:$AD$37,VLOOKUP(INDIRECT($C$5),Jornada!$C$8:$W$37,21,0),0)-M13&lt;0,ABS(HLOOKUP($F13,Jornada!$X$7:$AD$37,VLOOKUP(INDIRECT($C$5),Jornada!$C$8:$W$37,21,0),0)-M13),0)</f>
        <v>0</v>
      </c>
      <c r="Q13" s="95">
        <f t="shared" si="0"/>
        <v>0</v>
      </c>
      <c r="R13" s="2">
        <f t="shared" si="2"/>
        <v>0</v>
      </c>
      <c r="S13" s="294"/>
      <c r="T13" s="294"/>
      <c r="U13" s="295"/>
      <c r="W13" s="2" t="s">
        <v>96</v>
      </c>
      <c r="X13" s="156">
        <v>7</v>
      </c>
      <c r="Z13" s="2" t="str">
        <f ca="1">IF(U14&gt;F58,"Negativo","Positivo")</f>
        <v>Positivo</v>
      </c>
      <c r="AB13" s="177">
        <f t="shared" si="10"/>
        <v>6</v>
      </c>
      <c r="AC13" s="2">
        <f t="shared" si="3"/>
        <v>6</v>
      </c>
      <c r="AE13" s="2">
        <v>6</v>
      </c>
      <c r="AF13" s="2" t="s">
        <v>56</v>
      </c>
      <c r="AG13" s="220">
        <f t="shared" si="4"/>
        <v>0</v>
      </c>
      <c r="AH13" s="220">
        <f ca="1">IF(HLOOKUP($F13,Jornada!$X$7:$AD$37,VLOOKUP(INDIRECT($C$5),Jornada!$C$8:$W$37,21,0),0)=0,0,VLOOKUP(INDIRECT($C$5),Jornada!$C$8:$H$37,4,0))</f>
        <v>0</v>
      </c>
      <c r="AI13" s="155">
        <f ca="1">IF(AND(I13=0,J13=0,OR(H13&lt;&gt;0,K13&lt;&gt;0),HLOOKUP($F13,Jornada!$X$7:$AD$37,VLOOKUP(INDIRECT($C$5),Jornada!$C$8:$W$37,21,0),0)&gt;$AK$5,M13&gt;$AK$5),VLOOKUP(INDIRECT($C$5),Jornada!$C$8:$H$37,6,0),IF(AG13&gt;VLOOKUP(INDIRECT($C$5),Jornada!$C$8:$H$37,6,0),IF(VLOOKUP(INDIRECT($C$5),Jornada!$C$8:$H$37,6,0)&lt;AG13,0,ABS(VLOOKUP(INDIRECT($C$5),Jornada!$C$8:$H$37,6,0))-AG13),0))</f>
        <v>0</v>
      </c>
      <c r="AJ13" s="155">
        <f t="shared" si="5"/>
        <v>1</v>
      </c>
      <c r="AK13" s="155">
        <f t="shared" si="6"/>
        <v>0</v>
      </c>
      <c r="AL13" s="155">
        <f ca="1">HLOOKUP($F13,Jornada!$I$5:$V$37,VLOOKUP(INDIRECT($C$5),Jornada!$C$8:$W$37,21,0)+2,0)</f>
        <v>0</v>
      </c>
      <c r="AM13" s="155">
        <f ca="1">HLOOKUP($F13,Jornada!$I$4:$V$37,VLOOKUP(INDIRECT($C$5),Jornada!$C$8:$W$37,21,0)+3,0)</f>
        <v>0</v>
      </c>
      <c r="AN13" s="155">
        <f t="shared" ca="1" si="7"/>
        <v>0</v>
      </c>
      <c r="AO13" s="155">
        <f t="shared" si="8"/>
        <v>0</v>
      </c>
      <c r="AP13" s="155">
        <f t="shared" si="9"/>
        <v>0</v>
      </c>
      <c r="BE13" s="14"/>
      <c r="BF13" s="14"/>
      <c r="BG13" s="14"/>
    </row>
    <row r="14" spans="1:59" s="2" customFormat="1" ht="30" customHeight="1" thickTop="1" thickBot="1" x14ac:dyDescent="0.25">
      <c r="A14" s="1"/>
      <c r="B14"/>
      <c r="C14" s="172" t="str">
        <f>IF(Funcionários!C13=0,"",Funcionários!C13)</f>
        <v/>
      </c>
      <c r="D14"/>
      <c r="E14" s="115">
        <f>Lanç!E14</f>
        <v>7</v>
      </c>
      <c r="F14" s="189" t="str">
        <f>Lanç!F14</f>
        <v>Sáb</v>
      </c>
      <c r="G14" s="81"/>
      <c r="H14" s="94"/>
      <c r="I14" s="94"/>
      <c r="J14" s="94"/>
      <c r="K14" s="94"/>
      <c r="L14" s="10"/>
      <c r="M14" s="95">
        <f t="shared" si="1"/>
        <v>0</v>
      </c>
      <c r="N14" s="96"/>
      <c r="O14" s="95">
        <f ca="1">IF(OR(G14=0,G14="Férias",G14="Falta Justificada",G14="Feriado",G14="Folga (DSR)"),0,IF(G14="Falta Injustificada",HLOOKUP($F14,Jornada!$X$7:$AD$37,VLOOKUP(INDIRECT($C$5),Jornada!$C$8:$W$37,21,0),0),IF(HLOOKUP($F14,Jornada!$X$7:$AD$37,VLOOKUP(INDIRECT($C$5),Jornada!$C$8:$W$37,21,0),0)-M14&gt;0,HLOOKUP($F14,Jornada!$X$7:$AD$37,VLOOKUP(INDIRECT($C$5),Jornada!$C$8:$W$37,21,0),0)-M14,0)))</f>
        <v>0</v>
      </c>
      <c r="P14" s="190">
        <f ca="1">IF(HLOOKUP($F14,Jornada!$X$7:$AD$37,VLOOKUP(INDIRECT($C$5),Jornada!$C$8:$W$37,21,0),0)-M14&lt;0,ABS(HLOOKUP($F14,Jornada!$X$7:$AD$37,VLOOKUP(INDIRECT($C$5),Jornada!$C$8:$W$37,21,0),0)-M14),0)</f>
        <v>0</v>
      </c>
      <c r="Q14" s="95">
        <f t="shared" si="0"/>
        <v>0</v>
      </c>
      <c r="R14" s="2">
        <f t="shared" si="2"/>
        <v>0</v>
      </c>
      <c r="S14" s="294" t="s">
        <v>68</v>
      </c>
      <c r="T14" s="294"/>
      <c r="U14" s="295">
        <f ca="1">SUM(O8:O38)</f>
        <v>0</v>
      </c>
      <c r="W14" s="2" t="s">
        <v>97</v>
      </c>
      <c r="X14" s="156">
        <v>8</v>
      </c>
      <c r="AB14" s="177">
        <f t="shared" si="10"/>
        <v>7</v>
      </c>
      <c r="AC14" s="2">
        <f t="shared" si="3"/>
        <v>7</v>
      </c>
      <c r="AE14" s="2">
        <v>7</v>
      </c>
      <c r="AF14" s="2" t="s">
        <v>57</v>
      </c>
      <c r="AG14" s="220">
        <f t="shared" si="4"/>
        <v>0</v>
      </c>
      <c r="AH14" s="220">
        <f ca="1">IF(HLOOKUP($F14,Jornada!$X$7:$AD$37,VLOOKUP(INDIRECT($C$5),Jornada!$C$8:$W$37,21,0),0)=0,0,VLOOKUP(INDIRECT($C$5),Jornada!$C$8:$H$37,4,0))</f>
        <v>0</v>
      </c>
      <c r="AI14" s="155">
        <f ca="1">IF(AND(I14=0,J14=0,OR(H14&lt;&gt;0,K14&lt;&gt;0),HLOOKUP($F14,Jornada!$X$7:$AD$37,VLOOKUP(INDIRECT($C$5),Jornada!$C$8:$W$37,21,0),0)&gt;$AK$5,M14&gt;$AK$5),VLOOKUP(INDIRECT($C$5),Jornada!$C$8:$H$37,6,0),IF(AG14&gt;VLOOKUP(INDIRECT($C$5),Jornada!$C$8:$H$37,6,0),IF(VLOOKUP(INDIRECT($C$5),Jornada!$C$8:$H$37,6,0)&lt;AG14,0,ABS(VLOOKUP(INDIRECT($C$5),Jornada!$C$8:$H$37,6,0))-AG14),0))</f>
        <v>0</v>
      </c>
      <c r="AJ14" s="155">
        <f t="shared" si="5"/>
        <v>1</v>
      </c>
      <c r="AK14" s="155">
        <f t="shared" si="6"/>
        <v>0</v>
      </c>
      <c r="AL14" s="155">
        <f ca="1">HLOOKUP($F14,Jornada!$I$5:$V$37,VLOOKUP(INDIRECT($C$5),Jornada!$C$8:$W$37,21,0)+2,0)</f>
        <v>0</v>
      </c>
      <c r="AM14" s="155">
        <f ca="1">HLOOKUP($F14,Jornada!$I$4:$V$37,VLOOKUP(INDIRECT($C$5),Jornada!$C$8:$W$37,21,0)+3,0)</f>
        <v>0</v>
      </c>
      <c r="AN14" s="155">
        <f t="shared" ca="1" si="7"/>
        <v>0</v>
      </c>
      <c r="AO14" s="155">
        <f t="shared" si="8"/>
        <v>0</v>
      </c>
      <c r="AP14" s="155">
        <f t="shared" si="9"/>
        <v>0</v>
      </c>
      <c r="BE14" s="14"/>
      <c r="BF14" s="14"/>
      <c r="BG14" s="14"/>
    </row>
    <row r="15" spans="1:59" s="2" customFormat="1" ht="30" customHeight="1" thickTop="1" thickBot="1" x14ac:dyDescent="0.25">
      <c r="A15" s="1"/>
      <c r="B15"/>
      <c r="C15" s="172" t="str">
        <f>IF(Funcionários!C14=0,"",Funcionários!C14)</f>
        <v/>
      </c>
      <c r="D15"/>
      <c r="E15" s="115">
        <f>Lanç!E15</f>
        <v>8</v>
      </c>
      <c r="F15" s="189" t="str">
        <f>Lanç!F15</f>
        <v>Dom</v>
      </c>
      <c r="G15" s="81"/>
      <c r="H15" s="94"/>
      <c r="I15" s="94"/>
      <c r="J15" s="94"/>
      <c r="K15" s="94"/>
      <c r="L15" s="10"/>
      <c r="M15" s="95">
        <f t="shared" si="1"/>
        <v>0</v>
      </c>
      <c r="N15" s="96"/>
      <c r="O15" s="95">
        <f ca="1">IF(OR(G15=0,G15="Férias",G15="Falta Justificada",G15="Feriado",G15="Folga (DSR)"),0,IF(G15="Falta Injustificada",HLOOKUP($F15,Jornada!$X$7:$AD$37,VLOOKUP(INDIRECT($C$5),Jornada!$C$8:$W$37,21,0),0),IF(HLOOKUP($F15,Jornada!$X$7:$AD$37,VLOOKUP(INDIRECT($C$5),Jornada!$C$8:$W$37,21,0),0)-M15&gt;0,HLOOKUP($F15,Jornada!$X$7:$AD$37,VLOOKUP(INDIRECT($C$5),Jornada!$C$8:$W$37,21,0),0)-M15,0)))</f>
        <v>0</v>
      </c>
      <c r="P15" s="190">
        <f ca="1">IF(HLOOKUP($F15,Jornada!$X$7:$AD$37,VLOOKUP(INDIRECT($C$5),Jornada!$C$8:$W$37,21,0),0)-M15&lt;0,ABS(HLOOKUP($F15,Jornada!$X$7:$AD$37,VLOOKUP(INDIRECT($C$5),Jornada!$C$8:$W$37,21,0),0)-M15),0)</f>
        <v>0</v>
      </c>
      <c r="Q15" s="95">
        <f t="shared" si="0"/>
        <v>0</v>
      </c>
      <c r="R15" s="2">
        <f t="shared" si="2"/>
        <v>0</v>
      </c>
      <c r="S15" s="294"/>
      <c r="T15" s="294"/>
      <c r="U15" s="295"/>
      <c r="W15" s="2" t="s">
        <v>98</v>
      </c>
      <c r="X15" s="156">
        <v>9</v>
      </c>
      <c r="AB15" s="177">
        <f t="shared" si="10"/>
        <v>8</v>
      </c>
      <c r="AC15" s="2">
        <f t="shared" si="3"/>
        <v>1</v>
      </c>
      <c r="AG15" s="220">
        <f t="shared" si="4"/>
        <v>0</v>
      </c>
      <c r="AH15" s="220">
        <f ca="1">IF(HLOOKUP($F15,Jornada!$X$7:$AD$37,VLOOKUP(INDIRECT($C$5),Jornada!$C$8:$W$37,21,0),0)=0,0,VLOOKUP(INDIRECT($C$5),Jornada!$C$8:$H$37,4,0))</f>
        <v>0</v>
      </c>
      <c r="AI15" s="155">
        <f ca="1">IF(AND(I15=0,J15=0,OR(H15&lt;&gt;0,K15&lt;&gt;0),HLOOKUP($F15,Jornada!$X$7:$AD$37,VLOOKUP(INDIRECT($C$5),Jornada!$C$8:$W$37,21,0),0)&gt;$AK$5,M15&gt;$AK$5),VLOOKUP(INDIRECT($C$5),Jornada!$C$8:$H$37,6,0),IF(AG15&gt;VLOOKUP(INDIRECT($C$5),Jornada!$C$8:$H$37,6,0),IF(VLOOKUP(INDIRECT($C$5),Jornada!$C$8:$H$37,6,0)&lt;AG15,0,ABS(VLOOKUP(INDIRECT($C$5),Jornada!$C$8:$H$37,6,0))-AG15),0))</f>
        <v>0</v>
      </c>
      <c r="AJ15" s="155">
        <f t="shared" si="5"/>
        <v>1</v>
      </c>
      <c r="AK15" s="155">
        <f t="shared" si="6"/>
        <v>0</v>
      </c>
      <c r="AL15" s="155">
        <f ca="1">HLOOKUP($F15,Jornada!$I$5:$V$37,VLOOKUP(INDIRECT($C$5),Jornada!$C$8:$W$37,21,0)+2,0)</f>
        <v>0</v>
      </c>
      <c r="AM15" s="155">
        <f ca="1">HLOOKUP($F15,Jornada!$I$4:$V$37,VLOOKUP(INDIRECT($C$5),Jornada!$C$8:$W$37,21,0)+3,0)</f>
        <v>0</v>
      </c>
      <c r="AN15" s="155">
        <f t="shared" ca="1" si="7"/>
        <v>0</v>
      </c>
      <c r="AO15" s="155">
        <f t="shared" si="8"/>
        <v>0</v>
      </c>
      <c r="AP15" s="155">
        <f t="shared" si="9"/>
        <v>0</v>
      </c>
      <c r="BE15" s="14"/>
      <c r="BF15" s="14"/>
      <c r="BG15" s="14"/>
    </row>
    <row r="16" spans="1:59" s="2" customFormat="1" ht="30" customHeight="1" thickTop="1" thickBot="1" x14ac:dyDescent="0.25">
      <c r="A16" s="1"/>
      <c r="B16"/>
      <c r="C16" s="172" t="str">
        <f>IF(Funcionários!C15=0,"",Funcionários!C15)</f>
        <v/>
      </c>
      <c r="D16"/>
      <c r="E16" s="115">
        <f>Lanç!E16</f>
        <v>9</v>
      </c>
      <c r="F16" s="189" t="str">
        <f>Lanç!F16</f>
        <v>Seg</v>
      </c>
      <c r="G16" s="81"/>
      <c r="H16" s="94"/>
      <c r="I16" s="94"/>
      <c r="J16" s="94"/>
      <c r="K16" s="94"/>
      <c r="L16" s="10"/>
      <c r="M16" s="95">
        <f t="shared" si="1"/>
        <v>0</v>
      </c>
      <c r="N16" s="96"/>
      <c r="O16" s="95">
        <f ca="1">IF(OR(G16=0,G16="Férias",G16="Falta Justificada",G16="Feriado",G16="Folga (DSR)"),0,IF(G16="Falta Injustificada",HLOOKUP($F16,Jornada!$X$7:$AD$37,VLOOKUP(INDIRECT($C$5),Jornada!$C$8:$W$37,21,0),0),IF(HLOOKUP($F16,Jornada!$X$7:$AD$37,VLOOKUP(INDIRECT($C$5),Jornada!$C$8:$W$37,21,0),0)-M16&gt;0,HLOOKUP($F16,Jornada!$X$7:$AD$37,VLOOKUP(INDIRECT($C$5),Jornada!$C$8:$W$37,21,0),0)-M16,0)))</f>
        <v>0</v>
      </c>
      <c r="P16" s="190">
        <f ca="1">IF(HLOOKUP($F16,Jornada!$X$7:$AD$37,VLOOKUP(INDIRECT($C$5),Jornada!$C$8:$W$37,21,0),0)-M16&lt;0,ABS(HLOOKUP($F16,Jornada!$X$7:$AD$37,VLOOKUP(INDIRECT($C$5),Jornada!$C$8:$W$37,21,0),0)-M16),0)</f>
        <v>0</v>
      </c>
      <c r="Q16" s="95">
        <f t="shared" si="0"/>
        <v>0</v>
      </c>
      <c r="R16" s="2">
        <f t="shared" si="2"/>
        <v>0</v>
      </c>
      <c r="S16" s="294" t="s">
        <v>67</v>
      </c>
      <c r="T16" s="294"/>
      <c r="U16" s="295">
        <f>SUM(Q8:Q38)</f>
        <v>0</v>
      </c>
      <c r="W16" s="2" t="s">
        <v>99</v>
      </c>
      <c r="X16" s="156">
        <v>10</v>
      </c>
      <c r="AB16" s="177">
        <f t="shared" si="10"/>
        <v>9</v>
      </c>
      <c r="AC16" s="2">
        <f t="shared" si="3"/>
        <v>2</v>
      </c>
      <c r="AG16" s="220">
        <f t="shared" si="4"/>
        <v>0</v>
      </c>
      <c r="AH16" s="220">
        <f ca="1">IF(HLOOKUP($F16,Jornada!$X$7:$AD$37,VLOOKUP(INDIRECT($C$5),Jornada!$C$8:$W$37,21,0),0)=0,0,VLOOKUP(INDIRECT($C$5),Jornada!$C$8:$H$37,4,0))</f>
        <v>0</v>
      </c>
      <c r="AI16" s="155">
        <f ca="1">IF(AND(I16=0,J16=0,OR(H16&lt;&gt;0,K16&lt;&gt;0),HLOOKUP($F16,Jornada!$X$7:$AD$37,VLOOKUP(INDIRECT($C$5),Jornada!$C$8:$W$37,21,0),0)&gt;$AK$5,M16&gt;$AK$5),VLOOKUP(INDIRECT($C$5),Jornada!$C$8:$H$37,6,0),IF(AG16&gt;VLOOKUP(INDIRECT($C$5),Jornada!$C$8:$H$37,6,0),IF(VLOOKUP(INDIRECT($C$5),Jornada!$C$8:$H$37,6,0)&lt;AG16,0,ABS(VLOOKUP(INDIRECT($C$5),Jornada!$C$8:$H$37,6,0))-AG16),0))</f>
        <v>0</v>
      </c>
      <c r="AJ16" s="155">
        <f t="shared" si="5"/>
        <v>1</v>
      </c>
      <c r="AK16" s="155">
        <f t="shared" si="6"/>
        <v>0</v>
      </c>
      <c r="AL16" s="155">
        <f ca="1">HLOOKUP($F16,Jornada!$I$5:$V$37,VLOOKUP(INDIRECT($C$5),Jornada!$C$8:$W$37,21,0)+2,0)</f>
        <v>0</v>
      </c>
      <c r="AM16" s="155">
        <f ca="1">HLOOKUP($F16,Jornada!$I$4:$V$37,VLOOKUP(INDIRECT($C$5),Jornada!$C$8:$W$37,21,0)+3,0)</f>
        <v>0</v>
      </c>
      <c r="AN16" s="155">
        <f t="shared" ca="1" si="7"/>
        <v>0</v>
      </c>
      <c r="AO16" s="155">
        <f t="shared" si="8"/>
        <v>0</v>
      </c>
      <c r="AP16" s="155">
        <f t="shared" si="9"/>
        <v>0</v>
      </c>
      <c r="BE16" s="14"/>
      <c r="BF16" s="14"/>
      <c r="BG16" s="14"/>
    </row>
    <row r="17" spans="1:59" s="2" customFormat="1" ht="30" customHeight="1" thickTop="1" thickBot="1" x14ac:dyDescent="0.25">
      <c r="A17" s="1"/>
      <c r="B17"/>
      <c r="C17" s="172" t="str">
        <f>IF(Funcionários!C16=0,"",Funcionários!C16)</f>
        <v/>
      </c>
      <c r="D17"/>
      <c r="E17" s="115">
        <f>Lanç!E17</f>
        <v>10</v>
      </c>
      <c r="F17" s="189" t="str">
        <f>Lanç!F17</f>
        <v>Ter</v>
      </c>
      <c r="G17" s="81"/>
      <c r="H17" s="94"/>
      <c r="I17" s="94"/>
      <c r="J17" s="94"/>
      <c r="K17" s="94"/>
      <c r="L17" s="10"/>
      <c r="M17" s="95">
        <f t="shared" si="1"/>
        <v>0</v>
      </c>
      <c r="N17" s="96"/>
      <c r="O17" s="95">
        <f ca="1">IF(OR(G17=0,G17="Férias",G17="Falta Justificada",G17="Feriado",G17="Folga (DSR)"),0,IF(G17="Falta Injustificada",HLOOKUP($F17,Jornada!$X$7:$AD$37,VLOOKUP(INDIRECT($C$5),Jornada!$C$8:$W$37,21,0),0),IF(HLOOKUP($F17,Jornada!$X$7:$AD$37,VLOOKUP(INDIRECT($C$5),Jornada!$C$8:$W$37,21,0),0)-M17&gt;0,HLOOKUP($F17,Jornada!$X$7:$AD$37,VLOOKUP(INDIRECT($C$5),Jornada!$C$8:$W$37,21,0),0)-M17,0)))</f>
        <v>0</v>
      </c>
      <c r="P17" s="190">
        <f ca="1">IF(HLOOKUP($F17,Jornada!$X$7:$AD$37,VLOOKUP(INDIRECT($C$5),Jornada!$C$8:$W$37,21,0),0)-M17&lt;0,ABS(HLOOKUP($F17,Jornada!$X$7:$AD$37,VLOOKUP(INDIRECT($C$5),Jornada!$C$8:$W$37,21,0),0)-M17),0)</f>
        <v>0</v>
      </c>
      <c r="Q17" s="95">
        <f t="shared" si="0"/>
        <v>0</v>
      </c>
      <c r="R17" s="2">
        <f t="shared" si="2"/>
        <v>0</v>
      </c>
      <c r="S17" s="294"/>
      <c r="T17" s="294"/>
      <c r="U17" s="295"/>
      <c r="W17" s="2" t="s">
        <v>100</v>
      </c>
      <c r="X17" s="156">
        <v>11</v>
      </c>
      <c r="AB17" s="177">
        <f t="shared" si="10"/>
        <v>10</v>
      </c>
      <c r="AC17" s="2">
        <f t="shared" si="3"/>
        <v>3</v>
      </c>
      <c r="AG17" s="220">
        <f t="shared" si="4"/>
        <v>0</v>
      </c>
      <c r="AH17" s="220">
        <f ca="1">IF(HLOOKUP($F17,Jornada!$X$7:$AD$37,VLOOKUP(INDIRECT($C$5),Jornada!$C$8:$W$37,21,0),0)=0,0,VLOOKUP(INDIRECT($C$5),Jornada!$C$8:$H$37,4,0))</f>
        <v>0</v>
      </c>
      <c r="AI17" s="155">
        <f ca="1">IF(AND(I17=0,J17=0,OR(H17&lt;&gt;0,K17&lt;&gt;0),HLOOKUP($F17,Jornada!$X$7:$AD$37,VLOOKUP(INDIRECT($C$5),Jornada!$C$8:$W$37,21,0),0)&gt;$AK$5,M17&gt;$AK$5),VLOOKUP(INDIRECT($C$5),Jornada!$C$8:$H$37,6,0),IF(AG17&gt;VLOOKUP(INDIRECT($C$5),Jornada!$C$8:$H$37,6,0),IF(VLOOKUP(INDIRECT($C$5),Jornada!$C$8:$H$37,6,0)&lt;AG17,0,ABS(VLOOKUP(INDIRECT($C$5),Jornada!$C$8:$H$37,6,0))-AG17),0))</f>
        <v>0</v>
      </c>
      <c r="AJ17" s="155">
        <f t="shared" si="5"/>
        <v>1</v>
      </c>
      <c r="AK17" s="155">
        <f t="shared" si="6"/>
        <v>0</v>
      </c>
      <c r="AL17" s="155">
        <f ca="1">HLOOKUP($F17,Jornada!$I$5:$V$37,VLOOKUP(INDIRECT($C$5),Jornada!$C$8:$W$37,21,0)+2,0)</f>
        <v>0</v>
      </c>
      <c r="AM17" s="155">
        <f ca="1">HLOOKUP($F17,Jornada!$I$4:$V$37,VLOOKUP(INDIRECT($C$5),Jornada!$C$8:$W$37,21,0)+3,0)</f>
        <v>0</v>
      </c>
      <c r="AN17" s="155">
        <f t="shared" ca="1" si="7"/>
        <v>0</v>
      </c>
      <c r="AO17" s="155">
        <f t="shared" si="8"/>
        <v>0</v>
      </c>
      <c r="AP17" s="155">
        <f t="shared" si="9"/>
        <v>0</v>
      </c>
      <c r="BE17" s="14"/>
      <c r="BF17" s="14"/>
      <c r="BG17" s="14"/>
    </row>
    <row r="18" spans="1:59" s="2" customFormat="1" ht="30" customHeight="1" thickTop="1" thickBot="1" x14ac:dyDescent="0.25">
      <c r="A18" s="1"/>
      <c r="B18"/>
      <c r="C18" s="172" t="str">
        <f>IF(Funcionários!C17=0,"",Funcionários!C17)</f>
        <v/>
      </c>
      <c r="D18"/>
      <c r="E18" s="115">
        <f>Lanç!E18</f>
        <v>11</v>
      </c>
      <c r="F18" s="189" t="str">
        <f>Lanç!F18</f>
        <v>Qua</v>
      </c>
      <c r="G18" s="81"/>
      <c r="H18" s="94"/>
      <c r="I18" s="94"/>
      <c r="J18" s="94"/>
      <c r="K18" s="94"/>
      <c r="L18" s="10"/>
      <c r="M18" s="95">
        <f t="shared" si="1"/>
        <v>0</v>
      </c>
      <c r="N18" s="96"/>
      <c r="O18" s="95">
        <f ca="1">IF(OR(G18=0,G18="Férias",G18="Falta Justificada",G18="Feriado",G18="Folga (DSR)"),0,IF(G18="Falta Injustificada",HLOOKUP($F18,Jornada!$X$7:$AD$37,VLOOKUP(INDIRECT($C$5),Jornada!$C$8:$W$37,21,0),0),IF(HLOOKUP($F18,Jornada!$X$7:$AD$37,VLOOKUP(INDIRECT($C$5),Jornada!$C$8:$W$37,21,0),0)-M18&gt;0,HLOOKUP($F18,Jornada!$X$7:$AD$37,VLOOKUP(INDIRECT($C$5),Jornada!$C$8:$W$37,21,0),0)-M18,0)))</f>
        <v>0</v>
      </c>
      <c r="P18" s="190">
        <f ca="1">IF(HLOOKUP($F18,Jornada!$X$7:$AD$37,VLOOKUP(INDIRECT($C$5),Jornada!$C$8:$W$37,21,0),0)-M18&lt;0,ABS(HLOOKUP($F18,Jornada!$X$7:$AD$37,VLOOKUP(INDIRECT($C$5),Jornada!$C$8:$W$37,21,0),0)-M18),0)</f>
        <v>0</v>
      </c>
      <c r="Q18" s="95">
        <f t="shared" si="0"/>
        <v>0</v>
      </c>
      <c r="R18" s="2">
        <f t="shared" si="2"/>
        <v>0</v>
      </c>
      <c r="S18" s="294" t="s">
        <v>69</v>
      </c>
      <c r="T18" s="294"/>
      <c r="U18" s="299">
        <f ca="1">F54</f>
        <v>0</v>
      </c>
      <c r="W18" s="2" t="s">
        <v>101</v>
      </c>
      <c r="X18" s="156">
        <v>12</v>
      </c>
      <c r="AB18" s="177">
        <f t="shared" si="10"/>
        <v>11</v>
      </c>
      <c r="AC18" s="2">
        <f t="shared" si="3"/>
        <v>4</v>
      </c>
      <c r="AG18" s="220">
        <f t="shared" si="4"/>
        <v>0</v>
      </c>
      <c r="AH18" s="220">
        <f ca="1">IF(HLOOKUP($F18,Jornada!$X$7:$AD$37,VLOOKUP(INDIRECT($C$5),Jornada!$C$8:$W$37,21,0),0)=0,0,VLOOKUP(INDIRECT($C$5),Jornada!$C$8:$H$37,4,0))</f>
        <v>0</v>
      </c>
      <c r="AI18" s="155">
        <f ca="1">IF(AND(I18=0,J18=0,OR(H18&lt;&gt;0,K18&lt;&gt;0),HLOOKUP($F18,Jornada!$X$7:$AD$37,VLOOKUP(INDIRECT($C$5),Jornada!$C$8:$W$37,21,0),0)&gt;$AK$5,M18&gt;$AK$5),VLOOKUP(INDIRECT($C$5),Jornada!$C$8:$H$37,6,0),IF(AG18&gt;VLOOKUP(INDIRECT($C$5),Jornada!$C$8:$H$37,6,0),IF(VLOOKUP(INDIRECT($C$5),Jornada!$C$8:$H$37,6,0)&lt;AG18,0,ABS(VLOOKUP(INDIRECT($C$5),Jornada!$C$8:$H$37,6,0))-AG18),0))</f>
        <v>0</v>
      </c>
      <c r="AJ18" s="155">
        <f t="shared" si="5"/>
        <v>1</v>
      </c>
      <c r="AK18" s="155">
        <f t="shared" si="6"/>
        <v>0</v>
      </c>
      <c r="AL18" s="155">
        <f ca="1">HLOOKUP($F18,Jornada!$I$5:$V$37,VLOOKUP(INDIRECT($C$5),Jornada!$C$8:$W$37,21,0)+2,0)</f>
        <v>0</v>
      </c>
      <c r="AM18" s="155">
        <f ca="1">HLOOKUP($F18,Jornada!$I$4:$V$37,VLOOKUP(INDIRECT($C$5),Jornada!$C$8:$W$37,21,0)+3,0)</f>
        <v>0</v>
      </c>
      <c r="AN18" s="155">
        <f t="shared" ca="1" si="7"/>
        <v>0</v>
      </c>
      <c r="AO18" s="155">
        <f t="shared" si="8"/>
        <v>0</v>
      </c>
      <c r="AP18" s="155">
        <f t="shared" si="9"/>
        <v>0</v>
      </c>
      <c r="BE18" s="14"/>
      <c r="BF18" s="14"/>
      <c r="BG18" s="14"/>
    </row>
    <row r="19" spans="1:59" s="2" customFormat="1" ht="30" customHeight="1" thickTop="1" thickBot="1" x14ac:dyDescent="0.25">
      <c r="A19" s="1"/>
      <c r="B19"/>
      <c r="C19" s="172" t="str">
        <f>IF(Funcionários!C18=0,"",Funcionários!C18)</f>
        <v/>
      </c>
      <c r="D19"/>
      <c r="E19" s="115">
        <f>Lanç!E19</f>
        <v>12</v>
      </c>
      <c r="F19" s="189" t="str">
        <f>Lanç!F19</f>
        <v>Qui</v>
      </c>
      <c r="G19" s="81"/>
      <c r="H19" s="94"/>
      <c r="I19" s="94"/>
      <c r="J19" s="94"/>
      <c r="K19" s="94"/>
      <c r="L19" s="10"/>
      <c r="M19" s="95">
        <f t="shared" si="1"/>
        <v>0</v>
      </c>
      <c r="N19" s="96"/>
      <c r="O19" s="95">
        <f ca="1">IF(OR(G19=0,G19="Férias",G19="Falta Justificada",G19="Feriado",G19="Folga (DSR)"),0,IF(G19="Falta Injustificada",HLOOKUP($F19,Jornada!$X$7:$AD$37,VLOOKUP(INDIRECT($C$5),Jornada!$C$8:$W$37,21,0),0),IF(HLOOKUP($F19,Jornada!$X$7:$AD$37,VLOOKUP(INDIRECT($C$5),Jornada!$C$8:$W$37,21,0),0)-M19&gt;0,HLOOKUP($F19,Jornada!$X$7:$AD$37,VLOOKUP(INDIRECT($C$5),Jornada!$C$8:$W$37,21,0),0)-M19,0)))</f>
        <v>0</v>
      </c>
      <c r="P19" s="190">
        <f ca="1">IF(HLOOKUP($F19,Jornada!$X$7:$AD$37,VLOOKUP(INDIRECT($C$5),Jornada!$C$8:$W$37,21,0),0)-M19&lt;0,ABS(HLOOKUP($F19,Jornada!$X$7:$AD$37,VLOOKUP(INDIRECT($C$5),Jornada!$C$8:$W$37,21,0),0)-M19),0)</f>
        <v>0</v>
      </c>
      <c r="Q19" s="95">
        <f t="shared" si="0"/>
        <v>0</v>
      </c>
      <c r="R19" s="2">
        <f t="shared" si="2"/>
        <v>0</v>
      </c>
      <c r="S19" s="294"/>
      <c r="T19" s="294"/>
      <c r="U19" s="299"/>
      <c r="X19" s="177"/>
      <c r="AB19" s="177">
        <f t="shared" si="10"/>
        <v>12</v>
      </c>
      <c r="AC19" s="2">
        <f t="shared" si="3"/>
        <v>5</v>
      </c>
      <c r="AG19" s="220">
        <f t="shared" si="4"/>
        <v>0</v>
      </c>
      <c r="AH19" s="220">
        <f ca="1">IF(HLOOKUP($F19,Jornada!$X$7:$AD$37,VLOOKUP(INDIRECT($C$5),Jornada!$C$8:$W$37,21,0),0)=0,0,VLOOKUP(INDIRECT($C$5),Jornada!$C$8:$H$37,4,0))</f>
        <v>0</v>
      </c>
      <c r="AI19" s="155">
        <f ca="1">IF(AND(I19=0,J19=0,OR(H19&lt;&gt;0,K19&lt;&gt;0),HLOOKUP($F19,Jornada!$X$7:$AD$37,VLOOKUP(INDIRECT($C$5),Jornada!$C$8:$W$37,21,0),0)&gt;$AK$5,M19&gt;$AK$5),VLOOKUP(INDIRECT($C$5),Jornada!$C$8:$H$37,6,0),IF(AG19&gt;VLOOKUP(INDIRECT($C$5),Jornada!$C$8:$H$37,6,0),IF(VLOOKUP(INDIRECT($C$5),Jornada!$C$8:$H$37,6,0)&lt;AG19,0,ABS(VLOOKUP(INDIRECT($C$5),Jornada!$C$8:$H$37,6,0))-AG19),0))</f>
        <v>0</v>
      </c>
      <c r="AJ19" s="155">
        <f t="shared" si="5"/>
        <v>1</v>
      </c>
      <c r="AK19" s="155">
        <f t="shared" si="6"/>
        <v>0</v>
      </c>
      <c r="AL19" s="155">
        <f ca="1">HLOOKUP($F19,Jornada!$I$5:$V$37,VLOOKUP(INDIRECT($C$5),Jornada!$C$8:$W$37,21,0)+2,0)</f>
        <v>0</v>
      </c>
      <c r="AM19" s="155">
        <f ca="1">HLOOKUP($F19,Jornada!$I$4:$V$37,VLOOKUP(INDIRECT($C$5),Jornada!$C$8:$W$37,21,0)+3,0)</f>
        <v>0</v>
      </c>
      <c r="AN19" s="155">
        <f t="shared" ca="1" si="7"/>
        <v>0</v>
      </c>
      <c r="AO19" s="155">
        <f t="shared" si="8"/>
        <v>0</v>
      </c>
      <c r="AP19" s="155">
        <f t="shared" si="9"/>
        <v>0</v>
      </c>
      <c r="BE19" s="14"/>
      <c r="BF19" s="14"/>
      <c r="BG19" s="14"/>
    </row>
    <row r="20" spans="1:59" s="2" customFormat="1" ht="30" customHeight="1" thickTop="1" thickBot="1" x14ac:dyDescent="0.25">
      <c r="A20" s="1"/>
      <c r="B20"/>
      <c r="C20" s="172" t="str">
        <f>IF(Funcionários!C19=0,"",Funcionários!C19)</f>
        <v/>
      </c>
      <c r="D20"/>
      <c r="E20" s="115">
        <f>Lanç!E20</f>
        <v>13</v>
      </c>
      <c r="F20" s="189" t="str">
        <f>Lanç!F20</f>
        <v>Sex</v>
      </c>
      <c r="G20" s="81"/>
      <c r="H20" s="94"/>
      <c r="I20" s="94"/>
      <c r="J20" s="94"/>
      <c r="K20" s="94"/>
      <c r="L20" s="10"/>
      <c r="M20" s="95">
        <f t="shared" si="1"/>
        <v>0</v>
      </c>
      <c r="N20" s="96"/>
      <c r="O20" s="95">
        <f ca="1">IF(OR(G20=0,G20="Férias",G20="Falta Justificada",G20="Feriado",G20="Folga (DSR)"),0,IF(G20="Falta Injustificada",HLOOKUP($F20,Jornada!$X$7:$AD$37,VLOOKUP(INDIRECT($C$5),Jornada!$C$8:$W$37,21,0),0),IF(HLOOKUP($F20,Jornada!$X$7:$AD$37,VLOOKUP(INDIRECT($C$5),Jornada!$C$8:$W$37,21,0),0)-M20&gt;0,HLOOKUP($F20,Jornada!$X$7:$AD$37,VLOOKUP(INDIRECT($C$5),Jornada!$C$8:$W$37,21,0),0)-M20,0)))</f>
        <v>0</v>
      </c>
      <c r="P20" s="190">
        <f ca="1">IF(HLOOKUP($F20,Jornada!$X$7:$AD$37,VLOOKUP(INDIRECT($C$5),Jornada!$C$8:$W$37,21,0),0)-M20&lt;0,ABS(HLOOKUP($F20,Jornada!$X$7:$AD$37,VLOOKUP(INDIRECT($C$5),Jornada!$C$8:$W$37,21,0),0)-M20),0)</f>
        <v>0</v>
      </c>
      <c r="Q20" s="95">
        <f t="shared" si="0"/>
        <v>0</v>
      </c>
      <c r="R20" s="2">
        <f t="shared" si="2"/>
        <v>0</v>
      </c>
      <c r="S20"/>
      <c r="T20"/>
      <c r="U20"/>
      <c r="X20" s="177"/>
      <c r="AB20" s="177">
        <f t="shared" si="10"/>
        <v>13</v>
      </c>
      <c r="AC20" s="2">
        <f t="shared" si="3"/>
        <v>6</v>
      </c>
      <c r="AG20" s="220">
        <f t="shared" si="4"/>
        <v>0</v>
      </c>
      <c r="AH20" s="220">
        <f ca="1">IF(HLOOKUP($F20,Jornada!$X$7:$AD$37,VLOOKUP(INDIRECT($C$5),Jornada!$C$8:$W$37,21,0),0)=0,0,VLOOKUP(INDIRECT($C$5),Jornada!$C$8:$H$37,4,0))</f>
        <v>0</v>
      </c>
      <c r="AI20" s="155">
        <f ca="1">IF(AND(I20=0,J20=0,OR(H20&lt;&gt;0,K20&lt;&gt;0),HLOOKUP($F20,Jornada!$X$7:$AD$37,VLOOKUP(INDIRECT($C$5),Jornada!$C$8:$W$37,21,0),0)&gt;$AK$5,M20&gt;$AK$5),VLOOKUP(INDIRECT($C$5),Jornada!$C$8:$H$37,6,0),IF(AG20&gt;VLOOKUP(INDIRECT($C$5),Jornada!$C$8:$H$37,6,0),IF(VLOOKUP(INDIRECT($C$5),Jornada!$C$8:$H$37,6,0)&lt;AG20,0,ABS(VLOOKUP(INDIRECT($C$5),Jornada!$C$8:$H$37,6,0))-AG20),0))</f>
        <v>0</v>
      </c>
      <c r="AJ20" s="155">
        <f t="shared" si="5"/>
        <v>1</v>
      </c>
      <c r="AK20" s="155">
        <f t="shared" si="6"/>
        <v>0</v>
      </c>
      <c r="AL20" s="155">
        <f ca="1">HLOOKUP($F20,Jornada!$I$5:$V$37,VLOOKUP(INDIRECT($C$5),Jornada!$C$8:$W$37,21,0)+2,0)</f>
        <v>0</v>
      </c>
      <c r="AM20" s="155">
        <f ca="1">HLOOKUP($F20,Jornada!$I$4:$V$37,VLOOKUP(INDIRECT($C$5),Jornada!$C$8:$W$37,21,0)+3,0)</f>
        <v>0</v>
      </c>
      <c r="AN20" s="155">
        <f t="shared" ca="1" si="7"/>
        <v>0</v>
      </c>
      <c r="AO20" s="155">
        <f t="shared" si="8"/>
        <v>0</v>
      </c>
      <c r="AP20" s="155">
        <f t="shared" si="9"/>
        <v>0</v>
      </c>
      <c r="BE20" s="14"/>
      <c r="BF20" s="14"/>
      <c r="BG20" s="14"/>
    </row>
    <row r="21" spans="1:59" s="2" customFormat="1" ht="30" customHeight="1" thickTop="1" thickBot="1" x14ac:dyDescent="0.25">
      <c r="A21" s="1"/>
      <c r="B21"/>
      <c r="C21" s="172" t="str">
        <f>IF(Funcionários!C20=0,"",Funcionários!C20)</f>
        <v/>
      </c>
      <c r="D21"/>
      <c r="E21" s="115">
        <f>Lanç!E21</f>
        <v>14</v>
      </c>
      <c r="F21" s="189" t="str">
        <f>Lanç!F21</f>
        <v>Sáb</v>
      </c>
      <c r="G21" s="81"/>
      <c r="H21" s="94"/>
      <c r="I21" s="94"/>
      <c r="J21" s="94"/>
      <c r="K21" s="94"/>
      <c r="L21" s="10"/>
      <c r="M21" s="95">
        <f t="shared" si="1"/>
        <v>0</v>
      </c>
      <c r="N21" s="96"/>
      <c r="O21" s="95">
        <f ca="1">IF(OR(G21=0,G21="Férias",G21="Falta Justificada",G21="Feriado",G21="Folga (DSR)"),0,IF(G21="Falta Injustificada",HLOOKUP($F21,Jornada!$X$7:$AD$37,VLOOKUP(INDIRECT($C$5),Jornada!$C$8:$W$37,21,0),0),IF(HLOOKUP($F21,Jornada!$X$7:$AD$37,VLOOKUP(INDIRECT($C$5),Jornada!$C$8:$W$37,21,0),0)-M21&gt;0,HLOOKUP($F21,Jornada!$X$7:$AD$37,VLOOKUP(INDIRECT($C$5),Jornada!$C$8:$W$37,21,0),0)-M21,0)))</f>
        <v>0</v>
      </c>
      <c r="P21" s="190">
        <f ca="1">IF(HLOOKUP($F21,Jornada!$X$7:$AD$37,VLOOKUP(INDIRECT($C$5),Jornada!$C$8:$W$37,21,0),0)-M21&lt;0,ABS(HLOOKUP($F21,Jornada!$X$7:$AD$37,VLOOKUP(INDIRECT($C$5),Jornada!$C$8:$W$37,21,0),0)-M21),0)</f>
        <v>0</v>
      </c>
      <c r="Q21" s="95">
        <f t="shared" si="0"/>
        <v>0</v>
      </c>
      <c r="R21" s="2">
        <f t="shared" si="2"/>
        <v>0</v>
      </c>
      <c r="S21"/>
      <c r="T21"/>
      <c r="U21"/>
      <c r="X21" s="177"/>
      <c r="AB21" s="177">
        <f t="shared" si="10"/>
        <v>14</v>
      </c>
      <c r="AC21" s="2">
        <f t="shared" si="3"/>
        <v>7</v>
      </c>
      <c r="AG21" s="220">
        <f t="shared" si="4"/>
        <v>0</v>
      </c>
      <c r="AH21" s="220">
        <f ca="1">IF(HLOOKUP($F21,Jornada!$X$7:$AD$37,VLOOKUP(INDIRECT($C$5),Jornada!$C$8:$W$37,21,0),0)=0,0,VLOOKUP(INDIRECT($C$5),Jornada!$C$8:$H$37,4,0))</f>
        <v>0</v>
      </c>
      <c r="AI21" s="155">
        <f ca="1">IF(AND(I21=0,J21=0,OR(H21&lt;&gt;0,K21&lt;&gt;0),HLOOKUP($F21,Jornada!$X$7:$AD$37,VLOOKUP(INDIRECT($C$5),Jornada!$C$8:$W$37,21,0),0)&gt;$AK$5,M21&gt;$AK$5),VLOOKUP(INDIRECT($C$5),Jornada!$C$8:$H$37,6,0),IF(AG21&gt;VLOOKUP(INDIRECT($C$5),Jornada!$C$8:$H$37,6,0),IF(VLOOKUP(INDIRECT($C$5),Jornada!$C$8:$H$37,6,0)&lt;AG21,0,ABS(VLOOKUP(INDIRECT($C$5),Jornada!$C$8:$H$37,6,0))-AG21),0))</f>
        <v>0</v>
      </c>
      <c r="AJ21" s="155">
        <f t="shared" si="5"/>
        <v>1</v>
      </c>
      <c r="AK21" s="155">
        <f t="shared" si="6"/>
        <v>0</v>
      </c>
      <c r="AL21" s="155">
        <f ca="1">HLOOKUP($F21,Jornada!$I$5:$V$37,VLOOKUP(INDIRECT($C$5),Jornada!$C$8:$W$37,21,0)+2,0)</f>
        <v>0</v>
      </c>
      <c r="AM21" s="155">
        <f ca="1">HLOOKUP($F21,Jornada!$I$4:$V$37,VLOOKUP(INDIRECT($C$5),Jornada!$C$8:$W$37,21,0)+3,0)</f>
        <v>0</v>
      </c>
      <c r="AN21" s="155">
        <f t="shared" ca="1" si="7"/>
        <v>0</v>
      </c>
      <c r="AO21" s="155">
        <f t="shared" si="8"/>
        <v>0</v>
      </c>
      <c r="AP21" s="155">
        <f t="shared" si="9"/>
        <v>0</v>
      </c>
      <c r="BE21" s="14"/>
      <c r="BF21" s="14"/>
      <c r="BG21" s="14"/>
    </row>
    <row r="22" spans="1:59" s="2" customFormat="1" ht="30" customHeight="1" thickTop="1" thickBot="1" x14ac:dyDescent="0.25">
      <c r="A22" s="1"/>
      <c r="B22"/>
      <c r="C22" s="172" t="str">
        <f>IF(Funcionários!C21=0,"",Funcionários!C21)</f>
        <v/>
      </c>
      <c r="D22"/>
      <c r="E22" s="115">
        <f>Lanç!E22</f>
        <v>15</v>
      </c>
      <c r="F22" s="189" t="str">
        <f>Lanç!F22</f>
        <v>Dom</v>
      </c>
      <c r="G22" s="81"/>
      <c r="H22" s="94"/>
      <c r="I22" s="94"/>
      <c r="J22" s="94"/>
      <c r="K22" s="94"/>
      <c r="L22" s="10"/>
      <c r="M22" s="95">
        <f t="shared" si="1"/>
        <v>0</v>
      </c>
      <c r="N22" s="96"/>
      <c r="O22" s="95">
        <f ca="1">IF(OR(G22=0,G22="Férias",G22="Falta Justificada",G22="Feriado",G22="Folga (DSR)"),0,IF(G22="Falta Injustificada",HLOOKUP($F22,Jornada!$X$7:$AD$37,VLOOKUP(INDIRECT($C$5),Jornada!$C$8:$W$37,21,0),0),IF(HLOOKUP($F22,Jornada!$X$7:$AD$37,VLOOKUP(INDIRECT($C$5),Jornada!$C$8:$W$37,21,0),0)-M22&gt;0,HLOOKUP($F22,Jornada!$X$7:$AD$37,VLOOKUP(INDIRECT($C$5),Jornada!$C$8:$W$37,21,0),0)-M22,0)))</f>
        <v>0</v>
      </c>
      <c r="P22" s="190">
        <f ca="1">IF(HLOOKUP($F22,Jornada!$X$7:$AD$37,VLOOKUP(INDIRECT($C$5),Jornada!$C$8:$W$37,21,0),0)-M22&lt;0,ABS(HLOOKUP($F22,Jornada!$X$7:$AD$37,VLOOKUP(INDIRECT($C$5),Jornada!$C$8:$W$37,21,0),0)-M22),0)</f>
        <v>0</v>
      </c>
      <c r="Q22" s="95">
        <f t="shared" si="0"/>
        <v>0</v>
      </c>
      <c r="R22" s="2">
        <f t="shared" si="2"/>
        <v>0</v>
      </c>
      <c r="S22" s="300" t="s">
        <v>63</v>
      </c>
      <c r="T22" s="301"/>
      <c r="U22" s="302"/>
      <c r="X22" s="177"/>
      <c r="AB22" s="177">
        <f t="shared" si="10"/>
        <v>15</v>
      </c>
      <c r="AC22" s="2">
        <f t="shared" si="3"/>
        <v>1</v>
      </c>
      <c r="AG22" s="220">
        <f t="shared" si="4"/>
        <v>0</v>
      </c>
      <c r="AH22" s="220">
        <f ca="1">IF(HLOOKUP($F22,Jornada!$X$7:$AD$37,VLOOKUP(INDIRECT($C$5),Jornada!$C$8:$W$37,21,0),0)=0,0,VLOOKUP(INDIRECT($C$5),Jornada!$C$8:$H$37,4,0))</f>
        <v>0</v>
      </c>
      <c r="AI22" s="155">
        <f ca="1">IF(AND(I22=0,J22=0,OR(H22&lt;&gt;0,K22&lt;&gt;0),HLOOKUP($F22,Jornada!$X$7:$AD$37,VLOOKUP(INDIRECT($C$5),Jornada!$C$8:$W$37,21,0),0)&gt;$AK$5,M22&gt;$AK$5),VLOOKUP(INDIRECT($C$5),Jornada!$C$8:$H$37,6,0),IF(AG22&gt;VLOOKUP(INDIRECT($C$5),Jornada!$C$8:$H$37,6,0),IF(VLOOKUP(INDIRECT($C$5),Jornada!$C$8:$H$37,6,0)&lt;AG22,0,ABS(VLOOKUP(INDIRECT($C$5),Jornada!$C$8:$H$37,6,0))-AG22),0))</f>
        <v>0</v>
      </c>
      <c r="AJ22" s="155">
        <f t="shared" si="5"/>
        <v>1</v>
      </c>
      <c r="AK22" s="155">
        <f t="shared" si="6"/>
        <v>0</v>
      </c>
      <c r="AL22" s="155">
        <f ca="1">HLOOKUP($F22,Jornada!$I$5:$V$37,VLOOKUP(INDIRECT($C$5),Jornada!$C$8:$W$37,21,0)+2,0)</f>
        <v>0</v>
      </c>
      <c r="AM22" s="155">
        <f ca="1">HLOOKUP($F22,Jornada!$I$4:$V$37,VLOOKUP(INDIRECT($C$5),Jornada!$C$8:$W$37,21,0)+3,0)</f>
        <v>0</v>
      </c>
      <c r="AN22" s="155">
        <f t="shared" ca="1" si="7"/>
        <v>0</v>
      </c>
      <c r="AO22" s="155">
        <f t="shared" si="8"/>
        <v>0</v>
      </c>
      <c r="AP22" s="155">
        <f t="shared" si="9"/>
        <v>0</v>
      </c>
      <c r="BE22" s="14"/>
      <c r="BF22" s="14"/>
      <c r="BG22" s="14"/>
    </row>
    <row r="23" spans="1:59" s="2" customFormat="1" ht="30" customHeight="1" thickTop="1" thickBot="1" x14ac:dyDescent="0.25">
      <c r="A23" s="1"/>
      <c r="B23"/>
      <c r="C23" s="172" t="str">
        <f>IF(Funcionários!C22=0,"",Funcionários!C22)</f>
        <v/>
      </c>
      <c r="D23"/>
      <c r="E23" s="115">
        <f>Lanç!E23</f>
        <v>16</v>
      </c>
      <c r="F23" s="189" t="str">
        <f>Lanç!F23</f>
        <v>Seg</v>
      </c>
      <c r="G23" s="81"/>
      <c r="H23" s="94"/>
      <c r="I23" s="94"/>
      <c r="J23" s="94"/>
      <c r="K23" s="94"/>
      <c r="L23" s="10"/>
      <c r="M23" s="95">
        <f t="shared" si="1"/>
        <v>0</v>
      </c>
      <c r="N23" s="96"/>
      <c r="O23" s="95">
        <f ca="1">IF(OR(G23=0,G23="Férias",G23="Falta Justificada",G23="Feriado",G23="Folga (DSR)"),0,IF(G23="Falta Injustificada",HLOOKUP($F23,Jornada!$X$7:$AD$37,VLOOKUP(INDIRECT($C$5),Jornada!$C$8:$W$37,21,0),0),IF(HLOOKUP($F23,Jornada!$X$7:$AD$37,VLOOKUP(INDIRECT($C$5),Jornada!$C$8:$W$37,21,0),0)-M23&gt;0,HLOOKUP($F23,Jornada!$X$7:$AD$37,VLOOKUP(INDIRECT($C$5),Jornada!$C$8:$W$37,21,0),0)-M23,0)))</f>
        <v>0</v>
      </c>
      <c r="P23" s="190">
        <f ca="1">IF(HLOOKUP($F23,Jornada!$X$7:$AD$37,VLOOKUP(INDIRECT($C$5),Jornada!$C$8:$W$37,21,0),0)-M23&lt;0,ABS(HLOOKUP($F23,Jornada!$X$7:$AD$37,VLOOKUP(INDIRECT($C$5),Jornada!$C$8:$W$37,21,0),0)-M23),0)</f>
        <v>0</v>
      </c>
      <c r="Q23" s="95">
        <f t="shared" si="0"/>
        <v>0</v>
      </c>
      <c r="R23" s="2">
        <f t="shared" si="2"/>
        <v>0</v>
      </c>
      <c r="S23" s="296" t="str">
        <f>IF(SUM(R8:R38)&gt;0,"Segundo o art 59 da CLT, o máximo de horas extras permitidas por dia são 2 horas.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T23" s="297"/>
      <c r="U23" s="298"/>
      <c r="X23" s="177"/>
      <c r="AB23" s="177">
        <f t="shared" si="10"/>
        <v>16</v>
      </c>
      <c r="AC23" s="2">
        <f t="shared" si="3"/>
        <v>2</v>
      </c>
      <c r="AG23" s="220">
        <f t="shared" si="4"/>
        <v>0</v>
      </c>
      <c r="AH23" s="220">
        <f ca="1">IF(HLOOKUP($F23,Jornada!$X$7:$AD$37,VLOOKUP(INDIRECT($C$5),Jornada!$C$8:$W$37,21,0),0)=0,0,VLOOKUP(INDIRECT($C$5),Jornada!$C$8:$H$37,4,0))</f>
        <v>0</v>
      </c>
      <c r="AI23" s="155">
        <f ca="1">IF(AND(I23=0,J23=0,OR(H23&lt;&gt;0,K23&lt;&gt;0),HLOOKUP($F23,Jornada!$X$7:$AD$37,VLOOKUP(INDIRECT($C$5),Jornada!$C$8:$W$37,21,0),0)&gt;$AK$5,M23&gt;$AK$5),VLOOKUP(INDIRECT($C$5),Jornada!$C$8:$H$37,6,0),IF(AG23&gt;VLOOKUP(INDIRECT($C$5),Jornada!$C$8:$H$37,6,0),IF(VLOOKUP(INDIRECT($C$5),Jornada!$C$8:$H$37,6,0)&lt;AG23,0,ABS(VLOOKUP(INDIRECT($C$5),Jornada!$C$8:$H$37,6,0))-AG23),0))</f>
        <v>0</v>
      </c>
      <c r="AJ23" s="155">
        <f t="shared" si="5"/>
        <v>1</v>
      </c>
      <c r="AK23" s="155">
        <f t="shared" si="6"/>
        <v>0</v>
      </c>
      <c r="AL23" s="155">
        <f ca="1">HLOOKUP($F23,Jornada!$I$5:$V$37,VLOOKUP(INDIRECT($C$5),Jornada!$C$8:$W$37,21,0)+2,0)</f>
        <v>0</v>
      </c>
      <c r="AM23" s="155">
        <f ca="1">HLOOKUP($F23,Jornada!$I$4:$V$37,VLOOKUP(INDIRECT($C$5),Jornada!$C$8:$W$37,21,0)+3,0)</f>
        <v>0</v>
      </c>
      <c r="AN23" s="155">
        <f t="shared" ca="1" si="7"/>
        <v>0</v>
      </c>
      <c r="AO23" s="155">
        <f t="shared" si="8"/>
        <v>0</v>
      </c>
      <c r="AP23" s="155">
        <f t="shared" si="9"/>
        <v>0</v>
      </c>
      <c r="BE23" s="14"/>
      <c r="BF23" s="14"/>
      <c r="BG23" s="14"/>
    </row>
    <row r="24" spans="1:59" s="2" customFormat="1" ht="30" customHeight="1" thickTop="1" thickBot="1" x14ac:dyDescent="0.25">
      <c r="A24" s="1"/>
      <c r="B24"/>
      <c r="C24" s="172" t="str">
        <f>IF(Funcionários!C23=0,"",Funcionários!C23)</f>
        <v/>
      </c>
      <c r="D24"/>
      <c r="E24" s="115">
        <f>Lanç!E24</f>
        <v>17</v>
      </c>
      <c r="F24" s="189" t="str">
        <f>Lanç!F24</f>
        <v>Ter</v>
      </c>
      <c r="G24" s="81"/>
      <c r="H24" s="94"/>
      <c r="I24" s="94"/>
      <c r="J24" s="94"/>
      <c r="K24" s="94"/>
      <c r="L24" s="10"/>
      <c r="M24" s="95">
        <f t="shared" si="1"/>
        <v>0</v>
      </c>
      <c r="N24" s="96"/>
      <c r="O24" s="95">
        <f ca="1">IF(OR(G24=0,G24="Férias",G24="Falta Justificada",G24="Feriado",G24="Folga (DSR)"),0,IF(G24="Falta Injustificada",HLOOKUP($F24,Jornada!$X$7:$AD$37,VLOOKUP(INDIRECT($C$5),Jornada!$C$8:$W$37,21,0),0),IF(HLOOKUP($F24,Jornada!$X$7:$AD$37,VLOOKUP(INDIRECT($C$5),Jornada!$C$8:$W$37,21,0),0)-M24&gt;0,HLOOKUP($F24,Jornada!$X$7:$AD$37,VLOOKUP(INDIRECT($C$5),Jornada!$C$8:$W$37,21,0),0)-M24,0)))</f>
        <v>0</v>
      </c>
      <c r="P24" s="190">
        <f ca="1">IF(HLOOKUP($F24,Jornada!$X$7:$AD$37,VLOOKUP(INDIRECT($C$5),Jornada!$C$8:$W$37,21,0),0)-M24&lt;0,ABS(HLOOKUP($F24,Jornada!$X$7:$AD$37,VLOOKUP(INDIRECT($C$5),Jornada!$C$8:$W$37,21,0),0)-M24),0)</f>
        <v>0</v>
      </c>
      <c r="Q24" s="95">
        <f t="shared" si="0"/>
        <v>0</v>
      </c>
      <c r="R24" s="2">
        <f t="shared" si="2"/>
        <v>0</v>
      </c>
      <c r="S24" s="296"/>
      <c r="T24" s="297"/>
      <c r="U24" s="298"/>
      <c r="X24" s="177"/>
      <c r="AB24" s="177">
        <f t="shared" si="10"/>
        <v>17</v>
      </c>
      <c r="AC24" s="2">
        <f t="shared" si="3"/>
        <v>3</v>
      </c>
      <c r="AG24" s="220">
        <f t="shared" si="4"/>
        <v>0</v>
      </c>
      <c r="AH24" s="220">
        <f ca="1">IF(HLOOKUP($F24,Jornada!$X$7:$AD$37,VLOOKUP(INDIRECT($C$5),Jornada!$C$8:$W$37,21,0),0)=0,0,VLOOKUP(INDIRECT($C$5),Jornada!$C$8:$H$37,4,0))</f>
        <v>0</v>
      </c>
      <c r="AI24" s="155">
        <f ca="1">IF(AND(I24=0,J24=0,OR(H24&lt;&gt;0,K24&lt;&gt;0),HLOOKUP($F24,Jornada!$X$7:$AD$37,VLOOKUP(INDIRECT($C$5),Jornada!$C$8:$W$37,21,0),0)&gt;$AK$5,M24&gt;$AK$5),VLOOKUP(INDIRECT($C$5),Jornada!$C$8:$H$37,6,0),IF(AG24&gt;VLOOKUP(INDIRECT($C$5),Jornada!$C$8:$H$37,6,0),IF(VLOOKUP(INDIRECT($C$5),Jornada!$C$8:$H$37,6,0)&lt;AG24,0,ABS(VLOOKUP(INDIRECT($C$5),Jornada!$C$8:$H$37,6,0))-AG24),0))</f>
        <v>0</v>
      </c>
      <c r="AJ24" s="155">
        <f t="shared" si="5"/>
        <v>1</v>
      </c>
      <c r="AK24" s="155">
        <f t="shared" si="6"/>
        <v>0</v>
      </c>
      <c r="AL24" s="155">
        <f ca="1">HLOOKUP($F24,Jornada!$I$5:$V$37,VLOOKUP(INDIRECT($C$5),Jornada!$C$8:$W$37,21,0)+2,0)</f>
        <v>0</v>
      </c>
      <c r="AM24" s="155">
        <f ca="1">HLOOKUP($F24,Jornada!$I$4:$V$37,VLOOKUP(INDIRECT($C$5),Jornada!$C$8:$W$37,21,0)+3,0)</f>
        <v>0</v>
      </c>
      <c r="AN24" s="155">
        <f t="shared" ca="1" si="7"/>
        <v>0</v>
      </c>
      <c r="AO24" s="155">
        <f t="shared" si="8"/>
        <v>0</v>
      </c>
      <c r="AP24" s="155">
        <f t="shared" si="9"/>
        <v>0</v>
      </c>
      <c r="BE24" s="14"/>
      <c r="BF24" s="14"/>
      <c r="BG24" s="14"/>
    </row>
    <row r="25" spans="1:59" s="2" customFormat="1" ht="30" customHeight="1" thickTop="1" thickBot="1" x14ac:dyDescent="0.25">
      <c r="A25" s="1"/>
      <c r="B25"/>
      <c r="C25" s="172" t="str">
        <f>IF(Funcionários!C24=0,"",Funcionários!C24)</f>
        <v/>
      </c>
      <c r="D25"/>
      <c r="E25" s="115">
        <f>Lanç!E25</f>
        <v>18</v>
      </c>
      <c r="F25" s="189" t="str">
        <f>Lanç!F25</f>
        <v>Qua</v>
      </c>
      <c r="G25" s="81"/>
      <c r="H25" s="94"/>
      <c r="I25" s="94"/>
      <c r="J25" s="94"/>
      <c r="K25" s="94"/>
      <c r="L25" s="10"/>
      <c r="M25" s="95">
        <f t="shared" si="1"/>
        <v>0</v>
      </c>
      <c r="N25" s="96"/>
      <c r="O25" s="95">
        <f ca="1">IF(OR(G25=0,G25="Férias",G25="Falta Justificada",G25="Feriado",G25="Folga (DSR)"),0,IF(G25="Falta Injustificada",HLOOKUP($F25,Jornada!$X$7:$AD$37,VLOOKUP(INDIRECT($C$5),Jornada!$C$8:$W$37,21,0),0),IF(HLOOKUP($F25,Jornada!$X$7:$AD$37,VLOOKUP(INDIRECT($C$5),Jornada!$C$8:$W$37,21,0),0)-M25&gt;0,HLOOKUP($F25,Jornada!$X$7:$AD$37,VLOOKUP(INDIRECT($C$5),Jornada!$C$8:$W$37,21,0),0)-M25,0)))</f>
        <v>0</v>
      </c>
      <c r="P25" s="190">
        <f ca="1">IF(HLOOKUP($F25,Jornada!$X$7:$AD$37,VLOOKUP(INDIRECT($C$5),Jornada!$C$8:$W$37,21,0),0)-M25&lt;0,ABS(HLOOKUP($F25,Jornada!$X$7:$AD$37,VLOOKUP(INDIRECT($C$5),Jornada!$C$8:$W$37,21,0),0)-M25),0)</f>
        <v>0</v>
      </c>
      <c r="Q25" s="95">
        <f t="shared" si="0"/>
        <v>0</v>
      </c>
      <c r="R25" s="2">
        <f t="shared" si="2"/>
        <v>0</v>
      </c>
      <c r="S25" s="296"/>
      <c r="T25" s="297"/>
      <c r="U25" s="298"/>
      <c r="X25" s="177"/>
      <c r="Z25" s="2">
        <f>IF(SUM(R8:R38)&gt;0,1,0)</f>
        <v>0</v>
      </c>
      <c r="AB25" s="177">
        <f t="shared" si="10"/>
        <v>18</v>
      </c>
      <c r="AC25" s="2">
        <f t="shared" si="3"/>
        <v>4</v>
      </c>
      <c r="AG25" s="220">
        <f t="shared" si="4"/>
        <v>0</v>
      </c>
      <c r="AH25" s="220">
        <f ca="1">IF(HLOOKUP($F25,Jornada!$X$7:$AD$37,VLOOKUP(INDIRECT($C$5),Jornada!$C$8:$W$37,21,0),0)=0,0,VLOOKUP(INDIRECT($C$5),Jornada!$C$8:$H$37,4,0))</f>
        <v>0</v>
      </c>
      <c r="AI25" s="155">
        <f ca="1">IF(AND(I25=0,J25=0,OR(H25&lt;&gt;0,K25&lt;&gt;0),HLOOKUP($F25,Jornada!$X$7:$AD$37,VLOOKUP(INDIRECT($C$5),Jornada!$C$8:$W$37,21,0),0)&gt;$AK$5,M25&gt;$AK$5),VLOOKUP(INDIRECT($C$5),Jornada!$C$8:$H$37,6,0),IF(AG25&gt;VLOOKUP(INDIRECT($C$5),Jornada!$C$8:$H$37,6,0),IF(VLOOKUP(INDIRECT($C$5),Jornada!$C$8:$H$37,6,0)&lt;AG25,0,ABS(VLOOKUP(INDIRECT($C$5),Jornada!$C$8:$H$37,6,0))-AG25),0))</f>
        <v>0</v>
      </c>
      <c r="AJ25" s="155">
        <f t="shared" si="5"/>
        <v>1</v>
      </c>
      <c r="AK25" s="155">
        <f t="shared" si="6"/>
        <v>0</v>
      </c>
      <c r="AL25" s="155">
        <f ca="1">HLOOKUP($F25,Jornada!$I$5:$V$37,VLOOKUP(INDIRECT($C$5),Jornada!$C$8:$W$37,21,0)+2,0)</f>
        <v>0</v>
      </c>
      <c r="AM25" s="155">
        <f ca="1">HLOOKUP($F25,Jornada!$I$4:$V$37,VLOOKUP(INDIRECT($C$5),Jornada!$C$8:$W$37,21,0)+3,0)</f>
        <v>0</v>
      </c>
      <c r="AN25" s="155">
        <f t="shared" ca="1" si="7"/>
        <v>0</v>
      </c>
      <c r="AO25" s="155">
        <f t="shared" si="8"/>
        <v>0</v>
      </c>
      <c r="AP25" s="155">
        <f t="shared" si="9"/>
        <v>0</v>
      </c>
      <c r="BE25" s="14"/>
      <c r="BF25" s="14"/>
      <c r="BG25" s="14"/>
    </row>
    <row r="26" spans="1:59" s="2" customFormat="1" ht="30" customHeight="1" thickTop="1" thickBot="1" x14ac:dyDescent="0.25">
      <c r="A26" s="1"/>
      <c r="B26"/>
      <c r="C26" s="172" t="str">
        <f>IF(Funcionários!C25=0,"",Funcionários!C25)</f>
        <v/>
      </c>
      <c r="D26"/>
      <c r="E26" s="115">
        <f>Lanç!E26</f>
        <v>19</v>
      </c>
      <c r="F26" s="189" t="str">
        <f>Lanç!F26</f>
        <v>Qui</v>
      </c>
      <c r="G26" s="81"/>
      <c r="H26" s="94"/>
      <c r="I26" s="94"/>
      <c r="J26" s="94"/>
      <c r="K26" s="94"/>
      <c r="L26" s="10"/>
      <c r="M26" s="95">
        <f t="shared" si="1"/>
        <v>0</v>
      </c>
      <c r="N26" s="96"/>
      <c r="O26" s="95">
        <f ca="1">IF(OR(G26=0,G26="Férias",G26="Falta Justificada",G26="Feriado",G26="Folga (DSR)"),0,IF(G26="Falta Injustificada",HLOOKUP($F26,Jornada!$X$7:$AD$37,VLOOKUP(INDIRECT($C$5),Jornada!$C$8:$W$37,21,0),0),IF(HLOOKUP($F26,Jornada!$X$7:$AD$37,VLOOKUP(INDIRECT($C$5),Jornada!$C$8:$W$37,21,0),0)-M26&gt;0,HLOOKUP($F26,Jornada!$X$7:$AD$37,VLOOKUP(INDIRECT($C$5),Jornada!$C$8:$W$37,21,0),0)-M26,0)))</f>
        <v>0</v>
      </c>
      <c r="P26" s="190">
        <f ca="1">IF(HLOOKUP($F26,Jornada!$X$7:$AD$37,VLOOKUP(INDIRECT($C$5),Jornada!$C$8:$W$37,21,0),0)-M26&lt;0,ABS(HLOOKUP($F26,Jornada!$X$7:$AD$37,VLOOKUP(INDIRECT($C$5),Jornada!$C$8:$W$37,21,0),0)-M26),0)</f>
        <v>0</v>
      </c>
      <c r="Q26" s="95">
        <f t="shared" si="0"/>
        <v>0</v>
      </c>
      <c r="R26" s="2">
        <f t="shared" si="2"/>
        <v>0</v>
      </c>
      <c r="S26" s="296" t="str">
        <f>IF(COUNTIF(G8:G38,"Folga (DSR)")&lt;DAY(E39)/8,"O mês não está contemplando um DSR (Descanso Semanal Remunerado) por semana. Isso pode configurar uma irregularidade segundo as leis trabalhistas.","Parabéns!! Sua folha de pagamento contempla uma DSR por semana conforme a lei trabalhista.")</f>
        <v>O mês não está contemplando um DSR (Descanso Semanal Remunerado) por semana. Isso pode configurar uma irregularidade segundo as leis trabalhistas.</v>
      </c>
      <c r="T26" s="297"/>
      <c r="U26" s="298"/>
      <c r="X26" s="177"/>
      <c r="AB26" s="177">
        <f t="shared" si="10"/>
        <v>19</v>
      </c>
      <c r="AC26" s="2">
        <f t="shared" si="3"/>
        <v>5</v>
      </c>
      <c r="AG26" s="220">
        <f t="shared" si="4"/>
        <v>0</v>
      </c>
      <c r="AH26" s="220">
        <f ca="1">IF(HLOOKUP($F26,Jornada!$X$7:$AD$37,VLOOKUP(INDIRECT($C$5),Jornada!$C$8:$W$37,21,0),0)=0,0,VLOOKUP(INDIRECT($C$5),Jornada!$C$8:$H$37,4,0))</f>
        <v>0</v>
      </c>
      <c r="AI26" s="155">
        <f ca="1">IF(AND(I26=0,J26=0,OR(H26&lt;&gt;0,K26&lt;&gt;0),HLOOKUP($F26,Jornada!$X$7:$AD$37,VLOOKUP(INDIRECT($C$5),Jornada!$C$8:$W$37,21,0),0)&gt;$AK$5,M26&gt;$AK$5),VLOOKUP(INDIRECT($C$5),Jornada!$C$8:$H$37,6,0),IF(AG26&gt;VLOOKUP(INDIRECT($C$5),Jornada!$C$8:$H$37,6,0),IF(VLOOKUP(INDIRECT($C$5),Jornada!$C$8:$H$37,6,0)&lt;AG26,0,ABS(VLOOKUP(INDIRECT($C$5),Jornada!$C$8:$H$37,6,0))-AG26),0))</f>
        <v>0</v>
      </c>
      <c r="AJ26" s="155">
        <f t="shared" si="5"/>
        <v>1</v>
      </c>
      <c r="AK26" s="155">
        <f t="shared" si="6"/>
        <v>0</v>
      </c>
      <c r="AL26" s="155">
        <f ca="1">HLOOKUP($F26,Jornada!$I$5:$V$37,VLOOKUP(INDIRECT($C$5),Jornada!$C$8:$W$37,21,0)+2,0)</f>
        <v>0</v>
      </c>
      <c r="AM26" s="155">
        <f ca="1">HLOOKUP($F26,Jornada!$I$4:$V$37,VLOOKUP(INDIRECT($C$5),Jornada!$C$8:$W$37,21,0)+3,0)</f>
        <v>0</v>
      </c>
      <c r="AN26" s="155">
        <f t="shared" ca="1" si="7"/>
        <v>0</v>
      </c>
      <c r="AO26" s="155">
        <f t="shared" si="8"/>
        <v>0</v>
      </c>
      <c r="AP26" s="155">
        <f t="shared" si="9"/>
        <v>0</v>
      </c>
      <c r="BE26" s="14"/>
      <c r="BF26" s="14"/>
      <c r="BG26" s="14"/>
    </row>
    <row r="27" spans="1:59" s="2" customFormat="1" ht="30" customHeight="1" thickTop="1" thickBot="1" x14ac:dyDescent="0.25">
      <c r="A27" s="1"/>
      <c r="B27"/>
      <c r="C27" s="172" t="str">
        <f>IF(Funcionários!C26=0,"",Funcionários!C26)</f>
        <v/>
      </c>
      <c r="D27"/>
      <c r="E27" s="115">
        <f>Lanç!E27</f>
        <v>20</v>
      </c>
      <c r="F27" s="189" t="str">
        <f>Lanç!F27</f>
        <v>Sex</v>
      </c>
      <c r="G27" s="81"/>
      <c r="H27" s="94"/>
      <c r="I27" s="94"/>
      <c r="J27" s="94"/>
      <c r="K27" s="94"/>
      <c r="L27" s="10"/>
      <c r="M27" s="95">
        <f t="shared" si="1"/>
        <v>0</v>
      </c>
      <c r="N27" s="96"/>
      <c r="O27" s="95">
        <f ca="1">IF(OR(G27=0,G27="Férias",G27="Falta Justificada",G27="Feriado",G27="Folga (DSR)"),0,IF(G27="Falta Injustificada",HLOOKUP($F27,Jornada!$X$7:$AD$37,VLOOKUP(INDIRECT($C$5),Jornada!$C$8:$W$37,21,0),0),IF(HLOOKUP($F27,Jornada!$X$7:$AD$37,VLOOKUP(INDIRECT($C$5),Jornada!$C$8:$W$37,21,0),0)-M27&gt;0,HLOOKUP($F27,Jornada!$X$7:$AD$37,VLOOKUP(INDIRECT($C$5),Jornada!$C$8:$W$37,21,0),0)-M27,0)))</f>
        <v>0</v>
      </c>
      <c r="P27" s="190">
        <f ca="1">IF(HLOOKUP($F27,Jornada!$X$7:$AD$37,VLOOKUP(INDIRECT($C$5),Jornada!$C$8:$W$37,21,0),0)-M27&lt;0,ABS(HLOOKUP($F27,Jornada!$X$7:$AD$37,VLOOKUP(INDIRECT($C$5),Jornada!$C$8:$W$37,21,0),0)-M27),0)</f>
        <v>0</v>
      </c>
      <c r="Q27" s="95">
        <f t="shared" si="0"/>
        <v>0</v>
      </c>
      <c r="R27" s="2">
        <f t="shared" si="2"/>
        <v>0</v>
      </c>
      <c r="S27" s="296"/>
      <c r="T27" s="297"/>
      <c r="U27" s="298"/>
      <c r="X27" s="177"/>
      <c r="AB27" s="177">
        <f t="shared" si="10"/>
        <v>20</v>
      </c>
      <c r="AC27" s="2">
        <f t="shared" si="3"/>
        <v>6</v>
      </c>
      <c r="AG27" s="220">
        <f t="shared" si="4"/>
        <v>0</v>
      </c>
      <c r="AH27" s="220">
        <f ca="1">IF(HLOOKUP($F27,Jornada!$X$7:$AD$37,VLOOKUP(INDIRECT($C$5),Jornada!$C$8:$W$37,21,0),0)=0,0,VLOOKUP(INDIRECT($C$5),Jornada!$C$8:$H$37,4,0))</f>
        <v>0</v>
      </c>
      <c r="AI27" s="155">
        <f ca="1">IF(AND(I27=0,J27=0,OR(H27&lt;&gt;0,K27&lt;&gt;0),HLOOKUP($F27,Jornada!$X$7:$AD$37,VLOOKUP(INDIRECT($C$5),Jornada!$C$8:$W$37,21,0),0)&gt;$AK$5,M27&gt;$AK$5),VLOOKUP(INDIRECT($C$5),Jornada!$C$8:$H$37,6,0),IF(AG27&gt;VLOOKUP(INDIRECT($C$5),Jornada!$C$8:$H$37,6,0),IF(VLOOKUP(INDIRECT($C$5),Jornada!$C$8:$H$37,6,0)&lt;AG27,0,ABS(VLOOKUP(INDIRECT($C$5),Jornada!$C$8:$H$37,6,0))-AG27),0))</f>
        <v>0</v>
      </c>
      <c r="AJ27" s="155">
        <f t="shared" si="5"/>
        <v>1</v>
      </c>
      <c r="AK27" s="155">
        <f t="shared" si="6"/>
        <v>0</v>
      </c>
      <c r="AL27" s="155">
        <f ca="1">HLOOKUP($F27,Jornada!$I$5:$V$37,VLOOKUP(INDIRECT($C$5),Jornada!$C$8:$W$37,21,0)+2,0)</f>
        <v>0</v>
      </c>
      <c r="AM27" s="155">
        <f ca="1">HLOOKUP($F27,Jornada!$I$4:$V$37,VLOOKUP(INDIRECT($C$5),Jornada!$C$8:$W$37,21,0)+3,0)</f>
        <v>0</v>
      </c>
      <c r="AN27" s="155">
        <f t="shared" ca="1" si="7"/>
        <v>0</v>
      </c>
      <c r="AO27" s="155">
        <f t="shared" si="8"/>
        <v>0</v>
      </c>
      <c r="AP27" s="155">
        <f t="shared" si="9"/>
        <v>0</v>
      </c>
    </row>
    <row r="28" spans="1:59" s="2" customFormat="1" ht="30" customHeight="1" thickTop="1" thickBot="1" x14ac:dyDescent="0.25">
      <c r="A28" s="1"/>
      <c r="B28"/>
      <c r="C28" s="172" t="str">
        <f>IF(Funcionários!C27=0,"",Funcionários!C27)</f>
        <v/>
      </c>
      <c r="D28"/>
      <c r="E28" s="115">
        <f>Lanç!E28</f>
        <v>21</v>
      </c>
      <c r="F28" s="189" t="str">
        <f>Lanç!F28</f>
        <v>Sáb</v>
      </c>
      <c r="G28" s="81"/>
      <c r="H28" s="94"/>
      <c r="I28" s="94"/>
      <c r="J28" s="94"/>
      <c r="K28" s="94"/>
      <c r="L28" s="10"/>
      <c r="M28" s="95">
        <f t="shared" si="1"/>
        <v>0</v>
      </c>
      <c r="N28" s="96"/>
      <c r="O28" s="95">
        <f ca="1">IF(OR(G28=0,G28="Férias",G28="Falta Justificada",G28="Feriado",G28="Folga (DSR)"),0,IF(G28="Falta Injustificada",HLOOKUP($F28,Jornada!$X$7:$AD$37,VLOOKUP(INDIRECT($C$5),Jornada!$C$8:$W$37,21,0),0),IF(HLOOKUP($F28,Jornada!$X$7:$AD$37,VLOOKUP(INDIRECT($C$5),Jornada!$C$8:$W$37,21,0),0)-M28&gt;0,HLOOKUP($F28,Jornada!$X$7:$AD$37,VLOOKUP(INDIRECT($C$5),Jornada!$C$8:$W$37,21,0),0)-M28,0)))</f>
        <v>0</v>
      </c>
      <c r="P28" s="190">
        <f ca="1">IF(HLOOKUP($F28,Jornada!$X$7:$AD$37,VLOOKUP(INDIRECT($C$5),Jornada!$C$8:$W$37,21,0),0)-M28&lt;0,ABS(HLOOKUP($F28,Jornada!$X$7:$AD$37,VLOOKUP(INDIRECT($C$5),Jornada!$C$8:$W$37,21,0),0)-M28),0)</f>
        <v>0</v>
      </c>
      <c r="Q28" s="95">
        <f t="shared" si="0"/>
        <v>0</v>
      </c>
      <c r="R28" s="2">
        <f t="shared" si="2"/>
        <v>0</v>
      </c>
      <c r="S28" s="296"/>
      <c r="T28" s="297"/>
      <c r="U28" s="298"/>
      <c r="X28" s="177"/>
      <c r="AB28" s="177">
        <f t="shared" si="10"/>
        <v>21</v>
      </c>
      <c r="AC28" s="2">
        <f t="shared" si="3"/>
        <v>7</v>
      </c>
      <c r="AG28" s="220">
        <f t="shared" si="4"/>
        <v>0</v>
      </c>
      <c r="AH28" s="220">
        <f ca="1">IF(HLOOKUP($F28,Jornada!$X$7:$AD$37,VLOOKUP(INDIRECT($C$5),Jornada!$C$8:$W$37,21,0),0)=0,0,VLOOKUP(INDIRECT($C$5),Jornada!$C$8:$H$37,4,0))</f>
        <v>0</v>
      </c>
      <c r="AI28" s="155">
        <f ca="1">IF(AND(I28=0,J28=0,OR(H28&lt;&gt;0,K28&lt;&gt;0),HLOOKUP($F28,Jornada!$X$7:$AD$37,VLOOKUP(INDIRECT($C$5),Jornada!$C$8:$W$37,21,0),0)&gt;$AK$5,M28&gt;$AK$5),VLOOKUP(INDIRECT($C$5),Jornada!$C$8:$H$37,6,0),IF(AG28&gt;VLOOKUP(INDIRECT($C$5),Jornada!$C$8:$H$37,6,0),IF(VLOOKUP(INDIRECT($C$5),Jornada!$C$8:$H$37,6,0)&lt;AG28,0,ABS(VLOOKUP(INDIRECT($C$5),Jornada!$C$8:$H$37,6,0))-AG28),0))</f>
        <v>0</v>
      </c>
      <c r="AJ28" s="155">
        <f t="shared" si="5"/>
        <v>1</v>
      </c>
      <c r="AK28" s="155">
        <f t="shared" si="6"/>
        <v>0</v>
      </c>
      <c r="AL28" s="155">
        <f ca="1">HLOOKUP($F28,Jornada!$I$5:$V$37,VLOOKUP(INDIRECT($C$5),Jornada!$C$8:$W$37,21,0)+2,0)</f>
        <v>0</v>
      </c>
      <c r="AM28" s="155">
        <f ca="1">HLOOKUP($F28,Jornada!$I$4:$V$37,VLOOKUP(INDIRECT($C$5),Jornada!$C$8:$W$37,21,0)+3,0)</f>
        <v>0</v>
      </c>
      <c r="AN28" s="155">
        <f t="shared" ca="1" si="7"/>
        <v>0</v>
      </c>
      <c r="AO28" s="155">
        <f t="shared" si="8"/>
        <v>0</v>
      </c>
      <c r="AP28" s="155">
        <f t="shared" si="9"/>
        <v>0</v>
      </c>
    </row>
    <row r="29" spans="1:59" s="2" customFormat="1" ht="30" customHeight="1" thickTop="1" thickBot="1" x14ac:dyDescent="0.25">
      <c r="A29" s="1"/>
      <c r="B29"/>
      <c r="C29" s="172" t="str">
        <f>IF(Funcionários!C28=0,"",Funcionários!C28)</f>
        <v/>
      </c>
      <c r="D29"/>
      <c r="E29" s="115">
        <f>Lanç!E29</f>
        <v>22</v>
      </c>
      <c r="F29" s="189" t="str">
        <f>Lanç!F29</f>
        <v>Dom</v>
      </c>
      <c r="G29" s="81"/>
      <c r="H29" s="94"/>
      <c r="I29" s="94"/>
      <c r="J29" s="94"/>
      <c r="K29" s="94"/>
      <c r="L29" s="10"/>
      <c r="M29" s="95">
        <f t="shared" si="1"/>
        <v>0</v>
      </c>
      <c r="N29" s="96"/>
      <c r="O29" s="95">
        <f ca="1">IF(OR(G29=0,G29="Férias",G29="Falta Justificada",G29="Feriado",G29="Folga (DSR)"),0,IF(G29="Falta Injustificada",HLOOKUP($F29,Jornada!$X$7:$AD$37,VLOOKUP(INDIRECT($C$5),Jornada!$C$8:$W$37,21,0),0),IF(HLOOKUP($F29,Jornada!$X$7:$AD$37,VLOOKUP(INDIRECT($C$5),Jornada!$C$8:$W$37,21,0),0)-M29&gt;0,HLOOKUP($F29,Jornada!$X$7:$AD$37,VLOOKUP(INDIRECT($C$5),Jornada!$C$8:$W$37,21,0),0)-M29,0)))</f>
        <v>0</v>
      </c>
      <c r="P29" s="190">
        <f ca="1">IF(HLOOKUP($F29,Jornada!$X$7:$AD$37,VLOOKUP(INDIRECT($C$5),Jornada!$C$8:$W$37,21,0),0)-M29&lt;0,ABS(HLOOKUP($F29,Jornada!$X$7:$AD$37,VLOOKUP(INDIRECT($C$5),Jornada!$C$8:$W$37,21,0),0)-M29),0)</f>
        <v>0</v>
      </c>
      <c r="Q29" s="95">
        <f t="shared" si="0"/>
        <v>0</v>
      </c>
      <c r="R29" s="2">
        <f t="shared" si="2"/>
        <v>0</v>
      </c>
      <c r="S29" s="13"/>
      <c r="T29" s="74"/>
      <c r="U29" s="74"/>
      <c r="X29" s="177"/>
      <c r="AB29" s="177">
        <f t="shared" si="10"/>
        <v>22</v>
      </c>
      <c r="AC29" s="2">
        <f t="shared" si="3"/>
        <v>1</v>
      </c>
      <c r="AG29" s="220">
        <f t="shared" si="4"/>
        <v>0</v>
      </c>
      <c r="AH29" s="220">
        <f ca="1">IF(HLOOKUP($F29,Jornada!$X$7:$AD$37,VLOOKUP(INDIRECT($C$5),Jornada!$C$8:$W$37,21,0),0)=0,0,VLOOKUP(INDIRECT($C$5),Jornada!$C$8:$H$37,4,0))</f>
        <v>0</v>
      </c>
      <c r="AI29" s="155">
        <f ca="1">IF(AND(I29=0,J29=0,OR(H29&lt;&gt;0,K29&lt;&gt;0),HLOOKUP($F29,Jornada!$X$7:$AD$37,VLOOKUP(INDIRECT($C$5),Jornada!$C$8:$W$37,21,0),0)&gt;$AK$5,M29&gt;$AK$5),VLOOKUP(INDIRECT($C$5),Jornada!$C$8:$H$37,6,0),IF(AG29&gt;VLOOKUP(INDIRECT($C$5),Jornada!$C$8:$H$37,6,0),IF(VLOOKUP(INDIRECT($C$5),Jornada!$C$8:$H$37,6,0)&lt;AG29,0,ABS(VLOOKUP(INDIRECT($C$5),Jornada!$C$8:$H$37,6,0))-AG29),0))</f>
        <v>0</v>
      </c>
      <c r="AJ29" s="155">
        <f t="shared" si="5"/>
        <v>1</v>
      </c>
      <c r="AK29" s="155">
        <f t="shared" si="6"/>
        <v>0</v>
      </c>
      <c r="AL29" s="155">
        <f ca="1">HLOOKUP($F29,Jornada!$I$5:$V$37,VLOOKUP(INDIRECT($C$5),Jornada!$C$8:$W$37,21,0)+2,0)</f>
        <v>0</v>
      </c>
      <c r="AM29" s="155">
        <f ca="1">HLOOKUP($F29,Jornada!$I$4:$V$37,VLOOKUP(INDIRECT($C$5),Jornada!$C$8:$W$37,21,0)+3,0)</f>
        <v>0</v>
      </c>
      <c r="AN29" s="155">
        <f t="shared" ca="1" si="7"/>
        <v>0</v>
      </c>
      <c r="AO29" s="155">
        <f t="shared" si="8"/>
        <v>0</v>
      </c>
      <c r="AP29" s="155">
        <f t="shared" si="9"/>
        <v>0</v>
      </c>
    </row>
    <row r="30" spans="1:59" s="2" customFormat="1" ht="30" customHeight="1" thickTop="1" thickBot="1" x14ac:dyDescent="0.25">
      <c r="A30" s="1"/>
      <c r="B30"/>
      <c r="C30" s="172" t="str">
        <f>IF(Funcionários!C29=0,"",Funcionários!C29)</f>
        <v/>
      </c>
      <c r="D30"/>
      <c r="E30" s="173">
        <f>Lanç!E30</f>
        <v>23</v>
      </c>
      <c r="F30" s="189" t="str">
        <f>Lanç!F30</f>
        <v>Seg</v>
      </c>
      <c r="G30" s="81"/>
      <c r="H30" s="94"/>
      <c r="I30" s="94"/>
      <c r="J30" s="94"/>
      <c r="K30" s="94"/>
      <c r="L30" s="10"/>
      <c r="M30" s="95">
        <f t="shared" si="1"/>
        <v>0</v>
      </c>
      <c r="N30" s="96"/>
      <c r="O30" s="95">
        <f ca="1">IF(OR(G30=0,G30="Férias",G30="Falta Justificada",G30="Feriado",G30="Folga (DSR)"),0,IF(G30="Falta Injustificada",HLOOKUP($F30,Jornada!$X$7:$AD$37,VLOOKUP(INDIRECT($C$5),Jornada!$C$8:$W$37,21,0),0),IF(HLOOKUP($F30,Jornada!$X$7:$AD$37,VLOOKUP(INDIRECT($C$5),Jornada!$C$8:$W$37,21,0),0)-M30&gt;0,HLOOKUP($F30,Jornada!$X$7:$AD$37,VLOOKUP(INDIRECT($C$5),Jornada!$C$8:$W$37,21,0),0)-M30,0)))</f>
        <v>0</v>
      </c>
      <c r="P30" s="190">
        <f ca="1">IF(HLOOKUP($F30,Jornada!$X$7:$AD$37,VLOOKUP(INDIRECT($C$5),Jornada!$C$8:$W$37,21,0),0)-M30&lt;0,ABS(HLOOKUP($F30,Jornada!$X$7:$AD$37,VLOOKUP(INDIRECT($C$5),Jornada!$C$8:$W$37,21,0),0)-M30),0)</f>
        <v>0</v>
      </c>
      <c r="Q30" s="95">
        <f t="shared" si="0"/>
        <v>0</v>
      </c>
      <c r="R30" s="2">
        <f>IF(Q30&gt;$R$7,1,0)</f>
        <v>0</v>
      </c>
      <c r="S30" s="13"/>
      <c r="T30" s="74"/>
      <c r="U30" s="74"/>
      <c r="X30" s="177"/>
      <c r="AB30" s="177">
        <f t="shared" si="10"/>
        <v>23</v>
      </c>
      <c r="AC30" s="2">
        <f>WEEKDAY(AB30)</f>
        <v>2</v>
      </c>
      <c r="AG30" s="220">
        <f t="shared" si="4"/>
        <v>0</v>
      </c>
      <c r="AH30" s="220">
        <f ca="1">IF(HLOOKUP($F30,Jornada!$X$7:$AD$37,VLOOKUP(INDIRECT($C$5),Jornada!$C$8:$W$37,21,0),0)=0,0,VLOOKUP(INDIRECT($C$5),Jornada!$C$8:$H$37,4,0))</f>
        <v>0</v>
      </c>
      <c r="AI30" s="155">
        <f ca="1">IF(AND(I30=0,J30=0,OR(H30&lt;&gt;0,K30&lt;&gt;0),HLOOKUP($F30,Jornada!$X$7:$AD$37,VLOOKUP(INDIRECT($C$5),Jornada!$C$8:$W$37,21,0),0)&gt;$AK$5,M30&gt;$AK$5),VLOOKUP(INDIRECT($C$5),Jornada!$C$8:$H$37,6,0),IF(AG30&gt;VLOOKUP(INDIRECT($C$5),Jornada!$C$8:$H$37,6,0),IF(VLOOKUP(INDIRECT($C$5),Jornada!$C$8:$H$37,6,0)&lt;AG30,0,ABS(VLOOKUP(INDIRECT($C$5),Jornada!$C$8:$H$37,6,0))-AG30),0))</f>
        <v>0</v>
      </c>
      <c r="AJ30" s="155">
        <f>($AJ$7-K30)+H30</f>
        <v>1</v>
      </c>
      <c r="AK30" s="155">
        <f>IF(AJ30&lt;$AK$7,$AK$7-AJ30,$AI$7)</f>
        <v>0</v>
      </c>
      <c r="AL30" s="155">
        <f ca="1">HLOOKUP($F30,Jornada!$I$5:$V$37,VLOOKUP(INDIRECT($C$5),Jornada!$C$8:$W$37,21,0)+2,0)</f>
        <v>0</v>
      </c>
      <c r="AM30" s="155">
        <f ca="1">HLOOKUP($F30,Jornada!$I$4:$V$37,VLOOKUP(INDIRECT($C$5),Jornada!$C$8:$W$37,21,0)+3,0)</f>
        <v>0</v>
      </c>
      <c r="AN30" s="155">
        <f t="shared" ca="1" si="7"/>
        <v>0</v>
      </c>
      <c r="AO30" s="155">
        <f t="shared" si="8"/>
        <v>0</v>
      </c>
      <c r="AP30" s="155">
        <f t="shared" si="9"/>
        <v>0</v>
      </c>
    </row>
    <row r="31" spans="1:59" s="2" customFormat="1" ht="30" customHeight="1" thickTop="1" thickBot="1" x14ac:dyDescent="0.25">
      <c r="A31" s="1"/>
      <c r="B31"/>
      <c r="C31" s="172" t="str">
        <f>IF(Funcionários!C30=0,"",Funcionários!C30)</f>
        <v/>
      </c>
      <c r="D31"/>
      <c r="E31" s="173">
        <f>Lanç!E31</f>
        <v>24</v>
      </c>
      <c r="F31" s="189" t="str">
        <f>Lanç!F31</f>
        <v>Ter</v>
      </c>
      <c r="G31" s="81"/>
      <c r="H31" s="94"/>
      <c r="I31" s="94"/>
      <c r="J31" s="94"/>
      <c r="K31" s="94"/>
      <c r="L31" s="10"/>
      <c r="M31" s="95">
        <f t="shared" si="1"/>
        <v>0</v>
      </c>
      <c r="N31" s="96"/>
      <c r="O31" s="95">
        <f ca="1">IF(OR(G31=0,G31="Férias",G31="Falta Justificada",G31="Feriado",G31="Folga (DSR)"),0,IF(G31="Falta Injustificada",HLOOKUP($F31,Jornada!$X$7:$AD$37,VLOOKUP(INDIRECT($C$5),Jornada!$C$8:$W$37,21,0),0),IF(HLOOKUP($F31,Jornada!$X$7:$AD$37,VLOOKUP(INDIRECT($C$5),Jornada!$C$8:$W$37,21,0),0)-M31&gt;0,HLOOKUP($F31,Jornada!$X$7:$AD$37,VLOOKUP(INDIRECT($C$5),Jornada!$C$8:$W$37,21,0),0)-M31,0)))</f>
        <v>0</v>
      </c>
      <c r="P31" s="190">
        <f ca="1">IF(HLOOKUP($F31,Jornada!$X$7:$AD$37,VLOOKUP(INDIRECT($C$5),Jornada!$C$8:$W$37,21,0),0)-M31&lt;0,ABS(HLOOKUP($F31,Jornada!$X$7:$AD$37,VLOOKUP(INDIRECT($C$5),Jornada!$C$8:$W$37,21,0),0)-M31),0)</f>
        <v>0</v>
      </c>
      <c r="Q31" s="95">
        <f t="shared" si="0"/>
        <v>0</v>
      </c>
      <c r="R31" s="2">
        <f>IF(Q31&gt;$R$7,1,0)</f>
        <v>0</v>
      </c>
      <c r="S31" s="13"/>
      <c r="T31" s="74"/>
      <c r="U31" s="74"/>
      <c r="X31" s="177"/>
      <c r="AB31" s="177">
        <f t="shared" si="10"/>
        <v>24</v>
      </c>
      <c r="AC31" s="2">
        <f>WEEKDAY(AB31)</f>
        <v>3</v>
      </c>
      <c r="AG31" s="220">
        <f t="shared" si="4"/>
        <v>0</v>
      </c>
      <c r="AH31" s="220">
        <f ca="1">IF(HLOOKUP($F31,Jornada!$X$7:$AD$37,VLOOKUP(INDIRECT($C$5),Jornada!$C$8:$W$37,21,0),0)=0,0,VLOOKUP(INDIRECT($C$5),Jornada!$C$8:$H$37,4,0))</f>
        <v>0</v>
      </c>
      <c r="AI31" s="155">
        <f ca="1">IF(AND(I31=0,J31=0,OR(H31&lt;&gt;0,K31&lt;&gt;0),HLOOKUP($F31,Jornada!$X$7:$AD$37,VLOOKUP(INDIRECT($C$5),Jornada!$C$8:$W$37,21,0),0)&gt;$AK$5,M31&gt;$AK$5),VLOOKUP(INDIRECT($C$5),Jornada!$C$8:$H$37,6,0),IF(AG31&gt;VLOOKUP(INDIRECT($C$5),Jornada!$C$8:$H$37,6,0),IF(VLOOKUP(INDIRECT($C$5),Jornada!$C$8:$H$37,6,0)&lt;AG31,0,ABS(VLOOKUP(INDIRECT($C$5),Jornada!$C$8:$H$37,6,0))-AG31),0))</f>
        <v>0</v>
      </c>
      <c r="AJ31" s="155">
        <f>($AJ$7-K31)+H31</f>
        <v>1</v>
      </c>
      <c r="AK31" s="155">
        <f>IF(AJ31&lt;$AK$7,$AK$7-AJ31,$AI$7)</f>
        <v>0</v>
      </c>
      <c r="AL31" s="155">
        <f ca="1">HLOOKUP($F31,Jornada!$I$5:$V$37,VLOOKUP(INDIRECT($C$5),Jornada!$C$8:$W$37,21,0)+2,0)</f>
        <v>0</v>
      </c>
      <c r="AM31" s="155">
        <f ca="1">HLOOKUP($F31,Jornada!$I$4:$V$37,VLOOKUP(INDIRECT($C$5),Jornada!$C$8:$W$37,21,0)+3,0)</f>
        <v>0</v>
      </c>
      <c r="AN31" s="155">
        <f t="shared" ca="1" si="7"/>
        <v>0</v>
      </c>
      <c r="AO31" s="155">
        <f t="shared" si="8"/>
        <v>0</v>
      </c>
      <c r="AP31" s="155">
        <f t="shared" si="9"/>
        <v>0</v>
      </c>
    </row>
    <row r="32" spans="1:59" s="2" customFormat="1" ht="30" customHeight="1" thickTop="1" thickBot="1" x14ac:dyDescent="0.25">
      <c r="A32" s="1"/>
      <c r="B32"/>
      <c r="C32" s="172" t="str">
        <f>IF(Funcionários!C31=0,"",Funcionários!C31)</f>
        <v/>
      </c>
      <c r="D32"/>
      <c r="E32" s="115">
        <f>Lanç!E32</f>
        <v>25</v>
      </c>
      <c r="F32" s="189" t="str">
        <f>Lanç!F32</f>
        <v>Qua</v>
      </c>
      <c r="G32" s="81"/>
      <c r="H32" s="94"/>
      <c r="I32" s="94"/>
      <c r="J32" s="94"/>
      <c r="K32" s="94"/>
      <c r="L32" s="10"/>
      <c r="M32" s="95">
        <f t="shared" si="1"/>
        <v>0</v>
      </c>
      <c r="N32" s="96"/>
      <c r="O32" s="95">
        <f ca="1">IF(OR(G32=0,G32="Férias",G32="Falta Justificada",G32="Feriado",G32="Folga (DSR)"),0,IF(G32="Falta Injustificada",HLOOKUP($F32,Jornada!$X$7:$AD$37,VLOOKUP(INDIRECT($C$5),Jornada!$C$8:$W$37,21,0),0),IF(HLOOKUP($F32,Jornada!$X$7:$AD$37,VLOOKUP(INDIRECT($C$5),Jornada!$C$8:$W$37,21,0),0)-M32&gt;0,HLOOKUP($F32,Jornada!$X$7:$AD$37,VLOOKUP(INDIRECT($C$5),Jornada!$C$8:$W$37,21,0),0)-M32,0)))</f>
        <v>0</v>
      </c>
      <c r="P32" s="190">
        <f ca="1">IF(HLOOKUP($F32,Jornada!$X$7:$AD$37,VLOOKUP(INDIRECT($C$5),Jornada!$C$8:$W$37,21,0),0)-M32&lt;0,ABS(HLOOKUP($F32,Jornada!$X$7:$AD$37,VLOOKUP(INDIRECT($C$5),Jornada!$C$8:$W$37,21,0),0)-M32),0)</f>
        <v>0</v>
      </c>
      <c r="Q32" s="95">
        <f t="shared" si="0"/>
        <v>0</v>
      </c>
      <c r="R32" s="2">
        <f t="shared" si="2"/>
        <v>0</v>
      </c>
      <c r="S32" s="74"/>
      <c r="T32" s="74"/>
      <c r="U32" s="74"/>
      <c r="X32" s="177"/>
      <c r="AB32" s="177">
        <f t="shared" si="10"/>
        <v>25</v>
      </c>
      <c r="AC32" s="2">
        <f t="shared" si="3"/>
        <v>4</v>
      </c>
      <c r="AG32" s="220">
        <f t="shared" si="4"/>
        <v>0</v>
      </c>
      <c r="AH32" s="220">
        <f ca="1">IF(HLOOKUP($F32,Jornada!$X$7:$AD$37,VLOOKUP(INDIRECT($C$5),Jornada!$C$8:$W$37,21,0),0)=0,0,VLOOKUP(INDIRECT($C$5),Jornada!$C$8:$H$37,4,0))</f>
        <v>0</v>
      </c>
      <c r="AI32" s="155">
        <f ca="1">IF(AND(I32=0,J32=0,OR(H32&lt;&gt;0,K32&lt;&gt;0),HLOOKUP($F32,Jornada!$X$7:$AD$37,VLOOKUP(INDIRECT($C$5),Jornada!$C$8:$W$37,21,0),0)&gt;$AK$5,M32&gt;$AK$5),VLOOKUP(INDIRECT($C$5),Jornada!$C$8:$H$37,6,0),IF(AG32&gt;VLOOKUP(INDIRECT($C$5),Jornada!$C$8:$H$37,6,0),IF(VLOOKUP(INDIRECT($C$5),Jornada!$C$8:$H$37,6,0)&lt;AG32,0,ABS(VLOOKUP(INDIRECT($C$5),Jornada!$C$8:$H$37,6,0))-AG32),0))</f>
        <v>0</v>
      </c>
      <c r="AJ32" s="155">
        <f t="shared" si="5"/>
        <v>1</v>
      </c>
      <c r="AK32" s="155">
        <f t="shared" si="6"/>
        <v>0</v>
      </c>
      <c r="AL32" s="155">
        <f ca="1">HLOOKUP($F32,Jornada!$I$5:$V$37,VLOOKUP(INDIRECT($C$5),Jornada!$C$8:$W$37,21,0)+2,0)</f>
        <v>0</v>
      </c>
      <c r="AM32" s="155">
        <f ca="1">HLOOKUP($F32,Jornada!$I$4:$V$37,VLOOKUP(INDIRECT($C$5),Jornada!$C$8:$W$37,21,0)+3,0)</f>
        <v>0</v>
      </c>
      <c r="AN32" s="155">
        <f t="shared" ca="1" si="7"/>
        <v>0</v>
      </c>
      <c r="AO32" s="155">
        <f t="shared" si="8"/>
        <v>0</v>
      </c>
      <c r="AP32" s="155">
        <f t="shared" si="9"/>
        <v>0</v>
      </c>
    </row>
    <row r="33" spans="1:42" s="2" customFormat="1" ht="30" customHeight="1" thickTop="1" thickBot="1" x14ac:dyDescent="0.25">
      <c r="A33" s="1"/>
      <c r="B33"/>
      <c r="C33" s="172" t="str">
        <f>IF(Funcionários!C32=0,"",Funcionários!C32)</f>
        <v/>
      </c>
      <c r="D33"/>
      <c r="E33" s="115">
        <f>Lanç!E33</f>
        <v>26</v>
      </c>
      <c r="F33" s="189" t="str">
        <f>Lanç!F33</f>
        <v>Qui</v>
      </c>
      <c r="G33" s="81"/>
      <c r="H33" s="94"/>
      <c r="I33" s="94"/>
      <c r="J33" s="94"/>
      <c r="K33" s="94"/>
      <c r="L33" s="10"/>
      <c r="M33" s="95">
        <f t="shared" si="1"/>
        <v>0</v>
      </c>
      <c r="N33" s="96"/>
      <c r="O33" s="95">
        <f ca="1">IF(OR(G33=0,G33="Férias",G33="Falta Justificada",G33="Feriado",G33="Folga (DSR)"),0,IF(G33="Falta Injustificada",HLOOKUP($F33,Jornada!$X$7:$AD$37,VLOOKUP(INDIRECT($C$5),Jornada!$C$8:$W$37,21,0),0),IF(HLOOKUP($F33,Jornada!$X$7:$AD$37,VLOOKUP(INDIRECT($C$5),Jornada!$C$8:$W$37,21,0),0)-M33&gt;0,HLOOKUP($F33,Jornada!$X$7:$AD$37,VLOOKUP(INDIRECT($C$5),Jornada!$C$8:$W$37,21,0),0)-M33,0)))</f>
        <v>0</v>
      </c>
      <c r="P33" s="190">
        <f ca="1">IF(HLOOKUP($F33,Jornada!$X$7:$AD$37,VLOOKUP(INDIRECT($C$5),Jornada!$C$8:$W$37,21,0),0)-M33&lt;0,ABS(HLOOKUP($F33,Jornada!$X$7:$AD$37,VLOOKUP(INDIRECT($C$5),Jornada!$C$8:$W$37,21,0),0)-M33),0)</f>
        <v>0</v>
      </c>
      <c r="Q33" s="95">
        <f t="shared" si="0"/>
        <v>0</v>
      </c>
      <c r="R33" s="2">
        <f t="shared" si="2"/>
        <v>0</v>
      </c>
      <c r="S33" s="74"/>
      <c r="T33" s="74"/>
      <c r="U33" s="74"/>
      <c r="X33" s="177"/>
      <c r="AB33" s="177">
        <f t="shared" si="10"/>
        <v>26</v>
      </c>
      <c r="AC33" s="2">
        <f t="shared" si="3"/>
        <v>5</v>
      </c>
      <c r="AG33" s="220">
        <f t="shared" si="4"/>
        <v>0</v>
      </c>
      <c r="AH33" s="220">
        <f ca="1">IF(HLOOKUP($F33,Jornada!$X$7:$AD$37,VLOOKUP(INDIRECT($C$5),Jornada!$C$8:$W$37,21,0),0)=0,0,VLOOKUP(INDIRECT($C$5),Jornada!$C$8:$H$37,4,0))</f>
        <v>0</v>
      </c>
      <c r="AI33" s="155">
        <f ca="1">IF(AND(I33=0,J33=0,OR(H33&lt;&gt;0,K33&lt;&gt;0),HLOOKUP($F33,Jornada!$X$7:$AD$37,VLOOKUP(INDIRECT($C$5),Jornada!$C$8:$W$37,21,0),0)&gt;$AK$5,M33&gt;$AK$5),VLOOKUP(INDIRECT($C$5),Jornada!$C$8:$H$37,6,0),IF(AG33&gt;VLOOKUP(INDIRECT($C$5),Jornada!$C$8:$H$37,6,0),IF(VLOOKUP(INDIRECT($C$5),Jornada!$C$8:$H$37,6,0)&lt;AG33,0,ABS(VLOOKUP(INDIRECT($C$5),Jornada!$C$8:$H$37,6,0))-AG33),0))</f>
        <v>0</v>
      </c>
      <c r="AJ33" s="155">
        <f t="shared" si="5"/>
        <v>1</v>
      </c>
      <c r="AK33" s="155">
        <f t="shared" si="6"/>
        <v>0</v>
      </c>
      <c r="AL33" s="155">
        <f ca="1">HLOOKUP($F33,Jornada!$I$5:$V$37,VLOOKUP(INDIRECT($C$5),Jornada!$C$8:$W$37,21,0)+2,0)</f>
        <v>0</v>
      </c>
      <c r="AM33" s="155">
        <f ca="1">HLOOKUP($F33,Jornada!$I$4:$V$37,VLOOKUP(INDIRECT($C$5),Jornada!$C$8:$W$37,21,0)+3,0)</f>
        <v>0</v>
      </c>
      <c r="AN33" s="155">
        <f t="shared" ca="1" si="7"/>
        <v>0</v>
      </c>
      <c r="AO33" s="155">
        <f t="shared" si="8"/>
        <v>0</v>
      </c>
      <c r="AP33" s="155">
        <f t="shared" si="9"/>
        <v>0</v>
      </c>
    </row>
    <row r="34" spans="1:42" s="2" customFormat="1" ht="30" customHeight="1" thickTop="1" thickBot="1" x14ac:dyDescent="0.25">
      <c r="A34" s="1"/>
      <c r="B34"/>
      <c r="C34" s="172" t="str">
        <f>IF(Funcionários!C33=0,"",Funcionários!C33)</f>
        <v/>
      </c>
      <c r="D34"/>
      <c r="E34" s="115">
        <f>Lanç!E34</f>
        <v>27</v>
      </c>
      <c r="F34" s="189" t="str">
        <f>Lanç!F34</f>
        <v>Sex</v>
      </c>
      <c r="G34" s="81"/>
      <c r="H34" s="94"/>
      <c r="I34" s="94"/>
      <c r="J34" s="94"/>
      <c r="K34" s="94"/>
      <c r="L34" s="10"/>
      <c r="M34" s="95">
        <f t="shared" si="1"/>
        <v>0</v>
      </c>
      <c r="N34" s="96"/>
      <c r="O34" s="95">
        <f ca="1">IF(OR(G34=0,G34="Férias",G34="Falta Justificada",G34="Feriado",G34="Folga (DSR)"),0,IF(G34="Falta Injustificada",HLOOKUP($F34,Jornada!$X$7:$AD$37,VLOOKUP(INDIRECT($C$5),Jornada!$C$8:$W$37,21,0),0),IF(HLOOKUP($F34,Jornada!$X$7:$AD$37,VLOOKUP(INDIRECT($C$5),Jornada!$C$8:$W$37,21,0),0)-M34&gt;0,HLOOKUP($F34,Jornada!$X$7:$AD$37,VLOOKUP(INDIRECT($C$5),Jornada!$C$8:$W$37,21,0),0)-M34,0)))</f>
        <v>0</v>
      </c>
      <c r="P34" s="190">
        <f ca="1">IF(HLOOKUP($F34,Jornada!$X$7:$AD$37,VLOOKUP(INDIRECT($C$5),Jornada!$C$8:$W$37,21,0),0)-M34&lt;0,ABS(HLOOKUP($F34,Jornada!$X$7:$AD$37,VLOOKUP(INDIRECT($C$5),Jornada!$C$8:$W$37,21,0),0)-M34),0)</f>
        <v>0</v>
      </c>
      <c r="Q34" s="95">
        <f t="shared" si="0"/>
        <v>0</v>
      </c>
      <c r="R34" s="2">
        <f t="shared" si="2"/>
        <v>0</v>
      </c>
      <c r="S34" s="74"/>
      <c r="T34" s="74"/>
      <c r="U34" s="74"/>
      <c r="X34" s="177"/>
      <c r="AB34" s="177">
        <f t="shared" si="10"/>
        <v>27</v>
      </c>
      <c r="AC34" s="2">
        <f t="shared" si="3"/>
        <v>6</v>
      </c>
      <c r="AG34" s="220">
        <f t="shared" si="4"/>
        <v>0</v>
      </c>
      <c r="AH34" s="220">
        <f ca="1">IF(HLOOKUP($F34,Jornada!$X$7:$AD$37,VLOOKUP(INDIRECT($C$5),Jornada!$C$8:$W$37,21,0),0)=0,0,VLOOKUP(INDIRECT($C$5),Jornada!$C$8:$H$37,4,0))</f>
        <v>0</v>
      </c>
      <c r="AI34" s="155">
        <f ca="1">IF(AND(I34=0,J34=0,OR(H34&lt;&gt;0,K34&lt;&gt;0),HLOOKUP($F34,Jornada!$X$7:$AD$37,VLOOKUP(INDIRECT($C$5),Jornada!$C$8:$W$37,21,0),0)&gt;$AK$5,M34&gt;$AK$5),VLOOKUP(INDIRECT($C$5),Jornada!$C$8:$H$37,6,0),IF(AG34&gt;VLOOKUP(INDIRECT($C$5),Jornada!$C$8:$H$37,6,0),IF(VLOOKUP(INDIRECT($C$5),Jornada!$C$8:$H$37,6,0)&lt;AG34,0,ABS(VLOOKUP(INDIRECT($C$5),Jornada!$C$8:$H$37,6,0))-AG34),0))</f>
        <v>0</v>
      </c>
      <c r="AJ34" s="155">
        <f t="shared" si="5"/>
        <v>1</v>
      </c>
      <c r="AK34" s="155">
        <f t="shared" si="6"/>
        <v>0</v>
      </c>
      <c r="AL34" s="155">
        <f ca="1">HLOOKUP($F34,Jornada!$I$5:$V$37,VLOOKUP(INDIRECT($C$5),Jornada!$C$8:$W$37,21,0)+2,0)</f>
        <v>0</v>
      </c>
      <c r="AM34" s="155">
        <f ca="1">HLOOKUP($F34,Jornada!$I$4:$V$37,VLOOKUP(INDIRECT($C$5),Jornada!$C$8:$W$37,21,0)+3,0)</f>
        <v>0</v>
      </c>
      <c r="AN34" s="155">
        <f t="shared" ca="1" si="7"/>
        <v>0</v>
      </c>
      <c r="AO34" s="155">
        <f t="shared" si="8"/>
        <v>0</v>
      </c>
      <c r="AP34" s="155">
        <f t="shared" si="9"/>
        <v>0</v>
      </c>
    </row>
    <row r="35" spans="1:42" s="2" customFormat="1" ht="30" customHeight="1" thickTop="1" thickBot="1" x14ac:dyDescent="0.25">
      <c r="A35" s="1"/>
      <c r="B35"/>
      <c r="C35" s="172" t="str">
        <f>IF(Funcionários!C34=0,"",Funcionários!C34)</f>
        <v/>
      </c>
      <c r="D35"/>
      <c r="E35" s="115">
        <f>Lanç!E35</f>
        <v>28</v>
      </c>
      <c r="F35" s="189" t="str">
        <f>Lanç!F35</f>
        <v>Sáb</v>
      </c>
      <c r="G35" s="81"/>
      <c r="H35" s="94"/>
      <c r="I35" s="94"/>
      <c r="J35" s="94"/>
      <c r="K35" s="94"/>
      <c r="L35" s="10"/>
      <c r="M35" s="95">
        <f t="shared" si="1"/>
        <v>0</v>
      </c>
      <c r="N35" s="96"/>
      <c r="O35" s="95">
        <f ca="1">IF(OR(G35=0,G35="Férias",G35="Falta Justificada",G35="Feriado",G35="Folga (DSR)"),0,IF(G35="Falta Injustificada",HLOOKUP($F35,Jornada!$X$7:$AD$37,VLOOKUP(INDIRECT($C$5),Jornada!$C$8:$W$37,21,0),0),IF(HLOOKUP($F35,Jornada!$X$7:$AD$37,VLOOKUP(INDIRECT($C$5),Jornada!$C$8:$W$37,21,0),0)-M35&gt;0,HLOOKUP($F35,Jornada!$X$7:$AD$37,VLOOKUP(INDIRECT($C$5),Jornada!$C$8:$W$37,21,0),0)-M35,0)))</f>
        <v>0</v>
      </c>
      <c r="P35" s="190">
        <f ca="1">IF(HLOOKUP($F35,Jornada!$X$7:$AD$37,VLOOKUP(INDIRECT($C$5),Jornada!$C$8:$W$37,21,0),0)-M35&lt;0,ABS(HLOOKUP($F35,Jornada!$X$7:$AD$37,VLOOKUP(INDIRECT($C$5),Jornada!$C$8:$W$37,21,0),0)-M35),0)</f>
        <v>0</v>
      </c>
      <c r="Q35" s="95">
        <f t="shared" si="0"/>
        <v>0</v>
      </c>
      <c r="R35" s="2">
        <f t="shared" si="2"/>
        <v>0</v>
      </c>
      <c r="S35"/>
      <c r="T35"/>
      <c r="U35"/>
      <c r="X35" s="177"/>
      <c r="AB35" s="177">
        <f>IF(MONTH(AB34+1)&lt;&gt;MONTH(AB34),"",AB34+1)</f>
        <v>28</v>
      </c>
      <c r="AC35" s="2">
        <f t="shared" si="3"/>
        <v>7</v>
      </c>
      <c r="AG35" s="220">
        <f t="shared" si="4"/>
        <v>0</v>
      </c>
      <c r="AH35" s="220">
        <f ca="1">IF(HLOOKUP($F35,Jornada!$X$7:$AD$37,VLOOKUP(INDIRECT($C$5),Jornada!$C$8:$W$37,21,0),0)=0,0,VLOOKUP(INDIRECT($C$5),Jornada!$C$8:$H$37,4,0))</f>
        <v>0</v>
      </c>
      <c r="AI35" s="155">
        <f ca="1">IF(AND(I35=0,J35=0,OR(H35&lt;&gt;0,K35&lt;&gt;0),HLOOKUP($F35,Jornada!$X$7:$AD$37,VLOOKUP(INDIRECT($C$5),Jornada!$C$8:$W$37,21,0),0)&gt;$AK$5,M35&gt;$AK$5),VLOOKUP(INDIRECT($C$5),Jornada!$C$8:$H$37,6,0),IF(AG35&gt;VLOOKUP(INDIRECT($C$5),Jornada!$C$8:$H$37,6,0),IF(VLOOKUP(INDIRECT($C$5),Jornada!$C$8:$H$37,6,0)&lt;AG35,0,ABS(VLOOKUP(INDIRECT($C$5),Jornada!$C$8:$H$37,6,0))-AG35),0))</f>
        <v>0</v>
      </c>
      <c r="AJ35" s="155">
        <f t="shared" si="5"/>
        <v>1</v>
      </c>
      <c r="AK35" s="155">
        <f t="shared" si="6"/>
        <v>0</v>
      </c>
      <c r="AL35" s="155">
        <f ca="1">HLOOKUP($F35,Jornada!$I$5:$V$37,VLOOKUP(INDIRECT($C$5),Jornada!$C$8:$W$37,21,0)+2,0)</f>
        <v>0</v>
      </c>
      <c r="AM35" s="155">
        <f ca="1">HLOOKUP($F35,Jornada!$I$4:$V$37,VLOOKUP(INDIRECT($C$5),Jornada!$C$8:$W$37,21,0)+3,0)</f>
        <v>0</v>
      </c>
      <c r="AN35" s="155">
        <f t="shared" ca="1" si="7"/>
        <v>0</v>
      </c>
      <c r="AO35" s="155">
        <f t="shared" si="8"/>
        <v>0</v>
      </c>
      <c r="AP35" s="155">
        <f t="shared" si="9"/>
        <v>0</v>
      </c>
    </row>
    <row r="36" spans="1:42" s="2" customFormat="1" ht="30" customHeight="1" thickTop="1" thickBot="1" x14ac:dyDescent="0.25">
      <c r="A36" s="1"/>
      <c r="B36"/>
      <c r="C36" s="172" t="str">
        <f>IF(Funcionários!C35=0,"",Funcionários!C35)</f>
        <v/>
      </c>
      <c r="D36"/>
      <c r="E36" s="115">
        <f>Lanç!E36</f>
        <v>29</v>
      </c>
      <c r="F36" s="189" t="str">
        <f>Lanç!F36</f>
        <v>Dom</v>
      </c>
      <c r="G36" s="81"/>
      <c r="H36" s="94"/>
      <c r="I36" s="94"/>
      <c r="J36" s="94"/>
      <c r="K36" s="94"/>
      <c r="L36" s="10"/>
      <c r="M36" s="95">
        <f t="shared" si="1"/>
        <v>0</v>
      </c>
      <c r="N36" s="96"/>
      <c r="O36" s="95">
        <f ca="1">IF(OR(G36=0,G36="Férias",G36="Falta Justificada",G36="Feriado",G36="Folga (DSR)"),0,IF(G36="Falta Injustificada",HLOOKUP($F36,Jornada!$X$7:$AD$37,VLOOKUP(INDIRECT($C$5),Jornada!$C$8:$W$37,21,0),0),IF(HLOOKUP($F36,Jornada!$X$7:$AD$37,VLOOKUP(INDIRECT($C$5),Jornada!$C$8:$W$37,21,0),0)-M36&gt;0,HLOOKUP($F36,Jornada!$X$7:$AD$37,VLOOKUP(INDIRECT($C$5),Jornada!$C$8:$W$37,21,0),0)-M36,0)))</f>
        <v>0</v>
      </c>
      <c r="P36" s="190">
        <f ca="1">IF(HLOOKUP($F36,Jornada!$X$7:$AD$37,VLOOKUP(INDIRECT($C$5),Jornada!$C$8:$W$37,21,0),0)-M36&lt;0,ABS(HLOOKUP($F36,Jornada!$X$7:$AD$37,VLOOKUP(INDIRECT($C$5),Jornada!$C$8:$W$37,21,0),0)-M36),0)</f>
        <v>0</v>
      </c>
      <c r="Q36" s="95">
        <f t="shared" si="0"/>
        <v>0</v>
      </c>
      <c r="R36" s="2">
        <f t="shared" si="2"/>
        <v>0</v>
      </c>
      <c r="S36"/>
      <c r="T36"/>
      <c r="U36"/>
      <c r="X36" s="177"/>
      <c r="AB36" s="177">
        <f>IF(MONTH(AB35+1)&lt;&gt;MONTH(AB35),"",IF(AB35="","",AB35+1))</f>
        <v>29</v>
      </c>
      <c r="AC36" s="2">
        <f>IF(ISERROR(WEEKDAY(AB36)),"",WEEKDAY(AB36))</f>
        <v>1</v>
      </c>
      <c r="AG36" s="220">
        <f t="shared" si="4"/>
        <v>0</v>
      </c>
      <c r="AH36" s="220">
        <f ca="1">IF(HLOOKUP($F36,Jornada!$X$7:$AD$37,VLOOKUP(INDIRECT($C$5),Jornada!$C$8:$W$37,21,0),0)=0,0,VLOOKUP(INDIRECT($C$5),Jornada!$C$8:$H$37,4,0))</f>
        <v>0</v>
      </c>
      <c r="AI36" s="155">
        <f ca="1">IF(AND(I36=0,J36=0,OR(H36&lt;&gt;0,K36&lt;&gt;0),HLOOKUP($F36,Jornada!$X$7:$AD$37,VLOOKUP(INDIRECT($C$5),Jornada!$C$8:$W$37,21,0),0)&gt;$AK$5,M36&gt;$AK$5),VLOOKUP(INDIRECT($C$5),Jornada!$C$8:$H$37,6,0),IF(AG36&gt;VLOOKUP(INDIRECT($C$5),Jornada!$C$8:$H$37,6,0),IF(VLOOKUP(INDIRECT($C$5),Jornada!$C$8:$H$37,6,0)&lt;AG36,0,ABS(VLOOKUP(INDIRECT($C$5),Jornada!$C$8:$H$37,6,0))-AG36),0))</f>
        <v>0</v>
      </c>
      <c r="AJ36" s="155">
        <f t="shared" si="5"/>
        <v>1</v>
      </c>
      <c r="AK36" s="155">
        <f t="shared" si="6"/>
        <v>0</v>
      </c>
      <c r="AL36" s="155">
        <f ca="1">HLOOKUP($F36,Jornada!$I$5:$V$37,VLOOKUP(INDIRECT($C$5),Jornada!$C$8:$W$37,21,0)+2,0)</f>
        <v>0</v>
      </c>
      <c r="AM36" s="155">
        <f ca="1">HLOOKUP($F36,Jornada!$I$4:$V$37,VLOOKUP(INDIRECT($C$5),Jornada!$C$8:$W$37,21,0)+3,0)</f>
        <v>0</v>
      </c>
      <c r="AN36" s="155">
        <f t="shared" ca="1" si="7"/>
        <v>0</v>
      </c>
      <c r="AO36" s="155">
        <f t="shared" si="8"/>
        <v>0</v>
      </c>
      <c r="AP36" s="155">
        <f t="shared" si="9"/>
        <v>0</v>
      </c>
    </row>
    <row r="37" spans="1:42" s="2" customFormat="1" ht="30" customHeight="1" thickTop="1" thickBot="1" x14ac:dyDescent="0.25">
      <c r="A37" s="1"/>
      <c r="B37"/>
      <c r="C37" s="171" t="str">
        <f>IF(Funcionários!C36=0,"",Funcionários!C36)</f>
        <v/>
      </c>
      <c r="D37"/>
      <c r="E37" s="115">
        <f>Lanç!E37</f>
        <v>30</v>
      </c>
      <c r="F37" s="189" t="str">
        <f>Lanç!F37</f>
        <v>Seg</v>
      </c>
      <c r="G37" s="81"/>
      <c r="H37" s="94"/>
      <c r="I37" s="94"/>
      <c r="J37" s="94"/>
      <c r="K37" s="94"/>
      <c r="L37" s="10"/>
      <c r="M37" s="95">
        <f t="shared" si="1"/>
        <v>0</v>
      </c>
      <c r="N37" s="96"/>
      <c r="O37" s="95">
        <f ca="1">IF(OR(G37=0,G37="Férias",G37="Falta Justificada",G37="Feriado",G37="Folga (DSR)"),0,IF(G37="Falta Injustificada",HLOOKUP($F37,Jornada!$X$7:$AD$37,VLOOKUP(INDIRECT($C$5),Jornada!$C$8:$W$37,21,0),0),IF(HLOOKUP($F37,Jornada!$X$7:$AD$37,VLOOKUP(INDIRECT($C$5),Jornada!$C$8:$W$37,21,0),0)-M37&gt;0,HLOOKUP($F37,Jornada!$X$7:$AD$37,VLOOKUP(INDIRECT($C$5),Jornada!$C$8:$W$37,21,0),0)-M37,0)))</f>
        <v>0</v>
      </c>
      <c r="P37" s="190">
        <f ca="1">IF(HLOOKUP($F37,Jornada!$X$7:$AD$37,VLOOKUP(INDIRECT($C$5),Jornada!$C$8:$W$37,21,0),0)-M37&lt;0,ABS(HLOOKUP($F37,Jornada!$X$7:$AD$37,VLOOKUP(INDIRECT($C$5),Jornada!$C$8:$W$37,21,0),0)-M37),0)</f>
        <v>0</v>
      </c>
      <c r="Q37" s="95">
        <f t="shared" si="0"/>
        <v>0</v>
      </c>
      <c r="R37" s="2">
        <f t="shared" si="2"/>
        <v>0</v>
      </c>
      <c r="S37"/>
      <c r="T37"/>
      <c r="U37"/>
      <c r="X37" s="177"/>
      <c r="AB37" s="177">
        <f>IF(AB36="","",IF(MONTH(AB36+1)&lt;&gt;MONTH(AB36),"",AB36+1))</f>
        <v>30</v>
      </c>
      <c r="AC37" s="2">
        <f>IF(ISERROR(WEEKDAY(AB37)),"",WEEKDAY(AB37))</f>
        <v>2</v>
      </c>
      <c r="AG37" s="220">
        <f t="shared" si="4"/>
        <v>0</v>
      </c>
      <c r="AH37" s="220">
        <f ca="1">IF(HLOOKUP($F37,Jornada!$X$7:$AD$37,VLOOKUP(INDIRECT($C$5),Jornada!$C$8:$W$37,21,0),0)=0,0,VLOOKUP(INDIRECT($C$5),Jornada!$C$8:$H$37,4,0))</f>
        <v>0</v>
      </c>
      <c r="AI37" s="155">
        <f ca="1">IF(AND(I37=0,J37=0,OR(H37&lt;&gt;0,K37&lt;&gt;0),HLOOKUP($F37,Jornada!$X$7:$AD$37,VLOOKUP(INDIRECT($C$5),Jornada!$C$8:$W$37,21,0),0)&gt;$AK$5,M37&gt;$AK$5),VLOOKUP(INDIRECT($C$5),Jornada!$C$8:$H$37,6,0),IF(AG37&gt;VLOOKUP(INDIRECT($C$5),Jornada!$C$8:$H$37,6,0),IF(VLOOKUP(INDIRECT($C$5),Jornada!$C$8:$H$37,6,0)&lt;AG37,0,ABS(VLOOKUP(INDIRECT($C$5),Jornada!$C$8:$H$37,6,0))-AG37),0))</f>
        <v>0</v>
      </c>
      <c r="AJ37" s="155">
        <f t="shared" si="5"/>
        <v>1</v>
      </c>
      <c r="AK37" s="155">
        <f t="shared" si="6"/>
        <v>0</v>
      </c>
      <c r="AL37" s="155">
        <f ca="1">HLOOKUP($F37,Jornada!$I$5:$V$37,VLOOKUP(INDIRECT($C$5),Jornada!$C$8:$W$37,21,0)+2,0)</f>
        <v>0</v>
      </c>
      <c r="AM37" s="155">
        <f ca="1">HLOOKUP($F37,Jornada!$I$4:$V$37,VLOOKUP(INDIRECT($C$5),Jornada!$C$8:$W$37,21,0)+3,0)</f>
        <v>0</v>
      </c>
      <c r="AN37" s="155">
        <f t="shared" ca="1" si="7"/>
        <v>0</v>
      </c>
      <c r="AO37" s="155">
        <f t="shared" si="8"/>
        <v>0</v>
      </c>
      <c r="AP37" s="155">
        <f t="shared" si="9"/>
        <v>0</v>
      </c>
    </row>
    <row r="38" spans="1:42" s="2" customFormat="1" ht="30" customHeight="1" thickTop="1" thickBot="1" x14ac:dyDescent="0.25">
      <c r="A38" s="1"/>
      <c r="B38"/>
      <c r="C38"/>
      <c r="D38" s="2">
        <f t="shared" ref="D38" si="11">IF(D37=7,1,D37+1)</f>
        <v>1</v>
      </c>
      <c r="E38" s="210">
        <f>Lanç!E38</f>
        <v>31</v>
      </c>
      <c r="F38" s="210" t="str">
        <f>Lanç!F38</f>
        <v>Ter</v>
      </c>
      <c r="G38" s="81"/>
      <c r="H38" s="94"/>
      <c r="I38" s="94"/>
      <c r="J38" s="94"/>
      <c r="K38" s="94"/>
      <c r="L38" s="197"/>
      <c r="M38" s="95">
        <f t="shared" si="1"/>
        <v>0</v>
      </c>
      <c r="N38" s="196"/>
      <c r="O38" s="95">
        <f ca="1">IF(OR(G38=0,G38="Férias",G38="Falta Justificada",G38="Feriado",G38="Folga (DSR)"),0,IF(G38="Falta Injustificada",HLOOKUP($F38,Jornada!$X$7:$AD$37,VLOOKUP(INDIRECT($C$5),Jornada!$C$8:$W$37,21,0),0),IF(HLOOKUP($F38,Jornada!$X$7:$AD$37,VLOOKUP(INDIRECT($C$5),Jornada!$C$8:$W$37,21,0),0)-M38&gt;0,HLOOKUP($F38,Jornada!$X$7:$AD$37,VLOOKUP(INDIRECT($C$5),Jornada!$C$8:$W$37,21,0),0)-M38,0)))</f>
        <v>0</v>
      </c>
      <c r="P38" s="201">
        <f ca="1">IF(HLOOKUP($F38,Jornada!$X$7:$AD$37,VLOOKUP(INDIRECT($C$5),Jornada!$C$8:$W$37,21,0),0)-M38&lt;0,ABS(HLOOKUP($F38,Jornada!$X$7:$AD$37,VLOOKUP(INDIRECT($C$5),Jornada!$C$8:$W$37,21,0),0)-M38),0)</f>
        <v>0</v>
      </c>
      <c r="Q38" s="95">
        <f t="shared" si="0"/>
        <v>0</v>
      </c>
      <c r="R38" s="2">
        <f t="shared" si="2"/>
        <v>0</v>
      </c>
      <c r="X38" s="177"/>
      <c r="AB38" s="177">
        <f>IF(AB37="","",IF(MONTH(AB37+1)&lt;&gt;MONTH(AB37),"",AB37+1))</f>
        <v>31</v>
      </c>
      <c r="AC38" s="2">
        <f>IF(ISERROR(WEEKDAY(AB38)),"",WEEKDAY(AB38))</f>
        <v>3</v>
      </c>
      <c r="AG38" s="220">
        <f t="shared" si="4"/>
        <v>0</v>
      </c>
      <c r="AH38" s="220">
        <f ca="1">IF(HLOOKUP($F38,Jornada!$X$7:$AD$37,VLOOKUP(INDIRECT($C$5),Jornada!$C$8:$W$37,21,0),0)=0,0,VLOOKUP(INDIRECT($C$5),Jornada!$C$8:$H$37,4,0))</f>
        <v>0</v>
      </c>
      <c r="AI38" s="155">
        <f ca="1">IF(AND(I38=0,J38=0,OR(H38&lt;&gt;0,K38&lt;&gt;0),HLOOKUP($F38,Jornada!$X$7:$AD$37,VLOOKUP(INDIRECT($C$5),Jornada!$C$8:$W$37,21,0),0)&gt;$AK$5,M38&gt;$AK$5),VLOOKUP(INDIRECT($C$5),Jornada!$C$8:$H$37,6,0),IF(AG38&gt;VLOOKUP(INDIRECT($C$5),Jornada!$C$8:$H$37,6,0),IF(VLOOKUP(INDIRECT($C$5),Jornada!$C$8:$H$37,6,0)&lt;AG38,0,ABS(VLOOKUP(INDIRECT($C$5),Jornada!$C$8:$H$37,6,0))-AG38),0))</f>
        <v>0</v>
      </c>
      <c r="AJ38" s="155">
        <f t="shared" si="5"/>
        <v>1</v>
      </c>
      <c r="AK38" s="155">
        <f t="shared" si="6"/>
        <v>0</v>
      </c>
      <c r="AL38" s="155">
        <f ca="1">HLOOKUP($F38,Jornada!$I$5:$V$37,VLOOKUP(INDIRECT($C$5),Jornada!$C$8:$W$37,21,0)+2,0)</f>
        <v>0</v>
      </c>
      <c r="AM38" s="155">
        <f ca="1">HLOOKUP($F38,Jornada!$I$4:$V$37,VLOOKUP(INDIRECT($C$5),Jornada!$C$8:$W$37,21,0)+3,0)</f>
        <v>0</v>
      </c>
      <c r="AN38" s="155">
        <f t="shared" ca="1" si="7"/>
        <v>0</v>
      </c>
      <c r="AO38" s="155">
        <f t="shared" si="8"/>
        <v>0</v>
      </c>
      <c r="AP38" s="155">
        <f t="shared" si="9"/>
        <v>0</v>
      </c>
    </row>
    <row r="39" spans="1:42" s="2" customFormat="1" ht="30" customHeight="1" thickTop="1" x14ac:dyDescent="0.2">
      <c r="A39" s="9"/>
      <c r="B39" s="234"/>
      <c r="C39" s="234"/>
      <c r="D39" s="234"/>
      <c r="E39" s="236">
        <f>EOMONTH(AB8,0)</f>
        <v>31</v>
      </c>
      <c r="F39" s="234">
        <f>DAY(E39)</f>
        <v>31</v>
      </c>
      <c r="G39" s="237">
        <f>COUNTIF(F8:F38,"Dom")+COUNTIF(G8:G38,"Feriado")</f>
        <v>5</v>
      </c>
      <c r="H39" s="238">
        <f>(SUM(Q8:Q38)/(F39-G39))*G39</f>
        <v>0</v>
      </c>
      <c r="I39" s="234"/>
      <c r="J39" s="234"/>
      <c r="K39" s="234"/>
      <c r="L39" s="234"/>
      <c r="M39" s="234"/>
      <c r="Z39" s="219"/>
    </row>
    <row r="40" spans="1:42" s="2" customFormat="1" ht="30" customHeight="1" x14ac:dyDescent="0.2">
      <c r="A40" s="9"/>
      <c r="B40" s="234"/>
      <c r="C40" s="239"/>
      <c r="D40" s="239"/>
      <c r="E40" s="239"/>
      <c r="F40" s="240"/>
      <c r="G40" s="241"/>
      <c r="H40" s="234">
        <f ca="1">IF(INDIRECT($C$5)="",0,VLOOKUP(INDIRECT($C$5),Funcionários!$C$7:$E$36,3,0)+IF(VLOOKUP(INDIRECT($C$5),Jornada!$C$8:$E$37,2,0)="Sim",IF('P Gerais'!$I$8&lt;&gt;0,VLOOKUP(INDIRECT($C$5),Funcionários!$C$7:$E$36,3,0)*'P Gerais'!$L$14,'P Gerais'!$I$8*'P Gerais'!$L$14),0)+IF(VLOOKUP(INDIRECT($C$5),Jornada!$C$8:$E$37,3,0)="Sim",VLOOKUP(INDIRECT($C$5),Funcionários!$C$7:$E$36,3,0)*'P Gerais'!$K$14,0))</f>
        <v>0</v>
      </c>
      <c r="I40" s="234">
        <f ca="1">VLOOKUP(INDIRECT($C$5),Jornada!$C$8:$AF$37,30,0)</f>
        <v>0</v>
      </c>
      <c r="J40" s="234" t="s">
        <v>298</v>
      </c>
      <c r="K40" s="242">
        <f ca="1">IF(I40=0,0,H40/I40)</f>
        <v>0</v>
      </c>
      <c r="L40" s="234"/>
      <c r="M40" s="234"/>
      <c r="Z40" s="219"/>
    </row>
    <row r="41" spans="1:42" s="2" customFormat="1" ht="30" customHeight="1" x14ac:dyDescent="0.2">
      <c r="A41" s="9"/>
      <c r="B41" s="234" t="s">
        <v>52</v>
      </c>
      <c r="C41" s="292" t="s">
        <v>75</v>
      </c>
      <c r="D41" s="292"/>
      <c r="E41" s="292"/>
      <c r="F41" s="243">
        <f t="shared" ref="F41:F47" si="12">SUMIFS($Q$8:$Q$38,$F$8:$F$38,$B41,$G$8:$G$38,"Normal")</f>
        <v>0</v>
      </c>
      <c r="G41" s="244">
        <f>IF($M$41="Sistema de banco de horas",0,'P Gerais'!$C$14)</f>
        <v>0.5</v>
      </c>
      <c r="H41" s="245">
        <f t="shared" ref="H41:H48" ca="1" si="13">IF($M$41="Sistema de banco de horas",0,$K$40*(1+G41)*(F41*24))</f>
        <v>0</v>
      </c>
      <c r="I41" s="243">
        <f t="shared" ref="I41:I47" ca="1" si="14">IF(SUMIF($F$8:$F$38,$B41,$Q$8:$Q$38)-SUMIFS($M$8:$M$38,$F$8:$F$38,$B41,$G$8:$G$38,"Feriado")-SUMIFS($M$8:$M$38,$F$8:$F$38,$B41,$G$8:$G$38,"Folga (DSR)")-SUMIFS($M$8:$M$38,$F$8:$F$38,$B41,$G$8:$G$38,"Férias")-SUMIF($F$8:$F$38,$B41,$AN$8:$AN$38)-SUMIF($F$8:$F$38,$B41,$AO$8:$AO$38)&lt;0,0,SUMIF($F$8:$F$38,$B41,$Q$8:$Q$38)-SUMIFS($M$8:$M$38,$F$8:$F$38,$B41,$G$8:$G$38,"Feriado")-SUMIFS($M$8:$M$38,$F$8:$F$38,$B41,$G$8:$G$38,"Folga (DSR)")-SUMIFS($M$8:$M$38,$F$8:$F$38,$B41,$G$8:$G$38,"Férias")-SUMIF($F$8:$F$38,$B41,$AN$8:$AN$38)-SUMIF($F$8:$F$38,$B41,$AO$8:$AO$38))</f>
        <v>0</v>
      </c>
      <c r="J41" s="245">
        <f ca="1">H41</f>
        <v>0</v>
      </c>
      <c r="K41" s="234"/>
      <c r="L41" s="234"/>
      <c r="M41" s="234">
        <f>'P Gerais'!I10</f>
        <v>0</v>
      </c>
      <c r="Z41" s="219"/>
    </row>
    <row r="42" spans="1:42" s="2" customFormat="1" ht="30" customHeight="1" x14ac:dyDescent="0.2">
      <c r="A42" s="9"/>
      <c r="B42" s="234" t="s">
        <v>53</v>
      </c>
      <c r="C42" s="292" t="s">
        <v>76</v>
      </c>
      <c r="D42" s="292"/>
      <c r="E42" s="292"/>
      <c r="F42" s="243">
        <f t="shared" si="12"/>
        <v>0</v>
      </c>
      <c r="G42" s="244">
        <f>IF($M$41="Sistema de banco de horas",0,'P Gerais'!$C$14)</f>
        <v>0.5</v>
      </c>
      <c r="H42" s="245">
        <f t="shared" ca="1" si="13"/>
        <v>0</v>
      </c>
      <c r="I42" s="243">
        <f t="shared" ca="1" si="14"/>
        <v>0</v>
      </c>
      <c r="J42" s="245">
        <f t="shared" ref="J42:J51" ca="1" si="15">H42</f>
        <v>0</v>
      </c>
      <c r="K42" s="234"/>
      <c r="L42" s="234"/>
      <c r="M42" s="234"/>
      <c r="Z42" s="219"/>
    </row>
    <row r="43" spans="1:42" s="2" customFormat="1" ht="30" customHeight="1" x14ac:dyDescent="0.2">
      <c r="A43" s="9"/>
      <c r="B43" s="234" t="s">
        <v>54</v>
      </c>
      <c r="C43" s="292" t="s">
        <v>77</v>
      </c>
      <c r="D43" s="292"/>
      <c r="E43" s="292"/>
      <c r="F43" s="243">
        <f t="shared" si="12"/>
        <v>0</v>
      </c>
      <c r="G43" s="244">
        <f>IF($M$41="Sistema de banco de horas",0,'P Gerais'!$C$14)</f>
        <v>0.5</v>
      </c>
      <c r="H43" s="245">
        <f t="shared" ca="1" si="13"/>
        <v>0</v>
      </c>
      <c r="I43" s="243">
        <f t="shared" ca="1" si="14"/>
        <v>0</v>
      </c>
      <c r="J43" s="245">
        <f t="shared" ca="1" si="15"/>
        <v>0</v>
      </c>
      <c r="K43" s="234"/>
      <c r="L43" s="234"/>
      <c r="M43" s="234"/>
      <c r="Z43" s="219"/>
    </row>
    <row r="44" spans="1:42" s="2" customFormat="1" ht="30" customHeight="1" x14ac:dyDescent="0.2">
      <c r="A44" s="9"/>
      <c r="B44" s="234" t="s">
        <v>55</v>
      </c>
      <c r="C44" s="292" t="s">
        <v>78</v>
      </c>
      <c r="D44" s="292"/>
      <c r="E44" s="292"/>
      <c r="F44" s="243">
        <f t="shared" si="12"/>
        <v>0</v>
      </c>
      <c r="G44" s="244">
        <f>IF($M$41="Sistema de banco de horas",0,'P Gerais'!$C$14)</f>
        <v>0.5</v>
      </c>
      <c r="H44" s="245">
        <f t="shared" ca="1" si="13"/>
        <v>0</v>
      </c>
      <c r="I44" s="243">
        <f t="shared" ca="1" si="14"/>
        <v>0</v>
      </c>
      <c r="J44" s="245">
        <f t="shared" ca="1" si="15"/>
        <v>0</v>
      </c>
      <c r="K44" s="234"/>
      <c r="L44" s="234"/>
      <c r="M44" s="234"/>
      <c r="Z44" s="219"/>
    </row>
    <row r="45" spans="1:42" s="2" customFormat="1" ht="30" customHeight="1" x14ac:dyDescent="0.2">
      <c r="A45" s="9"/>
      <c r="B45" s="234" t="s">
        <v>56</v>
      </c>
      <c r="C45" s="292" t="s">
        <v>79</v>
      </c>
      <c r="D45" s="292"/>
      <c r="E45" s="292"/>
      <c r="F45" s="243">
        <f t="shared" si="12"/>
        <v>0</v>
      </c>
      <c r="G45" s="244">
        <f>IF($M$41="Sistema de banco de horas",0,'P Gerais'!$C$14)</f>
        <v>0.5</v>
      </c>
      <c r="H45" s="245">
        <f t="shared" ca="1" si="13"/>
        <v>0</v>
      </c>
      <c r="I45" s="243">
        <f t="shared" ca="1" si="14"/>
        <v>0</v>
      </c>
      <c r="J45" s="245">
        <f t="shared" ca="1" si="15"/>
        <v>0</v>
      </c>
      <c r="K45" s="234"/>
      <c r="L45" s="234"/>
      <c r="M45" s="234"/>
      <c r="Z45" s="219"/>
    </row>
    <row r="46" spans="1:42" s="2" customFormat="1" ht="30" customHeight="1" x14ac:dyDescent="0.2">
      <c r="A46" s="9"/>
      <c r="B46" s="234" t="s">
        <v>57</v>
      </c>
      <c r="C46" s="292" t="s">
        <v>82</v>
      </c>
      <c r="D46" s="292"/>
      <c r="E46" s="292"/>
      <c r="F46" s="243">
        <f t="shared" si="12"/>
        <v>0</v>
      </c>
      <c r="G46" s="244">
        <f>IF($M$41="Sistema de banco de horas",0,'P Gerais'!$E$14)</f>
        <v>0.5</v>
      </c>
      <c r="H46" s="245">
        <f t="shared" ca="1" si="13"/>
        <v>0</v>
      </c>
      <c r="I46" s="243">
        <f t="shared" ca="1" si="14"/>
        <v>0</v>
      </c>
      <c r="J46" s="245">
        <f t="shared" ca="1" si="15"/>
        <v>0</v>
      </c>
      <c r="K46" s="234"/>
      <c r="L46" s="234"/>
      <c r="M46" s="234"/>
      <c r="Z46" s="219"/>
    </row>
    <row r="47" spans="1:42" s="2" customFormat="1" ht="30" customHeight="1" x14ac:dyDescent="0.2">
      <c r="A47" s="9"/>
      <c r="B47" s="234" t="s">
        <v>51</v>
      </c>
      <c r="C47" s="292" t="s">
        <v>81</v>
      </c>
      <c r="D47" s="292"/>
      <c r="E47" s="292"/>
      <c r="F47" s="243">
        <f t="shared" si="12"/>
        <v>0</v>
      </c>
      <c r="G47" s="244">
        <f>IF($M$41="Sistema de banco de horas",0,'P Gerais'!$F$14)</f>
        <v>1</v>
      </c>
      <c r="H47" s="245">
        <f t="shared" ca="1" si="13"/>
        <v>0</v>
      </c>
      <c r="I47" s="243">
        <f t="shared" ca="1" si="14"/>
        <v>0</v>
      </c>
      <c r="J47" s="245">
        <f t="shared" ca="1" si="15"/>
        <v>0</v>
      </c>
      <c r="K47" s="234"/>
      <c r="L47" s="234"/>
      <c r="M47" s="234"/>
      <c r="Z47" s="219"/>
    </row>
    <row r="48" spans="1:42" s="2" customFormat="1" ht="30" customHeight="1" x14ac:dyDescent="0.2">
      <c r="A48" s="9"/>
      <c r="B48" s="234"/>
      <c r="C48" s="292" t="s">
        <v>80</v>
      </c>
      <c r="D48" s="292"/>
      <c r="E48" s="292"/>
      <c r="F48" s="243">
        <f>SUMIFS($Q$8:$Q$38,$G$8:$G$38,"Feriado")</f>
        <v>0</v>
      </c>
      <c r="G48" s="244">
        <f>IF($M$41="Sistema de banco de horas",0,'P Gerais'!$I$14)</f>
        <v>1</v>
      </c>
      <c r="H48" s="245">
        <f t="shared" ca="1" si="13"/>
        <v>0</v>
      </c>
      <c r="I48" s="243"/>
      <c r="J48" s="245">
        <f t="shared" ca="1" si="15"/>
        <v>0</v>
      </c>
      <c r="K48" s="234"/>
      <c r="L48" s="234"/>
      <c r="M48" s="234"/>
      <c r="Z48" s="219"/>
    </row>
    <row r="49" spans="1:26" s="2" customFormat="1" ht="15" x14ac:dyDescent="0.2">
      <c r="A49" s="9"/>
      <c r="B49" s="234"/>
      <c r="C49" s="292" t="s">
        <v>146</v>
      </c>
      <c r="D49" s="292"/>
      <c r="E49" s="292"/>
      <c r="F49" s="243">
        <f>SUMIFS($Q$8:$Q$38,$G$8:$G$38,"Folga (DSR)")</f>
        <v>0</v>
      </c>
      <c r="G49" s="244">
        <f>IF($M$41="Sistema de banco de horas",0,'P Gerais'!H14)</f>
        <v>1</v>
      </c>
      <c r="H49" s="245">
        <f ca="1">((F53/(F39-G39))*G39)</f>
        <v>0</v>
      </c>
      <c r="I49" s="243"/>
      <c r="J49" s="245">
        <f t="shared" ca="1" si="15"/>
        <v>0</v>
      </c>
      <c r="K49" s="234"/>
      <c r="L49" s="234"/>
      <c r="M49" s="234"/>
      <c r="Z49" s="219"/>
    </row>
    <row r="50" spans="1:26" s="2" customFormat="1" ht="15" x14ac:dyDescent="0.2">
      <c r="A50" s="9"/>
      <c r="B50" s="234"/>
      <c r="C50" s="292" t="s">
        <v>84</v>
      </c>
      <c r="D50" s="292"/>
      <c r="E50" s="292"/>
      <c r="F50" s="243">
        <f ca="1">IF($M$41="Sistema de banco de horas",(SUM(AI$8:AI$38)*(1+G50)),SUM(AI$8:AI$38))</f>
        <v>0</v>
      </c>
      <c r="G50" s="244">
        <f>IF($M$41="Sistema de banco de horas",0,'P Gerais'!$I$17)</f>
        <v>0.5</v>
      </c>
      <c r="H50" s="245">
        <f ca="1">IF($M$41="Sistema de banco de horas",0,$K$40*(1+G50)*(F50*24))</f>
        <v>0</v>
      </c>
      <c r="I50" s="243">
        <f ca="1">IF(SUM($AN$8:$AO$38)&gt;SUM(AI$8:AI$38),0,SUM(AI$8:AI$38)-SUM($AN$8:$AO$38))</f>
        <v>0</v>
      </c>
      <c r="J50" s="245">
        <f t="shared" ca="1" si="15"/>
        <v>0</v>
      </c>
      <c r="K50" s="234"/>
      <c r="L50" s="234"/>
      <c r="M50" s="234"/>
      <c r="Z50" s="219"/>
    </row>
    <row r="51" spans="1:26" s="2" customFormat="1" ht="15" x14ac:dyDescent="0.2">
      <c r="A51" s="9"/>
      <c r="B51" s="234"/>
      <c r="C51" s="292" t="s">
        <v>85</v>
      </c>
      <c r="D51" s="292"/>
      <c r="E51" s="292"/>
      <c r="F51" s="243">
        <f>IF($M$41="Sistema de banco de horas",(SUM(AK$8:AK$38)*(1+G51)),SUM(AK$8:AK$38))</f>
        <v>0</v>
      </c>
      <c r="G51" s="244">
        <f>IF($M$41="Sistema de banco de horas",0,'P Gerais'!$C$17)</f>
        <v>1</v>
      </c>
      <c r="H51" s="245">
        <f ca="1">IF($M$41="Sistema de banco de horas",0,$K$40*(1+G51)*(F51*24))</f>
        <v>0</v>
      </c>
      <c r="I51" s="243"/>
      <c r="J51" s="245">
        <f t="shared" ca="1" si="15"/>
        <v>0</v>
      </c>
      <c r="K51" s="234"/>
      <c r="L51" s="234"/>
      <c r="M51" s="234"/>
      <c r="Z51" s="219"/>
    </row>
    <row r="52" spans="1:26" s="2" customFormat="1" ht="15" customHeight="1" x14ac:dyDescent="0.2">
      <c r="A52" s="9"/>
      <c r="B52" s="234"/>
      <c r="C52" s="292" t="s">
        <v>87</v>
      </c>
      <c r="D52" s="292"/>
      <c r="E52" s="292"/>
      <c r="F52" s="243">
        <f ca="1">U12</f>
        <v>0</v>
      </c>
      <c r="G52" s="246"/>
      <c r="H52" s="234"/>
      <c r="I52" s="234"/>
      <c r="J52" s="234"/>
      <c r="K52" s="234"/>
      <c r="L52" s="234"/>
      <c r="M52" s="234"/>
      <c r="Z52" s="219"/>
    </row>
    <row r="53" spans="1:26" s="2" customFormat="1" ht="15" x14ac:dyDescent="0.2">
      <c r="A53" s="9"/>
      <c r="B53" s="234"/>
      <c r="C53" s="292" t="s">
        <v>299</v>
      </c>
      <c r="D53" s="292"/>
      <c r="E53" s="292"/>
      <c r="F53" s="247">
        <f ca="1">SUM(H48)+J50+H51+SUM(J41:J47)</f>
        <v>0</v>
      </c>
      <c r="G53" s="248"/>
      <c r="H53" s="234"/>
      <c r="I53" s="234"/>
      <c r="J53" s="234"/>
      <c r="K53" s="234"/>
      <c r="L53" s="234"/>
      <c r="M53" s="234"/>
      <c r="Z53" s="219"/>
    </row>
    <row r="54" spans="1:26" s="2" customFormat="1" ht="15" x14ac:dyDescent="0.2">
      <c r="A54" s="9"/>
      <c r="B54" s="234"/>
      <c r="C54" s="292" t="s">
        <v>88</v>
      </c>
      <c r="D54" s="292"/>
      <c r="E54" s="292"/>
      <c r="F54" s="247">
        <f ca="1">F53+(H49*(1+G49))</f>
        <v>0</v>
      </c>
      <c r="G54" s="248"/>
      <c r="H54" s="249"/>
      <c r="I54" s="234"/>
      <c r="J54" s="234"/>
      <c r="K54" s="234"/>
      <c r="L54" s="234"/>
      <c r="M54" s="234"/>
      <c r="Z54" s="219"/>
    </row>
    <row r="55" spans="1:26" s="2" customFormat="1" ht="15" x14ac:dyDescent="0.2">
      <c r="A55" s="9"/>
      <c r="B55" s="234"/>
      <c r="C55" s="292" t="s">
        <v>89</v>
      </c>
      <c r="D55" s="292"/>
      <c r="E55" s="292"/>
      <c r="F55" s="247">
        <f ca="1">H40+F54</f>
        <v>0</v>
      </c>
      <c r="G55" s="246"/>
      <c r="H55" s="234"/>
      <c r="I55" s="234"/>
      <c r="J55" s="234"/>
      <c r="K55" s="234"/>
      <c r="L55" s="234"/>
      <c r="M55" s="234"/>
      <c r="Z55" s="219"/>
    </row>
    <row r="56" spans="1:26" s="2" customFormat="1" ht="15" x14ac:dyDescent="0.2">
      <c r="A56" s="9"/>
      <c r="B56" s="234"/>
      <c r="C56" s="292" t="s">
        <v>178</v>
      </c>
      <c r="D56" s="292"/>
      <c r="E56" s="292"/>
      <c r="F56" s="243">
        <f>IF($M$41="Sistema de banco de horas",(SUMIF($G$8:$G$38,"Férias",Q8:Q38))*(1+G48),SUMIF($G$8:$G$38,"Férias",Q8:Q38))</f>
        <v>0</v>
      </c>
      <c r="G56" s="246"/>
      <c r="H56" s="234"/>
      <c r="I56" s="234"/>
      <c r="J56" s="234"/>
      <c r="K56" s="234"/>
      <c r="L56" s="234"/>
      <c r="M56" s="234"/>
      <c r="Z56" s="219"/>
    </row>
    <row r="57" spans="1:26" s="2" customFormat="1" ht="15" x14ac:dyDescent="0.2">
      <c r="A57" s="9"/>
      <c r="B57" s="234"/>
      <c r="C57" s="239"/>
      <c r="D57" s="239"/>
      <c r="E57" s="239"/>
      <c r="F57" s="250">
        <f ca="1">U14</f>
        <v>0</v>
      </c>
      <c r="G57" s="246"/>
      <c r="H57" s="234"/>
      <c r="I57" s="234"/>
      <c r="J57" s="234"/>
      <c r="K57" s="234"/>
      <c r="L57" s="234"/>
      <c r="M57" s="234"/>
      <c r="Z57" s="219"/>
    </row>
    <row r="58" spans="1:26" s="2" customFormat="1" ht="15" x14ac:dyDescent="0.2">
      <c r="A58" s="9"/>
      <c r="B58" s="234"/>
      <c r="C58" s="239"/>
      <c r="D58" s="239"/>
      <c r="E58" s="239"/>
      <c r="F58" s="243">
        <f ca="1">SUM(F41:F51)</f>
        <v>0</v>
      </c>
      <c r="G58" s="246"/>
      <c r="H58" s="234"/>
      <c r="I58" s="234"/>
      <c r="J58" s="234"/>
      <c r="K58" s="234"/>
      <c r="L58" s="234"/>
      <c r="M58" s="234"/>
      <c r="Z58" s="219"/>
    </row>
    <row r="59" spans="1:26" s="2" customFormat="1" ht="15" x14ac:dyDescent="0.2">
      <c r="A59" s="9"/>
      <c r="Z59" s="219"/>
    </row>
    <row r="60" spans="1:26" s="2" customFormat="1" ht="15" x14ac:dyDescent="0.2">
      <c r="A60" s="9"/>
      <c r="G60" s="178"/>
      <c r="Z60" s="219"/>
    </row>
    <row r="61" spans="1:26" ht="15" x14ac:dyDescent="0.2"/>
    <row r="62" spans="1:26" ht="15" x14ac:dyDescent="0.2"/>
    <row r="63" spans="1:26" ht="15" x14ac:dyDescent="0.2"/>
    <row r="64" spans="1:26" ht="15" x14ac:dyDescent="0.2"/>
    <row r="65" ht="15" x14ac:dyDescent="0.2"/>
    <row r="66" ht="15" x14ac:dyDescent="0.2"/>
    <row r="67" ht="15" x14ac:dyDescent="0.2"/>
    <row r="68" ht="15" x14ac:dyDescent="0.2"/>
    <row r="69" ht="15" x14ac:dyDescent="0.2"/>
    <row r="70" ht="15" x14ac:dyDescent="0.2"/>
    <row r="71" ht="15" x14ac:dyDescent="0.2"/>
    <row r="72" ht="15" x14ac:dyDescent="0.2"/>
    <row r="73" ht="15" x14ac:dyDescent="0.2"/>
    <row r="74" ht="15" x14ac:dyDescent="0.2"/>
    <row r="75" ht="15" x14ac:dyDescent="0.2"/>
    <row r="76" ht="15" x14ac:dyDescent="0.2"/>
    <row r="77" ht="15" x14ac:dyDescent="0.2"/>
    <row r="78" ht="15" x14ac:dyDescent="0.2"/>
    <row r="79" ht="15" x14ac:dyDescent="0.2"/>
    <row r="80" ht="15" x14ac:dyDescent="0.2"/>
    <row r="81" ht="15" x14ac:dyDescent="0.2"/>
    <row r="82" ht="15" x14ac:dyDescent="0.2"/>
    <row r="83" ht="15" x14ac:dyDescent="0.2"/>
    <row r="84" ht="15" x14ac:dyDescent="0.2"/>
    <row r="85" ht="15" x14ac:dyDescent="0.2"/>
    <row r="86" ht="15" x14ac:dyDescent="0.2"/>
    <row r="87" ht="15" x14ac:dyDescent="0.2"/>
    <row r="88" ht="15" x14ac:dyDescent="0.2"/>
    <row r="89" ht="15" x14ac:dyDescent="0.2"/>
    <row r="90" ht="15" x14ac:dyDescent="0.2"/>
    <row r="91" ht="15" x14ac:dyDescent="0.2"/>
    <row r="92" ht="15" x14ac:dyDescent="0.2"/>
    <row r="93" ht="15" x14ac:dyDescent="0.2"/>
    <row r="94" ht="15" x14ac:dyDescent="0.2"/>
    <row r="95" ht="15" x14ac:dyDescent="0.2"/>
    <row r="96" ht="15" x14ac:dyDescent="0.2"/>
    <row r="97" ht="15" x14ac:dyDescent="0.2"/>
    <row r="98" ht="15" x14ac:dyDescent="0.2"/>
    <row r="99" ht="15" x14ac:dyDescent="0.2"/>
    <row r="100" ht="15" x14ac:dyDescent="0.2"/>
    <row r="101" ht="15" x14ac:dyDescent="0.2"/>
    <row r="102" ht="15" x14ac:dyDescent="0.2"/>
    <row r="103" ht="15" x14ac:dyDescent="0.2"/>
  </sheetData>
  <sheetProtection sheet="1" objects="1" scenarios="1" selectLockedCells="1"/>
  <mergeCells count="34">
    <mergeCell ref="C56:E56"/>
    <mergeCell ref="C48:E48"/>
    <mergeCell ref="C49:E49"/>
    <mergeCell ref="C50:E50"/>
    <mergeCell ref="C52:E52"/>
    <mergeCell ref="C53:E53"/>
    <mergeCell ref="C54:E54"/>
    <mergeCell ref="C51:E51"/>
    <mergeCell ref="C44:E44"/>
    <mergeCell ref="C55:E55"/>
    <mergeCell ref="C45:E45"/>
    <mergeCell ref="C46:E46"/>
    <mergeCell ref="C47:E47"/>
    <mergeCell ref="S22:U22"/>
    <mergeCell ref="C41:E41"/>
    <mergeCell ref="C42:E42"/>
    <mergeCell ref="C43:E43"/>
    <mergeCell ref="S26:U28"/>
    <mergeCell ref="S23:U25"/>
    <mergeCell ref="E7:F7"/>
    <mergeCell ref="I7:J7"/>
    <mergeCell ref="S7:U7"/>
    <mergeCell ref="S8:T9"/>
    <mergeCell ref="U8:U9"/>
    <mergeCell ref="S16:T17"/>
    <mergeCell ref="U16:U17"/>
    <mergeCell ref="S18:T19"/>
    <mergeCell ref="S10:T11"/>
    <mergeCell ref="U10:U11"/>
    <mergeCell ref="S12:T13"/>
    <mergeCell ref="U12:U13"/>
    <mergeCell ref="S14:T15"/>
    <mergeCell ref="U14:U15"/>
    <mergeCell ref="U18:U19"/>
  </mergeCells>
  <conditionalFormatting sqref="M8:M37">
    <cfRule type="cellIs" dxfId="68" priority="125" operator="greaterThan">
      <formula>0</formula>
    </cfRule>
  </conditionalFormatting>
  <conditionalFormatting sqref="L36:L37 N36:N37">
    <cfRule type="expression" dxfId="67" priority="91">
      <formula>AND($E36&lt;$E$35,$E$8=1)</formula>
    </cfRule>
    <cfRule type="expression" dxfId="66" priority="92">
      <formula>AND($E36&gt;=$E$8,$E$8&lt;&gt;1)</formula>
    </cfRule>
  </conditionalFormatting>
  <conditionalFormatting sqref="E36:E38">
    <cfRule type="expression" dxfId="65" priority="89">
      <formula>AND($E36&lt;$E$35,$E$8=1)</formula>
    </cfRule>
    <cfRule type="expression" dxfId="64" priority="90">
      <formula>AND($E36&gt;=$E$8,$E$8&lt;&gt;1)</formula>
    </cfRule>
  </conditionalFormatting>
  <conditionalFormatting sqref="O8:O37">
    <cfRule type="cellIs" dxfId="63" priority="84" operator="greaterThan">
      <formula>0.000001</formula>
    </cfRule>
  </conditionalFormatting>
  <conditionalFormatting sqref="O36:O37">
    <cfRule type="expression" dxfId="62" priority="82">
      <formula>AND($E36&lt;$E$35,$E$8=1)</formula>
    </cfRule>
    <cfRule type="expression" dxfId="61" priority="83">
      <formula>AND($E36&gt;=$E$8,$E$8&lt;&gt;1)</formula>
    </cfRule>
  </conditionalFormatting>
  <conditionalFormatting sqref="F8:F38">
    <cfRule type="containsText" dxfId="60" priority="80" operator="containsText" text="Dom">
      <formula>NOT(ISERROR(SEARCH("Dom",F8)))</formula>
    </cfRule>
    <cfRule type="containsText" dxfId="59" priority="81" operator="containsText" text="Sáb">
      <formula>NOT(ISERROR(SEARCH("Sáb",F8)))</formula>
    </cfRule>
  </conditionalFormatting>
  <conditionalFormatting sqref="Q8:Q37">
    <cfRule type="cellIs" dxfId="58" priority="78" operator="greaterThan">
      <formula>0.000001</formula>
    </cfRule>
  </conditionalFormatting>
  <conditionalFormatting sqref="G8:K35">
    <cfRule type="expression" dxfId="57" priority="48">
      <formula>OR($G8="Férias",$G8="Falta Injustificada")</formula>
    </cfRule>
    <cfRule type="expression" dxfId="56" priority="49">
      <formula>$G8="Folga (DSR)"</formula>
    </cfRule>
    <cfRule type="expression" dxfId="55" priority="50">
      <formula>$G8="Feriado"</formula>
    </cfRule>
    <cfRule type="expression" dxfId="54" priority="51">
      <formula>$F8="Dom"</formula>
    </cfRule>
  </conditionalFormatting>
  <conditionalFormatting sqref="H8:K35">
    <cfRule type="expression" dxfId="53" priority="47">
      <formula>OR($G8="Falta Justificada",$G8="Falta Injustificada")</formula>
    </cfRule>
  </conditionalFormatting>
  <conditionalFormatting sqref="G36:K37">
    <cfRule type="expression" dxfId="52" priority="43">
      <formula>OR($G36="Férias",$G36="Falta Injustificada")</formula>
    </cfRule>
    <cfRule type="expression" dxfId="51" priority="44">
      <formula>$G36="Folga (DSR)"</formula>
    </cfRule>
    <cfRule type="expression" dxfId="50" priority="45">
      <formula>$G36="Feriado"</formula>
    </cfRule>
    <cfRule type="expression" dxfId="49" priority="46">
      <formula>$F36="Dom"</formula>
    </cfRule>
  </conditionalFormatting>
  <conditionalFormatting sqref="G36:K37">
    <cfRule type="expression" dxfId="48" priority="40">
      <formula>AND($E36&lt;$E$35,$E$8=1)</formula>
    </cfRule>
    <cfRule type="expression" dxfId="47" priority="41">
      <formula>AND($E36&gt;=$E$8,$E$8&lt;&gt;1)</formula>
    </cfRule>
  </conditionalFormatting>
  <conditionalFormatting sqref="H36:K37">
    <cfRule type="expression" dxfId="46" priority="42">
      <formula>OR($G36="Falta Justificada",$G36="Falta Injustificada")</formula>
    </cfRule>
  </conditionalFormatting>
  <conditionalFormatting sqref="O38">
    <cfRule type="cellIs" dxfId="45" priority="38" operator="greaterThan">
      <formula>0.000001</formula>
    </cfRule>
  </conditionalFormatting>
  <conditionalFormatting sqref="M38">
    <cfRule type="cellIs" dxfId="44" priority="39" operator="greaterThan">
      <formula>0</formula>
    </cfRule>
  </conditionalFormatting>
  <conditionalFormatting sqref="L38:O38">
    <cfRule type="expression" dxfId="43" priority="37">
      <formula>AND($E38&gt;=$E$8,$E$8&lt;&gt;1)</formula>
    </cfRule>
  </conditionalFormatting>
  <conditionalFormatting sqref="G38:K38">
    <cfRule type="expression" dxfId="42" priority="24">
      <formula>OR($G38="Férias",$G38="Falta Injustificada")</formula>
    </cfRule>
    <cfRule type="expression" dxfId="41" priority="25">
      <formula>$G38="Folga (DSR)"</formula>
    </cfRule>
    <cfRule type="expression" dxfId="40" priority="26">
      <formula>$G38="Feriado"</formula>
    </cfRule>
    <cfRule type="expression" dxfId="39" priority="27">
      <formula>$F38="Dom"</formula>
    </cfRule>
  </conditionalFormatting>
  <conditionalFormatting sqref="H38:K38">
    <cfRule type="expression" dxfId="38" priority="23">
      <formula>OR($G38="Falta Justificada",$G38="Falta Injustificada")</formula>
    </cfRule>
  </conditionalFormatting>
  <conditionalFormatting sqref="Q38">
    <cfRule type="cellIs" dxfId="37" priority="20" operator="greaterThan">
      <formula>0.000001</formula>
    </cfRule>
  </conditionalFormatting>
  <conditionalFormatting sqref="L38:Q38">
    <cfRule type="expression" dxfId="36" priority="36">
      <formula>AND($E38&lt;$E$35,$E$8=1)</formula>
    </cfRule>
  </conditionalFormatting>
  <conditionalFormatting sqref="G38:Q38">
    <cfRule type="expression" dxfId="35" priority="21">
      <formula>AND($E38&lt;$E$35,$E$8=1)</formula>
    </cfRule>
    <cfRule type="expression" dxfId="34" priority="22">
      <formula>AND($E38&gt;=$E$8,$E$8&lt;&gt;1)</formula>
    </cfRule>
  </conditionalFormatting>
  <conditionalFormatting sqref="U10:U11">
    <cfRule type="expression" dxfId="33" priority="8">
      <formula>$V$11="Negativo"</formula>
    </cfRule>
  </conditionalFormatting>
  <conditionalFormatting sqref="U12:U13">
    <cfRule type="expression" dxfId="32" priority="484">
      <formula>$U$14&gt;$F$58</formula>
    </cfRule>
  </conditionalFormatting>
  <conditionalFormatting sqref="F40">
    <cfRule type="expression" dxfId="31" priority="485">
      <formula>$E40="Folga(DSR)"</formula>
    </cfRule>
    <cfRule type="expression" dxfId="30" priority="486">
      <formula>$E40="Feriado"</formula>
    </cfRule>
    <cfRule type="expression" dxfId="29" priority="487">
      <formula>$D40="Dom"</formula>
    </cfRule>
  </conditionalFormatting>
  <dataValidations count="3">
    <dataValidation type="time" allowBlank="1" showInputMessage="1" showErrorMessage="1" sqref="H8:K38">
      <formula1>0</formula1>
      <formula2>0.999988425925926</formula2>
    </dataValidation>
    <dataValidation type="list" allowBlank="1" showInputMessage="1" showErrorMessage="1" sqref="G8:G38">
      <formula1>"Normal,Feriado,Folga (DSR),Falta Justificada,Férias,Falta Injustificada"</formula1>
    </dataValidation>
    <dataValidation type="list" allowBlank="1" showInputMessage="1" showErrorMessage="1" sqref="E9:E35">
      <formula1>"1,5,10,16"</formula1>
    </dataValidation>
  </dataValidations>
  <hyperlinks>
    <hyperlink ref="C8" location="Lanç!A1" display="Lanç!A1"/>
    <hyperlink ref="C9" location="'Lanç (2)'!A1" display="'Lanç (2)'!A1"/>
    <hyperlink ref="C10" location="'Lanç (3)'!A1" display="'Lanç (3)'!A1"/>
    <hyperlink ref="C11" location="'Lanç (4)'!A1" display="'Lanç (4)'!A1"/>
    <hyperlink ref="C12" location="'Lanç (5)'!A1" display="'Lanç (5)'!A1"/>
    <hyperlink ref="C13" location="'Lanç (6)'!A1" display="'Lanç (6)'!A1"/>
    <hyperlink ref="C14" location="'Lanç (7)'!A1" display="'Lanç (7)'!A1"/>
    <hyperlink ref="C15" location="'Lanç (8)'!A1" display="'Lanç (8)'!A1"/>
    <hyperlink ref="C16" location="'Lanç (9)'!A1" display="'Lanç (9)'!A1"/>
    <hyperlink ref="C17" location="'Lanç (10)'!A1" display="'Lanç (10)'!A1"/>
    <hyperlink ref="C18" location="'Lanç (11)'!A1" display="'Lanç (11)'!A1"/>
    <hyperlink ref="C19" location="'Lanç (12)'!A1" display="'Lanç (12)'!A1"/>
    <hyperlink ref="C20" location="'Lanç (13)'!A1" display="'Lanç (13)'!A1"/>
    <hyperlink ref="C21" location="'Lanç (14)'!A1" display="'Lanç (14)'!A1"/>
    <hyperlink ref="C22" location="'Lanç (15)'!A1" display="'Lanç (15)'!A1"/>
    <hyperlink ref="C23" location="'Lanç (16)'!A1" display="'Lanç (16)'!A1"/>
    <hyperlink ref="C24" location="'Lanç (17)'!A1" display="'Lanç (17)'!A1"/>
    <hyperlink ref="C25" location="'Lanç (18)'!A1" display="'Lanç (18)'!A1"/>
    <hyperlink ref="C26" location="'Lanç (19)'!A1" display="'Lanç (19)'!A1"/>
    <hyperlink ref="C27" location="'Lanç (20)'!A1" display="'Lanç (20)'!A1"/>
    <hyperlink ref="C28" location="'Lanç (21)'!A1" display="'Lanç (21)'!A1"/>
    <hyperlink ref="C29" location="'Lanç (22)'!A1" display="'Lanç (22)'!A1"/>
    <hyperlink ref="C30" location="'Lanç (23)'!A1" display="'Lanç (23)'!A1"/>
    <hyperlink ref="C31" location="'Lanç (24)'!A1" display="'Lanç (24)'!A1"/>
    <hyperlink ref="C32" location="'Lanç (25)'!A1" display="'Lanç (25)'!A1"/>
    <hyperlink ref="C33" location="'Lanç (26)'!A1" display="'Lanç (26)'!A1"/>
    <hyperlink ref="C34" location="'Lanç (27)'!A1" display="'Lanç (27)'!A1"/>
    <hyperlink ref="C35" location="'Lanç (28)'!A1" display="'Lanç (28)'!A1"/>
    <hyperlink ref="C36" location="'Lanç (29)'!A1" display="'Lanç (29)'!A1"/>
    <hyperlink ref="C37" location="'Lanç (30)'!A1" display="'Lanç (30)'!A1"/>
  </hyperlinks>
  <printOptions horizontalCentered="1"/>
  <pageMargins left="0.23622047244094502" right="0.23622047244094502" top="0.74803149606299202" bottom="0.74803149606299202" header="0.31496062992126" footer="0.31496062992126"/>
  <pageSetup paperSize="9" scale="53" orientation="portrait" cellComments="atEnd"/>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69" id="{2EADAEAF-7D60-DB41-80B8-D0B5B9C1CD06}">
            <xm:f>'P Gerais'!$I$10:$M$10="Pagas em Dinheiro"</xm:f>
            <x14:dxf>
              <font>
                <color theme="0"/>
              </font>
              <fill>
                <patternFill>
                  <bgColor theme="0"/>
                </patternFill>
              </fill>
              <border>
                <left/>
                <right/>
                <top/>
                <bottom/>
              </border>
            </x14:dxf>
          </x14:cfRule>
          <xm:sqref>S10:T13</xm:sqref>
        </x14:conditionalFormatting>
        <x14:conditionalFormatting xmlns:xm="http://schemas.microsoft.com/office/excel/2006/main">
          <x14:cfRule type="expression" priority="68" id="{195D78B9-53DE-0B43-92AC-91B71B276234}">
            <xm:f>'P Gerais'!$I$10:$M$10="Sistema de banco de horas"</xm:f>
            <x14:dxf>
              <font>
                <color theme="0"/>
              </font>
              <fill>
                <patternFill>
                  <bgColor theme="0"/>
                </patternFill>
              </fill>
              <border>
                <left/>
                <right/>
                <top/>
                <bottom/>
              </border>
            </x14:dxf>
          </x14:cfRule>
          <xm:sqref>S18:T19</xm:sqref>
        </x14:conditionalFormatting>
        <x14:conditionalFormatting xmlns:xm="http://schemas.microsoft.com/office/excel/2006/main">
          <x14:cfRule type="expression" priority="10" id="{D2350500-D47E-584D-8CFF-F9F0359A0782}">
            <xm:f>'P Gerais'!$I$10:$M$10="Sistema de banco de horas"</xm:f>
            <x14:dxf>
              <font>
                <color theme="0"/>
              </font>
              <fill>
                <patternFill>
                  <bgColor theme="0"/>
                </patternFill>
              </fill>
              <border>
                <left/>
                <right/>
                <top/>
                <bottom/>
              </border>
            </x14:dxf>
          </x14:cfRule>
          <xm:sqref>U18:U19</xm:sqref>
        </x14:conditionalFormatting>
        <x14:conditionalFormatting xmlns:xm="http://schemas.microsoft.com/office/excel/2006/main">
          <x14:cfRule type="expression" priority="7" id="{CB6C6412-6579-C446-869E-15A1F673B768}">
            <xm:f>'P Gerais'!$I$10:$M$10="Pagas em Dinheiro"</xm:f>
            <x14:dxf>
              <font>
                <color theme="0"/>
              </font>
              <fill>
                <patternFill>
                  <bgColor theme="0"/>
                </patternFill>
              </fill>
              <border>
                <left/>
                <right/>
                <top/>
                <bottom/>
              </border>
            </x14:dxf>
          </x14:cfRule>
          <xm:sqref>U10:U13</xm:sqref>
        </x14:conditionalFormatting>
      </x14:conditionalFormattings>
    </ext>
  </extLs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4" enableFormatConditionsCalculation="0"/>
  <dimension ref="A1:CD104"/>
  <sheetViews>
    <sheetView showGridLines="0" zoomScale="90" zoomScaleNormal="90" zoomScalePageLayoutView="90" workbookViewId="0">
      <selection activeCell="F6" sqref="F6:H6"/>
    </sheetView>
  </sheetViews>
  <sheetFormatPr baseColWidth="10" defaultColWidth="0" defaultRowHeight="15" zeroHeight="1" x14ac:dyDescent="0.2"/>
  <cols>
    <col min="1" max="1" width="27.83203125" style="1" customWidth="1"/>
    <col min="2" max="2" width="3.83203125" customWidth="1"/>
    <col min="3" max="3" width="6.83203125" customWidth="1"/>
    <col min="4" max="4" width="14.1640625" customWidth="1"/>
    <col min="5" max="5" width="17.1640625" customWidth="1"/>
    <col min="6" max="6" width="14.1640625" customWidth="1"/>
    <col min="7" max="8" width="14.1640625" style="14" customWidth="1"/>
    <col min="9" max="9" width="16.83203125" style="14" customWidth="1"/>
    <col min="10" max="10" width="13.1640625" style="14" customWidth="1"/>
    <col min="11" max="11" width="16.1640625" style="14" customWidth="1"/>
    <col min="12" max="12" width="16.1640625" style="2" customWidth="1"/>
    <col min="13" max="13" width="18.33203125" style="2" customWidth="1"/>
    <col min="14" max="14" width="18" style="2" customWidth="1"/>
    <col min="15" max="15" width="12.83203125" style="2" bestFit="1" customWidth="1"/>
    <col min="16" max="16" width="12.83203125" style="2" customWidth="1"/>
    <col min="17" max="18" width="35.5" style="2" customWidth="1"/>
    <col min="19" max="20" width="35.5" style="219" customWidth="1"/>
    <col min="21" max="21" width="35.5" style="220" customWidth="1"/>
    <col min="22" max="22" width="35.5" style="219" customWidth="1"/>
    <col min="23" max="23" width="35.5" style="220" customWidth="1"/>
    <col min="24" max="24" width="35.5" style="219" customWidth="1"/>
    <col min="25" max="25" width="35.5" style="220" customWidth="1"/>
    <col min="26" max="26" width="35.5" style="219" customWidth="1"/>
    <col min="27" max="27" width="35.5" style="220" customWidth="1"/>
    <col min="28" max="29" width="35.5" style="219" customWidth="1"/>
    <col min="30" max="30" width="35.5" style="220" customWidth="1"/>
    <col min="31" max="31" width="35.5" style="219" customWidth="1"/>
    <col min="32" max="32" width="35.5" style="220" customWidth="1"/>
    <col min="33" max="33" width="35.5" style="219" customWidth="1"/>
    <col min="34" max="34" width="35.5" style="220" customWidth="1"/>
    <col min="35" max="35" width="35.5" style="219" customWidth="1"/>
    <col min="36" max="36" width="35.5" style="220" customWidth="1"/>
    <col min="37" max="37" width="35.5" style="219" customWidth="1"/>
    <col min="38" max="38" width="35.5" style="220" customWidth="1"/>
    <col min="39" max="39" width="35.5" style="219" customWidth="1"/>
    <col min="40" max="40" width="35.5" style="220" customWidth="1"/>
    <col min="41" max="41" width="35.5" style="219" customWidth="1"/>
    <col min="42" max="42" width="35.5" style="220" customWidth="1"/>
    <col min="43" max="43" width="35.5" style="219" customWidth="1"/>
    <col min="44" max="44" width="35.5" style="220" customWidth="1"/>
    <col min="45" max="45" width="35.5" style="219" customWidth="1"/>
    <col min="46" max="46" width="35.5" style="220" customWidth="1"/>
    <col min="47" max="47" width="35.5" style="219" customWidth="1"/>
    <col min="48" max="48" width="35.5" style="220" customWidth="1"/>
    <col min="49" max="49" width="35.5" style="219" customWidth="1"/>
    <col min="50" max="50" width="35.5" style="220" customWidth="1"/>
    <col min="51" max="51" width="35.5" style="219" customWidth="1"/>
    <col min="52" max="52" width="35.5" style="220" customWidth="1"/>
    <col min="53" max="53" width="35.5" style="219" customWidth="1"/>
    <col min="54" max="54" width="35.5" style="220" customWidth="1"/>
    <col min="55" max="62" width="35.5" style="219" customWidth="1"/>
    <col min="63" max="72" width="35.5" style="2" customWidth="1"/>
    <col min="73" max="77" width="8.83203125" style="2" customWidth="1"/>
    <col min="78" max="81" width="8.83203125" style="32" customWidth="1"/>
    <col min="82" max="82" width="8.83203125" style="2" customWidth="1"/>
    <col min="83" max="16384" width="8.83203125" style="2" hidden="1"/>
  </cols>
  <sheetData>
    <row r="1" spans="1:82" s="15" customFormat="1" ht="33.75" customHeight="1" x14ac:dyDescent="0.3">
      <c r="A1" s="56"/>
      <c r="B1" s="3"/>
      <c r="C1" s="4" t="s">
        <v>70</v>
      </c>
      <c r="D1" s="3"/>
      <c r="E1" s="3"/>
      <c r="F1" s="3"/>
      <c r="G1" s="50"/>
      <c r="H1" s="50"/>
      <c r="I1" s="50"/>
      <c r="J1" s="50"/>
      <c r="K1" s="50"/>
      <c r="S1" s="174"/>
      <c r="T1" s="174"/>
      <c r="U1" s="253"/>
      <c r="V1" s="174"/>
      <c r="W1" s="253"/>
      <c r="X1" s="174"/>
      <c r="Y1" s="253"/>
      <c r="Z1" s="174"/>
      <c r="AA1" s="253"/>
      <c r="AB1" s="174"/>
      <c r="AC1" s="174"/>
      <c r="AD1" s="253"/>
      <c r="AE1" s="174"/>
      <c r="AF1" s="253"/>
      <c r="AG1" s="174"/>
      <c r="AH1" s="253"/>
      <c r="AI1" s="174"/>
      <c r="AJ1" s="253"/>
      <c r="AK1" s="174"/>
      <c r="AL1" s="253"/>
      <c r="AM1" s="174"/>
      <c r="AN1" s="253"/>
      <c r="AO1" s="174"/>
      <c r="AP1" s="253"/>
      <c r="AQ1" s="174"/>
      <c r="AR1" s="253"/>
      <c r="AS1" s="174"/>
      <c r="AT1" s="253"/>
      <c r="AU1" s="174"/>
      <c r="AV1" s="253"/>
      <c r="AW1" s="174"/>
      <c r="AX1" s="253"/>
      <c r="AY1" s="174"/>
      <c r="AZ1" s="253"/>
      <c r="BA1" s="174"/>
      <c r="BB1" s="253"/>
      <c r="BC1" s="174"/>
      <c r="BD1" s="174"/>
      <c r="BE1" s="174"/>
      <c r="BF1" s="174"/>
      <c r="BG1" s="174"/>
      <c r="BH1" s="174"/>
      <c r="BI1" s="174"/>
      <c r="BJ1" s="174"/>
      <c r="BZ1" s="33"/>
      <c r="CA1" s="33"/>
      <c r="CB1" s="33"/>
      <c r="CC1" s="33"/>
    </row>
    <row r="2" spans="1:82" s="15" customFormat="1" ht="21.5" customHeight="1" x14ac:dyDescent="0.2">
      <c r="A2" s="1"/>
      <c r="B2" s="3"/>
      <c r="C2" s="3"/>
      <c r="D2" s="3"/>
      <c r="E2" s="3"/>
      <c r="F2" s="3"/>
      <c r="G2" s="50"/>
      <c r="H2" s="50"/>
      <c r="I2" s="50"/>
      <c r="J2" s="50"/>
      <c r="K2" s="50"/>
      <c r="S2" s="174"/>
      <c r="T2" s="174"/>
      <c r="U2" s="253"/>
      <c r="V2" s="174"/>
      <c r="W2" s="253"/>
      <c r="X2" s="174"/>
      <c r="Y2" s="253"/>
      <c r="Z2" s="174"/>
      <c r="AA2" s="253"/>
      <c r="AB2" s="174"/>
      <c r="AC2" s="174"/>
      <c r="AD2" s="253"/>
      <c r="AE2" s="174"/>
      <c r="AF2" s="253"/>
      <c r="AG2" s="174"/>
      <c r="AH2" s="253"/>
      <c r="AI2" s="174"/>
      <c r="AJ2" s="253"/>
      <c r="AK2" s="174"/>
      <c r="AL2" s="253"/>
      <c r="AM2" s="174"/>
      <c r="AN2" s="253"/>
      <c r="AO2" s="174"/>
      <c r="AP2" s="253"/>
      <c r="AQ2" s="174"/>
      <c r="AR2" s="253"/>
      <c r="AS2" s="174"/>
      <c r="AT2" s="253"/>
      <c r="AU2" s="174"/>
      <c r="AV2" s="253"/>
      <c r="AW2" s="174"/>
      <c r="AX2" s="253"/>
      <c r="AY2" s="174"/>
      <c r="AZ2" s="253"/>
      <c r="BA2" s="174"/>
      <c r="BB2" s="253"/>
      <c r="BC2" s="174"/>
      <c r="BD2" s="174"/>
      <c r="BE2" s="174"/>
      <c r="BF2" s="174"/>
      <c r="BG2" s="174"/>
      <c r="BH2" s="174"/>
      <c r="BI2" s="174"/>
      <c r="BJ2" s="174"/>
      <c r="BZ2" s="33"/>
      <c r="CA2" s="33"/>
      <c r="CB2" s="33"/>
      <c r="CC2" s="33"/>
    </row>
    <row r="3" spans="1:82" s="15" customFormat="1" ht="21.5" customHeight="1" x14ac:dyDescent="0.2">
      <c r="A3" s="1"/>
      <c r="B3" s="3"/>
      <c r="C3" s="3"/>
      <c r="D3" s="3"/>
      <c r="E3" s="3"/>
      <c r="F3" s="3"/>
      <c r="G3" s="50"/>
      <c r="H3" s="50"/>
      <c r="I3" s="50"/>
      <c r="J3" s="50"/>
      <c r="K3" s="50"/>
      <c r="S3" s="174"/>
      <c r="T3" s="174"/>
      <c r="U3" s="253"/>
      <c r="V3" s="174"/>
      <c r="W3" s="253"/>
      <c r="X3" s="174"/>
      <c r="Y3" s="253"/>
      <c r="Z3" s="174"/>
      <c r="AA3" s="253"/>
      <c r="AB3" s="174"/>
      <c r="AC3" s="174"/>
      <c r="AD3" s="253"/>
      <c r="AE3" s="174"/>
      <c r="AF3" s="253"/>
      <c r="AG3" s="174"/>
      <c r="AH3" s="253"/>
      <c r="AI3" s="174"/>
      <c r="AJ3" s="253"/>
      <c r="AK3" s="174"/>
      <c r="AL3" s="253"/>
      <c r="AM3" s="174"/>
      <c r="AN3" s="253"/>
      <c r="AO3" s="174"/>
      <c r="AP3" s="253"/>
      <c r="AQ3" s="174"/>
      <c r="AR3" s="253"/>
      <c r="AS3" s="174"/>
      <c r="AT3" s="253"/>
      <c r="AU3" s="174"/>
      <c r="AV3" s="253"/>
      <c r="AW3" s="174"/>
      <c r="AX3" s="253"/>
      <c r="AY3" s="174"/>
      <c r="AZ3" s="253"/>
      <c r="BA3" s="174"/>
      <c r="BB3" s="253"/>
      <c r="BC3" s="174"/>
      <c r="BD3" s="174"/>
      <c r="BE3" s="174"/>
      <c r="BF3" s="174"/>
      <c r="BG3" s="174"/>
      <c r="BH3" s="174"/>
      <c r="BI3" s="174"/>
      <c r="BJ3" s="174"/>
      <c r="BZ3" s="33"/>
      <c r="CA3" s="33"/>
      <c r="CB3" s="33"/>
      <c r="CC3" s="33"/>
    </row>
    <row r="4" spans="1:82" ht="9.75" customHeight="1" x14ac:dyDescent="0.2">
      <c r="C4" s="13"/>
    </row>
    <row r="5" spans="1:82" ht="9.75" customHeight="1" thickBot="1" x14ac:dyDescent="0.25"/>
    <row r="6" spans="1:82" ht="30" customHeight="1" thickTop="1" thickBot="1" x14ac:dyDescent="0.25">
      <c r="C6" s="307" t="s">
        <v>182</v>
      </c>
      <c r="D6" s="308"/>
      <c r="E6" s="309"/>
      <c r="F6" s="310" t="s">
        <v>183</v>
      </c>
      <c r="G6" s="310"/>
      <c r="H6" s="311"/>
      <c r="I6" s="32" t="str">
        <f>IF(OR(F6="",F6="Todos"),"",VLOOKUP($F$6,Jornada!$C$8:$G$37,5,FALSE))</f>
        <v/>
      </c>
      <c r="J6" s="32"/>
      <c r="K6" s="32"/>
    </row>
    <row r="7" spans="1:82" ht="8" customHeight="1" thickTop="1" x14ac:dyDescent="0.2">
      <c r="H7" s="32"/>
      <c r="I7" s="32"/>
      <c r="J7" s="32"/>
      <c r="K7" s="32"/>
    </row>
    <row r="8" spans="1:82" ht="30" customHeight="1" thickBot="1" x14ac:dyDescent="0.25">
      <c r="C8" s="34" t="s">
        <v>71</v>
      </c>
      <c r="D8" s="35" t="s">
        <v>149</v>
      </c>
      <c r="E8" s="35" t="s">
        <v>150</v>
      </c>
      <c r="F8" s="35" t="s">
        <v>151</v>
      </c>
      <c r="G8" s="35" t="s">
        <v>63</v>
      </c>
      <c r="H8" s="35" t="s">
        <v>62</v>
      </c>
      <c r="I8" s="35" t="s">
        <v>74</v>
      </c>
      <c r="J8" s="35" t="s">
        <v>73</v>
      </c>
      <c r="K8" s="35" t="s">
        <v>72</v>
      </c>
      <c r="L8" s="54" t="s">
        <v>152</v>
      </c>
      <c r="M8" s="54" t="s">
        <v>153</v>
      </c>
      <c r="N8" s="54" t="s">
        <v>154</v>
      </c>
      <c r="Q8" s="254"/>
      <c r="R8" s="2" t="s">
        <v>183</v>
      </c>
      <c r="T8" s="305" t="s">
        <v>215</v>
      </c>
      <c r="U8" s="306"/>
      <c r="V8" s="305" t="s">
        <v>164</v>
      </c>
      <c r="W8" s="306"/>
      <c r="X8" s="305" t="s">
        <v>217</v>
      </c>
      <c r="Y8" s="306"/>
      <c r="Z8" s="305" t="s">
        <v>220</v>
      </c>
      <c r="AA8" s="306"/>
      <c r="AC8" s="305" t="s">
        <v>75</v>
      </c>
      <c r="AD8" s="306"/>
      <c r="AE8" s="305" t="s">
        <v>76</v>
      </c>
      <c r="AF8" s="306"/>
      <c r="AG8" s="305" t="s">
        <v>77</v>
      </c>
      <c r="AH8" s="306"/>
      <c r="AI8" s="305" t="s">
        <v>78</v>
      </c>
      <c r="AJ8" s="306"/>
      <c r="AK8" s="305" t="s">
        <v>79</v>
      </c>
      <c r="AL8" s="306"/>
      <c r="AM8" s="305" t="s">
        <v>82</v>
      </c>
      <c r="AN8" s="306"/>
      <c r="AO8" s="305" t="s">
        <v>81</v>
      </c>
      <c r="AP8" s="306"/>
      <c r="AQ8" s="305" t="s">
        <v>80</v>
      </c>
      <c r="AR8" s="306"/>
      <c r="AS8" s="305" t="s">
        <v>146</v>
      </c>
      <c r="AT8" s="306"/>
      <c r="AU8" s="305" t="s">
        <v>147</v>
      </c>
      <c r="AV8" s="306"/>
      <c r="AW8" s="305" t="s">
        <v>84</v>
      </c>
      <c r="AX8" s="306"/>
      <c r="AY8" s="305" t="s">
        <v>86</v>
      </c>
      <c r="AZ8" s="306"/>
      <c r="BA8" s="305" t="s">
        <v>87</v>
      </c>
      <c r="BB8" s="306"/>
      <c r="BC8" s="305" t="s">
        <v>88</v>
      </c>
      <c r="BD8" s="305"/>
      <c r="BE8" s="305" t="s">
        <v>236</v>
      </c>
      <c r="BF8" s="305"/>
      <c r="BG8" s="305"/>
      <c r="BH8" s="305"/>
      <c r="BI8" s="305"/>
      <c r="BJ8" s="305"/>
      <c r="BK8" s="305"/>
      <c r="BL8" s="305"/>
      <c r="BM8" s="219"/>
      <c r="BN8" s="219"/>
      <c r="BO8" s="219"/>
      <c r="BP8" s="305"/>
      <c r="BQ8" s="305"/>
      <c r="BR8" s="305"/>
      <c r="BS8" s="305"/>
      <c r="BT8" s="305"/>
      <c r="BU8" s="305"/>
      <c r="BV8" s="305"/>
      <c r="BW8" s="305"/>
      <c r="BX8" s="305"/>
      <c r="BY8" s="312"/>
      <c r="BZ8" s="312"/>
      <c r="CA8" s="312"/>
      <c r="CB8" s="312"/>
      <c r="CC8" s="305"/>
      <c r="CD8" s="305"/>
    </row>
    <row r="9" spans="1:82" ht="30" customHeight="1" thickTop="1" thickBot="1" x14ac:dyDescent="0.25">
      <c r="C9" s="34" t="str">
        <f>UPPER(LEFT('P Gerais'!J6,3))</f>
        <v/>
      </c>
      <c r="D9" s="36" t="str">
        <f>IF(OR(E9=0,F6=0),"",K9/E9)</f>
        <v/>
      </c>
      <c r="E9" s="102">
        <f>IF(F6=0,"",IF(F6="Todos",SUM(Jornada!AF8:AF37),VLOOKUP($F$6,Jornada!$C$8:$AF$37,30,0)))</f>
        <v>0</v>
      </c>
      <c r="F9" s="97">
        <f ca="1">IF(F6=0,"",IF(F6="Todos",SUM(U9:U38),VLOOKUP($F$6,$R$9:$AA$38,F$10,0)))</f>
        <v>5.9374999999999982</v>
      </c>
      <c r="G9" s="51">
        <f ca="1">SUM(F12:F24,K12:K20)</f>
        <v>5.9374999999999982</v>
      </c>
      <c r="H9" s="97">
        <f ca="1">IF(F6=0,"",IF(F6="Todos",SUM(Y9:Y38),VLOOKUP($F$6,$R$9:$AA$38,H$10,0)))</f>
        <v>0</v>
      </c>
      <c r="I9" s="97">
        <f ca="1">IF(F6=0,"",IF(F6="Todos",SUM(AA9:AA38),VLOOKUP($F$6,$R$9:$AA$38,I$10,0)))</f>
        <v>0</v>
      </c>
      <c r="J9" s="51">
        <f ca="1">IF(I6="Horas devidas",ABS(I9+H9-G9),IF(OR(I6="Horas Extras",I6=""),ABS(G9-H9+I9),G9-H9+I9))</f>
        <v>5.9374999999999982</v>
      </c>
      <c r="K9" s="52">
        <f>IF(F6=0,"",IF(F6="Todos",SUM(Funcionários!$I$7:$I$36),VLOOKUP($F$6,Funcionários!$C$7:$I$36,7,0)))</f>
        <v>0</v>
      </c>
      <c r="L9" s="255">
        <f ca="1">IF(F6=0,"",IF(F6="Todos",SUM(BD9:BD38),VLOOKUP($F$6,$BP$9:$BU$38,6,FALSE)))</f>
        <v>0</v>
      </c>
      <c r="M9" s="255" t="str">
        <f>IF(OR(F6=0,D9=""),"",(H9*24)*D9)</f>
        <v/>
      </c>
      <c r="N9" s="255" t="str">
        <f>IF(OR(F6=0,D9=""),"",K9+L9-M9)</f>
        <v/>
      </c>
      <c r="R9" s="2" t="str">
        <f>IF(Funcionários!C7=0,"",Funcionários!C7)</f>
        <v/>
      </c>
      <c r="S9" s="219">
        <v>1</v>
      </c>
      <c r="T9" s="219" t="s">
        <v>214</v>
      </c>
      <c r="U9" s="256">
        <f ca="1">INDIRECT(T9)</f>
        <v>0</v>
      </c>
      <c r="V9" s="219" t="s">
        <v>288</v>
      </c>
      <c r="W9" s="256">
        <f ca="1">INDIRECT(V9)</f>
        <v>0</v>
      </c>
      <c r="X9" s="219" t="s">
        <v>218</v>
      </c>
      <c r="Y9" s="256">
        <f t="shared" ref="Y9:Y38" ca="1" si="0">INDIRECT(X9)</f>
        <v>0</v>
      </c>
      <c r="Z9" s="219" t="s">
        <v>219</v>
      </c>
      <c r="AA9" s="256">
        <f t="shared" ref="AA9:AA38" ca="1" si="1">INDIRECT(Z9)</f>
        <v>0</v>
      </c>
      <c r="AC9" s="219" t="s">
        <v>221</v>
      </c>
      <c r="AD9" s="256">
        <f t="shared" ref="AD9:AD38" ca="1" si="2">INDIRECT(AC9)</f>
        <v>0</v>
      </c>
      <c r="AE9" s="219" t="s">
        <v>222</v>
      </c>
      <c r="AF9" s="256">
        <f t="shared" ref="AF9:AF38" ca="1" si="3">INDIRECT(AE9)</f>
        <v>0</v>
      </c>
      <c r="AG9" s="219" t="s">
        <v>223</v>
      </c>
      <c r="AH9" s="256">
        <f t="shared" ref="AH9:AH38" ca="1" si="4">INDIRECT(AG9)</f>
        <v>0</v>
      </c>
      <c r="AI9" s="219" t="s">
        <v>224</v>
      </c>
      <c r="AJ9" s="256">
        <f ca="1">INDIRECT(AI9)</f>
        <v>0</v>
      </c>
      <c r="AK9" s="219" t="s">
        <v>225</v>
      </c>
      <c r="AL9" s="256">
        <f t="shared" ref="AL9:AL38" ca="1" si="5">INDIRECT(AK9)</f>
        <v>0</v>
      </c>
      <c r="AM9" s="219" t="s">
        <v>226</v>
      </c>
      <c r="AN9" s="256">
        <f t="shared" ref="AN9:AN38" ca="1" si="6">INDIRECT(AM9)</f>
        <v>0</v>
      </c>
      <c r="AO9" s="219" t="s">
        <v>227</v>
      </c>
      <c r="AP9" s="256">
        <f t="shared" ref="AP9:AP38" ca="1" si="7">INDIRECT(AO9)</f>
        <v>0</v>
      </c>
      <c r="AQ9" s="219" t="s">
        <v>228</v>
      </c>
      <c r="AR9" s="256">
        <f t="shared" ref="AR9:AR38" ca="1" si="8">INDIRECT(AQ9)</f>
        <v>0</v>
      </c>
      <c r="AS9" s="219" t="s">
        <v>229</v>
      </c>
      <c r="AT9" s="256">
        <f t="shared" ref="AT9:AT38" ca="1" si="9">INDIRECT(AS9)</f>
        <v>0</v>
      </c>
      <c r="AU9" s="219" t="s">
        <v>231</v>
      </c>
      <c r="AV9" s="256">
        <f t="shared" ref="AV9:AV38" ca="1" si="10">INDIRECT(AU9)</f>
        <v>0</v>
      </c>
      <c r="AW9" s="219" t="s">
        <v>230</v>
      </c>
      <c r="AX9" s="256">
        <f t="shared" ref="AX9:AX38" ca="1" si="11">INDIRECT(AW9)</f>
        <v>0</v>
      </c>
      <c r="AY9" s="219" t="s">
        <v>232</v>
      </c>
      <c r="AZ9" s="256">
        <f t="shared" ref="AZ9:AZ38" ca="1" si="12">INDIRECT(AY9)</f>
        <v>0</v>
      </c>
      <c r="BA9" s="219" t="s">
        <v>233</v>
      </c>
      <c r="BB9" s="256">
        <f t="shared" ref="BB9:BB38" ca="1" si="13">INDIRECT(BA9)</f>
        <v>0</v>
      </c>
      <c r="BC9" s="219" t="s">
        <v>234</v>
      </c>
      <c r="BD9" s="257">
        <f t="shared" ref="BD9:BD38" ca="1" si="14">INDIRECT(BC9)</f>
        <v>0</v>
      </c>
      <c r="BE9" s="219" t="s">
        <v>235</v>
      </c>
      <c r="BF9" s="257">
        <f t="shared" ref="BF9:BF38" ca="1" si="15">INDIRECT(BE9)</f>
        <v>0</v>
      </c>
      <c r="BH9" s="219" t="s">
        <v>285</v>
      </c>
      <c r="BI9" s="256">
        <f ca="1">INDIRECT(BH9)</f>
        <v>0</v>
      </c>
      <c r="BK9" s="219" t="s">
        <v>235</v>
      </c>
      <c r="BL9" s="2">
        <f ca="1">INDIRECT(BK9)</f>
        <v>0</v>
      </c>
      <c r="BM9" s="2">
        <f ca="1">BU9</f>
        <v>0</v>
      </c>
      <c r="BP9" s="2" t="str">
        <f>R9</f>
        <v/>
      </c>
      <c r="BQ9" s="219" t="s">
        <v>235</v>
      </c>
      <c r="BR9" s="219" t="s">
        <v>234</v>
      </c>
      <c r="BS9" s="219" t="str">
        <f>BP9</f>
        <v/>
      </c>
      <c r="BT9" s="2">
        <f ca="1">INDIRECT(BQ9)</f>
        <v>0</v>
      </c>
      <c r="BU9" s="2">
        <f ca="1">INDIRECT(BR9)</f>
        <v>0</v>
      </c>
      <c r="BV9" s="2">
        <f ca="1">INDIRECT(BW9)</f>
        <v>0</v>
      </c>
      <c r="BW9" s="219" t="s">
        <v>300</v>
      </c>
    </row>
    <row r="10" spans="1:82" s="14" customFormat="1" ht="30" customHeight="1" thickTop="1" thickBot="1" x14ac:dyDescent="0.25">
      <c r="A10" s="194"/>
      <c r="E10" s="2"/>
      <c r="F10" s="2">
        <v>4</v>
      </c>
      <c r="G10" s="2">
        <f>F10+2</f>
        <v>6</v>
      </c>
      <c r="H10" s="2">
        <f>G10+2</f>
        <v>8</v>
      </c>
      <c r="I10" s="2">
        <f>H10+2</f>
        <v>10</v>
      </c>
      <c r="J10" s="2">
        <f t="shared" ref="J10:K10" si="16">I10+2</f>
        <v>12</v>
      </c>
      <c r="K10" s="2">
        <f t="shared" si="16"/>
        <v>14</v>
      </c>
      <c r="L10" s="252">
        <f ca="1">IF(H9&gt;=G9,(H9)-G9,(G9-H9))</f>
        <v>5.9374999999999982</v>
      </c>
      <c r="M10" s="2"/>
      <c r="N10" s="2"/>
      <c r="O10" s="2"/>
      <c r="P10" s="2"/>
      <c r="Q10" s="2"/>
      <c r="R10" s="2" t="str">
        <f>IF(Funcionários!C8=0,"",Funcionários!C8)</f>
        <v/>
      </c>
      <c r="S10" s="219">
        <v>2</v>
      </c>
      <c r="T10" s="219" t="str">
        <f>"'Lanç ("&amp;S10&amp;")'!$U$8"</f>
        <v>'Lanç (2)'!$U$8</v>
      </c>
      <c r="U10" s="256">
        <f t="shared" ref="U10:W38" ca="1" si="17">INDIRECT(T10)</f>
        <v>0</v>
      </c>
      <c r="V10" s="219" t="str">
        <f t="shared" ref="V10:V38" si="18">"'Lanç ("&amp;$S10&amp;")'!$F$58"</f>
        <v>'Lanç (2)'!$F$58</v>
      </c>
      <c r="W10" s="256">
        <f t="shared" ca="1" si="17"/>
        <v>0</v>
      </c>
      <c r="X10" s="219" t="str">
        <f t="shared" ref="X10:X38" si="19">"'Lanç ("&amp;$S10&amp;")'!$U$14"</f>
        <v>'Lanç (2)'!$U$14</v>
      </c>
      <c r="Y10" s="256">
        <f t="shared" ca="1" si="0"/>
        <v>0</v>
      </c>
      <c r="Z10" s="219" t="str">
        <f>"'Lanç ("&amp;$S10&amp;")'!$K$5"</f>
        <v>'Lanç (2)'!$K$5</v>
      </c>
      <c r="AA10" s="256">
        <f t="shared" ca="1" si="1"/>
        <v>0</v>
      </c>
      <c r="AB10" s="219"/>
      <c r="AC10" s="219" t="str">
        <f>"'Lanç ("&amp;$S10&amp;")'!$F$41"</f>
        <v>'Lanç (2)'!$F$41</v>
      </c>
      <c r="AD10" s="256">
        <f t="shared" ca="1" si="2"/>
        <v>0</v>
      </c>
      <c r="AE10" s="219" t="str">
        <f>"'Lanç ("&amp;$S10&amp;")'!$F$42"</f>
        <v>'Lanç (2)'!$F$42</v>
      </c>
      <c r="AF10" s="256">
        <f t="shared" ca="1" si="3"/>
        <v>0</v>
      </c>
      <c r="AG10" s="219" t="str">
        <f>"'Lanç ("&amp;$S10&amp;")'!$F$43"</f>
        <v>'Lanç (2)'!$F$43</v>
      </c>
      <c r="AH10" s="256">
        <f t="shared" ca="1" si="4"/>
        <v>0</v>
      </c>
      <c r="AI10" s="219" t="str">
        <f>"'Lanç ("&amp;$S10&amp;")'!$F$44"</f>
        <v>'Lanç (2)'!$F$44</v>
      </c>
      <c r="AJ10" s="256">
        <f t="shared" ref="AJ10:AJ38" ca="1" si="20">INDIRECT(AI10)</f>
        <v>0</v>
      </c>
      <c r="AK10" s="219" t="str">
        <f>"'Lanç ("&amp;$S10&amp;")'!$F$45"</f>
        <v>'Lanç (2)'!$F$45</v>
      </c>
      <c r="AL10" s="256">
        <f t="shared" ca="1" si="5"/>
        <v>0</v>
      </c>
      <c r="AM10" s="219" t="str">
        <f>"'Lanç ("&amp;$S10&amp;")'!$F$46"</f>
        <v>'Lanç (2)'!$F$46</v>
      </c>
      <c r="AN10" s="256">
        <f t="shared" ca="1" si="6"/>
        <v>0</v>
      </c>
      <c r="AO10" s="219" t="str">
        <f>"'Lanç ("&amp;$S10&amp;")'!$F$47"</f>
        <v>'Lanç (2)'!$F$47</v>
      </c>
      <c r="AP10" s="256">
        <f t="shared" ca="1" si="7"/>
        <v>0</v>
      </c>
      <c r="AQ10" s="219" t="str">
        <f>"'Lanç ("&amp;$S10&amp;")'!$F$48"</f>
        <v>'Lanç (2)'!$F$48</v>
      </c>
      <c r="AR10" s="256">
        <f t="shared" ca="1" si="8"/>
        <v>0</v>
      </c>
      <c r="AS10" s="219" t="str">
        <f>"'Lanç ("&amp;$S10&amp;")'!$F$49"</f>
        <v>'Lanç (2)'!$F$49</v>
      </c>
      <c r="AT10" s="256">
        <f t="shared" ca="1" si="9"/>
        <v>0</v>
      </c>
      <c r="AU10" s="219" t="str">
        <f>"'Lanç ("&amp;$S10&amp;")'!$F$51"</f>
        <v>'Lanç (2)'!$F$51</v>
      </c>
      <c r="AV10" s="256">
        <f t="shared" ca="1" si="10"/>
        <v>0</v>
      </c>
      <c r="AW10" s="219" t="str">
        <f>"'Lanç ("&amp;$S10&amp;")'!$F$50"</f>
        <v>'Lanç (2)'!$F$50</v>
      </c>
      <c r="AX10" s="256">
        <f t="shared" ca="1" si="11"/>
        <v>0</v>
      </c>
      <c r="AY10" s="219" t="str">
        <f>"'Lanç ("&amp;$S10&amp;")'!$F$52"</f>
        <v>'Lanç (2)'!$F$52</v>
      </c>
      <c r="AZ10" s="256">
        <f t="shared" ca="1" si="12"/>
        <v>0</v>
      </c>
      <c r="BA10" s="219" t="str">
        <f>"'Lanç ("&amp;$S10&amp;")'!$F$53"</f>
        <v>'Lanç (2)'!$F$53</v>
      </c>
      <c r="BB10" s="256">
        <f t="shared" ca="1" si="13"/>
        <v>0</v>
      </c>
      <c r="BC10" s="219" t="str">
        <f>"'Lanç ("&amp;$S10&amp;")'!$F$54"</f>
        <v>'Lanç (2)'!$F$54</v>
      </c>
      <c r="BD10" s="257">
        <f t="shared" ca="1" si="14"/>
        <v>0</v>
      </c>
      <c r="BE10" s="219" t="str">
        <f>"'Lanç ("&amp;$S10&amp;")'!$F$55"</f>
        <v>'Lanç (2)'!$F$55</v>
      </c>
      <c r="BF10" s="257">
        <f t="shared" ca="1" si="15"/>
        <v>0</v>
      </c>
      <c r="BG10" s="219"/>
      <c r="BH10" s="219" t="str">
        <f>"'Lanç ("&amp;$S10&amp;")'!$m$5"</f>
        <v>'Lanç (2)'!$m$5</v>
      </c>
      <c r="BI10" s="256">
        <f ca="1">INDIRECT(BH10)</f>
        <v>0</v>
      </c>
      <c r="BJ10" s="219"/>
      <c r="BK10" s="219" t="str">
        <f>"'Lanç ("&amp;$S10&amp;")'!$F$55"</f>
        <v>'Lanç (2)'!$F$55</v>
      </c>
      <c r="BL10" s="2">
        <f t="shared" ref="BL10:BL38" ca="1" si="21">INDIRECT(BK10)</f>
        <v>0</v>
      </c>
      <c r="BM10" s="2">
        <f t="shared" ref="BM10:BM38" ca="1" si="22">BU10</f>
        <v>0</v>
      </c>
      <c r="BN10" s="2"/>
      <c r="BO10" s="2"/>
      <c r="BP10" s="2" t="str">
        <f t="shared" ref="BP10:BP38" si="23">R10</f>
        <v/>
      </c>
      <c r="BQ10" s="219" t="str">
        <f>"'Lanç ("&amp;$S10&amp;")'!$F$55"</f>
        <v>'Lanç (2)'!$F$55</v>
      </c>
      <c r="BR10" s="219" t="str">
        <f>"'Lanç ("&amp;$S10&amp;")'!$F$54"</f>
        <v>'Lanç (2)'!$F$54</v>
      </c>
      <c r="BS10" s="219" t="str">
        <f t="shared" ref="BS10:BS38" si="24">BP10</f>
        <v/>
      </c>
      <c r="BT10" s="2">
        <f t="shared" ref="BT10:BT38" ca="1" si="25">INDIRECT(BQ10)</f>
        <v>0</v>
      </c>
      <c r="BU10" s="2">
        <f t="shared" ref="BU10:BU38" ca="1" si="26">INDIRECT(BR10)</f>
        <v>0</v>
      </c>
      <c r="BV10" s="2">
        <f t="shared" ref="BV10:BV38" ca="1" si="27">INDIRECT(BW10)</f>
        <v>0</v>
      </c>
      <c r="BW10" s="219" t="str">
        <f>"'Lanç ("&amp;$S10&amp;")'!$H$49"</f>
        <v>'Lanç (2)'!$H$49</v>
      </c>
      <c r="BX10" s="2"/>
      <c r="BY10" s="2"/>
    </row>
    <row r="11" spans="1:82" ht="30" customHeight="1" thickTop="1" thickBot="1" x14ac:dyDescent="0.4">
      <c r="C11" s="103" t="s">
        <v>237</v>
      </c>
      <c r="G11" s="68"/>
      <c r="H11" s="68"/>
      <c r="I11" s="68"/>
      <c r="J11" s="68"/>
      <c r="K11" s="68"/>
      <c r="R11" s="2" t="str">
        <f>IF(Funcionários!C9=0,"",Funcionários!C9)</f>
        <v/>
      </c>
      <c r="S11" s="219">
        <v>3</v>
      </c>
      <c r="T11" s="219" t="str">
        <f t="shared" ref="T11:T38" si="28">"'Lanç ("&amp;S11&amp;")'!$U$8"</f>
        <v>'Lanç (3)'!$U$8</v>
      </c>
      <c r="U11" s="256">
        <f t="shared" ca="1" si="17"/>
        <v>0</v>
      </c>
      <c r="V11" s="219" t="str">
        <f t="shared" si="18"/>
        <v>'Lanç (3)'!$F$58</v>
      </c>
      <c r="W11" s="256">
        <f t="shared" ca="1" si="17"/>
        <v>0</v>
      </c>
      <c r="X11" s="219" t="str">
        <f t="shared" si="19"/>
        <v>'Lanç (3)'!$U$14</v>
      </c>
      <c r="Y11" s="256">
        <f t="shared" ca="1" si="0"/>
        <v>0</v>
      </c>
      <c r="Z11" s="219" t="str">
        <f t="shared" ref="Z11:Z38" si="29">"'Lanç ("&amp;$S11&amp;")'!$K$5"</f>
        <v>'Lanç (3)'!$K$5</v>
      </c>
      <c r="AA11" s="256">
        <f t="shared" ca="1" si="1"/>
        <v>0</v>
      </c>
      <c r="AC11" s="219" t="str">
        <f t="shared" ref="AC11:AC38" si="30">"'Lanç ("&amp;$S11&amp;")'!$F$41"</f>
        <v>'Lanç (3)'!$F$41</v>
      </c>
      <c r="AD11" s="256">
        <f t="shared" ca="1" si="2"/>
        <v>0</v>
      </c>
      <c r="AE11" s="219" t="str">
        <f t="shared" ref="AE11:AE38" si="31">"'Lanç ("&amp;$S11&amp;")'!$F$42"</f>
        <v>'Lanç (3)'!$F$42</v>
      </c>
      <c r="AF11" s="256">
        <f t="shared" ca="1" si="3"/>
        <v>0</v>
      </c>
      <c r="AG11" s="219" t="str">
        <f t="shared" ref="AG11:AG38" si="32">"'Lanç ("&amp;$S11&amp;")'!$F$43"</f>
        <v>'Lanç (3)'!$F$43</v>
      </c>
      <c r="AH11" s="256">
        <f t="shared" ca="1" si="4"/>
        <v>0</v>
      </c>
      <c r="AI11" s="219" t="str">
        <f t="shared" ref="AI11:AI38" si="33">"'Lanç ("&amp;$S11&amp;")'!$F$44"</f>
        <v>'Lanç (3)'!$F$44</v>
      </c>
      <c r="AJ11" s="256">
        <f t="shared" ca="1" si="20"/>
        <v>0</v>
      </c>
      <c r="AK11" s="219" t="str">
        <f t="shared" ref="AK11:AK38" si="34">"'Lanç ("&amp;$S11&amp;")'!$F$45"</f>
        <v>'Lanç (3)'!$F$45</v>
      </c>
      <c r="AL11" s="256">
        <f t="shared" ca="1" si="5"/>
        <v>0</v>
      </c>
      <c r="AM11" s="219" t="str">
        <f t="shared" ref="AM11:AM38" si="35">"'Lanç ("&amp;$S11&amp;")'!$F$46"</f>
        <v>'Lanç (3)'!$F$46</v>
      </c>
      <c r="AN11" s="256">
        <f t="shared" ca="1" si="6"/>
        <v>0</v>
      </c>
      <c r="AO11" s="219" t="str">
        <f t="shared" ref="AO11:AO38" si="36">"'Lanç ("&amp;$S11&amp;")'!$F$47"</f>
        <v>'Lanç (3)'!$F$47</v>
      </c>
      <c r="AP11" s="256">
        <f t="shared" ca="1" si="7"/>
        <v>0</v>
      </c>
      <c r="AQ11" s="219" t="str">
        <f t="shared" ref="AQ11:AQ38" si="37">"'Lanç ("&amp;$S11&amp;")'!$F$48"</f>
        <v>'Lanç (3)'!$F$48</v>
      </c>
      <c r="AR11" s="256">
        <f t="shared" ca="1" si="8"/>
        <v>0</v>
      </c>
      <c r="AS11" s="219" t="str">
        <f t="shared" ref="AS11:AS38" si="38">"'Lanç ("&amp;$S11&amp;")'!$F$49"</f>
        <v>'Lanç (3)'!$F$49</v>
      </c>
      <c r="AT11" s="256">
        <f t="shared" ca="1" si="9"/>
        <v>0</v>
      </c>
      <c r="AU11" s="219" t="str">
        <f t="shared" ref="AU11:AU38" si="39">"'Lanç ("&amp;$S11&amp;")'!$F$51"</f>
        <v>'Lanç (3)'!$F$51</v>
      </c>
      <c r="AV11" s="256">
        <f t="shared" ca="1" si="10"/>
        <v>0</v>
      </c>
      <c r="AW11" s="219" t="str">
        <f t="shared" ref="AW11:AW38" si="40">"'Lanç ("&amp;$S11&amp;")'!$F$50"</f>
        <v>'Lanç (3)'!$F$50</v>
      </c>
      <c r="AX11" s="256">
        <f t="shared" ca="1" si="11"/>
        <v>0</v>
      </c>
      <c r="AY11" s="219" t="str">
        <f t="shared" ref="AY11:AY38" si="41">"'Lanç ("&amp;$S11&amp;")'!$F$52"</f>
        <v>'Lanç (3)'!$F$52</v>
      </c>
      <c r="AZ11" s="256">
        <f t="shared" ca="1" si="12"/>
        <v>0</v>
      </c>
      <c r="BA11" s="219" t="str">
        <f t="shared" ref="BA11:BA38" si="42">"'Lanç ("&amp;$S11&amp;")'!$F$53"</f>
        <v>'Lanç (3)'!$F$53</v>
      </c>
      <c r="BB11" s="256">
        <f t="shared" ca="1" si="13"/>
        <v>0</v>
      </c>
      <c r="BC11" s="219" t="str">
        <f t="shared" ref="BC11:BC38" si="43">"'Lanç ("&amp;$S11&amp;")'!$F$54"</f>
        <v>'Lanç (3)'!$F$54</v>
      </c>
      <c r="BD11" s="257">
        <f t="shared" ca="1" si="14"/>
        <v>0</v>
      </c>
      <c r="BE11" s="219" t="str">
        <f t="shared" ref="BE11:BE38" si="44">"'Lanç ("&amp;$S11&amp;")'!$F$55"</f>
        <v>'Lanç (3)'!$F$55</v>
      </c>
      <c r="BF11" s="257">
        <f t="shared" ca="1" si="15"/>
        <v>0</v>
      </c>
      <c r="BH11" s="219" t="str">
        <f t="shared" ref="BH11:BH38" si="45">"'Lanç ("&amp;$S11&amp;")'!$m$5"</f>
        <v>'Lanç (3)'!$m$5</v>
      </c>
      <c r="BI11" s="256">
        <f t="shared" ref="BI11:BI38" ca="1" si="46">INDIRECT(BH11)</f>
        <v>0</v>
      </c>
      <c r="BK11" s="219" t="str">
        <f t="shared" ref="BK11:BK38" si="47">"'Lanç ("&amp;$S11&amp;")'!$F$55"</f>
        <v>'Lanç (3)'!$F$55</v>
      </c>
      <c r="BL11" s="2">
        <f t="shared" ca="1" si="21"/>
        <v>0</v>
      </c>
      <c r="BM11" s="2">
        <f t="shared" ca="1" si="22"/>
        <v>0</v>
      </c>
      <c r="BP11" s="2" t="str">
        <f t="shared" si="23"/>
        <v/>
      </c>
      <c r="BQ11" s="219" t="str">
        <f t="shared" ref="BQ11:BQ38" si="48">"'Lanç ("&amp;$S11&amp;")'!$F$55"</f>
        <v>'Lanç (3)'!$F$55</v>
      </c>
      <c r="BR11" s="219" t="str">
        <f t="shared" ref="BR11:BR38" si="49">"'Lanç ("&amp;$S11&amp;")'!$F$54"</f>
        <v>'Lanç (3)'!$F$54</v>
      </c>
      <c r="BS11" s="219" t="str">
        <f t="shared" si="24"/>
        <v/>
      </c>
      <c r="BT11" s="2">
        <f t="shared" ca="1" si="25"/>
        <v>0</v>
      </c>
      <c r="BU11" s="2">
        <f t="shared" ca="1" si="26"/>
        <v>0</v>
      </c>
      <c r="BV11" s="2">
        <f t="shared" ca="1" si="27"/>
        <v>0</v>
      </c>
      <c r="BW11" s="219" t="str">
        <f t="shared" ref="BW11:BW38" si="50">"'Lanç ("&amp;$S11&amp;")'!$H$49"</f>
        <v>'Lanç (3)'!$H$49</v>
      </c>
    </row>
    <row r="12" spans="1:82" ht="30" customHeight="1" thickTop="1" thickBot="1" x14ac:dyDescent="0.25">
      <c r="C12" s="303" t="s">
        <v>75</v>
      </c>
      <c r="D12" s="303"/>
      <c r="E12" s="303"/>
      <c r="F12" s="98">
        <f ca="1">IF($F$6=0,"",IF($F$6="todos",SUM(AD$9:AD$38),VLOOKUP($F$6,$R$9:$BD$38,$G12,0)))</f>
        <v>1.3888888888888884</v>
      </c>
      <c r="G12" s="2">
        <v>13</v>
      </c>
      <c r="H12" s="303" t="s">
        <v>80</v>
      </c>
      <c r="I12" s="303"/>
      <c r="J12" s="303"/>
      <c r="K12" s="98">
        <f ca="1">IF($F$6=0,"",IF($F$6="todos",SUM(AR$9:AR$38),VLOOKUP($F$6,$R$9:$BD$38,$L12,0)))</f>
        <v>0</v>
      </c>
      <c r="L12" s="2">
        <v>27</v>
      </c>
      <c r="R12" s="2" t="str">
        <f>IF(Funcionários!C10=0,"",Funcionários!C10)</f>
        <v/>
      </c>
      <c r="S12" s="219">
        <v>4</v>
      </c>
      <c r="T12" s="219" t="str">
        <f t="shared" si="28"/>
        <v>'Lanç (4)'!$U$8</v>
      </c>
      <c r="U12" s="256">
        <f t="shared" ca="1" si="17"/>
        <v>0</v>
      </c>
      <c r="V12" s="219" t="str">
        <f t="shared" si="18"/>
        <v>'Lanç (4)'!$F$58</v>
      </c>
      <c r="W12" s="256">
        <f t="shared" ca="1" si="17"/>
        <v>0</v>
      </c>
      <c r="X12" s="219" t="str">
        <f t="shared" si="19"/>
        <v>'Lanç (4)'!$U$14</v>
      </c>
      <c r="Y12" s="256">
        <f t="shared" ca="1" si="0"/>
        <v>0</v>
      </c>
      <c r="Z12" s="219" t="str">
        <f t="shared" si="29"/>
        <v>'Lanç (4)'!$K$5</v>
      </c>
      <c r="AA12" s="256">
        <f t="shared" ca="1" si="1"/>
        <v>0</v>
      </c>
      <c r="AC12" s="219" t="str">
        <f t="shared" si="30"/>
        <v>'Lanç (4)'!$F$41</v>
      </c>
      <c r="AD12" s="256">
        <f t="shared" ca="1" si="2"/>
        <v>0</v>
      </c>
      <c r="AE12" s="219" t="str">
        <f t="shared" si="31"/>
        <v>'Lanç (4)'!$F$42</v>
      </c>
      <c r="AF12" s="256">
        <f t="shared" ca="1" si="3"/>
        <v>0</v>
      </c>
      <c r="AG12" s="219" t="str">
        <f t="shared" si="32"/>
        <v>'Lanç (4)'!$F$43</v>
      </c>
      <c r="AH12" s="256">
        <f t="shared" ca="1" si="4"/>
        <v>0</v>
      </c>
      <c r="AI12" s="219" t="str">
        <f t="shared" si="33"/>
        <v>'Lanç (4)'!$F$44</v>
      </c>
      <c r="AJ12" s="256">
        <f t="shared" ca="1" si="20"/>
        <v>0</v>
      </c>
      <c r="AK12" s="219" t="str">
        <f t="shared" si="34"/>
        <v>'Lanç (4)'!$F$45</v>
      </c>
      <c r="AL12" s="256">
        <f t="shared" ca="1" si="5"/>
        <v>0</v>
      </c>
      <c r="AM12" s="219" t="str">
        <f t="shared" si="35"/>
        <v>'Lanç (4)'!$F$46</v>
      </c>
      <c r="AN12" s="256">
        <f t="shared" ca="1" si="6"/>
        <v>0</v>
      </c>
      <c r="AO12" s="219" t="str">
        <f t="shared" si="36"/>
        <v>'Lanç (4)'!$F$47</v>
      </c>
      <c r="AP12" s="256">
        <f t="shared" ca="1" si="7"/>
        <v>0</v>
      </c>
      <c r="AQ12" s="219" t="str">
        <f t="shared" si="37"/>
        <v>'Lanç (4)'!$F$48</v>
      </c>
      <c r="AR12" s="256">
        <f t="shared" ca="1" si="8"/>
        <v>0</v>
      </c>
      <c r="AS12" s="219" t="str">
        <f t="shared" si="38"/>
        <v>'Lanç (4)'!$F$49</v>
      </c>
      <c r="AT12" s="256">
        <f t="shared" ca="1" si="9"/>
        <v>0</v>
      </c>
      <c r="AU12" s="219" t="str">
        <f t="shared" si="39"/>
        <v>'Lanç (4)'!$F$51</v>
      </c>
      <c r="AV12" s="256">
        <f t="shared" ca="1" si="10"/>
        <v>0</v>
      </c>
      <c r="AW12" s="219" t="str">
        <f t="shared" si="40"/>
        <v>'Lanç (4)'!$F$50</v>
      </c>
      <c r="AX12" s="256">
        <f t="shared" ca="1" si="11"/>
        <v>0</v>
      </c>
      <c r="AY12" s="219" t="str">
        <f t="shared" si="41"/>
        <v>'Lanç (4)'!$F$52</v>
      </c>
      <c r="AZ12" s="256">
        <f t="shared" ca="1" si="12"/>
        <v>0</v>
      </c>
      <c r="BA12" s="219" t="str">
        <f t="shared" si="42"/>
        <v>'Lanç (4)'!$F$53</v>
      </c>
      <c r="BB12" s="256">
        <f t="shared" ca="1" si="13"/>
        <v>0</v>
      </c>
      <c r="BC12" s="219" t="str">
        <f t="shared" si="43"/>
        <v>'Lanç (4)'!$F$54</v>
      </c>
      <c r="BD12" s="257">
        <f t="shared" ca="1" si="14"/>
        <v>0</v>
      </c>
      <c r="BE12" s="219" t="str">
        <f t="shared" si="44"/>
        <v>'Lanç (4)'!$F$55</v>
      </c>
      <c r="BF12" s="257">
        <f t="shared" ca="1" si="15"/>
        <v>0</v>
      </c>
      <c r="BH12" s="219" t="str">
        <f t="shared" si="45"/>
        <v>'Lanç (4)'!$m$5</v>
      </c>
      <c r="BI12" s="256">
        <f t="shared" ca="1" si="46"/>
        <v>0</v>
      </c>
      <c r="BK12" s="219" t="str">
        <f t="shared" si="47"/>
        <v>'Lanç (4)'!$F$55</v>
      </c>
      <c r="BL12" s="2">
        <f t="shared" ca="1" si="21"/>
        <v>0</v>
      </c>
      <c r="BM12" s="2">
        <f t="shared" ca="1" si="22"/>
        <v>0</v>
      </c>
      <c r="BP12" s="2" t="str">
        <f t="shared" si="23"/>
        <v/>
      </c>
      <c r="BQ12" s="219" t="str">
        <f t="shared" si="48"/>
        <v>'Lanç (4)'!$F$55</v>
      </c>
      <c r="BR12" s="219" t="str">
        <f t="shared" si="49"/>
        <v>'Lanç (4)'!$F$54</v>
      </c>
      <c r="BS12" s="219" t="str">
        <f t="shared" si="24"/>
        <v/>
      </c>
      <c r="BT12" s="2">
        <f t="shared" ca="1" si="25"/>
        <v>0</v>
      </c>
      <c r="BU12" s="2">
        <f t="shared" ca="1" si="26"/>
        <v>0</v>
      </c>
      <c r="BV12" s="2">
        <f t="shared" ca="1" si="27"/>
        <v>0</v>
      </c>
      <c r="BW12" s="219" t="str">
        <f t="shared" si="50"/>
        <v>'Lanç (4)'!$H$49</v>
      </c>
    </row>
    <row r="13" spans="1:82" ht="5" customHeight="1" thickTop="1" thickBot="1" x14ac:dyDescent="0.25">
      <c r="F13" s="99"/>
      <c r="G13" s="2"/>
      <c r="H13"/>
      <c r="I13"/>
      <c r="J13"/>
      <c r="K13" s="99"/>
      <c r="R13" s="2" t="str">
        <f>IF(Funcionários!C11=0,"",Funcionários!C11)</f>
        <v/>
      </c>
      <c r="S13" s="219">
        <v>5</v>
      </c>
      <c r="T13" s="219" t="str">
        <f t="shared" si="28"/>
        <v>'Lanç (5)'!$U$8</v>
      </c>
      <c r="U13" s="256">
        <f t="shared" ca="1" si="17"/>
        <v>5.9374999999999982</v>
      </c>
      <c r="V13" s="219" t="str">
        <f t="shared" si="18"/>
        <v>'Lanç (5)'!$F$58</v>
      </c>
      <c r="W13" s="256">
        <f t="shared" ca="1" si="17"/>
        <v>5.9374999999999982</v>
      </c>
      <c r="X13" s="219" t="str">
        <f t="shared" si="19"/>
        <v>'Lanç (5)'!$U$14</v>
      </c>
      <c r="Y13" s="256">
        <f t="shared" ca="1" si="0"/>
        <v>0</v>
      </c>
      <c r="Z13" s="219" t="str">
        <f t="shared" si="29"/>
        <v>'Lanç (5)'!$K$5</v>
      </c>
      <c r="AA13" s="256">
        <f t="shared" ca="1" si="1"/>
        <v>0</v>
      </c>
      <c r="AC13" s="219" t="str">
        <f t="shared" si="30"/>
        <v>'Lanç (5)'!$F$41</v>
      </c>
      <c r="AD13" s="256">
        <f t="shared" ca="1" si="2"/>
        <v>1.3888888888888884</v>
      </c>
      <c r="AE13" s="219" t="str">
        <f t="shared" si="31"/>
        <v>'Lanç (5)'!$F$42</v>
      </c>
      <c r="AF13" s="256">
        <f t="shared" ca="1" si="3"/>
        <v>1.4513888888888884</v>
      </c>
      <c r="AG13" s="219" t="str">
        <f t="shared" si="32"/>
        <v>'Lanç (5)'!$F$43</v>
      </c>
      <c r="AH13" s="256">
        <f t="shared" ca="1" si="4"/>
        <v>0.87499999999999978</v>
      </c>
      <c r="AI13" s="219" t="str">
        <f t="shared" si="33"/>
        <v>'Lanç (5)'!$F$44</v>
      </c>
      <c r="AJ13" s="256">
        <f t="shared" ca="1" si="20"/>
        <v>0</v>
      </c>
      <c r="AK13" s="219" t="str">
        <f t="shared" si="34"/>
        <v>'Lanç (5)'!$F$45</v>
      </c>
      <c r="AL13" s="256">
        <f t="shared" ca="1" si="5"/>
        <v>0</v>
      </c>
      <c r="AM13" s="219" t="str">
        <f t="shared" si="35"/>
        <v>'Lanç (5)'!$F$46</v>
      </c>
      <c r="AN13" s="256">
        <f t="shared" ca="1" si="6"/>
        <v>0.83333333333333304</v>
      </c>
      <c r="AO13" s="219" t="str">
        <f t="shared" si="36"/>
        <v>'Lanç (5)'!$F$47</v>
      </c>
      <c r="AP13" s="256">
        <f t="shared" ca="1" si="7"/>
        <v>1.3888888888888884</v>
      </c>
      <c r="AQ13" s="219" t="str">
        <f t="shared" si="37"/>
        <v>'Lanç (5)'!$F$48</v>
      </c>
      <c r="AR13" s="256">
        <f t="shared" ca="1" si="8"/>
        <v>0</v>
      </c>
      <c r="AS13" s="219" t="str">
        <f t="shared" si="38"/>
        <v>'Lanç (5)'!$F$49</v>
      </c>
      <c r="AT13" s="256">
        <f t="shared" ca="1" si="9"/>
        <v>0</v>
      </c>
      <c r="AU13" s="219" t="str">
        <f t="shared" si="39"/>
        <v>'Lanç (5)'!$F$51</v>
      </c>
      <c r="AV13" s="256">
        <f t="shared" ca="1" si="10"/>
        <v>0</v>
      </c>
      <c r="AW13" s="219" t="str">
        <f t="shared" si="40"/>
        <v>'Lanç (5)'!$F$50</v>
      </c>
      <c r="AX13" s="256">
        <f t="shared" ca="1" si="11"/>
        <v>0</v>
      </c>
      <c r="AY13" s="219" t="str">
        <f t="shared" si="41"/>
        <v>'Lanç (5)'!$F$52</v>
      </c>
      <c r="AZ13" s="256">
        <f t="shared" ca="1" si="12"/>
        <v>5.9374999999999982</v>
      </c>
      <c r="BA13" s="219" t="str">
        <f t="shared" si="42"/>
        <v>'Lanç (5)'!$F$53</v>
      </c>
      <c r="BB13" s="256">
        <f t="shared" ca="1" si="13"/>
        <v>0</v>
      </c>
      <c r="BC13" s="219" t="str">
        <f t="shared" si="43"/>
        <v>'Lanç (5)'!$F$54</v>
      </c>
      <c r="BD13" s="257">
        <f t="shared" ca="1" si="14"/>
        <v>0</v>
      </c>
      <c r="BE13" s="219" t="str">
        <f t="shared" si="44"/>
        <v>'Lanç (5)'!$F$55</v>
      </c>
      <c r="BF13" s="257">
        <f t="shared" ca="1" si="15"/>
        <v>0</v>
      </c>
      <c r="BH13" s="219" t="str">
        <f t="shared" si="45"/>
        <v>'Lanç (5)'!$m$5</v>
      </c>
      <c r="BI13" s="256">
        <f t="shared" ca="1" si="46"/>
        <v>0</v>
      </c>
      <c r="BK13" s="219" t="str">
        <f t="shared" si="47"/>
        <v>'Lanç (5)'!$F$55</v>
      </c>
      <c r="BL13" s="2">
        <f t="shared" ca="1" si="21"/>
        <v>0</v>
      </c>
      <c r="BM13" s="2">
        <f t="shared" ca="1" si="22"/>
        <v>0</v>
      </c>
      <c r="BP13" s="2" t="str">
        <f t="shared" si="23"/>
        <v/>
      </c>
      <c r="BQ13" s="219" t="str">
        <f t="shared" si="48"/>
        <v>'Lanç (5)'!$F$55</v>
      </c>
      <c r="BR13" s="219" t="str">
        <f t="shared" si="49"/>
        <v>'Lanç (5)'!$F$54</v>
      </c>
      <c r="BS13" s="219" t="str">
        <f t="shared" si="24"/>
        <v/>
      </c>
      <c r="BT13" s="2">
        <f t="shared" ca="1" si="25"/>
        <v>0</v>
      </c>
      <c r="BU13" s="2">
        <f t="shared" ca="1" si="26"/>
        <v>0</v>
      </c>
      <c r="BV13" s="2">
        <f t="shared" ca="1" si="27"/>
        <v>0</v>
      </c>
      <c r="BW13" s="219" t="str">
        <f t="shared" si="50"/>
        <v>'Lanç (5)'!$H$49</v>
      </c>
    </row>
    <row r="14" spans="1:82" ht="30" customHeight="1" thickTop="1" thickBot="1" x14ac:dyDescent="0.25">
      <c r="C14" s="303" t="s">
        <v>76</v>
      </c>
      <c r="D14" s="303"/>
      <c r="E14" s="303"/>
      <c r="F14" s="98">
        <f ca="1">IF($F$6=0,"",IF($F$6="todos",SUM(AF$9:AF$38),VLOOKUP($F$6,$R$9:$BD$38,$G14,0)))</f>
        <v>1.4513888888888884</v>
      </c>
      <c r="G14" s="2">
        <v>15</v>
      </c>
      <c r="H14" s="304" t="s">
        <v>146</v>
      </c>
      <c r="I14" s="304"/>
      <c r="J14" s="304"/>
      <c r="K14" s="98">
        <f ca="1">IF($F$6=0,"",IF($F$6="todos",SUM(AT$9:AT$38),VLOOKUP($F$6,$R$9:$BD$38,$L14,0)))</f>
        <v>0</v>
      </c>
      <c r="L14" s="2">
        <v>29</v>
      </c>
      <c r="R14" s="2" t="str">
        <f>IF(Funcionários!C12=0,"",Funcionários!C12)</f>
        <v/>
      </c>
      <c r="S14" s="219">
        <v>6</v>
      </c>
      <c r="T14" s="219" t="str">
        <f t="shared" si="28"/>
        <v>'Lanç (6)'!$U$8</v>
      </c>
      <c r="U14" s="256">
        <f t="shared" ca="1" si="17"/>
        <v>0</v>
      </c>
      <c r="V14" s="219" t="str">
        <f t="shared" si="18"/>
        <v>'Lanç (6)'!$F$58</v>
      </c>
      <c r="W14" s="256">
        <f t="shared" ca="1" si="17"/>
        <v>0</v>
      </c>
      <c r="X14" s="219" t="str">
        <f t="shared" si="19"/>
        <v>'Lanç (6)'!$U$14</v>
      </c>
      <c r="Y14" s="256">
        <f t="shared" ca="1" si="0"/>
        <v>0</v>
      </c>
      <c r="Z14" s="219" t="str">
        <f t="shared" si="29"/>
        <v>'Lanç (6)'!$K$5</v>
      </c>
      <c r="AA14" s="256">
        <f t="shared" ca="1" si="1"/>
        <v>0</v>
      </c>
      <c r="AC14" s="219" t="str">
        <f t="shared" si="30"/>
        <v>'Lanç (6)'!$F$41</v>
      </c>
      <c r="AD14" s="256">
        <f t="shared" ca="1" si="2"/>
        <v>0</v>
      </c>
      <c r="AE14" s="219" t="str">
        <f t="shared" si="31"/>
        <v>'Lanç (6)'!$F$42</v>
      </c>
      <c r="AF14" s="256">
        <f t="shared" ca="1" si="3"/>
        <v>0</v>
      </c>
      <c r="AG14" s="219" t="str">
        <f t="shared" si="32"/>
        <v>'Lanç (6)'!$F$43</v>
      </c>
      <c r="AH14" s="256">
        <f t="shared" ca="1" si="4"/>
        <v>0</v>
      </c>
      <c r="AI14" s="219" t="str">
        <f t="shared" si="33"/>
        <v>'Lanç (6)'!$F$44</v>
      </c>
      <c r="AJ14" s="256">
        <f t="shared" ca="1" si="20"/>
        <v>0</v>
      </c>
      <c r="AK14" s="219" t="str">
        <f t="shared" si="34"/>
        <v>'Lanç (6)'!$F$45</v>
      </c>
      <c r="AL14" s="256">
        <f t="shared" ca="1" si="5"/>
        <v>0</v>
      </c>
      <c r="AM14" s="219" t="str">
        <f t="shared" si="35"/>
        <v>'Lanç (6)'!$F$46</v>
      </c>
      <c r="AN14" s="256">
        <f t="shared" ca="1" si="6"/>
        <v>0</v>
      </c>
      <c r="AO14" s="219" t="str">
        <f t="shared" si="36"/>
        <v>'Lanç (6)'!$F$47</v>
      </c>
      <c r="AP14" s="256">
        <f t="shared" ca="1" si="7"/>
        <v>0</v>
      </c>
      <c r="AQ14" s="219" t="str">
        <f t="shared" si="37"/>
        <v>'Lanç (6)'!$F$48</v>
      </c>
      <c r="AR14" s="256">
        <f t="shared" ca="1" si="8"/>
        <v>0</v>
      </c>
      <c r="AS14" s="219" t="str">
        <f t="shared" si="38"/>
        <v>'Lanç (6)'!$F$49</v>
      </c>
      <c r="AT14" s="256">
        <f t="shared" ca="1" si="9"/>
        <v>0</v>
      </c>
      <c r="AU14" s="219" t="str">
        <f t="shared" si="39"/>
        <v>'Lanç (6)'!$F$51</v>
      </c>
      <c r="AV14" s="256">
        <f t="shared" ca="1" si="10"/>
        <v>0</v>
      </c>
      <c r="AW14" s="219" t="str">
        <f t="shared" si="40"/>
        <v>'Lanç (6)'!$F$50</v>
      </c>
      <c r="AX14" s="256">
        <f t="shared" ca="1" si="11"/>
        <v>0</v>
      </c>
      <c r="AY14" s="219" t="str">
        <f t="shared" si="41"/>
        <v>'Lanç (6)'!$F$52</v>
      </c>
      <c r="AZ14" s="256">
        <f t="shared" ca="1" si="12"/>
        <v>0</v>
      </c>
      <c r="BA14" s="219" t="str">
        <f t="shared" si="42"/>
        <v>'Lanç (6)'!$F$53</v>
      </c>
      <c r="BB14" s="256">
        <f t="shared" ca="1" si="13"/>
        <v>0</v>
      </c>
      <c r="BC14" s="219" t="str">
        <f t="shared" si="43"/>
        <v>'Lanç (6)'!$F$54</v>
      </c>
      <c r="BD14" s="257">
        <f t="shared" ca="1" si="14"/>
        <v>0</v>
      </c>
      <c r="BE14" s="219" t="str">
        <f t="shared" si="44"/>
        <v>'Lanç (6)'!$F$55</v>
      </c>
      <c r="BF14" s="257">
        <f t="shared" ca="1" si="15"/>
        <v>0</v>
      </c>
      <c r="BH14" s="219" t="str">
        <f t="shared" si="45"/>
        <v>'Lanç (6)'!$m$5</v>
      </c>
      <c r="BI14" s="256">
        <f t="shared" ca="1" si="46"/>
        <v>0</v>
      </c>
      <c r="BK14" s="219" t="str">
        <f t="shared" si="47"/>
        <v>'Lanç (6)'!$F$55</v>
      </c>
      <c r="BL14" s="2">
        <f t="shared" ca="1" si="21"/>
        <v>0</v>
      </c>
      <c r="BM14" s="2">
        <f t="shared" ca="1" si="22"/>
        <v>0</v>
      </c>
      <c r="BP14" s="2" t="str">
        <f t="shared" si="23"/>
        <v/>
      </c>
      <c r="BQ14" s="219" t="str">
        <f t="shared" si="48"/>
        <v>'Lanç (6)'!$F$55</v>
      </c>
      <c r="BR14" s="219" t="str">
        <f t="shared" si="49"/>
        <v>'Lanç (6)'!$F$54</v>
      </c>
      <c r="BS14" s="219" t="str">
        <f t="shared" si="24"/>
        <v/>
      </c>
      <c r="BT14" s="2">
        <f t="shared" ca="1" si="25"/>
        <v>0</v>
      </c>
      <c r="BU14" s="2">
        <f t="shared" ca="1" si="26"/>
        <v>0</v>
      </c>
      <c r="BV14" s="2">
        <f t="shared" ca="1" si="27"/>
        <v>0</v>
      </c>
      <c r="BW14" s="219" t="str">
        <f t="shared" si="50"/>
        <v>'Lanç (6)'!$H$49</v>
      </c>
    </row>
    <row r="15" spans="1:82" ht="5" customHeight="1" thickTop="1" thickBot="1" x14ac:dyDescent="0.25">
      <c r="F15" s="99"/>
      <c r="G15" s="2"/>
      <c r="H15"/>
      <c r="I15"/>
      <c r="J15"/>
      <c r="K15" s="99"/>
      <c r="R15" s="2" t="str">
        <f>IF(Funcionários!C13=0,"",Funcionários!C13)</f>
        <v/>
      </c>
      <c r="S15" s="219">
        <v>7</v>
      </c>
      <c r="T15" s="219" t="str">
        <f t="shared" si="28"/>
        <v>'Lanç (7)'!$U$8</v>
      </c>
      <c r="U15" s="256">
        <f t="shared" ca="1" si="17"/>
        <v>0</v>
      </c>
      <c r="V15" s="219" t="str">
        <f t="shared" si="18"/>
        <v>'Lanç (7)'!$F$58</v>
      </c>
      <c r="W15" s="256">
        <f t="shared" ca="1" si="17"/>
        <v>0</v>
      </c>
      <c r="X15" s="219" t="str">
        <f t="shared" si="19"/>
        <v>'Lanç (7)'!$U$14</v>
      </c>
      <c r="Y15" s="256">
        <f t="shared" ca="1" si="0"/>
        <v>0</v>
      </c>
      <c r="Z15" s="219" t="str">
        <f t="shared" si="29"/>
        <v>'Lanç (7)'!$K$5</v>
      </c>
      <c r="AA15" s="256">
        <f t="shared" ca="1" si="1"/>
        <v>0</v>
      </c>
      <c r="AC15" s="219" t="str">
        <f t="shared" si="30"/>
        <v>'Lanç (7)'!$F$41</v>
      </c>
      <c r="AD15" s="256">
        <f t="shared" ca="1" si="2"/>
        <v>0</v>
      </c>
      <c r="AE15" s="219" t="str">
        <f t="shared" si="31"/>
        <v>'Lanç (7)'!$F$42</v>
      </c>
      <c r="AF15" s="256">
        <f t="shared" ca="1" si="3"/>
        <v>0</v>
      </c>
      <c r="AG15" s="219" t="str">
        <f t="shared" si="32"/>
        <v>'Lanç (7)'!$F$43</v>
      </c>
      <c r="AH15" s="256">
        <f t="shared" ca="1" si="4"/>
        <v>0</v>
      </c>
      <c r="AI15" s="219" t="str">
        <f t="shared" si="33"/>
        <v>'Lanç (7)'!$F$44</v>
      </c>
      <c r="AJ15" s="256">
        <f t="shared" ca="1" si="20"/>
        <v>0</v>
      </c>
      <c r="AK15" s="219" t="str">
        <f t="shared" si="34"/>
        <v>'Lanç (7)'!$F$45</v>
      </c>
      <c r="AL15" s="256">
        <f t="shared" ca="1" si="5"/>
        <v>0</v>
      </c>
      <c r="AM15" s="219" t="str">
        <f t="shared" si="35"/>
        <v>'Lanç (7)'!$F$46</v>
      </c>
      <c r="AN15" s="256">
        <f t="shared" ca="1" si="6"/>
        <v>0</v>
      </c>
      <c r="AO15" s="219" t="str">
        <f t="shared" si="36"/>
        <v>'Lanç (7)'!$F$47</v>
      </c>
      <c r="AP15" s="256">
        <f t="shared" ca="1" si="7"/>
        <v>0</v>
      </c>
      <c r="AQ15" s="219" t="str">
        <f t="shared" si="37"/>
        <v>'Lanç (7)'!$F$48</v>
      </c>
      <c r="AR15" s="256">
        <f t="shared" ca="1" si="8"/>
        <v>0</v>
      </c>
      <c r="AS15" s="219" t="str">
        <f t="shared" si="38"/>
        <v>'Lanç (7)'!$F$49</v>
      </c>
      <c r="AT15" s="256">
        <f t="shared" ca="1" si="9"/>
        <v>0</v>
      </c>
      <c r="AU15" s="219" t="str">
        <f t="shared" si="39"/>
        <v>'Lanç (7)'!$F$51</v>
      </c>
      <c r="AV15" s="256">
        <f t="shared" ca="1" si="10"/>
        <v>0</v>
      </c>
      <c r="AW15" s="219" t="str">
        <f t="shared" si="40"/>
        <v>'Lanç (7)'!$F$50</v>
      </c>
      <c r="AX15" s="256">
        <f t="shared" ca="1" si="11"/>
        <v>0</v>
      </c>
      <c r="AY15" s="219" t="str">
        <f t="shared" si="41"/>
        <v>'Lanç (7)'!$F$52</v>
      </c>
      <c r="AZ15" s="256">
        <f t="shared" ca="1" si="12"/>
        <v>0</v>
      </c>
      <c r="BA15" s="219" t="str">
        <f t="shared" si="42"/>
        <v>'Lanç (7)'!$F$53</v>
      </c>
      <c r="BB15" s="256">
        <f t="shared" ca="1" si="13"/>
        <v>0</v>
      </c>
      <c r="BC15" s="219" t="str">
        <f t="shared" si="43"/>
        <v>'Lanç (7)'!$F$54</v>
      </c>
      <c r="BD15" s="257">
        <f t="shared" ca="1" si="14"/>
        <v>0</v>
      </c>
      <c r="BE15" s="219" t="str">
        <f t="shared" si="44"/>
        <v>'Lanç (7)'!$F$55</v>
      </c>
      <c r="BF15" s="257">
        <f t="shared" ca="1" si="15"/>
        <v>0</v>
      </c>
      <c r="BH15" s="219" t="str">
        <f t="shared" si="45"/>
        <v>'Lanç (7)'!$m$5</v>
      </c>
      <c r="BI15" s="256">
        <f t="shared" ca="1" si="46"/>
        <v>0</v>
      </c>
      <c r="BK15" s="219" t="str">
        <f t="shared" si="47"/>
        <v>'Lanç (7)'!$F$55</v>
      </c>
      <c r="BL15" s="2">
        <f t="shared" ca="1" si="21"/>
        <v>0</v>
      </c>
      <c r="BM15" s="2">
        <f t="shared" ca="1" si="22"/>
        <v>0</v>
      </c>
      <c r="BP15" s="2" t="str">
        <f t="shared" si="23"/>
        <v/>
      </c>
      <c r="BQ15" s="219" t="str">
        <f t="shared" si="48"/>
        <v>'Lanç (7)'!$F$55</v>
      </c>
      <c r="BR15" s="219" t="str">
        <f t="shared" si="49"/>
        <v>'Lanç (7)'!$F$54</v>
      </c>
      <c r="BS15" s="219" t="str">
        <f t="shared" si="24"/>
        <v/>
      </c>
      <c r="BT15" s="2">
        <f t="shared" ca="1" si="25"/>
        <v>0</v>
      </c>
      <c r="BU15" s="2">
        <f t="shared" ca="1" si="26"/>
        <v>0</v>
      </c>
      <c r="BV15" s="2">
        <f t="shared" ca="1" si="27"/>
        <v>0</v>
      </c>
      <c r="BW15" s="219" t="str">
        <f t="shared" si="50"/>
        <v>'Lanç (7)'!$H$49</v>
      </c>
    </row>
    <row r="16" spans="1:82" ht="30" customHeight="1" thickTop="1" thickBot="1" x14ac:dyDescent="0.25">
      <c r="C16" s="303" t="s">
        <v>77</v>
      </c>
      <c r="D16" s="303"/>
      <c r="E16" s="303"/>
      <c r="F16" s="98">
        <f ca="1">IF($F$6=0,"",IF($F$6="todos",SUM(AH$9:AH$38),VLOOKUP($F$6,$R$9:$BD$38,$G16,0)))</f>
        <v>0.87499999999999978</v>
      </c>
      <c r="G16" s="2">
        <v>17</v>
      </c>
      <c r="H16" s="303" t="s">
        <v>147</v>
      </c>
      <c r="I16" s="303"/>
      <c r="J16" s="303"/>
      <c r="K16" s="98">
        <f ca="1">IF($F$6=0,"",IF($F$6="todos",SUM(AV$9:AV$38),VLOOKUP($F$6,$R$9:$BD$38,$L16,0)))</f>
        <v>0</v>
      </c>
      <c r="L16" s="2">
        <v>31</v>
      </c>
      <c r="R16" s="2" t="str">
        <f>IF(Funcionários!C14=0,"",Funcionários!C14)</f>
        <v/>
      </c>
      <c r="S16" s="219">
        <v>8</v>
      </c>
      <c r="T16" s="219" t="str">
        <f t="shared" si="28"/>
        <v>'Lanç (8)'!$U$8</v>
      </c>
      <c r="U16" s="256">
        <f t="shared" ca="1" si="17"/>
        <v>0</v>
      </c>
      <c r="V16" s="219" t="str">
        <f t="shared" si="18"/>
        <v>'Lanç (8)'!$F$58</v>
      </c>
      <c r="W16" s="256">
        <f t="shared" ca="1" si="17"/>
        <v>0</v>
      </c>
      <c r="X16" s="219" t="str">
        <f t="shared" si="19"/>
        <v>'Lanç (8)'!$U$14</v>
      </c>
      <c r="Y16" s="256">
        <f t="shared" ca="1" si="0"/>
        <v>0</v>
      </c>
      <c r="Z16" s="219" t="str">
        <f t="shared" si="29"/>
        <v>'Lanç (8)'!$K$5</v>
      </c>
      <c r="AA16" s="256">
        <f t="shared" ca="1" si="1"/>
        <v>0</v>
      </c>
      <c r="AC16" s="219" t="str">
        <f t="shared" si="30"/>
        <v>'Lanç (8)'!$F$41</v>
      </c>
      <c r="AD16" s="256">
        <f t="shared" ca="1" si="2"/>
        <v>0</v>
      </c>
      <c r="AE16" s="219" t="str">
        <f t="shared" si="31"/>
        <v>'Lanç (8)'!$F$42</v>
      </c>
      <c r="AF16" s="256">
        <f t="shared" ca="1" si="3"/>
        <v>0</v>
      </c>
      <c r="AG16" s="219" t="str">
        <f t="shared" si="32"/>
        <v>'Lanç (8)'!$F$43</v>
      </c>
      <c r="AH16" s="256">
        <f t="shared" ca="1" si="4"/>
        <v>0</v>
      </c>
      <c r="AI16" s="219" t="str">
        <f t="shared" si="33"/>
        <v>'Lanç (8)'!$F$44</v>
      </c>
      <c r="AJ16" s="256">
        <f t="shared" ca="1" si="20"/>
        <v>0</v>
      </c>
      <c r="AK16" s="219" t="str">
        <f t="shared" si="34"/>
        <v>'Lanç (8)'!$F$45</v>
      </c>
      <c r="AL16" s="256">
        <f t="shared" ca="1" si="5"/>
        <v>0</v>
      </c>
      <c r="AM16" s="219" t="str">
        <f t="shared" si="35"/>
        <v>'Lanç (8)'!$F$46</v>
      </c>
      <c r="AN16" s="256">
        <f t="shared" ca="1" si="6"/>
        <v>0</v>
      </c>
      <c r="AO16" s="219" t="str">
        <f t="shared" si="36"/>
        <v>'Lanç (8)'!$F$47</v>
      </c>
      <c r="AP16" s="256">
        <f t="shared" ca="1" si="7"/>
        <v>0</v>
      </c>
      <c r="AQ16" s="219" t="str">
        <f t="shared" si="37"/>
        <v>'Lanç (8)'!$F$48</v>
      </c>
      <c r="AR16" s="256">
        <f t="shared" ca="1" si="8"/>
        <v>0</v>
      </c>
      <c r="AS16" s="219" t="str">
        <f t="shared" si="38"/>
        <v>'Lanç (8)'!$F$49</v>
      </c>
      <c r="AT16" s="256">
        <f t="shared" ca="1" si="9"/>
        <v>0</v>
      </c>
      <c r="AU16" s="219" t="str">
        <f t="shared" si="39"/>
        <v>'Lanç (8)'!$F$51</v>
      </c>
      <c r="AV16" s="256">
        <f t="shared" ca="1" si="10"/>
        <v>0</v>
      </c>
      <c r="AW16" s="219" t="str">
        <f t="shared" si="40"/>
        <v>'Lanç (8)'!$F$50</v>
      </c>
      <c r="AX16" s="256">
        <f t="shared" ca="1" si="11"/>
        <v>0</v>
      </c>
      <c r="AY16" s="219" t="str">
        <f t="shared" si="41"/>
        <v>'Lanç (8)'!$F$52</v>
      </c>
      <c r="AZ16" s="256">
        <f t="shared" ca="1" si="12"/>
        <v>0</v>
      </c>
      <c r="BA16" s="219" t="str">
        <f t="shared" si="42"/>
        <v>'Lanç (8)'!$F$53</v>
      </c>
      <c r="BB16" s="256">
        <f t="shared" ca="1" si="13"/>
        <v>0</v>
      </c>
      <c r="BC16" s="219" t="str">
        <f t="shared" si="43"/>
        <v>'Lanç (8)'!$F$54</v>
      </c>
      <c r="BD16" s="257">
        <f t="shared" ca="1" si="14"/>
        <v>0</v>
      </c>
      <c r="BE16" s="219" t="str">
        <f t="shared" si="44"/>
        <v>'Lanç (8)'!$F$55</v>
      </c>
      <c r="BF16" s="257">
        <f t="shared" ca="1" si="15"/>
        <v>0</v>
      </c>
      <c r="BH16" s="219" t="str">
        <f t="shared" si="45"/>
        <v>'Lanç (8)'!$m$5</v>
      </c>
      <c r="BI16" s="256">
        <f t="shared" ca="1" si="46"/>
        <v>0</v>
      </c>
      <c r="BK16" s="219" t="str">
        <f t="shared" si="47"/>
        <v>'Lanç (8)'!$F$55</v>
      </c>
      <c r="BL16" s="2">
        <f t="shared" ca="1" si="21"/>
        <v>0</v>
      </c>
      <c r="BM16" s="2">
        <f t="shared" ca="1" si="22"/>
        <v>0</v>
      </c>
      <c r="BP16" s="2" t="str">
        <f t="shared" si="23"/>
        <v/>
      </c>
      <c r="BQ16" s="219" t="str">
        <f t="shared" si="48"/>
        <v>'Lanç (8)'!$F$55</v>
      </c>
      <c r="BR16" s="219" t="str">
        <f t="shared" si="49"/>
        <v>'Lanç (8)'!$F$54</v>
      </c>
      <c r="BS16" s="219" t="str">
        <f t="shared" si="24"/>
        <v/>
      </c>
      <c r="BT16" s="2">
        <f t="shared" ca="1" si="25"/>
        <v>0</v>
      </c>
      <c r="BU16" s="2">
        <f t="shared" ca="1" si="26"/>
        <v>0</v>
      </c>
      <c r="BV16" s="2">
        <f t="shared" ca="1" si="27"/>
        <v>0</v>
      </c>
      <c r="BW16" s="219" t="str">
        <f t="shared" si="50"/>
        <v>'Lanç (8)'!$H$49</v>
      </c>
    </row>
    <row r="17" spans="3:75" ht="5" customHeight="1" thickTop="1" thickBot="1" x14ac:dyDescent="0.25">
      <c r="F17" s="99"/>
      <c r="G17" s="2"/>
      <c r="H17"/>
      <c r="I17"/>
      <c r="J17"/>
      <c r="K17" s="99"/>
      <c r="R17" s="2" t="str">
        <f>IF(Funcionários!C15=0,"",Funcionários!C15)</f>
        <v/>
      </c>
      <c r="S17" s="219">
        <v>9</v>
      </c>
      <c r="T17" s="219" t="str">
        <f t="shared" si="28"/>
        <v>'Lanç (9)'!$U$8</v>
      </c>
      <c r="U17" s="256">
        <f t="shared" ca="1" si="17"/>
        <v>0</v>
      </c>
      <c r="V17" s="219" t="str">
        <f t="shared" si="18"/>
        <v>'Lanç (9)'!$F$58</v>
      </c>
      <c r="W17" s="256">
        <f t="shared" ca="1" si="17"/>
        <v>0</v>
      </c>
      <c r="X17" s="219" t="str">
        <f t="shared" si="19"/>
        <v>'Lanç (9)'!$U$14</v>
      </c>
      <c r="Y17" s="256">
        <f t="shared" ca="1" si="0"/>
        <v>0</v>
      </c>
      <c r="Z17" s="219" t="str">
        <f t="shared" si="29"/>
        <v>'Lanç (9)'!$K$5</v>
      </c>
      <c r="AA17" s="256">
        <f t="shared" ca="1" si="1"/>
        <v>0</v>
      </c>
      <c r="AC17" s="219" t="str">
        <f t="shared" si="30"/>
        <v>'Lanç (9)'!$F$41</v>
      </c>
      <c r="AD17" s="256">
        <f t="shared" ca="1" si="2"/>
        <v>0</v>
      </c>
      <c r="AE17" s="219" t="str">
        <f t="shared" si="31"/>
        <v>'Lanç (9)'!$F$42</v>
      </c>
      <c r="AF17" s="256">
        <f t="shared" ca="1" si="3"/>
        <v>0</v>
      </c>
      <c r="AG17" s="219" t="str">
        <f t="shared" si="32"/>
        <v>'Lanç (9)'!$F$43</v>
      </c>
      <c r="AH17" s="256">
        <f t="shared" ca="1" si="4"/>
        <v>0</v>
      </c>
      <c r="AI17" s="219" t="str">
        <f t="shared" si="33"/>
        <v>'Lanç (9)'!$F$44</v>
      </c>
      <c r="AJ17" s="256">
        <f t="shared" ca="1" si="20"/>
        <v>0</v>
      </c>
      <c r="AK17" s="219" t="str">
        <f t="shared" si="34"/>
        <v>'Lanç (9)'!$F$45</v>
      </c>
      <c r="AL17" s="256">
        <f t="shared" ca="1" si="5"/>
        <v>0</v>
      </c>
      <c r="AM17" s="219" t="str">
        <f t="shared" si="35"/>
        <v>'Lanç (9)'!$F$46</v>
      </c>
      <c r="AN17" s="256">
        <f t="shared" ca="1" si="6"/>
        <v>0</v>
      </c>
      <c r="AO17" s="219" t="str">
        <f t="shared" si="36"/>
        <v>'Lanç (9)'!$F$47</v>
      </c>
      <c r="AP17" s="256">
        <f t="shared" ca="1" si="7"/>
        <v>0</v>
      </c>
      <c r="AQ17" s="219" t="str">
        <f t="shared" si="37"/>
        <v>'Lanç (9)'!$F$48</v>
      </c>
      <c r="AR17" s="256">
        <f t="shared" ca="1" si="8"/>
        <v>0</v>
      </c>
      <c r="AS17" s="219" t="str">
        <f t="shared" si="38"/>
        <v>'Lanç (9)'!$F$49</v>
      </c>
      <c r="AT17" s="256">
        <f t="shared" ca="1" si="9"/>
        <v>0</v>
      </c>
      <c r="AU17" s="219" t="str">
        <f t="shared" si="39"/>
        <v>'Lanç (9)'!$F$51</v>
      </c>
      <c r="AV17" s="256">
        <f t="shared" ca="1" si="10"/>
        <v>0</v>
      </c>
      <c r="AW17" s="219" t="str">
        <f t="shared" si="40"/>
        <v>'Lanç (9)'!$F$50</v>
      </c>
      <c r="AX17" s="256">
        <f t="shared" ca="1" si="11"/>
        <v>0</v>
      </c>
      <c r="AY17" s="219" t="str">
        <f t="shared" si="41"/>
        <v>'Lanç (9)'!$F$52</v>
      </c>
      <c r="AZ17" s="256">
        <f t="shared" ca="1" si="12"/>
        <v>0</v>
      </c>
      <c r="BA17" s="219" t="str">
        <f t="shared" si="42"/>
        <v>'Lanç (9)'!$F$53</v>
      </c>
      <c r="BB17" s="256">
        <f t="shared" ca="1" si="13"/>
        <v>0</v>
      </c>
      <c r="BC17" s="219" t="str">
        <f t="shared" si="43"/>
        <v>'Lanç (9)'!$F$54</v>
      </c>
      <c r="BD17" s="257">
        <f t="shared" ca="1" si="14"/>
        <v>0</v>
      </c>
      <c r="BE17" s="219" t="str">
        <f t="shared" si="44"/>
        <v>'Lanç (9)'!$F$55</v>
      </c>
      <c r="BF17" s="257">
        <f t="shared" ca="1" si="15"/>
        <v>0</v>
      </c>
      <c r="BH17" s="219" t="str">
        <f t="shared" si="45"/>
        <v>'Lanç (9)'!$m$5</v>
      </c>
      <c r="BI17" s="256">
        <f t="shared" ca="1" si="46"/>
        <v>0</v>
      </c>
      <c r="BK17" s="219" t="str">
        <f t="shared" si="47"/>
        <v>'Lanç (9)'!$F$55</v>
      </c>
      <c r="BL17" s="2">
        <f t="shared" ca="1" si="21"/>
        <v>0</v>
      </c>
      <c r="BM17" s="2">
        <f t="shared" ca="1" si="22"/>
        <v>0</v>
      </c>
      <c r="BP17" s="2" t="str">
        <f t="shared" si="23"/>
        <v/>
      </c>
      <c r="BQ17" s="219" t="str">
        <f t="shared" si="48"/>
        <v>'Lanç (9)'!$F$55</v>
      </c>
      <c r="BR17" s="219" t="str">
        <f t="shared" si="49"/>
        <v>'Lanç (9)'!$F$54</v>
      </c>
      <c r="BS17" s="219" t="str">
        <f t="shared" si="24"/>
        <v/>
      </c>
      <c r="BT17" s="2">
        <f t="shared" ca="1" si="25"/>
        <v>0</v>
      </c>
      <c r="BU17" s="2">
        <f t="shared" ca="1" si="26"/>
        <v>0</v>
      </c>
      <c r="BV17" s="2">
        <f t="shared" ca="1" si="27"/>
        <v>0</v>
      </c>
      <c r="BW17" s="219" t="str">
        <f t="shared" si="50"/>
        <v>'Lanç (9)'!$H$49</v>
      </c>
    </row>
    <row r="18" spans="3:75" ht="30" customHeight="1" thickTop="1" thickBot="1" x14ac:dyDescent="0.25">
      <c r="C18" s="303" t="s">
        <v>78</v>
      </c>
      <c r="D18" s="303"/>
      <c r="E18" s="303"/>
      <c r="F18" s="98">
        <f ca="1">IF($F$6=0,"",IF($F$6="todos",SUM(AJ$9:AJ$38),VLOOKUP($F$6,$R$9:$BD$38,$G18,0)))</f>
        <v>0</v>
      </c>
      <c r="G18" s="2">
        <v>19</v>
      </c>
      <c r="H18" s="303" t="s">
        <v>84</v>
      </c>
      <c r="I18" s="303"/>
      <c r="J18" s="303"/>
      <c r="K18" s="98">
        <f ca="1">IF($F$6=0,"",IF($F$6="todos",SUM(AX$9:AX$38),VLOOKUP($F$6,$R$9:$BD$38,$L18,0)))</f>
        <v>0</v>
      </c>
      <c r="L18" s="2">
        <v>33</v>
      </c>
      <c r="R18" s="2" t="str">
        <f>IF(Funcionários!C16=0,"",Funcionários!C16)</f>
        <v/>
      </c>
      <c r="S18" s="219">
        <v>10</v>
      </c>
      <c r="T18" s="219" t="str">
        <f t="shared" si="28"/>
        <v>'Lanç (10)'!$U$8</v>
      </c>
      <c r="U18" s="256">
        <f t="shared" ca="1" si="17"/>
        <v>0</v>
      </c>
      <c r="V18" s="219" t="str">
        <f t="shared" si="18"/>
        <v>'Lanç (10)'!$F$58</v>
      </c>
      <c r="W18" s="256">
        <f t="shared" ca="1" si="17"/>
        <v>0</v>
      </c>
      <c r="X18" s="219" t="str">
        <f t="shared" si="19"/>
        <v>'Lanç (10)'!$U$14</v>
      </c>
      <c r="Y18" s="256">
        <f t="shared" ca="1" si="0"/>
        <v>0</v>
      </c>
      <c r="Z18" s="219" t="str">
        <f t="shared" si="29"/>
        <v>'Lanç (10)'!$K$5</v>
      </c>
      <c r="AA18" s="256">
        <f t="shared" ca="1" si="1"/>
        <v>0</v>
      </c>
      <c r="AC18" s="219" t="str">
        <f t="shared" si="30"/>
        <v>'Lanç (10)'!$F$41</v>
      </c>
      <c r="AD18" s="256">
        <f t="shared" ca="1" si="2"/>
        <v>0</v>
      </c>
      <c r="AE18" s="219" t="str">
        <f t="shared" si="31"/>
        <v>'Lanç (10)'!$F$42</v>
      </c>
      <c r="AF18" s="256">
        <f t="shared" ca="1" si="3"/>
        <v>0</v>
      </c>
      <c r="AG18" s="219" t="str">
        <f t="shared" si="32"/>
        <v>'Lanç (10)'!$F$43</v>
      </c>
      <c r="AH18" s="256">
        <f t="shared" ca="1" si="4"/>
        <v>0</v>
      </c>
      <c r="AI18" s="219" t="str">
        <f t="shared" si="33"/>
        <v>'Lanç (10)'!$F$44</v>
      </c>
      <c r="AJ18" s="256">
        <f t="shared" ca="1" si="20"/>
        <v>0</v>
      </c>
      <c r="AK18" s="219" t="str">
        <f t="shared" si="34"/>
        <v>'Lanç (10)'!$F$45</v>
      </c>
      <c r="AL18" s="256">
        <f t="shared" ca="1" si="5"/>
        <v>0</v>
      </c>
      <c r="AM18" s="219" t="str">
        <f t="shared" si="35"/>
        <v>'Lanç (10)'!$F$46</v>
      </c>
      <c r="AN18" s="256">
        <f t="shared" ca="1" si="6"/>
        <v>0</v>
      </c>
      <c r="AO18" s="219" t="str">
        <f t="shared" si="36"/>
        <v>'Lanç (10)'!$F$47</v>
      </c>
      <c r="AP18" s="256">
        <f t="shared" ca="1" si="7"/>
        <v>0</v>
      </c>
      <c r="AQ18" s="219" t="str">
        <f t="shared" si="37"/>
        <v>'Lanç (10)'!$F$48</v>
      </c>
      <c r="AR18" s="256">
        <f t="shared" ca="1" si="8"/>
        <v>0</v>
      </c>
      <c r="AS18" s="219" t="str">
        <f t="shared" si="38"/>
        <v>'Lanç (10)'!$F$49</v>
      </c>
      <c r="AT18" s="256">
        <f t="shared" ca="1" si="9"/>
        <v>0</v>
      </c>
      <c r="AU18" s="219" t="str">
        <f t="shared" si="39"/>
        <v>'Lanç (10)'!$F$51</v>
      </c>
      <c r="AV18" s="256">
        <f t="shared" ca="1" si="10"/>
        <v>0</v>
      </c>
      <c r="AW18" s="219" t="str">
        <f t="shared" si="40"/>
        <v>'Lanç (10)'!$F$50</v>
      </c>
      <c r="AX18" s="256">
        <f t="shared" ca="1" si="11"/>
        <v>0</v>
      </c>
      <c r="AY18" s="219" t="str">
        <f t="shared" si="41"/>
        <v>'Lanç (10)'!$F$52</v>
      </c>
      <c r="AZ18" s="256">
        <f t="shared" ca="1" si="12"/>
        <v>0</v>
      </c>
      <c r="BA18" s="219" t="str">
        <f t="shared" si="42"/>
        <v>'Lanç (10)'!$F$53</v>
      </c>
      <c r="BB18" s="256">
        <f t="shared" ca="1" si="13"/>
        <v>0</v>
      </c>
      <c r="BC18" s="219" t="str">
        <f t="shared" si="43"/>
        <v>'Lanç (10)'!$F$54</v>
      </c>
      <c r="BD18" s="257">
        <f t="shared" ca="1" si="14"/>
        <v>0</v>
      </c>
      <c r="BE18" s="219" t="str">
        <f t="shared" si="44"/>
        <v>'Lanç (10)'!$F$55</v>
      </c>
      <c r="BF18" s="257">
        <f t="shared" ca="1" si="15"/>
        <v>0</v>
      </c>
      <c r="BH18" s="219" t="str">
        <f t="shared" si="45"/>
        <v>'Lanç (10)'!$m$5</v>
      </c>
      <c r="BI18" s="256">
        <f t="shared" ca="1" si="46"/>
        <v>0</v>
      </c>
      <c r="BK18" s="219" t="str">
        <f t="shared" si="47"/>
        <v>'Lanç (10)'!$F$55</v>
      </c>
      <c r="BL18" s="2">
        <f t="shared" ca="1" si="21"/>
        <v>0</v>
      </c>
      <c r="BM18" s="2">
        <f t="shared" ca="1" si="22"/>
        <v>0</v>
      </c>
      <c r="BP18" s="2" t="str">
        <f t="shared" si="23"/>
        <v/>
      </c>
      <c r="BQ18" s="219" t="str">
        <f t="shared" si="48"/>
        <v>'Lanç (10)'!$F$55</v>
      </c>
      <c r="BR18" s="219" t="str">
        <f t="shared" si="49"/>
        <v>'Lanç (10)'!$F$54</v>
      </c>
      <c r="BS18" s="219" t="str">
        <f t="shared" si="24"/>
        <v/>
      </c>
      <c r="BT18" s="2">
        <f t="shared" ca="1" si="25"/>
        <v>0</v>
      </c>
      <c r="BU18" s="2">
        <f t="shared" ca="1" si="26"/>
        <v>0</v>
      </c>
      <c r="BV18" s="2">
        <f t="shared" ca="1" si="27"/>
        <v>0</v>
      </c>
      <c r="BW18" s="219" t="str">
        <f t="shared" si="50"/>
        <v>'Lanç (10)'!$H$49</v>
      </c>
    </row>
    <row r="19" spans="3:75" ht="5" customHeight="1" thickTop="1" thickBot="1" x14ac:dyDescent="0.25">
      <c r="F19" s="99"/>
      <c r="G19" s="2"/>
      <c r="H19"/>
      <c r="I19"/>
      <c r="J19"/>
      <c r="K19" s="99"/>
      <c r="R19" s="2" t="str">
        <f>IF(Funcionários!C17=0,"",Funcionários!C17)</f>
        <v/>
      </c>
      <c r="S19" s="219">
        <v>11</v>
      </c>
      <c r="T19" s="219" t="str">
        <f t="shared" si="28"/>
        <v>'Lanç (11)'!$U$8</v>
      </c>
      <c r="U19" s="256">
        <f t="shared" ca="1" si="17"/>
        <v>0</v>
      </c>
      <c r="V19" s="219" t="str">
        <f t="shared" si="18"/>
        <v>'Lanç (11)'!$F$58</v>
      </c>
      <c r="W19" s="256">
        <f t="shared" ca="1" si="17"/>
        <v>0</v>
      </c>
      <c r="X19" s="219" t="str">
        <f t="shared" si="19"/>
        <v>'Lanç (11)'!$U$14</v>
      </c>
      <c r="Y19" s="256">
        <f t="shared" ca="1" si="0"/>
        <v>0</v>
      </c>
      <c r="Z19" s="219" t="str">
        <f t="shared" si="29"/>
        <v>'Lanç (11)'!$K$5</v>
      </c>
      <c r="AA19" s="256">
        <f t="shared" ca="1" si="1"/>
        <v>0</v>
      </c>
      <c r="AC19" s="219" t="str">
        <f t="shared" si="30"/>
        <v>'Lanç (11)'!$F$41</v>
      </c>
      <c r="AD19" s="256">
        <f t="shared" ca="1" si="2"/>
        <v>0</v>
      </c>
      <c r="AE19" s="219" t="str">
        <f t="shared" si="31"/>
        <v>'Lanç (11)'!$F$42</v>
      </c>
      <c r="AF19" s="256">
        <f t="shared" ca="1" si="3"/>
        <v>0</v>
      </c>
      <c r="AG19" s="219" t="str">
        <f t="shared" si="32"/>
        <v>'Lanç (11)'!$F$43</v>
      </c>
      <c r="AH19" s="256">
        <f t="shared" ca="1" si="4"/>
        <v>0</v>
      </c>
      <c r="AI19" s="219" t="str">
        <f t="shared" si="33"/>
        <v>'Lanç (11)'!$F$44</v>
      </c>
      <c r="AJ19" s="256">
        <f t="shared" ca="1" si="20"/>
        <v>0</v>
      </c>
      <c r="AK19" s="219" t="str">
        <f t="shared" si="34"/>
        <v>'Lanç (11)'!$F$45</v>
      </c>
      <c r="AL19" s="256">
        <f t="shared" ca="1" si="5"/>
        <v>0</v>
      </c>
      <c r="AM19" s="219" t="str">
        <f t="shared" si="35"/>
        <v>'Lanç (11)'!$F$46</v>
      </c>
      <c r="AN19" s="256">
        <f t="shared" ca="1" si="6"/>
        <v>0</v>
      </c>
      <c r="AO19" s="219" t="str">
        <f t="shared" si="36"/>
        <v>'Lanç (11)'!$F$47</v>
      </c>
      <c r="AP19" s="256">
        <f t="shared" ca="1" si="7"/>
        <v>0</v>
      </c>
      <c r="AQ19" s="219" t="str">
        <f t="shared" si="37"/>
        <v>'Lanç (11)'!$F$48</v>
      </c>
      <c r="AR19" s="256">
        <f t="shared" ca="1" si="8"/>
        <v>0</v>
      </c>
      <c r="AS19" s="219" t="str">
        <f t="shared" si="38"/>
        <v>'Lanç (11)'!$F$49</v>
      </c>
      <c r="AT19" s="256">
        <f t="shared" ca="1" si="9"/>
        <v>0</v>
      </c>
      <c r="AU19" s="219" t="str">
        <f t="shared" si="39"/>
        <v>'Lanç (11)'!$F$51</v>
      </c>
      <c r="AV19" s="256">
        <f t="shared" ca="1" si="10"/>
        <v>0</v>
      </c>
      <c r="AW19" s="219" t="str">
        <f t="shared" si="40"/>
        <v>'Lanç (11)'!$F$50</v>
      </c>
      <c r="AX19" s="256">
        <f t="shared" ca="1" si="11"/>
        <v>0</v>
      </c>
      <c r="AY19" s="219" t="str">
        <f t="shared" si="41"/>
        <v>'Lanç (11)'!$F$52</v>
      </c>
      <c r="AZ19" s="256">
        <f t="shared" ca="1" si="12"/>
        <v>0</v>
      </c>
      <c r="BA19" s="219" t="str">
        <f t="shared" si="42"/>
        <v>'Lanç (11)'!$F$53</v>
      </c>
      <c r="BB19" s="256">
        <f t="shared" ca="1" si="13"/>
        <v>0</v>
      </c>
      <c r="BC19" s="219" t="str">
        <f t="shared" si="43"/>
        <v>'Lanç (11)'!$F$54</v>
      </c>
      <c r="BD19" s="257">
        <f t="shared" ca="1" si="14"/>
        <v>0</v>
      </c>
      <c r="BE19" s="219" t="str">
        <f t="shared" si="44"/>
        <v>'Lanç (11)'!$F$55</v>
      </c>
      <c r="BF19" s="257">
        <f t="shared" ca="1" si="15"/>
        <v>0</v>
      </c>
      <c r="BH19" s="219" t="str">
        <f t="shared" si="45"/>
        <v>'Lanç (11)'!$m$5</v>
      </c>
      <c r="BI19" s="256">
        <f t="shared" ca="1" si="46"/>
        <v>0</v>
      </c>
      <c r="BK19" s="219" t="str">
        <f t="shared" si="47"/>
        <v>'Lanç (11)'!$F$55</v>
      </c>
      <c r="BL19" s="2">
        <f t="shared" ca="1" si="21"/>
        <v>0</v>
      </c>
      <c r="BM19" s="2">
        <f t="shared" ca="1" si="22"/>
        <v>0</v>
      </c>
      <c r="BP19" s="2" t="str">
        <f t="shared" si="23"/>
        <v/>
      </c>
      <c r="BQ19" s="219" t="str">
        <f t="shared" si="48"/>
        <v>'Lanç (11)'!$F$55</v>
      </c>
      <c r="BR19" s="219" t="str">
        <f t="shared" si="49"/>
        <v>'Lanç (11)'!$F$54</v>
      </c>
      <c r="BS19" s="219" t="str">
        <f t="shared" si="24"/>
        <v/>
      </c>
      <c r="BT19" s="2">
        <f t="shared" ca="1" si="25"/>
        <v>0</v>
      </c>
      <c r="BU19" s="2">
        <f t="shared" ca="1" si="26"/>
        <v>0</v>
      </c>
      <c r="BV19" s="2">
        <f t="shared" ca="1" si="27"/>
        <v>0</v>
      </c>
      <c r="BW19" s="219" t="str">
        <f t="shared" si="50"/>
        <v>'Lanç (11)'!$H$49</v>
      </c>
    </row>
    <row r="20" spans="3:75" ht="30" customHeight="1" thickTop="1" thickBot="1" x14ac:dyDescent="0.25">
      <c r="C20" s="303" t="s">
        <v>79</v>
      </c>
      <c r="D20" s="303"/>
      <c r="E20" s="303"/>
      <c r="F20" s="98">
        <f ca="1">IF($F$6=0,"",IF($F$6="todos",SUM(AL$9:AL$38),VLOOKUP($F$6,$R$9:$BD$38,$G20,0)))</f>
        <v>0</v>
      </c>
      <c r="G20" s="2">
        <v>21</v>
      </c>
      <c r="H20" s="2"/>
      <c r="I20" s="2"/>
      <c r="J20" s="2"/>
      <c r="K20" s="2"/>
      <c r="L20" s="2">
        <v>35</v>
      </c>
      <c r="R20" s="2" t="str">
        <f>IF(Funcionários!C18=0,"",Funcionários!C18)</f>
        <v/>
      </c>
      <c r="S20" s="219">
        <v>12</v>
      </c>
      <c r="T20" s="219" t="str">
        <f t="shared" si="28"/>
        <v>'Lanç (12)'!$U$8</v>
      </c>
      <c r="U20" s="256">
        <f t="shared" ca="1" si="17"/>
        <v>0</v>
      </c>
      <c r="V20" s="219" t="str">
        <f t="shared" si="18"/>
        <v>'Lanç (12)'!$F$58</v>
      </c>
      <c r="W20" s="256">
        <f t="shared" ca="1" si="17"/>
        <v>0</v>
      </c>
      <c r="X20" s="219" t="str">
        <f t="shared" si="19"/>
        <v>'Lanç (12)'!$U$14</v>
      </c>
      <c r="Y20" s="256">
        <f t="shared" ca="1" si="0"/>
        <v>0</v>
      </c>
      <c r="Z20" s="219" t="str">
        <f t="shared" si="29"/>
        <v>'Lanç (12)'!$K$5</v>
      </c>
      <c r="AA20" s="256">
        <f t="shared" ca="1" si="1"/>
        <v>0</v>
      </c>
      <c r="AC20" s="219" t="str">
        <f t="shared" si="30"/>
        <v>'Lanç (12)'!$F$41</v>
      </c>
      <c r="AD20" s="256">
        <f t="shared" ca="1" si="2"/>
        <v>0</v>
      </c>
      <c r="AE20" s="219" t="str">
        <f t="shared" si="31"/>
        <v>'Lanç (12)'!$F$42</v>
      </c>
      <c r="AF20" s="256">
        <f t="shared" ca="1" si="3"/>
        <v>0</v>
      </c>
      <c r="AG20" s="219" t="str">
        <f t="shared" si="32"/>
        <v>'Lanç (12)'!$F$43</v>
      </c>
      <c r="AH20" s="256">
        <f t="shared" ca="1" si="4"/>
        <v>0</v>
      </c>
      <c r="AI20" s="219" t="str">
        <f t="shared" si="33"/>
        <v>'Lanç (12)'!$F$44</v>
      </c>
      <c r="AJ20" s="256">
        <f t="shared" ca="1" si="20"/>
        <v>0</v>
      </c>
      <c r="AK20" s="219" t="str">
        <f t="shared" si="34"/>
        <v>'Lanç (12)'!$F$45</v>
      </c>
      <c r="AL20" s="256">
        <f t="shared" ca="1" si="5"/>
        <v>0</v>
      </c>
      <c r="AM20" s="219" t="str">
        <f t="shared" si="35"/>
        <v>'Lanç (12)'!$F$46</v>
      </c>
      <c r="AN20" s="256">
        <f t="shared" ca="1" si="6"/>
        <v>0</v>
      </c>
      <c r="AO20" s="219" t="str">
        <f t="shared" si="36"/>
        <v>'Lanç (12)'!$F$47</v>
      </c>
      <c r="AP20" s="256">
        <f t="shared" ca="1" si="7"/>
        <v>0</v>
      </c>
      <c r="AQ20" s="219" t="str">
        <f t="shared" si="37"/>
        <v>'Lanç (12)'!$F$48</v>
      </c>
      <c r="AR20" s="256">
        <f t="shared" ca="1" si="8"/>
        <v>0</v>
      </c>
      <c r="AS20" s="219" t="str">
        <f t="shared" si="38"/>
        <v>'Lanç (12)'!$F$49</v>
      </c>
      <c r="AT20" s="256">
        <f t="shared" ca="1" si="9"/>
        <v>0</v>
      </c>
      <c r="AU20" s="219" t="str">
        <f t="shared" si="39"/>
        <v>'Lanç (12)'!$F$51</v>
      </c>
      <c r="AV20" s="256">
        <f t="shared" ca="1" si="10"/>
        <v>0</v>
      </c>
      <c r="AW20" s="219" t="str">
        <f t="shared" si="40"/>
        <v>'Lanç (12)'!$F$50</v>
      </c>
      <c r="AX20" s="256">
        <f t="shared" ca="1" si="11"/>
        <v>0</v>
      </c>
      <c r="AY20" s="219" t="str">
        <f t="shared" si="41"/>
        <v>'Lanç (12)'!$F$52</v>
      </c>
      <c r="AZ20" s="256">
        <f t="shared" ca="1" si="12"/>
        <v>0</v>
      </c>
      <c r="BA20" s="219" t="str">
        <f t="shared" si="42"/>
        <v>'Lanç (12)'!$F$53</v>
      </c>
      <c r="BB20" s="256">
        <f t="shared" ca="1" si="13"/>
        <v>0</v>
      </c>
      <c r="BC20" s="219" t="str">
        <f t="shared" si="43"/>
        <v>'Lanç (12)'!$F$54</v>
      </c>
      <c r="BD20" s="257">
        <f t="shared" ca="1" si="14"/>
        <v>0</v>
      </c>
      <c r="BE20" s="219" t="str">
        <f t="shared" si="44"/>
        <v>'Lanç (12)'!$F$55</v>
      </c>
      <c r="BF20" s="257">
        <f t="shared" ca="1" si="15"/>
        <v>0</v>
      </c>
      <c r="BH20" s="219" t="str">
        <f t="shared" si="45"/>
        <v>'Lanç (12)'!$m$5</v>
      </c>
      <c r="BI20" s="256">
        <f t="shared" ca="1" si="46"/>
        <v>0</v>
      </c>
      <c r="BK20" s="219" t="str">
        <f t="shared" si="47"/>
        <v>'Lanç (12)'!$F$55</v>
      </c>
      <c r="BL20" s="2">
        <f t="shared" ca="1" si="21"/>
        <v>0</v>
      </c>
      <c r="BM20" s="2">
        <f t="shared" ca="1" si="22"/>
        <v>0</v>
      </c>
      <c r="BP20" s="2" t="str">
        <f t="shared" si="23"/>
        <v/>
      </c>
      <c r="BQ20" s="219" t="str">
        <f t="shared" si="48"/>
        <v>'Lanç (12)'!$F$55</v>
      </c>
      <c r="BR20" s="219" t="str">
        <f t="shared" si="49"/>
        <v>'Lanç (12)'!$F$54</v>
      </c>
      <c r="BS20" s="219" t="str">
        <f t="shared" si="24"/>
        <v/>
      </c>
      <c r="BT20" s="2">
        <f t="shared" ca="1" si="25"/>
        <v>0</v>
      </c>
      <c r="BU20" s="2">
        <f t="shared" ca="1" si="26"/>
        <v>0</v>
      </c>
      <c r="BV20" s="2">
        <f t="shared" ca="1" si="27"/>
        <v>0</v>
      </c>
      <c r="BW20" s="219" t="str">
        <f t="shared" si="50"/>
        <v>'Lanç (12)'!$H$49</v>
      </c>
    </row>
    <row r="21" spans="3:75" ht="5" customHeight="1" thickTop="1" thickBot="1" x14ac:dyDescent="0.25">
      <c r="F21" s="99"/>
      <c r="G21" s="2"/>
      <c r="H21"/>
      <c r="I21"/>
      <c r="J21"/>
      <c r="K21" s="99"/>
      <c r="R21" s="2" t="str">
        <f>IF(Funcionários!C19=0,"",Funcionários!C19)</f>
        <v/>
      </c>
      <c r="S21" s="219">
        <v>13</v>
      </c>
      <c r="T21" s="219" t="str">
        <f t="shared" si="28"/>
        <v>'Lanç (13)'!$U$8</v>
      </c>
      <c r="U21" s="256">
        <f t="shared" ca="1" si="17"/>
        <v>0</v>
      </c>
      <c r="V21" s="219" t="str">
        <f t="shared" si="18"/>
        <v>'Lanç (13)'!$F$58</v>
      </c>
      <c r="W21" s="256">
        <f t="shared" ca="1" si="17"/>
        <v>0</v>
      </c>
      <c r="X21" s="219" t="str">
        <f t="shared" si="19"/>
        <v>'Lanç (13)'!$U$14</v>
      </c>
      <c r="Y21" s="256">
        <f t="shared" ca="1" si="0"/>
        <v>0</v>
      </c>
      <c r="Z21" s="219" t="str">
        <f t="shared" si="29"/>
        <v>'Lanç (13)'!$K$5</v>
      </c>
      <c r="AA21" s="256">
        <f t="shared" ca="1" si="1"/>
        <v>0</v>
      </c>
      <c r="AC21" s="219" t="str">
        <f t="shared" si="30"/>
        <v>'Lanç (13)'!$F$41</v>
      </c>
      <c r="AD21" s="256">
        <f t="shared" ca="1" si="2"/>
        <v>0</v>
      </c>
      <c r="AE21" s="219" t="str">
        <f t="shared" si="31"/>
        <v>'Lanç (13)'!$F$42</v>
      </c>
      <c r="AF21" s="256">
        <f t="shared" ca="1" si="3"/>
        <v>0</v>
      </c>
      <c r="AG21" s="219" t="str">
        <f t="shared" si="32"/>
        <v>'Lanç (13)'!$F$43</v>
      </c>
      <c r="AH21" s="256">
        <f t="shared" ca="1" si="4"/>
        <v>0</v>
      </c>
      <c r="AI21" s="219" t="str">
        <f t="shared" si="33"/>
        <v>'Lanç (13)'!$F$44</v>
      </c>
      <c r="AJ21" s="256">
        <f t="shared" ca="1" si="20"/>
        <v>0</v>
      </c>
      <c r="AK21" s="219" t="str">
        <f t="shared" si="34"/>
        <v>'Lanç (13)'!$F$45</v>
      </c>
      <c r="AL21" s="256">
        <f t="shared" ca="1" si="5"/>
        <v>0</v>
      </c>
      <c r="AM21" s="219" t="str">
        <f t="shared" si="35"/>
        <v>'Lanç (13)'!$F$46</v>
      </c>
      <c r="AN21" s="256">
        <f t="shared" ca="1" si="6"/>
        <v>0</v>
      </c>
      <c r="AO21" s="219" t="str">
        <f t="shared" si="36"/>
        <v>'Lanç (13)'!$F$47</v>
      </c>
      <c r="AP21" s="256">
        <f t="shared" ca="1" si="7"/>
        <v>0</v>
      </c>
      <c r="AQ21" s="219" t="str">
        <f t="shared" si="37"/>
        <v>'Lanç (13)'!$F$48</v>
      </c>
      <c r="AR21" s="256">
        <f t="shared" ca="1" si="8"/>
        <v>0</v>
      </c>
      <c r="AS21" s="219" t="str">
        <f t="shared" si="38"/>
        <v>'Lanç (13)'!$F$49</v>
      </c>
      <c r="AT21" s="256">
        <f t="shared" ca="1" si="9"/>
        <v>0</v>
      </c>
      <c r="AU21" s="219" t="str">
        <f t="shared" si="39"/>
        <v>'Lanç (13)'!$F$51</v>
      </c>
      <c r="AV21" s="256">
        <f t="shared" ca="1" si="10"/>
        <v>0</v>
      </c>
      <c r="AW21" s="219" t="str">
        <f t="shared" si="40"/>
        <v>'Lanç (13)'!$F$50</v>
      </c>
      <c r="AX21" s="256">
        <f t="shared" ca="1" si="11"/>
        <v>0</v>
      </c>
      <c r="AY21" s="219" t="str">
        <f t="shared" si="41"/>
        <v>'Lanç (13)'!$F$52</v>
      </c>
      <c r="AZ21" s="256">
        <f t="shared" ca="1" si="12"/>
        <v>0</v>
      </c>
      <c r="BA21" s="219" t="str">
        <f t="shared" si="42"/>
        <v>'Lanç (13)'!$F$53</v>
      </c>
      <c r="BB21" s="256">
        <f t="shared" ca="1" si="13"/>
        <v>0</v>
      </c>
      <c r="BC21" s="219" t="str">
        <f t="shared" si="43"/>
        <v>'Lanç (13)'!$F$54</v>
      </c>
      <c r="BD21" s="257">
        <f t="shared" ca="1" si="14"/>
        <v>0</v>
      </c>
      <c r="BE21" s="219" t="str">
        <f t="shared" si="44"/>
        <v>'Lanç (13)'!$F$55</v>
      </c>
      <c r="BF21" s="257">
        <f t="shared" ca="1" si="15"/>
        <v>0</v>
      </c>
      <c r="BH21" s="219" t="str">
        <f t="shared" si="45"/>
        <v>'Lanç (13)'!$m$5</v>
      </c>
      <c r="BI21" s="256">
        <f t="shared" ca="1" si="46"/>
        <v>0</v>
      </c>
      <c r="BK21" s="219" t="str">
        <f t="shared" si="47"/>
        <v>'Lanç (13)'!$F$55</v>
      </c>
      <c r="BL21" s="2">
        <f t="shared" ca="1" si="21"/>
        <v>0</v>
      </c>
      <c r="BM21" s="2">
        <f t="shared" ca="1" si="22"/>
        <v>0</v>
      </c>
      <c r="BP21" s="2" t="str">
        <f t="shared" si="23"/>
        <v/>
      </c>
      <c r="BQ21" s="219" t="str">
        <f t="shared" si="48"/>
        <v>'Lanç (13)'!$F$55</v>
      </c>
      <c r="BR21" s="219" t="str">
        <f t="shared" si="49"/>
        <v>'Lanç (13)'!$F$54</v>
      </c>
      <c r="BS21" s="219" t="str">
        <f t="shared" si="24"/>
        <v/>
      </c>
      <c r="BT21" s="2">
        <f t="shared" ca="1" si="25"/>
        <v>0</v>
      </c>
      <c r="BU21" s="2">
        <f t="shared" ca="1" si="26"/>
        <v>0</v>
      </c>
      <c r="BV21" s="2">
        <f t="shared" ca="1" si="27"/>
        <v>0</v>
      </c>
      <c r="BW21" s="219" t="str">
        <f t="shared" si="50"/>
        <v>'Lanç (13)'!$H$49</v>
      </c>
    </row>
    <row r="22" spans="3:75" ht="30" customHeight="1" thickTop="1" thickBot="1" x14ac:dyDescent="0.25">
      <c r="C22" s="303" t="s">
        <v>82</v>
      </c>
      <c r="D22" s="303"/>
      <c r="E22" s="303"/>
      <c r="F22" s="98">
        <f ca="1">IF($F$6=0,"",IF($F$6="todos",SUM(AN$9:AN$38),VLOOKUP($F$6,$R$9:$BD$38,$G22,0)))</f>
        <v>0.83333333333333304</v>
      </c>
      <c r="G22" s="2">
        <v>23</v>
      </c>
      <c r="H22"/>
      <c r="I22"/>
      <c r="J22"/>
      <c r="K22"/>
      <c r="L22" s="2">
        <v>37</v>
      </c>
      <c r="R22" s="2" t="str">
        <f>IF(Funcionários!C20=0,"",Funcionários!C20)</f>
        <v/>
      </c>
      <c r="S22" s="219">
        <v>14</v>
      </c>
      <c r="T22" s="219" t="str">
        <f t="shared" si="28"/>
        <v>'Lanç (14)'!$U$8</v>
      </c>
      <c r="U22" s="256">
        <f t="shared" ca="1" si="17"/>
        <v>0</v>
      </c>
      <c r="V22" s="219" t="str">
        <f t="shared" si="18"/>
        <v>'Lanç (14)'!$F$58</v>
      </c>
      <c r="W22" s="256">
        <f t="shared" ca="1" si="17"/>
        <v>0</v>
      </c>
      <c r="X22" s="219" t="str">
        <f t="shared" si="19"/>
        <v>'Lanç (14)'!$U$14</v>
      </c>
      <c r="Y22" s="256">
        <f t="shared" ca="1" si="0"/>
        <v>0</v>
      </c>
      <c r="Z22" s="219" t="str">
        <f t="shared" si="29"/>
        <v>'Lanç (14)'!$K$5</v>
      </c>
      <c r="AA22" s="256">
        <f t="shared" ca="1" si="1"/>
        <v>0</v>
      </c>
      <c r="AC22" s="219" t="str">
        <f t="shared" si="30"/>
        <v>'Lanç (14)'!$F$41</v>
      </c>
      <c r="AD22" s="256">
        <f t="shared" ca="1" si="2"/>
        <v>0</v>
      </c>
      <c r="AE22" s="219" t="str">
        <f t="shared" si="31"/>
        <v>'Lanç (14)'!$F$42</v>
      </c>
      <c r="AF22" s="256">
        <f t="shared" ca="1" si="3"/>
        <v>0</v>
      </c>
      <c r="AG22" s="219" t="str">
        <f t="shared" si="32"/>
        <v>'Lanç (14)'!$F$43</v>
      </c>
      <c r="AH22" s="256">
        <f t="shared" ca="1" si="4"/>
        <v>0</v>
      </c>
      <c r="AI22" s="219" t="str">
        <f t="shared" si="33"/>
        <v>'Lanç (14)'!$F$44</v>
      </c>
      <c r="AJ22" s="256">
        <f t="shared" ca="1" si="20"/>
        <v>0</v>
      </c>
      <c r="AK22" s="219" t="str">
        <f t="shared" si="34"/>
        <v>'Lanç (14)'!$F$45</v>
      </c>
      <c r="AL22" s="256">
        <f t="shared" ca="1" si="5"/>
        <v>0</v>
      </c>
      <c r="AM22" s="219" t="str">
        <f t="shared" si="35"/>
        <v>'Lanç (14)'!$F$46</v>
      </c>
      <c r="AN22" s="256">
        <f t="shared" ca="1" si="6"/>
        <v>0</v>
      </c>
      <c r="AO22" s="219" t="str">
        <f t="shared" si="36"/>
        <v>'Lanç (14)'!$F$47</v>
      </c>
      <c r="AP22" s="256">
        <f t="shared" ca="1" si="7"/>
        <v>0</v>
      </c>
      <c r="AQ22" s="219" t="str">
        <f t="shared" si="37"/>
        <v>'Lanç (14)'!$F$48</v>
      </c>
      <c r="AR22" s="256">
        <f t="shared" ca="1" si="8"/>
        <v>0</v>
      </c>
      <c r="AS22" s="219" t="str">
        <f t="shared" si="38"/>
        <v>'Lanç (14)'!$F$49</v>
      </c>
      <c r="AT22" s="256">
        <f t="shared" ca="1" si="9"/>
        <v>0</v>
      </c>
      <c r="AU22" s="219" t="str">
        <f t="shared" si="39"/>
        <v>'Lanç (14)'!$F$51</v>
      </c>
      <c r="AV22" s="256">
        <f t="shared" ca="1" si="10"/>
        <v>0</v>
      </c>
      <c r="AW22" s="219" t="str">
        <f t="shared" si="40"/>
        <v>'Lanç (14)'!$F$50</v>
      </c>
      <c r="AX22" s="256">
        <f t="shared" ca="1" si="11"/>
        <v>0</v>
      </c>
      <c r="AY22" s="219" t="str">
        <f t="shared" si="41"/>
        <v>'Lanç (14)'!$F$52</v>
      </c>
      <c r="AZ22" s="256">
        <f t="shared" ca="1" si="12"/>
        <v>0</v>
      </c>
      <c r="BA22" s="219" t="str">
        <f t="shared" si="42"/>
        <v>'Lanç (14)'!$F$53</v>
      </c>
      <c r="BB22" s="256">
        <f t="shared" ca="1" si="13"/>
        <v>0</v>
      </c>
      <c r="BC22" s="219" t="str">
        <f t="shared" si="43"/>
        <v>'Lanç (14)'!$F$54</v>
      </c>
      <c r="BD22" s="257">
        <f t="shared" ca="1" si="14"/>
        <v>0</v>
      </c>
      <c r="BE22" s="219" t="str">
        <f t="shared" si="44"/>
        <v>'Lanç (14)'!$F$55</v>
      </c>
      <c r="BF22" s="257">
        <f t="shared" ca="1" si="15"/>
        <v>0</v>
      </c>
      <c r="BH22" s="219" t="str">
        <f t="shared" si="45"/>
        <v>'Lanç (14)'!$m$5</v>
      </c>
      <c r="BI22" s="256">
        <f t="shared" ca="1" si="46"/>
        <v>0</v>
      </c>
      <c r="BK22" s="219" t="str">
        <f t="shared" si="47"/>
        <v>'Lanç (14)'!$F$55</v>
      </c>
      <c r="BL22" s="2">
        <f t="shared" ca="1" si="21"/>
        <v>0</v>
      </c>
      <c r="BM22" s="2">
        <f t="shared" ca="1" si="22"/>
        <v>0</v>
      </c>
      <c r="BP22" s="2" t="str">
        <f t="shared" si="23"/>
        <v/>
      </c>
      <c r="BQ22" s="219" t="str">
        <f t="shared" si="48"/>
        <v>'Lanç (14)'!$F$55</v>
      </c>
      <c r="BR22" s="219" t="str">
        <f t="shared" si="49"/>
        <v>'Lanç (14)'!$F$54</v>
      </c>
      <c r="BS22" s="219" t="str">
        <f t="shared" si="24"/>
        <v/>
      </c>
      <c r="BT22" s="2">
        <f t="shared" ca="1" si="25"/>
        <v>0</v>
      </c>
      <c r="BU22" s="2">
        <f t="shared" ca="1" si="26"/>
        <v>0</v>
      </c>
      <c r="BV22" s="2">
        <f t="shared" ca="1" si="27"/>
        <v>0</v>
      </c>
      <c r="BW22" s="219" t="str">
        <f t="shared" si="50"/>
        <v>'Lanç (14)'!$H$49</v>
      </c>
    </row>
    <row r="23" spans="3:75" ht="5" customHeight="1" thickTop="1" thickBot="1" x14ac:dyDescent="0.25">
      <c r="F23" s="99"/>
      <c r="G23" s="2"/>
      <c r="H23" s="68"/>
      <c r="I23" s="68"/>
      <c r="J23" s="68"/>
      <c r="K23" s="68"/>
      <c r="R23" s="2" t="str">
        <f>IF(Funcionários!C21=0,"",Funcionários!C21)</f>
        <v/>
      </c>
      <c r="S23" s="219">
        <v>15</v>
      </c>
      <c r="T23" s="219" t="str">
        <f t="shared" si="28"/>
        <v>'Lanç (15)'!$U$8</v>
      </c>
      <c r="U23" s="256">
        <f t="shared" ca="1" si="17"/>
        <v>0</v>
      </c>
      <c r="V23" s="219" t="str">
        <f t="shared" si="18"/>
        <v>'Lanç (15)'!$F$58</v>
      </c>
      <c r="W23" s="256">
        <f t="shared" ca="1" si="17"/>
        <v>0</v>
      </c>
      <c r="X23" s="219" t="str">
        <f t="shared" si="19"/>
        <v>'Lanç (15)'!$U$14</v>
      </c>
      <c r="Y23" s="256">
        <f t="shared" ca="1" si="0"/>
        <v>0</v>
      </c>
      <c r="Z23" s="219" t="str">
        <f t="shared" si="29"/>
        <v>'Lanç (15)'!$K$5</v>
      </c>
      <c r="AA23" s="256">
        <f t="shared" ca="1" si="1"/>
        <v>0</v>
      </c>
      <c r="AC23" s="219" t="str">
        <f t="shared" si="30"/>
        <v>'Lanç (15)'!$F$41</v>
      </c>
      <c r="AD23" s="256">
        <f t="shared" ca="1" si="2"/>
        <v>0</v>
      </c>
      <c r="AE23" s="219" t="str">
        <f t="shared" si="31"/>
        <v>'Lanç (15)'!$F$42</v>
      </c>
      <c r="AF23" s="256">
        <f t="shared" ca="1" si="3"/>
        <v>0</v>
      </c>
      <c r="AG23" s="219" t="str">
        <f t="shared" si="32"/>
        <v>'Lanç (15)'!$F$43</v>
      </c>
      <c r="AH23" s="256">
        <f t="shared" ca="1" si="4"/>
        <v>0</v>
      </c>
      <c r="AI23" s="219" t="str">
        <f t="shared" si="33"/>
        <v>'Lanç (15)'!$F$44</v>
      </c>
      <c r="AJ23" s="256">
        <f t="shared" ca="1" si="20"/>
        <v>0</v>
      </c>
      <c r="AK23" s="219" t="str">
        <f t="shared" si="34"/>
        <v>'Lanç (15)'!$F$45</v>
      </c>
      <c r="AL23" s="256">
        <f t="shared" ca="1" si="5"/>
        <v>0</v>
      </c>
      <c r="AM23" s="219" t="str">
        <f t="shared" si="35"/>
        <v>'Lanç (15)'!$F$46</v>
      </c>
      <c r="AN23" s="256">
        <f t="shared" ca="1" si="6"/>
        <v>0</v>
      </c>
      <c r="AO23" s="219" t="str">
        <f t="shared" si="36"/>
        <v>'Lanç (15)'!$F$47</v>
      </c>
      <c r="AP23" s="256">
        <f t="shared" ca="1" si="7"/>
        <v>0</v>
      </c>
      <c r="AQ23" s="219" t="str">
        <f t="shared" si="37"/>
        <v>'Lanç (15)'!$F$48</v>
      </c>
      <c r="AR23" s="256">
        <f t="shared" ca="1" si="8"/>
        <v>0</v>
      </c>
      <c r="AS23" s="219" t="str">
        <f t="shared" si="38"/>
        <v>'Lanç (15)'!$F$49</v>
      </c>
      <c r="AT23" s="256">
        <f t="shared" ca="1" si="9"/>
        <v>0</v>
      </c>
      <c r="AU23" s="219" t="str">
        <f t="shared" si="39"/>
        <v>'Lanç (15)'!$F$51</v>
      </c>
      <c r="AV23" s="256">
        <f t="shared" ca="1" si="10"/>
        <v>0</v>
      </c>
      <c r="AW23" s="219" t="str">
        <f t="shared" si="40"/>
        <v>'Lanç (15)'!$F$50</v>
      </c>
      <c r="AX23" s="256">
        <f t="shared" ca="1" si="11"/>
        <v>0</v>
      </c>
      <c r="AY23" s="219" t="str">
        <f t="shared" si="41"/>
        <v>'Lanç (15)'!$F$52</v>
      </c>
      <c r="AZ23" s="256">
        <f t="shared" ca="1" si="12"/>
        <v>0</v>
      </c>
      <c r="BA23" s="219" t="str">
        <f t="shared" si="42"/>
        <v>'Lanç (15)'!$F$53</v>
      </c>
      <c r="BB23" s="256">
        <f t="shared" ca="1" si="13"/>
        <v>0</v>
      </c>
      <c r="BC23" s="219" t="str">
        <f t="shared" si="43"/>
        <v>'Lanç (15)'!$F$54</v>
      </c>
      <c r="BD23" s="257">
        <f t="shared" ca="1" si="14"/>
        <v>0</v>
      </c>
      <c r="BE23" s="219" t="str">
        <f t="shared" si="44"/>
        <v>'Lanç (15)'!$F$55</v>
      </c>
      <c r="BF23" s="257">
        <f t="shared" ca="1" si="15"/>
        <v>0</v>
      </c>
      <c r="BH23" s="219" t="str">
        <f t="shared" si="45"/>
        <v>'Lanç (15)'!$m$5</v>
      </c>
      <c r="BI23" s="256">
        <f t="shared" ca="1" si="46"/>
        <v>0</v>
      </c>
      <c r="BK23" s="219" t="str">
        <f t="shared" si="47"/>
        <v>'Lanç (15)'!$F$55</v>
      </c>
      <c r="BL23" s="2">
        <f t="shared" ca="1" si="21"/>
        <v>0</v>
      </c>
      <c r="BM23" s="2">
        <f t="shared" ca="1" si="22"/>
        <v>0</v>
      </c>
      <c r="BP23" s="2" t="str">
        <f t="shared" si="23"/>
        <v/>
      </c>
      <c r="BQ23" s="219" t="str">
        <f t="shared" si="48"/>
        <v>'Lanç (15)'!$F$55</v>
      </c>
      <c r="BR23" s="219" t="str">
        <f t="shared" si="49"/>
        <v>'Lanç (15)'!$F$54</v>
      </c>
      <c r="BS23" s="219" t="str">
        <f t="shared" si="24"/>
        <v/>
      </c>
      <c r="BT23" s="2">
        <f t="shared" ca="1" si="25"/>
        <v>0</v>
      </c>
      <c r="BU23" s="2">
        <f t="shared" ca="1" si="26"/>
        <v>0</v>
      </c>
      <c r="BV23" s="2">
        <f t="shared" ca="1" si="27"/>
        <v>0</v>
      </c>
      <c r="BW23" s="219" t="str">
        <f t="shared" si="50"/>
        <v>'Lanç (15)'!$H$49</v>
      </c>
    </row>
    <row r="24" spans="3:75" ht="30" customHeight="1" thickTop="1" thickBot="1" x14ac:dyDescent="0.25">
      <c r="C24" s="303" t="s">
        <v>81</v>
      </c>
      <c r="D24" s="303"/>
      <c r="E24" s="303"/>
      <c r="F24" s="98">
        <f ca="1">IF($F$6=0,"",IF($F$6="Todos",SUM(AP$9:AP$38),VLOOKUP($F$6,$R$9:$BD$38,$G24,0)))</f>
        <v>1.3888888888888884</v>
      </c>
      <c r="G24" s="2">
        <v>25</v>
      </c>
      <c r="H24"/>
      <c r="I24"/>
      <c r="J24"/>
      <c r="K24"/>
      <c r="L24" s="2">
        <v>39</v>
      </c>
      <c r="R24" s="2" t="str">
        <f>IF(Funcionários!C22=0,"",Funcionários!C22)</f>
        <v/>
      </c>
      <c r="S24" s="219">
        <v>16</v>
      </c>
      <c r="T24" s="219" t="str">
        <f t="shared" si="28"/>
        <v>'Lanç (16)'!$U$8</v>
      </c>
      <c r="U24" s="256">
        <f t="shared" ca="1" si="17"/>
        <v>0</v>
      </c>
      <c r="V24" s="219" t="str">
        <f t="shared" si="18"/>
        <v>'Lanç (16)'!$F$58</v>
      </c>
      <c r="W24" s="256">
        <f t="shared" ca="1" si="17"/>
        <v>0</v>
      </c>
      <c r="X24" s="219" t="str">
        <f t="shared" si="19"/>
        <v>'Lanç (16)'!$U$14</v>
      </c>
      <c r="Y24" s="256">
        <f t="shared" ca="1" si="0"/>
        <v>0</v>
      </c>
      <c r="Z24" s="219" t="str">
        <f t="shared" si="29"/>
        <v>'Lanç (16)'!$K$5</v>
      </c>
      <c r="AA24" s="256">
        <f t="shared" ca="1" si="1"/>
        <v>0</v>
      </c>
      <c r="AC24" s="219" t="str">
        <f t="shared" si="30"/>
        <v>'Lanç (16)'!$F$41</v>
      </c>
      <c r="AD24" s="256">
        <f t="shared" ca="1" si="2"/>
        <v>0</v>
      </c>
      <c r="AE24" s="219" t="str">
        <f t="shared" si="31"/>
        <v>'Lanç (16)'!$F$42</v>
      </c>
      <c r="AF24" s="256">
        <f t="shared" ca="1" si="3"/>
        <v>0</v>
      </c>
      <c r="AG24" s="219" t="str">
        <f t="shared" si="32"/>
        <v>'Lanç (16)'!$F$43</v>
      </c>
      <c r="AH24" s="256">
        <f t="shared" ca="1" si="4"/>
        <v>0</v>
      </c>
      <c r="AI24" s="219" t="str">
        <f t="shared" si="33"/>
        <v>'Lanç (16)'!$F$44</v>
      </c>
      <c r="AJ24" s="256">
        <f t="shared" ca="1" si="20"/>
        <v>0</v>
      </c>
      <c r="AK24" s="219" t="str">
        <f t="shared" si="34"/>
        <v>'Lanç (16)'!$F$45</v>
      </c>
      <c r="AL24" s="256">
        <f t="shared" ca="1" si="5"/>
        <v>0</v>
      </c>
      <c r="AM24" s="219" t="str">
        <f t="shared" si="35"/>
        <v>'Lanç (16)'!$F$46</v>
      </c>
      <c r="AN24" s="256">
        <f t="shared" ca="1" si="6"/>
        <v>0</v>
      </c>
      <c r="AO24" s="219" t="str">
        <f t="shared" si="36"/>
        <v>'Lanç (16)'!$F$47</v>
      </c>
      <c r="AP24" s="256">
        <f t="shared" ca="1" si="7"/>
        <v>0</v>
      </c>
      <c r="AQ24" s="219" t="str">
        <f t="shared" si="37"/>
        <v>'Lanç (16)'!$F$48</v>
      </c>
      <c r="AR24" s="256">
        <f t="shared" ca="1" si="8"/>
        <v>0</v>
      </c>
      <c r="AS24" s="219" t="str">
        <f t="shared" si="38"/>
        <v>'Lanç (16)'!$F$49</v>
      </c>
      <c r="AT24" s="256">
        <f t="shared" ca="1" si="9"/>
        <v>0</v>
      </c>
      <c r="AU24" s="219" t="str">
        <f t="shared" si="39"/>
        <v>'Lanç (16)'!$F$51</v>
      </c>
      <c r="AV24" s="256">
        <f t="shared" ca="1" si="10"/>
        <v>0</v>
      </c>
      <c r="AW24" s="219" t="str">
        <f t="shared" si="40"/>
        <v>'Lanç (16)'!$F$50</v>
      </c>
      <c r="AX24" s="256">
        <f t="shared" ca="1" si="11"/>
        <v>0</v>
      </c>
      <c r="AY24" s="219" t="str">
        <f t="shared" si="41"/>
        <v>'Lanç (16)'!$F$52</v>
      </c>
      <c r="AZ24" s="256">
        <f t="shared" ca="1" si="12"/>
        <v>0</v>
      </c>
      <c r="BA24" s="219" t="str">
        <f t="shared" si="42"/>
        <v>'Lanç (16)'!$F$53</v>
      </c>
      <c r="BB24" s="256">
        <f t="shared" ca="1" si="13"/>
        <v>0</v>
      </c>
      <c r="BC24" s="219" t="str">
        <f t="shared" si="43"/>
        <v>'Lanç (16)'!$F$54</v>
      </c>
      <c r="BD24" s="257">
        <f t="shared" ca="1" si="14"/>
        <v>0</v>
      </c>
      <c r="BE24" s="219" t="str">
        <f t="shared" si="44"/>
        <v>'Lanç (16)'!$F$55</v>
      </c>
      <c r="BF24" s="257">
        <f t="shared" ca="1" si="15"/>
        <v>0</v>
      </c>
      <c r="BH24" s="219" t="str">
        <f t="shared" si="45"/>
        <v>'Lanç (16)'!$m$5</v>
      </c>
      <c r="BI24" s="256">
        <f t="shared" ca="1" si="46"/>
        <v>0</v>
      </c>
      <c r="BK24" s="219" t="str">
        <f t="shared" si="47"/>
        <v>'Lanç (16)'!$F$55</v>
      </c>
      <c r="BL24" s="2">
        <f t="shared" ca="1" si="21"/>
        <v>0</v>
      </c>
      <c r="BM24" s="2">
        <f t="shared" ca="1" si="22"/>
        <v>0</v>
      </c>
      <c r="BP24" s="2" t="str">
        <f t="shared" si="23"/>
        <v/>
      </c>
      <c r="BQ24" s="219" t="str">
        <f t="shared" si="48"/>
        <v>'Lanç (16)'!$F$55</v>
      </c>
      <c r="BR24" s="219" t="str">
        <f t="shared" si="49"/>
        <v>'Lanç (16)'!$F$54</v>
      </c>
      <c r="BS24" s="219" t="str">
        <f t="shared" si="24"/>
        <v/>
      </c>
      <c r="BT24" s="2">
        <f t="shared" ca="1" si="25"/>
        <v>0</v>
      </c>
      <c r="BU24" s="2">
        <f t="shared" ca="1" si="26"/>
        <v>0</v>
      </c>
      <c r="BV24" s="2">
        <f t="shared" ca="1" si="27"/>
        <v>0</v>
      </c>
      <c r="BW24" s="219" t="str">
        <f t="shared" si="50"/>
        <v>'Lanç (16)'!$H$49</v>
      </c>
    </row>
    <row r="25" spans="3:75" ht="5" customHeight="1" thickTop="1" thickBot="1" x14ac:dyDescent="0.25">
      <c r="F25" s="99"/>
      <c r="G25" s="68"/>
      <c r="H25" s="68"/>
      <c r="I25" s="68"/>
      <c r="J25" s="68"/>
      <c r="K25" s="68"/>
      <c r="R25" s="2" t="str">
        <f>IF(Funcionários!C23=0,"",Funcionários!C23)</f>
        <v/>
      </c>
      <c r="S25" s="219">
        <v>17</v>
      </c>
      <c r="T25" s="219" t="str">
        <f t="shared" si="28"/>
        <v>'Lanç (17)'!$U$8</v>
      </c>
      <c r="U25" s="256">
        <f t="shared" ca="1" si="17"/>
        <v>0</v>
      </c>
      <c r="V25" s="219" t="str">
        <f t="shared" si="18"/>
        <v>'Lanç (17)'!$F$58</v>
      </c>
      <c r="W25" s="256">
        <f t="shared" ca="1" si="17"/>
        <v>0</v>
      </c>
      <c r="X25" s="219" t="str">
        <f t="shared" si="19"/>
        <v>'Lanç (17)'!$U$14</v>
      </c>
      <c r="Y25" s="256">
        <f t="shared" ca="1" si="0"/>
        <v>0</v>
      </c>
      <c r="Z25" s="219" t="str">
        <f t="shared" si="29"/>
        <v>'Lanç (17)'!$K$5</v>
      </c>
      <c r="AA25" s="256">
        <f t="shared" ca="1" si="1"/>
        <v>0</v>
      </c>
      <c r="AC25" s="219" t="str">
        <f t="shared" si="30"/>
        <v>'Lanç (17)'!$F$41</v>
      </c>
      <c r="AD25" s="256">
        <f t="shared" ca="1" si="2"/>
        <v>0</v>
      </c>
      <c r="AE25" s="219" t="str">
        <f t="shared" si="31"/>
        <v>'Lanç (17)'!$F$42</v>
      </c>
      <c r="AF25" s="256">
        <f t="shared" ca="1" si="3"/>
        <v>0</v>
      </c>
      <c r="AG25" s="219" t="str">
        <f t="shared" si="32"/>
        <v>'Lanç (17)'!$F$43</v>
      </c>
      <c r="AH25" s="256">
        <f t="shared" ca="1" si="4"/>
        <v>0</v>
      </c>
      <c r="AI25" s="219" t="str">
        <f t="shared" si="33"/>
        <v>'Lanç (17)'!$F$44</v>
      </c>
      <c r="AJ25" s="256">
        <f t="shared" ca="1" si="20"/>
        <v>0</v>
      </c>
      <c r="AK25" s="219" t="str">
        <f t="shared" si="34"/>
        <v>'Lanç (17)'!$F$45</v>
      </c>
      <c r="AL25" s="256">
        <f t="shared" ca="1" si="5"/>
        <v>0</v>
      </c>
      <c r="AM25" s="219" t="str">
        <f t="shared" si="35"/>
        <v>'Lanç (17)'!$F$46</v>
      </c>
      <c r="AN25" s="256">
        <f t="shared" ca="1" si="6"/>
        <v>0</v>
      </c>
      <c r="AO25" s="219" t="str">
        <f t="shared" si="36"/>
        <v>'Lanç (17)'!$F$47</v>
      </c>
      <c r="AP25" s="256">
        <f t="shared" ca="1" si="7"/>
        <v>0</v>
      </c>
      <c r="AQ25" s="219" t="str">
        <f t="shared" si="37"/>
        <v>'Lanç (17)'!$F$48</v>
      </c>
      <c r="AR25" s="256">
        <f t="shared" ca="1" si="8"/>
        <v>0</v>
      </c>
      <c r="AS25" s="219" t="str">
        <f t="shared" si="38"/>
        <v>'Lanç (17)'!$F$49</v>
      </c>
      <c r="AT25" s="256">
        <f t="shared" ca="1" si="9"/>
        <v>0</v>
      </c>
      <c r="AU25" s="219" t="str">
        <f t="shared" si="39"/>
        <v>'Lanç (17)'!$F$51</v>
      </c>
      <c r="AV25" s="256">
        <f t="shared" ca="1" si="10"/>
        <v>0</v>
      </c>
      <c r="AW25" s="219" t="str">
        <f t="shared" si="40"/>
        <v>'Lanç (17)'!$F$50</v>
      </c>
      <c r="AX25" s="256">
        <f t="shared" ca="1" si="11"/>
        <v>0</v>
      </c>
      <c r="AY25" s="219" t="str">
        <f t="shared" si="41"/>
        <v>'Lanç (17)'!$F$52</v>
      </c>
      <c r="AZ25" s="256">
        <f t="shared" ca="1" si="12"/>
        <v>0</v>
      </c>
      <c r="BA25" s="219" t="str">
        <f t="shared" si="42"/>
        <v>'Lanç (17)'!$F$53</v>
      </c>
      <c r="BB25" s="256">
        <f t="shared" ca="1" si="13"/>
        <v>0</v>
      </c>
      <c r="BC25" s="219" t="str">
        <f t="shared" si="43"/>
        <v>'Lanç (17)'!$F$54</v>
      </c>
      <c r="BD25" s="257">
        <f t="shared" ca="1" si="14"/>
        <v>0</v>
      </c>
      <c r="BE25" s="219" t="str">
        <f t="shared" si="44"/>
        <v>'Lanç (17)'!$F$55</v>
      </c>
      <c r="BF25" s="257">
        <f t="shared" ca="1" si="15"/>
        <v>0</v>
      </c>
      <c r="BH25" s="219" t="str">
        <f t="shared" si="45"/>
        <v>'Lanç (17)'!$m$5</v>
      </c>
      <c r="BI25" s="256">
        <f t="shared" ca="1" si="46"/>
        <v>0</v>
      </c>
      <c r="BK25" s="219" t="str">
        <f t="shared" si="47"/>
        <v>'Lanç (17)'!$F$55</v>
      </c>
      <c r="BL25" s="2">
        <f t="shared" ca="1" si="21"/>
        <v>0</v>
      </c>
      <c r="BM25" s="2">
        <f t="shared" ca="1" si="22"/>
        <v>0</v>
      </c>
      <c r="BP25" s="2" t="str">
        <f t="shared" si="23"/>
        <v/>
      </c>
      <c r="BQ25" s="219" t="str">
        <f t="shared" si="48"/>
        <v>'Lanç (17)'!$F$55</v>
      </c>
      <c r="BR25" s="219" t="str">
        <f t="shared" si="49"/>
        <v>'Lanç (17)'!$F$54</v>
      </c>
      <c r="BS25" s="219" t="str">
        <f t="shared" si="24"/>
        <v/>
      </c>
      <c r="BT25" s="2">
        <f t="shared" ca="1" si="25"/>
        <v>0</v>
      </c>
      <c r="BU25" s="2">
        <f t="shared" ca="1" si="26"/>
        <v>0</v>
      </c>
      <c r="BV25" s="2">
        <f t="shared" ca="1" si="27"/>
        <v>0</v>
      </c>
      <c r="BW25" s="219" t="str">
        <f t="shared" si="50"/>
        <v>'Lanç (17)'!$H$49</v>
      </c>
    </row>
    <row r="26" spans="3:75" ht="10.5" customHeight="1" thickTop="1" thickBot="1" x14ac:dyDescent="0.25">
      <c r="H26" s="68"/>
      <c r="I26" s="68"/>
      <c r="J26" s="68"/>
      <c r="K26" s="68"/>
      <c r="R26" s="2" t="str">
        <f>IF(Funcionários!C24=0,"",Funcionários!C24)</f>
        <v/>
      </c>
      <c r="S26" s="219">
        <v>18</v>
      </c>
      <c r="T26" s="219" t="str">
        <f t="shared" si="28"/>
        <v>'Lanç (18)'!$U$8</v>
      </c>
      <c r="U26" s="256">
        <f t="shared" ca="1" si="17"/>
        <v>0</v>
      </c>
      <c r="V26" s="219" t="str">
        <f t="shared" si="18"/>
        <v>'Lanç (18)'!$F$58</v>
      </c>
      <c r="W26" s="256">
        <f t="shared" ca="1" si="17"/>
        <v>0</v>
      </c>
      <c r="X26" s="219" t="str">
        <f t="shared" si="19"/>
        <v>'Lanç (18)'!$U$14</v>
      </c>
      <c r="Y26" s="256">
        <f t="shared" ca="1" si="0"/>
        <v>0</v>
      </c>
      <c r="Z26" s="219" t="str">
        <f t="shared" si="29"/>
        <v>'Lanç (18)'!$K$5</v>
      </c>
      <c r="AA26" s="256">
        <f t="shared" ca="1" si="1"/>
        <v>0</v>
      </c>
      <c r="AC26" s="219" t="str">
        <f t="shared" si="30"/>
        <v>'Lanç (18)'!$F$41</v>
      </c>
      <c r="AD26" s="256">
        <f t="shared" ca="1" si="2"/>
        <v>0</v>
      </c>
      <c r="AE26" s="219" t="str">
        <f t="shared" si="31"/>
        <v>'Lanç (18)'!$F$42</v>
      </c>
      <c r="AF26" s="256">
        <f t="shared" ca="1" si="3"/>
        <v>0</v>
      </c>
      <c r="AG26" s="219" t="str">
        <f t="shared" si="32"/>
        <v>'Lanç (18)'!$F$43</v>
      </c>
      <c r="AH26" s="256">
        <f t="shared" ca="1" si="4"/>
        <v>0</v>
      </c>
      <c r="AI26" s="219" t="str">
        <f t="shared" si="33"/>
        <v>'Lanç (18)'!$F$44</v>
      </c>
      <c r="AJ26" s="256">
        <f t="shared" ca="1" si="20"/>
        <v>0</v>
      </c>
      <c r="AK26" s="219" t="str">
        <f t="shared" si="34"/>
        <v>'Lanç (18)'!$F$45</v>
      </c>
      <c r="AL26" s="256">
        <f t="shared" ca="1" si="5"/>
        <v>0</v>
      </c>
      <c r="AM26" s="219" t="str">
        <f t="shared" si="35"/>
        <v>'Lanç (18)'!$F$46</v>
      </c>
      <c r="AN26" s="256">
        <f t="shared" ca="1" si="6"/>
        <v>0</v>
      </c>
      <c r="AO26" s="219" t="str">
        <f t="shared" si="36"/>
        <v>'Lanç (18)'!$F$47</v>
      </c>
      <c r="AP26" s="256">
        <f t="shared" ca="1" si="7"/>
        <v>0</v>
      </c>
      <c r="AQ26" s="219" t="str">
        <f t="shared" si="37"/>
        <v>'Lanç (18)'!$F$48</v>
      </c>
      <c r="AR26" s="256">
        <f t="shared" ca="1" si="8"/>
        <v>0</v>
      </c>
      <c r="AS26" s="219" t="str">
        <f t="shared" si="38"/>
        <v>'Lanç (18)'!$F$49</v>
      </c>
      <c r="AT26" s="256">
        <f t="shared" ca="1" si="9"/>
        <v>0</v>
      </c>
      <c r="AU26" s="219" t="str">
        <f t="shared" si="39"/>
        <v>'Lanç (18)'!$F$51</v>
      </c>
      <c r="AV26" s="256">
        <f t="shared" ca="1" si="10"/>
        <v>0</v>
      </c>
      <c r="AW26" s="219" t="str">
        <f t="shared" si="40"/>
        <v>'Lanç (18)'!$F$50</v>
      </c>
      <c r="AX26" s="256">
        <f t="shared" ca="1" si="11"/>
        <v>0</v>
      </c>
      <c r="AY26" s="219" t="str">
        <f t="shared" si="41"/>
        <v>'Lanç (18)'!$F$52</v>
      </c>
      <c r="AZ26" s="256">
        <f t="shared" ca="1" si="12"/>
        <v>0</v>
      </c>
      <c r="BA26" s="219" t="str">
        <f t="shared" si="42"/>
        <v>'Lanç (18)'!$F$53</v>
      </c>
      <c r="BB26" s="256">
        <f t="shared" ca="1" si="13"/>
        <v>0</v>
      </c>
      <c r="BC26" s="219" t="str">
        <f t="shared" si="43"/>
        <v>'Lanç (18)'!$F$54</v>
      </c>
      <c r="BD26" s="257">
        <f t="shared" ca="1" si="14"/>
        <v>0</v>
      </c>
      <c r="BE26" s="219" t="str">
        <f t="shared" si="44"/>
        <v>'Lanç (18)'!$F$55</v>
      </c>
      <c r="BF26" s="257">
        <f t="shared" ca="1" si="15"/>
        <v>0</v>
      </c>
      <c r="BH26" s="219" t="str">
        <f t="shared" si="45"/>
        <v>'Lanç (18)'!$m$5</v>
      </c>
      <c r="BI26" s="256">
        <f t="shared" ca="1" si="46"/>
        <v>0</v>
      </c>
      <c r="BK26" s="219" t="str">
        <f t="shared" si="47"/>
        <v>'Lanç (18)'!$F$55</v>
      </c>
      <c r="BL26" s="2">
        <f t="shared" ca="1" si="21"/>
        <v>0</v>
      </c>
      <c r="BM26" s="2">
        <f t="shared" ca="1" si="22"/>
        <v>0</v>
      </c>
      <c r="BP26" s="2" t="str">
        <f t="shared" si="23"/>
        <v/>
      </c>
      <c r="BQ26" s="219" t="str">
        <f t="shared" si="48"/>
        <v>'Lanç (18)'!$F$55</v>
      </c>
      <c r="BR26" s="219" t="str">
        <f t="shared" si="49"/>
        <v>'Lanç (18)'!$F$54</v>
      </c>
      <c r="BS26" s="219" t="str">
        <f t="shared" si="24"/>
        <v/>
      </c>
      <c r="BT26" s="2">
        <f t="shared" ca="1" si="25"/>
        <v>0</v>
      </c>
      <c r="BU26" s="2">
        <f t="shared" ca="1" si="26"/>
        <v>0</v>
      </c>
      <c r="BV26" s="2">
        <f t="shared" ca="1" si="27"/>
        <v>0</v>
      </c>
      <c r="BW26" s="219" t="str">
        <f t="shared" si="50"/>
        <v>'Lanç (18)'!$H$49</v>
      </c>
    </row>
    <row r="27" spans="3:75" ht="30" customHeight="1" thickTop="1" thickBot="1" x14ac:dyDescent="0.4">
      <c r="C27" s="103" t="s">
        <v>284</v>
      </c>
      <c r="G27" s="68"/>
      <c r="H27" s="68"/>
      <c r="I27" s="68"/>
      <c r="J27" s="68"/>
      <c r="K27" s="68"/>
      <c r="R27" s="2" t="str">
        <f>IF(Funcionários!C25=0,"",Funcionários!C25)</f>
        <v/>
      </c>
      <c r="S27" s="219">
        <v>19</v>
      </c>
      <c r="T27" s="219" t="str">
        <f t="shared" si="28"/>
        <v>'Lanç (19)'!$U$8</v>
      </c>
      <c r="U27" s="256">
        <f t="shared" ca="1" si="17"/>
        <v>0</v>
      </c>
      <c r="V27" s="219" t="str">
        <f t="shared" si="18"/>
        <v>'Lanç (19)'!$F$58</v>
      </c>
      <c r="W27" s="256">
        <f t="shared" ca="1" si="17"/>
        <v>0</v>
      </c>
      <c r="X27" s="219" t="str">
        <f t="shared" si="19"/>
        <v>'Lanç (19)'!$U$14</v>
      </c>
      <c r="Y27" s="256">
        <f t="shared" ca="1" si="0"/>
        <v>0</v>
      </c>
      <c r="Z27" s="219" t="str">
        <f t="shared" si="29"/>
        <v>'Lanç (19)'!$K$5</v>
      </c>
      <c r="AA27" s="256">
        <f t="shared" ca="1" si="1"/>
        <v>0</v>
      </c>
      <c r="AC27" s="219" t="str">
        <f t="shared" si="30"/>
        <v>'Lanç (19)'!$F$41</v>
      </c>
      <c r="AD27" s="256">
        <f t="shared" ca="1" si="2"/>
        <v>0</v>
      </c>
      <c r="AE27" s="219" t="str">
        <f t="shared" si="31"/>
        <v>'Lanç (19)'!$F$42</v>
      </c>
      <c r="AF27" s="256">
        <f t="shared" ca="1" si="3"/>
        <v>0</v>
      </c>
      <c r="AG27" s="219" t="str">
        <f t="shared" si="32"/>
        <v>'Lanç (19)'!$F$43</v>
      </c>
      <c r="AH27" s="256">
        <f t="shared" ca="1" si="4"/>
        <v>0</v>
      </c>
      <c r="AI27" s="219" t="str">
        <f t="shared" si="33"/>
        <v>'Lanç (19)'!$F$44</v>
      </c>
      <c r="AJ27" s="256">
        <f t="shared" ca="1" si="20"/>
        <v>0</v>
      </c>
      <c r="AK27" s="219" t="str">
        <f t="shared" si="34"/>
        <v>'Lanç (19)'!$F$45</v>
      </c>
      <c r="AL27" s="256">
        <f t="shared" ca="1" si="5"/>
        <v>0</v>
      </c>
      <c r="AM27" s="219" t="str">
        <f t="shared" si="35"/>
        <v>'Lanç (19)'!$F$46</v>
      </c>
      <c r="AN27" s="256">
        <f t="shared" ca="1" si="6"/>
        <v>0</v>
      </c>
      <c r="AO27" s="219" t="str">
        <f t="shared" si="36"/>
        <v>'Lanç (19)'!$F$47</v>
      </c>
      <c r="AP27" s="256">
        <f t="shared" ca="1" si="7"/>
        <v>0</v>
      </c>
      <c r="AQ27" s="219" t="str">
        <f t="shared" si="37"/>
        <v>'Lanç (19)'!$F$48</v>
      </c>
      <c r="AR27" s="256">
        <f t="shared" ca="1" si="8"/>
        <v>0</v>
      </c>
      <c r="AS27" s="219" t="str">
        <f t="shared" si="38"/>
        <v>'Lanç (19)'!$F$49</v>
      </c>
      <c r="AT27" s="256">
        <f t="shared" ca="1" si="9"/>
        <v>0</v>
      </c>
      <c r="AU27" s="219" t="str">
        <f t="shared" si="39"/>
        <v>'Lanç (19)'!$F$51</v>
      </c>
      <c r="AV27" s="256">
        <f t="shared" ca="1" si="10"/>
        <v>0</v>
      </c>
      <c r="AW27" s="219" t="str">
        <f t="shared" si="40"/>
        <v>'Lanç (19)'!$F$50</v>
      </c>
      <c r="AX27" s="256">
        <f t="shared" ca="1" si="11"/>
        <v>0</v>
      </c>
      <c r="AY27" s="219" t="str">
        <f t="shared" si="41"/>
        <v>'Lanç (19)'!$F$52</v>
      </c>
      <c r="AZ27" s="256">
        <f t="shared" ca="1" si="12"/>
        <v>0</v>
      </c>
      <c r="BA27" s="219" t="str">
        <f t="shared" si="42"/>
        <v>'Lanç (19)'!$F$53</v>
      </c>
      <c r="BB27" s="256">
        <f t="shared" ca="1" si="13"/>
        <v>0</v>
      </c>
      <c r="BC27" s="219" t="str">
        <f t="shared" si="43"/>
        <v>'Lanç (19)'!$F$54</v>
      </c>
      <c r="BD27" s="257">
        <f t="shared" ca="1" si="14"/>
        <v>0</v>
      </c>
      <c r="BE27" s="219" t="str">
        <f t="shared" si="44"/>
        <v>'Lanç (19)'!$F$55</v>
      </c>
      <c r="BF27" s="257">
        <f t="shared" ca="1" si="15"/>
        <v>0</v>
      </c>
      <c r="BH27" s="219" t="str">
        <f t="shared" si="45"/>
        <v>'Lanç (19)'!$m$5</v>
      </c>
      <c r="BI27" s="256">
        <f t="shared" ca="1" si="46"/>
        <v>0</v>
      </c>
      <c r="BK27" s="219" t="str">
        <f t="shared" si="47"/>
        <v>'Lanç (19)'!$F$55</v>
      </c>
      <c r="BL27" s="2">
        <f t="shared" ca="1" si="21"/>
        <v>0</v>
      </c>
      <c r="BM27" s="2">
        <f t="shared" ca="1" si="22"/>
        <v>0</v>
      </c>
      <c r="BP27" s="2" t="str">
        <f t="shared" si="23"/>
        <v/>
      </c>
      <c r="BQ27" s="219" t="str">
        <f t="shared" si="48"/>
        <v>'Lanç (19)'!$F$55</v>
      </c>
      <c r="BR27" s="219" t="str">
        <f t="shared" si="49"/>
        <v>'Lanç (19)'!$F$54</v>
      </c>
      <c r="BS27" s="219" t="str">
        <f t="shared" si="24"/>
        <v/>
      </c>
      <c r="BT27" s="2">
        <f t="shared" ca="1" si="25"/>
        <v>0</v>
      </c>
      <c r="BU27" s="2">
        <f t="shared" ca="1" si="26"/>
        <v>0</v>
      </c>
      <c r="BV27" s="2">
        <f t="shared" ca="1" si="27"/>
        <v>0</v>
      </c>
      <c r="BW27" s="219" t="str">
        <f t="shared" si="50"/>
        <v>'Lanç (19)'!$H$49</v>
      </c>
    </row>
    <row r="28" spans="3:75" ht="30" customHeight="1" thickTop="1" thickBot="1" x14ac:dyDescent="0.25">
      <c r="C28" s="303" t="s">
        <v>75</v>
      </c>
      <c r="D28" s="303"/>
      <c r="E28" s="303"/>
      <c r="F28" s="181" t="str">
        <f>IF($D$9="","",F12*24*$D$9*(1+'P Gerais'!$C$14))</f>
        <v/>
      </c>
      <c r="G28" s="2">
        <v>13</v>
      </c>
      <c r="H28" s="303" t="s">
        <v>80</v>
      </c>
      <c r="I28" s="303"/>
      <c r="J28" s="303"/>
      <c r="K28" s="181" t="str">
        <f>IF($D$9="","",K12*24*$D$9*(1+'P Gerais'!$I$14))</f>
        <v/>
      </c>
      <c r="R28" s="2" t="str">
        <f>IF(Funcionários!C26=0,"",Funcionários!C26)</f>
        <v/>
      </c>
      <c r="S28" s="219">
        <v>20</v>
      </c>
      <c r="T28" s="219" t="str">
        <f t="shared" si="28"/>
        <v>'Lanç (20)'!$U$8</v>
      </c>
      <c r="U28" s="256">
        <f t="shared" ca="1" si="17"/>
        <v>0</v>
      </c>
      <c r="V28" s="219" t="str">
        <f t="shared" si="18"/>
        <v>'Lanç (20)'!$F$58</v>
      </c>
      <c r="W28" s="256">
        <f t="shared" ca="1" si="17"/>
        <v>0</v>
      </c>
      <c r="X28" s="219" t="str">
        <f t="shared" si="19"/>
        <v>'Lanç (20)'!$U$14</v>
      </c>
      <c r="Y28" s="256">
        <f t="shared" ca="1" si="0"/>
        <v>0</v>
      </c>
      <c r="Z28" s="219" t="str">
        <f t="shared" si="29"/>
        <v>'Lanç (20)'!$K$5</v>
      </c>
      <c r="AA28" s="256">
        <f t="shared" ca="1" si="1"/>
        <v>0</v>
      </c>
      <c r="AC28" s="219" t="str">
        <f t="shared" si="30"/>
        <v>'Lanç (20)'!$F$41</v>
      </c>
      <c r="AD28" s="256">
        <f t="shared" ca="1" si="2"/>
        <v>0</v>
      </c>
      <c r="AE28" s="219" t="str">
        <f t="shared" si="31"/>
        <v>'Lanç (20)'!$F$42</v>
      </c>
      <c r="AF28" s="256">
        <f t="shared" ca="1" si="3"/>
        <v>0</v>
      </c>
      <c r="AG28" s="219" t="str">
        <f t="shared" si="32"/>
        <v>'Lanç (20)'!$F$43</v>
      </c>
      <c r="AH28" s="256">
        <f t="shared" ca="1" si="4"/>
        <v>0</v>
      </c>
      <c r="AI28" s="219" t="str">
        <f t="shared" si="33"/>
        <v>'Lanç (20)'!$F$44</v>
      </c>
      <c r="AJ28" s="256">
        <f t="shared" ca="1" si="20"/>
        <v>0</v>
      </c>
      <c r="AK28" s="219" t="str">
        <f t="shared" si="34"/>
        <v>'Lanç (20)'!$F$45</v>
      </c>
      <c r="AL28" s="256">
        <f t="shared" ca="1" si="5"/>
        <v>0</v>
      </c>
      <c r="AM28" s="219" t="str">
        <f t="shared" si="35"/>
        <v>'Lanç (20)'!$F$46</v>
      </c>
      <c r="AN28" s="256">
        <f t="shared" ca="1" si="6"/>
        <v>0</v>
      </c>
      <c r="AO28" s="219" t="str">
        <f t="shared" si="36"/>
        <v>'Lanç (20)'!$F$47</v>
      </c>
      <c r="AP28" s="256">
        <f t="shared" ca="1" si="7"/>
        <v>0</v>
      </c>
      <c r="AQ28" s="219" t="str">
        <f t="shared" si="37"/>
        <v>'Lanç (20)'!$F$48</v>
      </c>
      <c r="AR28" s="256">
        <f t="shared" ca="1" si="8"/>
        <v>0</v>
      </c>
      <c r="AS28" s="219" t="str">
        <f t="shared" si="38"/>
        <v>'Lanç (20)'!$F$49</v>
      </c>
      <c r="AT28" s="256">
        <f t="shared" ca="1" si="9"/>
        <v>0</v>
      </c>
      <c r="AU28" s="219" t="str">
        <f t="shared" si="39"/>
        <v>'Lanç (20)'!$F$51</v>
      </c>
      <c r="AV28" s="256">
        <f t="shared" ca="1" si="10"/>
        <v>0</v>
      </c>
      <c r="AW28" s="219" t="str">
        <f t="shared" si="40"/>
        <v>'Lanç (20)'!$F$50</v>
      </c>
      <c r="AX28" s="256">
        <f t="shared" ca="1" si="11"/>
        <v>0</v>
      </c>
      <c r="AY28" s="219" t="str">
        <f t="shared" si="41"/>
        <v>'Lanç (20)'!$F$52</v>
      </c>
      <c r="AZ28" s="256">
        <f t="shared" ca="1" si="12"/>
        <v>0</v>
      </c>
      <c r="BA28" s="219" t="str">
        <f t="shared" si="42"/>
        <v>'Lanç (20)'!$F$53</v>
      </c>
      <c r="BB28" s="256">
        <f t="shared" ca="1" si="13"/>
        <v>0</v>
      </c>
      <c r="BC28" s="219" t="str">
        <f t="shared" si="43"/>
        <v>'Lanç (20)'!$F$54</v>
      </c>
      <c r="BD28" s="257">
        <f t="shared" ca="1" si="14"/>
        <v>0</v>
      </c>
      <c r="BE28" s="219" t="str">
        <f t="shared" si="44"/>
        <v>'Lanç (20)'!$F$55</v>
      </c>
      <c r="BF28" s="257">
        <f t="shared" ca="1" si="15"/>
        <v>0</v>
      </c>
      <c r="BH28" s="219" t="str">
        <f t="shared" si="45"/>
        <v>'Lanç (20)'!$m$5</v>
      </c>
      <c r="BI28" s="256">
        <f t="shared" ca="1" si="46"/>
        <v>0</v>
      </c>
      <c r="BK28" s="219" t="str">
        <f t="shared" si="47"/>
        <v>'Lanç (20)'!$F$55</v>
      </c>
      <c r="BL28" s="2">
        <f t="shared" ca="1" si="21"/>
        <v>0</v>
      </c>
      <c r="BM28" s="2">
        <f t="shared" ca="1" si="22"/>
        <v>0</v>
      </c>
      <c r="BP28" s="2" t="str">
        <f t="shared" si="23"/>
        <v/>
      </c>
      <c r="BQ28" s="219" t="str">
        <f t="shared" si="48"/>
        <v>'Lanç (20)'!$F$55</v>
      </c>
      <c r="BR28" s="219" t="str">
        <f t="shared" si="49"/>
        <v>'Lanç (20)'!$F$54</v>
      </c>
      <c r="BS28" s="219" t="str">
        <f t="shared" si="24"/>
        <v/>
      </c>
      <c r="BT28" s="2">
        <f t="shared" ca="1" si="25"/>
        <v>0</v>
      </c>
      <c r="BU28" s="2">
        <f t="shared" ca="1" si="26"/>
        <v>0</v>
      </c>
      <c r="BV28" s="2">
        <f t="shared" ca="1" si="27"/>
        <v>0</v>
      </c>
      <c r="BW28" s="219" t="str">
        <f t="shared" si="50"/>
        <v>'Lanç (20)'!$H$49</v>
      </c>
    </row>
    <row r="29" spans="3:75" ht="5" customHeight="1" thickTop="1" thickBot="1" x14ac:dyDescent="0.25">
      <c r="F29" s="99"/>
      <c r="G29" s="2"/>
      <c r="H29"/>
      <c r="I29"/>
      <c r="J29"/>
      <c r="K29" s="99"/>
      <c r="L29" s="161"/>
      <c r="M29" s="161"/>
      <c r="N29" s="161"/>
      <c r="R29" s="2" t="str">
        <f>IF(Funcionários!C27=0,"",Funcionários!C27)</f>
        <v/>
      </c>
      <c r="S29" s="219">
        <v>21</v>
      </c>
      <c r="T29" s="219" t="str">
        <f t="shared" si="28"/>
        <v>'Lanç (21)'!$U$8</v>
      </c>
      <c r="U29" s="256">
        <f t="shared" ca="1" si="17"/>
        <v>0</v>
      </c>
      <c r="V29" s="219" t="str">
        <f t="shared" si="18"/>
        <v>'Lanç (21)'!$F$58</v>
      </c>
      <c r="W29" s="256">
        <f t="shared" ca="1" si="17"/>
        <v>0</v>
      </c>
      <c r="X29" s="219" t="str">
        <f t="shared" si="19"/>
        <v>'Lanç (21)'!$U$14</v>
      </c>
      <c r="Y29" s="256">
        <f t="shared" ca="1" si="0"/>
        <v>0</v>
      </c>
      <c r="Z29" s="219" t="str">
        <f t="shared" si="29"/>
        <v>'Lanç (21)'!$K$5</v>
      </c>
      <c r="AA29" s="256">
        <f t="shared" ca="1" si="1"/>
        <v>0</v>
      </c>
      <c r="AC29" s="219" t="str">
        <f t="shared" si="30"/>
        <v>'Lanç (21)'!$F$41</v>
      </c>
      <c r="AD29" s="256">
        <f t="shared" ca="1" si="2"/>
        <v>0</v>
      </c>
      <c r="AE29" s="219" t="str">
        <f t="shared" si="31"/>
        <v>'Lanç (21)'!$F$42</v>
      </c>
      <c r="AF29" s="256">
        <f t="shared" ca="1" si="3"/>
        <v>0</v>
      </c>
      <c r="AG29" s="219" t="str">
        <f t="shared" si="32"/>
        <v>'Lanç (21)'!$F$43</v>
      </c>
      <c r="AH29" s="256">
        <f t="shared" ca="1" si="4"/>
        <v>0</v>
      </c>
      <c r="AI29" s="219" t="str">
        <f t="shared" si="33"/>
        <v>'Lanç (21)'!$F$44</v>
      </c>
      <c r="AJ29" s="256">
        <f t="shared" ca="1" si="20"/>
        <v>0</v>
      </c>
      <c r="AK29" s="219" t="str">
        <f t="shared" si="34"/>
        <v>'Lanç (21)'!$F$45</v>
      </c>
      <c r="AL29" s="256">
        <f t="shared" ca="1" si="5"/>
        <v>0</v>
      </c>
      <c r="AM29" s="219" t="str">
        <f t="shared" si="35"/>
        <v>'Lanç (21)'!$F$46</v>
      </c>
      <c r="AN29" s="256">
        <f t="shared" ca="1" si="6"/>
        <v>0</v>
      </c>
      <c r="AO29" s="219" t="str">
        <f t="shared" si="36"/>
        <v>'Lanç (21)'!$F$47</v>
      </c>
      <c r="AP29" s="256">
        <f t="shared" ca="1" si="7"/>
        <v>0</v>
      </c>
      <c r="AQ29" s="219" t="str">
        <f t="shared" si="37"/>
        <v>'Lanç (21)'!$F$48</v>
      </c>
      <c r="AR29" s="256">
        <f t="shared" ca="1" si="8"/>
        <v>0</v>
      </c>
      <c r="AS29" s="219" t="str">
        <f t="shared" si="38"/>
        <v>'Lanç (21)'!$F$49</v>
      </c>
      <c r="AT29" s="256">
        <f t="shared" ca="1" si="9"/>
        <v>0</v>
      </c>
      <c r="AU29" s="219" t="str">
        <f t="shared" si="39"/>
        <v>'Lanç (21)'!$F$51</v>
      </c>
      <c r="AV29" s="256">
        <f t="shared" ca="1" si="10"/>
        <v>0</v>
      </c>
      <c r="AW29" s="219" t="str">
        <f t="shared" si="40"/>
        <v>'Lanç (21)'!$F$50</v>
      </c>
      <c r="AX29" s="256">
        <f t="shared" ca="1" si="11"/>
        <v>0</v>
      </c>
      <c r="AY29" s="219" t="str">
        <f t="shared" si="41"/>
        <v>'Lanç (21)'!$F$52</v>
      </c>
      <c r="AZ29" s="256">
        <f t="shared" ca="1" si="12"/>
        <v>0</v>
      </c>
      <c r="BA29" s="219" t="str">
        <f t="shared" si="42"/>
        <v>'Lanç (21)'!$F$53</v>
      </c>
      <c r="BB29" s="256">
        <f t="shared" ca="1" si="13"/>
        <v>0</v>
      </c>
      <c r="BC29" s="219" t="str">
        <f t="shared" si="43"/>
        <v>'Lanç (21)'!$F$54</v>
      </c>
      <c r="BD29" s="257">
        <f t="shared" ca="1" si="14"/>
        <v>0</v>
      </c>
      <c r="BE29" s="219" t="str">
        <f t="shared" si="44"/>
        <v>'Lanç (21)'!$F$55</v>
      </c>
      <c r="BF29" s="257">
        <f t="shared" ca="1" si="15"/>
        <v>0</v>
      </c>
      <c r="BH29" s="219" t="str">
        <f t="shared" si="45"/>
        <v>'Lanç (21)'!$m$5</v>
      </c>
      <c r="BI29" s="256">
        <f t="shared" ca="1" si="46"/>
        <v>0</v>
      </c>
      <c r="BK29" s="219" t="str">
        <f t="shared" si="47"/>
        <v>'Lanç (21)'!$F$55</v>
      </c>
      <c r="BL29" s="2">
        <f t="shared" ca="1" si="21"/>
        <v>0</v>
      </c>
      <c r="BM29" s="2">
        <f t="shared" ca="1" si="22"/>
        <v>0</v>
      </c>
      <c r="BP29" s="2" t="str">
        <f t="shared" si="23"/>
        <v/>
      </c>
      <c r="BQ29" s="219" t="str">
        <f t="shared" si="48"/>
        <v>'Lanç (21)'!$F$55</v>
      </c>
      <c r="BR29" s="219" t="str">
        <f t="shared" si="49"/>
        <v>'Lanç (21)'!$F$54</v>
      </c>
      <c r="BS29" s="219" t="str">
        <f t="shared" si="24"/>
        <v/>
      </c>
      <c r="BT29" s="2">
        <f t="shared" ca="1" si="25"/>
        <v>0</v>
      </c>
      <c r="BU29" s="2">
        <f t="shared" ca="1" si="26"/>
        <v>0</v>
      </c>
      <c r="BV29" s="2">
        <f t="shared" ca="1" si="27"/>
        <v>0</v>
      </c>
      <c r="BW29" s="219" t="str">
        <f t="shared" si="50"/>
        <v>'Lanç (21)'!$H$49</v>
      </c>
    </row>
    <row r="30" spans="3:75" ht="30" customHeight="1" thickTop="1" thickBot="1" x14ac:dyDescent="0.25">
      <c r="C30" s="303" t="s">
        <v>76</v>
      </c>
      <c r="D30" s="303"/>
      <c r="E30" s="303"/>
      <c r="F30" s="181" t="str">
        <f>IF($D$9="","",F14*24*$D$9*(1+'P Gerais'!$C$14))</f>
        <v/>
      </c>
      <c r="G30" s="2">
        <v>15</v>
      </c>
      <c r="H30" s="304" t="s">
        <v>146</v>
      </c>
      <c r="I30" s="304"/>
      <c r="J30" s="304"/>
      <c r="K30" s="181" t="e">
        <f ca="1">IF($F$6="Todos",K14*24*$D$9*(1+'P Gerais'!$H$14),VLOOKUP($F$6,$BP$9:$BV$38,7,FALSE))</f>
        <v>#VALUE!</v>
      </c>
      <c r="R30" s="2" t="str">
        <f>IF(Funcionários!C28=0,"",Funcionários!C28)</f>
        <v/>
      </c>
      <c r="S30" s="219">
        <v>22</v>
      </c>
      <c r="T30" s="219" t="str">
        <f t="shared" si="28"/>
        <v>'Lanç (22)'!$U$8</v>
      </c>
      <c r="U30" s="256">
        <f t="shared" ca="1" si="17"/>
        <v>0</v>
      </c>
      <c r="V30" s="219" t="str">
        <f t="shared" si="18"/>
        <v>'Lanç (22)'!$F$58</v>
      </c>
      <c r="W30" s="256">
        <f t="shared" ca="1" si="17"/>
        <v>0</v>
      </c>
      <c r="X30" s="219" t="str">
        <f t="shared" si="19"/>
        <v>'Lanç (22)'!$U$14</v>
      </c>
      <c r="Y30" s="256">
        <f t="shared" ca="1" si="0"/>
        <v>0</v>
      </c>
      <c r="Z30" s="219" t="str">
        <f t="shared" si="29"/>
        <v>'Lanç (22)'!$K$5</v>
      </c>
      <c r="AA30" s="256">
        <f t="shared" ca="1" si="1"/>
        <v>0</v>
      </c>
      <c r="AC30" s="219" t="str">
        <f t="shared" si="30"/>
        <v>'Lanç (22)'!$F$41</v>
      </c>
      <c r="AD30" s="256">
        <f t="shared" ca="1" si="2"/>
        <v>0</v>
      </c>
      <c r="AE30" s="219" t="str">
        <f t="shared" si="31"/>
        <v>'Lanç (22)'!$F$42</v>
      </c>
      <c r="AF30" s="256">
        <f t="shared" ca="1" si="3"/>
        <v>0</v>
      </c>
      <c r="AG30" s="219" t="str">
        <f t="shared" si="32"/>
        <v>'Lanç (22)'!$F$43</v>
      </c>
      <c r="AH30" s="256">
        <f t="shared" ca="1" si="4"/>
        <v>0</v>
      </c>
      <c r="AI30" s="219" t="str">
        <f t="shared" si="33"/>
        <v>'Lanç (22)'!$F$44</v>
      </c>
      <c r="AJ30" s="256">
        <f t="shared" ca="1" si="20"/>
        <v>0</v>
      </c>
      <c r="AK30" s="219" t="str">
        <f t="shared" si="34"/>
        <v>'Lanç (22)'!$F$45</v>
      </c>
      <c r="AL30" s="256">
        <f t="shared" ca="1" si="5"/>
        <v>0</v>
      </c>
      <c r="AM30" s="219" t="str">
        <f t="shared" si="35"/>
        <v>'Lanç (22)'!$F$46</v>
      </c>
      <c r="AN30" s="256">
        <f t="shared" ca="1" si="6"/>
        <v>0</v>
      </c>
      <c r="AO30" s="219" t="str">
        <f t="shared" si="36"/>
        <v>'Lanç (22)'!$F$47</v>
      </c>
      <c r="AP30" s="256">
        <f t="shared" ca="1" si="7"/>
        <v>0</v>
      </c>
      <c r="AQ30" s="219" t="str">
        <f t="shared" si="37"/>
        <v>'Lanç (22)'!$F$48</v>
      </c>
      <c r="AR30" s="256">
        <f t="shared" ca="1" si="8"/>
        <v>0</v>
      </c>
      <c r="AS30" s="219" t="str">
        <f t="shared" si="38"/>
        <v>'Lanç (22)'!$F$49</v>
      </c>
      <c r="AT30" s="256">
        <f t="shared" ca="1" si="9"/>
        <v>0</v>
      </c>
      <c r="AU30" s="219" t="str">
        <f t="shared" si="39"/>
        <v>'Lanç (22)'!$F$51</v>
      </c>
      <c r="AV30" s="256">
        <f t="shared" ca="1" si="10"/>
        <v>0</v>
      </c>
      <c r="AW30" s="219" t="str">
        <f t="shared" si="40"/>
        <v>'Lanç (22)'!$F$50</v>
      </c>
      <c r="AX30" s="256">
        <f t="shared" ca="1" si="11"/>
        <v>0</v>
      </c>
      <c r="AY30" s="219" t="str">
        <f t="shared" si="41"/>
        <v>'Lanç (22)'!$F$52</v>
      </c>
      <c r="AZ30" s="256">
        <f t="shared" ca="1" si="12"/>
        <v>0</v>
      </c>
      <c r="BA30" s="219" t="str">
        <f t="shared" si="42"/>
        <v>'Lanç (22)'!$F$53</v>
      </c>
      <c r="BB30" s="256">
        <f t="shared" ca="1" si="13"/>
        <v>0</v>
      </c>
      <c r="BC30" s="219" t="str">
        <f t="shared" si="43"/>
        <v>'Lanç (22)'!$F$54</v>
      </c>
      <c r="BD30" s="257">
        <f t="shared" ca="1" si="14"/>
        <v>0</v>
      </c>
      <c r="BE30" s="219" t="str">
        <f t="shared" si="44"/>
        <v>'Lanç (22)'!$F$55</v>
      </c>
      <c r="BF30" s="257">
        <f t="shared" ca="1" si="15"/>
        <v>0</v>
      </c>
      <c r="BH30" s="219" t="str">
        <f t="shared" si="45"/>
        <v>'Lanç (22)'!$m$5</v>
      </c>
      <c r="BI30" s="256">
        <f t="shared" ca="1" si="46"/>
        <v>0</v>
      </c>
      <c r="BK30" s="219" t="str">
        <f t="shared" si="47"/>
        <v>'Lanç (22)'!$F$55</v>
      </c>
      <c r="BL30" s="2">
        <f t="shared" ca="1" si="21"/>
        <v>0</v>
      </c>
      <c r="BM30" s="2">
        <f t="shared" ca="1" si="22"/>
        <v>0</v>
      </c>
      <c r="BP30" s="2" t="str">
        <f t="shared" si="23"/>
        <v/>
      </c>
      <c r="BQ30" s="219" t="str">
        <f t="shared" si="48"/>
        <v>'Lanç (22)'!$F$55</v>
      </c>
      <c r="BR30" s="219" t="str">
        <f t="shared" si="49"/>
        <v>'Lanç (22)'!$F$54</v>
      </c>
      <c r="BS30" s="219" t="str">
        <f t="shared" si="24"/>
        <v/>
      </c>
      <c r="BT30" s="2">
        <f t="shared" ca="1" si="25"/>
        <v>0</v>
      </c>
      <c r="BU30" s="2">
        <f t="shared" ca="1" si="26"/>
        <v>0</v>
      </c>
      <c r="BV30" s="2">
        <f t="shared" ca="1" si="27"/>
        <v>0</v>
      </c>
      <c r="BW30" s="219" t="str">
        <f t="shared" si="50"/>
        <v>'Lanç (22)'!$H$49</v>
      </c>
    </row>
    <row r="31" spans="3:75" ht="5" customHeight="1" thickTop="1" thickBot="1" x14ac:dyDescent="0.25">
      <c r="F31" s="99"/>
      <c r="G31" s="2"/>
      <c r="H31"/>
      <c r="I31"/>
      <c r="J31"/>
      <c r="K31" s="99"/>
      <c r="R31" s="2" t="str">
        <f>IF(Funcionários!C29=0,"",Funcionários!C29)</f>
        <v/>
      </c>
      <c r="S31" s="219">
        <v>23</v>
      </c>
      <c r="T31" s="219" t="str">
        <f t="shared" si="28"/>
        <v>'Lanç (23)'!$U$8</v>
      </c>
      <c r="U31" s="256">
        <f t="shared" ca="1" si="17"/>
        <v>0</v>
      </c>
      <c r="V31" s="219" t="str">
        <f t="shared" si="18"/>
        <v>'Lanç (23)'!$F$58</v>
      </c>
      <c r="W31" s="256">
        <f t="shared" ca="1" si="17"/>
        <v>0</v>
      </c>
      <c r="X31" s="219" t="str">
        <f t="shared" si="19"/>
        <v>'Lanç (23)'!$U$14</v>
      </c>
      <c r="Y31" s="256">
        <f t="shared" ca="1" si="0"/>
        <v>0</v>
      </c>
      <c r="Z31" s="219" t="str">
        <f t="shared" si="29"/>
        <v>'Lanç (23)'!$K$5</v>
      </c>
      <c r="AA31" s="256">
        <f t="shared" ca="1" si="1"/>
        <v>0</v>
      </c>
      <c r="AC31" s="219" t="str">
        <f t="shared" si="30"/>
        <v>'Lanç (23)'!$F$41</v>
      </c>
      <c r="AD31" s="256">
        <f t="shared" ca="1" si="2"/>
        <v>0</v>
      </c>
      <c r="AE31" s="219" t="str">
        <f t="shared" si="31"/>
        <v>'Lanç (23)'!$F$42</v>
      </c>
      <c r="AF31" s="256">
        <f t="shared" ca="1" si="3"/>
        <v>0</v>
      </c>
      <c r="AG31" s="219" t="str">
        <f t="shared" si="32"/>
        <v>'Lanç (23)'!$F$43</v>
      </c>
      <c r="AH31" s="256">
        <f t="shared" ca="1" si="4"/>
        <v>0</v>
      </c>
      <c r="AI31" s="219" t="str">
        <f t="shared" si="33"/>
        <v>'Lanç (23)'!$F$44</v>
      </c>
      <c r="AJ31" s="256">
        <f t="shared" ca="1" si="20"/>
        <v>0</v>
      </c>
      <c r="AK31" s="219" t="str">
        <f t="shared" si="34"/>
        <v>'Lanç (23)'!$F$45</v>
      </c>
      <c r="AL31" s="256">
        <f t="shared" ca="1" si="5"/>
        <v>0</v>
      </c>
      <c r="AM31" s="219" t="str">
        <f t="shared" si="35"/>
        <v>'Lanç (23)'!$F$46</v>
      </c>
      <c r="AN31" s="256">
        <f t="shared" ca="1" si="6"/>
        <v>0</v>
      </c>
      <c r="AO31" s="219" t="str">
        <f t="shared" si="36"/>
        <v>'Lanç (23)'!$F$47</v>
      </c>
      <c r="AP31" s="256">
        <f t="shared" ca="1" si="7"/>
        <v>0</v>
      </c>
      <c r="AQ31" s="219" t="str">
        <f t="shared" si="37"/>
        <v>'Lanç (23)'!$F$48</v>
      </c>
      <c r="AR31" s="256">
        <f t="shared" ca="1" si="8"/>
        <v>0</v>
      </c>
      <c r="AS31" s="219" t="str">
        <f t="shared" si="38"/>
        <v>'Lanç (23)'!$F$49</v>
      </c>
      <c r="AT31" s="256">
        <f t="shared" ca="1" si="9"/>
        <v>0</v>
      </c>
      <c r="AU31" s="219" t="str">
        <f t="shared" si="39"/>
        <v>'Lanç (23)'!$F$51</v>
      </c>
      <c r="AV31" s="256">
        <f t="shared" ca="1" si="10"/>
        <v>0</v>
      </c>
      <c r="AW31" s="219" t="str">
        <f t="shared" si="40"/>
        <v>'Lanç (23)'!$F$50</v>
      </c>
      <c r="AX31" s="256">
        <f t="shared" ca="1" si="11"/>
        <v>0</v>
      </c>
      <c r="AY31" s="219" t="str">
        <f t="shared" si="41"/>
        <v>'Lanç (23)'!$F$52</v>
      </c>
      <c r="AZ31" s="256">
        <f t="shared" ca="1" si="12"/>
        <v>0</v>
      </c>
      <c r="BA31" s="219" t="str">
        <f t="shared" si="42"/>
        <v>'Lanç (23)'!$F$53</v>
      </c>
      <c r="BB31" s="256">
        <f t="shared" ca="1" si="13"/>
        <v>0</v>
      </c>
      <c r="BC31" s="219" t="str">
        <f t="shared" si="43"/>
        <v>'Lanç (23)'!$F$54</v>
      </c>
      <c r="BD31" s="257">
        <f t="shared" ca="1" si="14"/>
        <v>0</v>
      </c>
      <c r="BE31" s="219" t="str">
        <f t="shared" si="44"/>
        <v>'Lanç (23)'!$F$55</v>
      </c>
      <c r="BF31" s="257">
        <f t="shared" ca="1" si="15"/>
        <v>0</v>
      </c>
      <c r="BH31" s="219" t="str">
        <f t="shared" si="45"/>
        <v>'Lanç (23)'!$m$5</v>
      </c>
      <c r="BI31" s="256">
        <f t="shared" ca="1" si="46"/>
        <v>0</v>
      </c>
      <c r="BK31" s="219" t="str">
        <f t="shared" si="47"/>
        <v>'Lanç (23)'!$F$55</v>
      </c>
      <c r="BL31" s="2">
        <f t="shared" ca="1" si="21"/>
        <v>0</v>
      </c>
      <c r="BM31" s="2">
        <f t="shared" ca="1" si="22"/>
        <v>0</v>
      </c>
      <c r="BP31" s="2" t="str">
        <f t="shared" si="23"/>
        <v/>
      </c>
      <c r="BQ31" s="219" t="str">
        <f t="shared" si="48"/>
        <v>'Lanç (23)'!$F$55</v>
      </c>
      <c r="BR31" s="219" t="str">
        <f t="shared" si="49"/>
        <v>'Lanç (23)'!$F$54</v>
      </c>
      <c r="BS31" s="219" t="str">
        <f t="shared" si="24"/>
        <v/>
      </c>
      <c r="BT31" s="2">
        <f t="shared" ca="1" si="25"/>
        <v>0</v>
      </c>
      <c r="BU31" s="2">
        <f t="shared" ca="1" si="26"/>
        <v>0</v>
      </c>
      <c r="BV31" s="2">
        <f t="shared" ca="1" si="27"/>
        <v>0</v>
      </c>
      <c r="BW31" s="219" t="str">
        <f t="shared" si="50"/>
        <v>'Lanç (23)'!$H$49</v>
      </c>
    </row>
    <row r="32" spans="3:75" ht="30" customHeight="1" thickTop="1" thickBot="1" x14ac:dyDescent="0.25">
      <c r="C32" s="303" t="s">
        <v>77</v>
      </c>
      <c r="D32" s="303"/>
      <c r="E32" s="303"/>
      <c r="F32" s="181" t="str">
        <f>IF($D$9="","",F16*24*$D$9*(1+'P Gerais'!$C$14))</f>
        <v/>
      </c>
      <c r="G32" s="2">
        <v>17</v>
      </c>
      <c r="H32" s="303" t="s">
        <v>147</v>
      </c>
      <c r="I32" s="303"/>
      <c r="J32" s="303"/>
      <c r="K32" s="181" t="str">
        <f>IF($D$9="","",K16*24*$D$9*(1+'P Gerais'!$C$17))</f>
        <v/>
      </c>
      <c r="R32" s="2" t="str">
        <f>IF(Funcionários!C30=0,"",Funcionários!C30)</f>
        <v/>
      </c>
      <c r="S32" s="219">
        <v>24</v>
      </c>
      <c r="T32" s="219" t="str">
        <f t="shared" si="28"/>
        <v>'Lanç (24)'!$U$8</v>
      </c>
      <c r="U32" s="256">
        <f t="shared" ca="1" si="17"/>
        <v>0</v>
      </c>
      <c r="V32" s="219" t="str">
        <f t="shared" si="18"/>
        <v>'Lanç (24)'!$F$58</v>
      </c>
      <c r="W32" s="256">
        <f t="shared" ca="1" si="17"/>
        <v>0</v>
      </c>
      <c r="X32" s="219" t="str">
        <f t="shared" si="19"/>
        <v>'Lanç (24)'!$U$14</v>
      </c>
      <c r="Y32" s="256">
        <f t="shared" ca="1" si="0"/>
        <v>0</v>
      </c>
      <c r="Z32" s="219" t="str">
        <f t="shared" si="29"/>
        <v>'Lanç (24)'!$K$5</v>
      </c>
      <c r="AA32" s="256">
        <f t="shared" ca="1" si="1"/>
        <v>0</v>
      </c>
      <c r="AC32" s="219" t="str">
        <f t="shared" si="30"/>
        <v>'Lanç (24)'!$F$41</v>
      </c>
      <c r="AD32" s="256">
        <f t="shared" ca="1" si="2"/>
        <v>0</v>
      </c>
      <c r="AE32" s="219" t="str">
        <f t="shared" si="31"/>
        <v>'Lanç (24)'!$F$42</v>
      </c>
      <c r="AF32" s="256">
        <f t="shared" ca="1" si="3"/>
        <v>0</v>
      </c>
      <c r="AG32" s="219" t="str">
        <f t="shared" si="32"/>
        <v>'Lanç (24)'!$F$43</v>
      </c>
      <c r="AH32" s="256">
        <f t="shared" ca="1" si="4"/>
        <v>0</v>
      </c>
      <c r="AI32" s="219" t="str">
        <f t="shared" si="33"/>
        <v>'Lanç (24)'!$F$44</v>
      </c>
      <c r="AJ32" s="256">
        <f t="shared" ca="1" si="20"/>
        <v>0</v>
      </c>
      <c r="AK32" s="219" t="str">
        <f t="shared" si="34"/>
        <v>'Lanç (24)'!$F$45</v>
      </c>
      <c r="AL32" s="256">
        <f t="shared" ca="1" si="5"/>
        <v>0</v>
      </c>
      <c r="AM32" s="219" t="str">
        <f t="shared" si="35"/>
        <v>'Lanç (24)'!$F$46</v>
      </c>
      <c r="AN32" s="256">
        <f t="shared" ca="1" si="6"/>
        <v>0</v>
      </c>
      <c r="AO32" s="219" t="str">
        <f t="shared" si="36"/>
        <v>'Lanç (24)'!$F$47</v>
      </c>
      <c r="AP32" s="256">
        <f t="shared" ca="1" si="7"/>
        <v>0</v>
      </c>
      <c r="AQ32" s="219" t="str">
        <f t="shared" si="37"/>
        <v>'Lanç (24)'!$F$48</v>
      </c>
      <c r="AR32" s="256">
        <f t="shared" ca="1" si="8"/>
        <v>0</v>
      </c>
      <c r="AS32" s="219" t="str">
        <f t="shared" si="38"/>
        <v>'Lanç (24)'!$F$49</v>
      </c>
      <c r="AT32" s="256">
        <f t="shared" ca="1" si="9"/>
        <v>0</v>
      </c>
      <c r="AU32" s="219" t="str">
        <f t="shared" si="39"/>
        <v>'Lanç (24)'!$F$51</v>
      </c>
      <c r="AV32" s="256">
        <f t="shared" ca="1" si="10"/>
        <v>0</v>
      </c>
      <c r="AW32" s="219" t="str">
        <f t="shared" si="40"/>
        <v>'Lanç (24)'!$F$50</v>
      </c>
      <c r="AX32" s="256">
        <f t="shared" ca="1" si="11"/>
        <v>0</v>
      </c>
      <c r="AY32" s="219" t="str">
        <f t="shared" si="41"/>
        <v>'Lanç (24)'!$F$52</v>
      </c>
      <c r="AZ32" s="256">
        <f t="shared" ca="1" si="12"/>
        <v>0</v>
      </c>
      <c r="BA32" s="219" t="str">
        <f t="shared" si="42"/>
        <v>'Lanç (24)'!$F$53</v>
      </c>
      <c r="BB32" s="256">
        <f t="shared" ca="1" si="13"/>
        <v>0</v>
      </c>
      <c r="BC32" s="219" t="str">
        <f t="shared" si="43"/>
        <v>'Lanç (24)'!$F$54</v>
      </c>
      <c r="BD32" s="257">
        <f t="shared" ca="1" si="14"/>
        <v>0</v>
      </c>
      <c r="BE32" s="219" t="str">
        <f t="shared" si="44"/>
        <v>'Lanç (24)'!$F$55</v>
      </c>
      <c r="BF32" s="257">
        <f t="shared" ca="1" si="15"/>
        <v>0</v>
      </c>
      <c r="BH32" s="219" t="str">
        <f t="shared" si="45"/>
        <v>'Lanç (24)'!$m$5</v>
      </c>
      <c r="BI32" s="256">
        <f t="shared" ca="1" si="46"/>
        <v>0</v>
      </c>
      <c r="BK32" s="219" t="str">
        <f t="shared" si="47"/>
        <v>'Lanç (24)'!$F$55</v>
      </c>
      <c r="BL32" s="2">
        <f t="shared" ca="1" si="21"/>
        <v>0</v>
      </c>
      <c r="BM32" s="2">
        <f t="shared" ca="1" si="22"/>
        <v>0</v>
      </c>
      <c r="BP32" s="2" t="str">
        <f t="shared" si="23"/>
        <v/>
      </c>
      <c r="BQ32" s="219" t="str">
        <f t="shared" si="48"/>
        <v>'Lanç (24)'!$F$55</v>
      </c>
      <c r="BR32" s="219" t="str">
        <f t="shared" si="49"/>
        <v>'Lanç (24)'!$F$54</v>
      </c>
      <c r="BS32" s="219" t="str">
        <f t="shared" si="24"/>
        <v/>
      </c>
      <c r="BT32" s="2">
        <f t="shared" ca="1" si="25"/>
        <v>0</v>
      </c>
      <c r="BU32" s="2">
        <f t="shared" ca="1" si="26"/>
        <v>0</v>
      </c>
      <c r="BV32" s="2">
        <f t="shared" ca="1" si="27"/>
        <v>0</v>
      </c>
      <c r="BW32" s="219" t="str">
        <f t="shared" si="50"/>
        <v>'Lanç (24)'!$H$49</v>
      </c>
    </row>
    <row r="33" spans="1:75" ht="5" customHeight="1" thickTop="1" thickBot="1" x14ac:dyDescent="0.25">
      <c r="F33" s="99"/>
      <c r="G33" s="2"/>
      <c r="H33"/>
      <c r="I33"/>
      <c r="J33"/>
      <c r="K33" s="99"/>
      <c r="R33" s="2" t="str">
        <f>IF(Funcionários!C31=0,"",Funcionários!C31)</f>
        <v/>
      </c>
      <c r="S33" s="219">
        <v>25</v>
      </c>
      <c r="T33" s="219" t="str">
        <f t="shared" si="28"/>
        <v>'Lanç (25)'!$U$8</v>
      </c>
      <c r="U33" s="256">
        <f t="shared" ca="1" si="17"/>
        <v>0</v>
      </c>
      <c r="V33" s="219" t="str">
        <f t="shared" si="18"/>
        <v>'Lanç (25)'!$F$58</v>
      </c>
      <c r="W33" s="256">
        <f t="shared" ca="1" si="17"/>
        <v>0</v>
      </c>
      <c r="X33" s="219" t="str">
        <f t="shared" si="19"/>
        <v>'Lanç (25)'!$U$14</v>
      </c>
      <c r="Y33" s="256">
        <f t="shared" ca="1" si="0"/>
        <v>0</v>
      </c>
      <c r="Z33" s="219" t="str">
        <f t="shared" si="29"/>
        <v>'Lanç (25)'!$K$5</v>
      </c>
      <c r="AA33" s="256">
        <f t="shared" ca="1" si="1"/>
        <v>0</v>
      </c>
      <c r="AC33" s="219" t="str">
        <f t="shared" si="30"/>
        <v>'Lanç (25)'!$F$41</v>
      </c>
      <c r="AD33" s="256">
        <f t="shared" ca="1" si="2"/>
        <v>0</v>
      </c>
      <c r="AE33" s="219" t="str">
        <f t="shared" si="31"/>
        <v>'Lanç (25)'!$F$42</v>
      </c>
      <c r="AF33" s="256">
        <f t="shared" ca="1" si="3"/>
        <v>0</v>
      </c>
      <c r="AG33" s="219" t="str">
        <f t="shared" si="32"/>
        <v>'Lanç (25)'!$F$43</v>
      </c>
      <c r="AH33" s="256">
        <f t="shared" ca="1" si="4"/>
        <v>0</v>
      </c>
      <c r="AI33" s="219" t="str">
        <f t="shared" si="33"/>
        <v>'Lanç (25)'!$F$44</v>
      </c>
      <c r="AJ33" s="256">
        <f t="shared" ca="1" si="20"/>
        <v>0</v>
      </c>
      <c r="AK33" s="219" t="str">
        <f t="shared" si="34"/>
        <v>'Lanç (25)'!$F$45</v>
      </c>
      <c r="AL33" s="256">
        <f t="shared" ca="1" si="5"/>
        <v>0</v>
      </c>
      <c r="AM33" s="219" t="str">
        <f t="shared" si="35"/>
        <v>'Lanç (25)'!$F$46</v>
      </c>
      <c r="AN33" s="256">
        <f t="shared" ca="1" si="6"/>
        <v>0</v>
      </c>
      <c r="AO33" s="219" t="str">
        <f t="shared" si="36"/>
        <v>'Lanç (25)'!$F$47</v>
      </c>
      <c r="AP33" s="256">
        <f t="shared" ca="1" si="7"/>
        <v>0</v>
      </c>
      <c r="AQ33" s="219" t="str">
        <f t="shared" si="37"/>
        <v>'Lanç (25)'!$F$48</v>
      </c>
      <c r="AR33" s="256">
        <f t="shared" ca="1" si="8"/>
        <v>0</v>
      </c>
      <c r="AS33" s="219" t="str">
        <f t="shared" si="38"/>
        <v>'Lanç (25)'!$F$49</v>
      </c>
      <c r="AT33" s="256">
        <f t="shared" ca="1" si="9"/>
        <v>0</v>
      </c>
      <c r="AU33" s="219" t="str">
        <f t="shared" si="39"/>
        <v>'Lanç (25)'!$F$51</v>
      </c>
      <c r="AV33" s="256">
        <f t="shared" ca="1" si="10"/>
        <v>0</v>
      </c>
      <c r="AW33" s="219" t="str">
        <f t="shared" si="40"/>
        <v>'Lanç (25)'!$F$50</v>
      </c>
      <c r="AX33" s="256">
        <f t="shared" ca="1" si="11"/>
        <v>0</v>
      </c>
      <c r="AY33" s="219" t="str">
        <f t="shared" si="41"/>
        <v>'Lanç (25)'!$F$52</v>
      </c>
      <c r="AZ33" s="256">
        <f t="shared" ca="1" si="12"/>
        <v>0</v>
      </c>
      <c r="BA33" s="219" t="str">
        <f t="shared" si="42"/>
        <v>'Lanç (25)'!$F$53</v>
      </c>
      <c r="BB33" s="256">
        <f t="shared" ca="1" si="13"/>
        <v>0</v>
      </c>
      <c r="BC33" s="219" t="str">
        <f t="shared" si="43"/>
        <v>'Lanç (25)'!$F$54</v>
      </c>
      <c r="BD33" s="257">
        <f t="shared" ca="1" si="14"/>
        <v>0</v>
      </c>
      <c r="BE33" s="219" t="str">
        <f t="shared" si="44"/>
        <v>'Lanç (25)'!$F$55</v>
      </c>
      <c r="BF33" s="257">
        <f t="shared" ca="1" si="15"/>
        <v>0</v>
      </c>
      <c r="BH33" s="219" t="str">
        <f t="shared" si="45"/>
        <v>'Lanç (25)'!$m$5</v>
      </c>
      <c r="BI33" s="256">
        <f t="shared" ca="1" si="46"/>
        <v>0</v>
      </c>
      <c r="BK33" s="219" t="str">
        <f t="shared" si="47"/>
        <v>'Lanç (25)'!$F$55</v>
      </c>
      <c r="BL33" s="2">
        <f t="shared" ca="1" si="21"/>
        <v>0</v>
      </c>
      <c r="BM33" s="2">
        <f t="shared" ca="1" si="22"/>
        <v>0</v>
      </c>
      <c r="BP33" s="2" t="str">
        <f t="shared" si="23"/>
        <v/>
      </c>
      <c r="BQ33" s="219" t="str">
        <f t="shared" si="48"/>
        <v>'Lanç (25)'!$F$55</v>
      </c>
      <c r="BR33" s="219" t="str">
        <f t="shared" si="49"/>
        <v>'Lanç (25)'!$F$54</v>
      </c>
      <c r="BS33" s="219" t="str">
        <f t="shared" si="24"/>
        <v/>
      </c>
      <c r="BT33" s="2">
        <f t="shared" ca="1" si="25"/>
        <v>0</v>
      </c>
      <c r="BU33" s="2">
        <f t="shared" ca="1" si="26"/>
        <v>0</v>
      </c>
      <c r="BV33" s="2">
        <f t="shared" ca="1" si="27"/>
        <v>0</v>
      </c>
      <c r="BW33" s="219" t="str">
        <f t="shared" si="50"/>
        <v>'Lanç (25)'!$H$49</v>
      </c>
    </row>
    <row r="34" spans="1:75" ht="30" customHeight="1" thickTop="1" thickBot="1" x14ac:dyDescent="0.25">
      <c r="C34" s="303" t="s">
        <v>78</v>
      </c>
      <c r="D34" s="303"/>
      <c r="E34" s="303"/>
      <c r="F34" s="181" t="str">
        <f>IF($D$9="","",F18*24*$D$9*(1+'P Gerais'!$C$14))</f>
        <v/>
      </c>
      <c r="G34" s="2">
        <v>19</v>
      </c>
      <c r="H34" s="303" t="s">
        <v>84</v>
      </c>
      <c r="I34" s="303"/>
      <c r="J34" s="303"/>
      <c r="K34" s="181" t="str">
        <f>IF($D$9="","",K18*24*$D$9*(1+'P Gerais'!$I$17))</f>
        <v/>
      </c>
      <c r="R34" s="2" t="str">
        <f>IF(Funcionários!C32=0,"",Funcionários!C32)</f>
        <v/>
      </c>
      <c r="S34" s="219">
        <v>26</v>
      </c>
      <c r="T34" s="219" t="str">
        <f t="shared" si="28"/>
        <v>'Lanç (26)'!$U$8</v>
      </c>
      <c r="U34" s="256">
        <f t="shared" ca="1" si="17"/>
        <v>0</v>
      </c>
      <c r="V34" s="219" t="str">
        <f t="shared" si="18"/>
        <v>'Lanç (26)'!$F$58</v>
      </c>
      <c r="W34" s="256">
        <f t="shared" ca="1" si="17"/>
        <v>0</v>
      </c>
      <c r="X34" s="219" t="str">
        <f t="shared" si="19"/>
        <v>'Lanç (26)'!$U$14</v>
      </c>
      <c r="Y34" s="256">
        <f t="shared" ca="1" si="0"/>
        <v>0</v>
      </c>
      <c r="Z34" s="219" t="str">
        <f t="shared" si="29"/>
        <v>'Lanç (26)'!$K$5</v>
      </c>
      <c r="AA34" s="256">
        <f t="shared" ca="1" si="1"/>
        <v>0</v>
      </c>
      <c r="AC34" s="219" t="str">
        <f t="shared" si="30"/>
        <v>'Lanç (26)'!$F$41</v>
      </c>
      <c r="AD34" s="256">
        <f t="shared" ca="1" si="2"/>
        <v>0</v>
      </c>
      <c r="AE34" s="219" t="str">
        <f t="shared" si="31"/>
        <v>'Lanç (26)'!$F$42</v>
      </c>
      <c r="AF34" s="256">
        <f t="shared" ca="1" si="3"/>
        <v>0</v>
      </c>
      <c r="AG34" s="219" t="str">
        <f t="shared" si="32"/>
        <v>'Lanç (26)'!$F$43</v>
      </c>
      <c r="AH34" s="256">
        <f t="shared" ca="1" si="4"/>
        <v>0</v>
      </c>
      <c r="AI34" s="219" t="str">
        <f t="shared" si="33"/>
        <v>'Lanç (26)'!$F$44</v>
      </c>
      <c r="AJ34" s="256">
        <f t="shared" ca="1" si="20"/>
        <v>0</v>
      </c>
      <c r="AK34" s="219" t="str">
        <f t="shared" si="34"/>
        <v>'Lanç (26)'!$F$45</v>
      </c>
      <c r="AL34" s="256">
        <f t="shared" ca="1" si="5"/>
        <v>0</v>
      </c>
      <c r="AM34" s="219" t="str">
        <f t="shared" si="35"/>
        <v>'Lanç (26)'!$F$46</v>
      </c>
      <c r="AN34" s="256">
        <f t="shared" ca="1" si="6"/>
        <v>0</v>
      </c>
      <c r="AO34" s="219" t="str">
        <f t="shared" si="36"/>
        <v>'Lanç (26)'!$F$47</v>
      </c>
      <c r="AP34" s="256">
        <f t="shared" ca="1" si="7"/>
        <v>0</v>
      </c>
      <c r="AQ34" s="219" t="str">
        <f t="shared" si="37"/>
        <v>'Lanç (26)'!$F$48</v>
      </c>
      <c r="AR34" s="256">
        <f t="shared" ca="1" si="8"/>
        <v>0</v>
      </c>
      <c r="AS34" s="219" t="str">
        <f t="shared" si="38"/>
        <v>'Lanç (26)'!$F$49</v>
      </c>
      <c r="AT34" s="256">
        <f t="shared" ca="1" si="9"/>
        <v>0</v>
      </c>
      <c r="AU34" s="219" t="str">
        <f t="shared" si="39"/>
        <v>'Lanç (26)'!$F$51</v>
      </c>
      <c r="AV34" s="256">
        <f t="shared" ca="1" si="10"/>
        <v>0</v>
      </c>
      <c r="AW34" s="219" t="str">
        <f t="shared" si="40"/>
        <v>'Lanç (26)'!$F$50</v>
      </c>
      <c r="AX34" s="256">
        <f t="shared" ca="1" si="11"/>
        <v>0</v>
      </c>
      <c r="AY34" s="219" t="str">
        <f t="shared" si="41"/>
        <v>'Lanç (26)'!$F$52</v>
      </c>
      <c r="AZ34" s="256">
        <f t="shared" ca="1" si="12"/>
        <v>0</v>
      </c>
      <c r="BA34" s="219" t="str">
        <f t="shared" si="42"/>
        <v>'Lanç (26)'!$F$53</v>
      </c>
      <c r="BB34" s="256">
        <f t="shared" ca="1" si="13"/>
        <v>0</v>
      </c>
      <c r="BC34" s="219" t="str">
        <f t="shared" si="43"/>
        <v>'Lanç (26)'!$F$54</v>
      </c>
      <c r="BD34" s="257">
        <f t="shared" ca="1" si="14"/>
        <v>0</v>
      </c>
      <c r="BE34" s="219" t="str">
        <f t="shared" si="44"/>
        <v>'Lanç (26)'!$F$55</v>
      </c>
      <c r="BF34" s="257">
        <f t="shared" ca="1" si="15"/>
        <v>0</v>
      </c>
      <c r="BH34" s="219" t="str">
        <f t="shared" si="45"/>
        <v>'Lanç (26)'!$m$5</v>
      </c>
      <c r="BI34" s="256">
        <f t="shared" ca="1" si="46"/>
        <v>0</v>
      </c>
      <c r="BK34" s="219" t="str">
        <f t="shared" si="47"/>
        <v>'Lanç (26)'!$F$55</v>
      </c>
      <c r="BL34" s="2">
        <f t="shared" ca="1" si="21"/>
        <v>0</v>
      </c>
      <c r="BM34" s="2">
        <f t="shared" ca="1" si="22"/>
        <v>0</v>
      </c>
      <c r="BP34" s="2" t="str">
        <f t="shared" si="23"/>
        <v/>
      </c>
      <c r="BQ34" s="219" t="str">
        <f t="shared" si="48"/>
        <v>'Lanç (26)'!$F$55</v>
      </c>
      <c r="BR34" s="219" t="str">
        <f t="shared" si="49"/>
        <v>'Lanç (26)'!$F$54</v>
      </c>
      <c r="BS34" s="219" t="str">
        <f t="shared" si="24"/>
        <v/>
      </c>
      <c r="BT34" s="2">
        <f t="shared" ca="1" si="25"/>
        <v>0</v>
      </c>
      <c r="BU34" s="2">
        <f t="shared" ca="1" si="26"/>
        <v>0</v>
      </c>
      <c r="BV34" s="2">
        <f t="shared" ca="1" si="27"/>
        <v>0</v>
      </c>
      <c r="BW34" s="219" t="str">
        <f t="shared" si="50"/>
        <v>'Lanç (26)'!$H$49</v>
      </c>
    </row>
    <row r="35" spans="1:75" ht="5" customHeight="1" thickTop="1" thickBot="1" x14ac:dyDescent="0.25">
      <c r="F35" s="99"/>
      <c r="G35" s="2"/>
      <c r="H35"/>
      <c r="I35"/>
      <c r="J35"/>
      <c r="K35" s="99"/>
      <c r="R35" s="2" t="str">
        <f>IF(Funcionários!C33=0,"",Funcionários!C33)</f>
        <v/>
      </c>
      <c r="S35" s="219">
        <v>27</v>
      </c>
      <c r="T35" s="219" t="str">
        <f t="shared" si="28"/>
        <v>'Lanç (27)'!$U$8</v>
      </c>
      <c r="U35" s="256">
        <f t="shared" ca="1" si="17"/>
        <v>0</v>
      </c>
      <c r="V35" s="219" t="str">
        <f t="shared" si="18"/>
        <v>'Lanç (27)'!$F$58</v>
      </c>
      <c r="W35" s="256">
        <f t="shared" ca="1" si="17"/>
        <v>0</v>
      </c>
      <c r="X35" s="219" t="str">
        <f t="shared" si="19"/>
        <v>'Lanç (27)'!$U$14</v>
      </c>
      <c r="Y35" s="256">
        <f t="shared" ca="1" si="0"/>
        <v>0</v>
      </c>
      <c r="Z35" s="219" t="str">
        <f t="shared" si="29"/>
        <v>'Lanç (27)'!$K$5</v>
      </c>
      <c r="AA35" s="256">
        <f t="shared" ca="1" si="1"/>
        <v>0</v>
      </c>
      <c r="AC35" s="219" t="str">
        <f t="shared" si="30"/>
        <v>'Lanç (27)'!$F$41</v>
      </c>
      <c r="AD35" s="256">
        <f t="shared" ca="1" si="2"/>
        <v>0</v>
      </c>
      <c r="AE35" s="219" t="str">
        <f t="shared" si="31"/>
        <v>'Lanç (27)'!$F$42</v>
      </c>
      <c r="AF35" s="256">
        <f t="shared" ca="1" si="3"/>
        <v>0</v>
      </c>
      <c r="AG35" s="219" t="str">
        <f t="shared" si="32"/>
        <v>'Lanç (27)'!$F$43</v>
      </c>
      <c r="AH35" s="256">
        <f t="shared" ca="1" si="4"/>
        <v>0</v>
      </c>
      <c r="AI35" s="219" t="str">
        <f t="shared" si="33"/>
        <v>'Lanç (27)'!$F$44</v>
      </c>
      <c r="AJ35" s="256">
        <f t="shared" ca="1" si="20"/>
        <v>0</v>
      </c>
      <c r="AK35" s="219" t="str">
        <f t="shared" si="34"/>
        <v>'Lanç (27)'!$F$45</v>
      </c>
      <c r="AL35" s="256">
        <f t="shared" ca="1" si="5"/>
        <v>0</v>
      </c>
      <c r="AM35" s="219" t="str">
        <f t="shared" si="35"/>
        <v>'Lanç (27)'!$F$46</v>
      </c>
      <c r="AN35" s="256">
        <f t="shared" ca="1" si="6"/>
        <v>0</v>
      </c>
      <c r="AO35" s="219" t="str">
        <f t="shared" si="36"/>
        <v>'Lanç (27)'!$F$47</v>
      </c>
      <c r="AP35" s="256">
        <f t="shared" ca="1" si="7"/>
        <v>0</v>
      </c>
      <c r="AQ35" s="219" t="str">
        <f t="shared" si="37"/>
        <v>'Lanç (27)'!$F$48</v>
      </c>
      <c r="AR35" s="256">
        <f t="shared" ca="1" si="8"/>
        <v>0</v>
      </c>
      <c r="AS35" s="219" t="str">
        <f t="shared" si="38"/>
        <v>'Lanç (27)'!$F$49</v>
      </c>
      <c r="AT35" s="256">
        <f t="shared" ca="1" si="9"/>
        <v>0</v>
      </c>
      <c r="AU35" s="219" t="str">
        <f t="shared" si="39"/>
        <v>'Lanç (27)'!$F$51</v>
      </c>
      <c r="AV35" s="256">
        <f t="shared" ca="1" si="10"/>
        <v>0</v>
      </c>
      <c r="AW35" s="219" t="str">
        <f t="shared" si="40"/>
        <v>'Lanç (27)'!$F$50</v>
      </c>
      <c r="AX35" s="256">
        <f t="shared" ca="1" si="11"/>
        <v>0</v>
      </c>
      <c r="AY35" s="219" t="str">
        <f t="shared" si="41"/>
        <v>'Lanç (27)'!$F$52</v>
      </c>
      <c r="AZ35" s="256">
        <f t="shared" ca="1" si="12"/>
        <v>0</v>
      </c>
      <c r="BA35" s="219" t="str">
        <f t="shared" si="42"/>
        <v>'Lanç (27)'!$F$53</v>
      </c>
      <c r="BB35" s="256">
        <f t="shared" ca="1" si="13"/>
        <v>0</v>
      </c>
      <c r="BC35" s="219" t="str">
        <f t="shared" si="43"/>
        <v>'Lanç (27)'!$F$54</v>
      </c>
      <c r="BD35" s="257">
        <f t="shared" ca="1" si="14"/>
        <v>0</v>
      </c>
      <c r="BE35" s="219" t="str">
        <f t="shared" si="44"/>
        <v>'Lanç (27)'!$F$55</v>
      </c>
      <c r="BF35" s="257">
        <f t="shared" ca="1" si="15"/>
        <v>0</v>
      </c>
      <c r="BH35" s="219" t="str">
        <f t="shared" si="45"/>
        <v>'Lanç (27)'!$m$5</v>
      </c>
      <c r="BI35" s="256">
        <f t="shared" ca="1" si="46"/>
        <v>0</v>
      </c>
      <c r="BK35" s="219" t="str">
        <f t="shared" si="47"/>
        <v>'Lanç (27)'!$F$55</v>
      </c>
      <c r="BL35" s="2">
        <f t="shared" ca="1" si="21"/>
        <v>0</v>
      </c>
      <c r="BM35" s="2">
        <f t="shared" ca="1" si="22"/>
        <v>0</v>
      </c>
      <c r="BP35" s="2" t="str">
        <f t="shared" si="23"/>
        <v/>
      </c>
      <c r="BQ35" s="219" t="str">
        <f t="shared" si="48"/>
        <v>'Lanç (27)'!$F$55</v>
      </c>
      <c r="BR35" s="219" t="str">
        <f t="shared" si="49"/>
        <v>'Lanç (27)'!$F$54</v>
      </c>
      <c r="BS35" s="219" t="str">
        <f t="shared" si="24"/>
        <v/>
      </c>
      <c r="BT35" s="2">
        <f t="shared" ca="1" si="25"/>
        <v>0</v>
      </c>
      <c r="BU35" s="2">
        <f t="shared" ca="1" si="26"/>
        <v>0</v>
      </c>
      <c r="BV35" s="2">
        <f t="shared" ca="1" si="27"/>
        <v>0</v>
      </c>
      <c r="BW35" s="219" t="str">
        <f t="shared" si="50"/>
        <v>'Lanç (27)'!$H$49</v>
      </c>
    </row>
    <row r="36" spans="1:75" ht="30" customHeight="1" thickTop="1" thickBot="1" x14ac:dyDescent="0.25">
      <c r="C36" s="303" t="s">
        <v>79</v>
      </c>
      <c r="D36" s="303"/>
      <c r="E36" s="303"/>
      <c r="F36" s="181" t="str">
        <f>IF($D$9="","",F20*24*$D$9*(1+'P Gerais'!$C$14))</f>
        <v/>
      </c>
      <c r="G36" s="2">
        <v>21</v>
      </c>
      <c r="H36" s="2"/>
      <c r="I36" s="2"/>
      <c r="J36" s="2"/>
      <c r="K36" s="2"/>
      <c r="R36" s="2" t="str">
        <f>IF(Funcionários!C34=0,"",Funcionários!C34)</f>
        <v/>
      </c>
      <c r="S36" s="219">
        <v>28</v>
      </c>
      <c r="T36" s="219" t="str">
        <f t="shared" si="28"/>
        <v>'Lanç (28)'!$U$8</v>
      </c>
      <c r="U36" s="256">
        <f t="shared" ca="1" si="17"/>
        <v>0</v>
      </c>
      <c r="V36" s="219" t="str">
        <f t="shared" si="18"/>
        <v>'Lanç (28)'!$F$58</v>
      </c>
      <c r="W36" s="256">
        <f t="shared" ca="1" si="17"/>
        <v>0</v>
      </c>
      <c r="X36" s="219" t="str">
        <f t="shared" si="19"/>
        <v>'Lanç (28)'!$U$14</v>
      </c>
      <c r="Y36" s="256">
        <f t="shared" ca="1" si="0"/>
        <v>0</v>
      </c>
      <c r="Z36" s="219" t="str">
        <f t="shared" si="29"/>
        <v>'Lanç (28)'!$K$5</v>
      </c>
      <c r="AA36" s="256">
        <f t="shared" ca="1" si="1"/>
        <v>0</v>
      </c>
      <c r="AC36" s="219" t="str">
        <f t="shared" si="30"/>
        <v>'Lanç (28)'!$F$41</v>
      </c>
      <c r="AD36" s="256">
        <f t="shared" ca="1" si="2"/>
        <v>0</v>
      </c>
      <c r="AE36" s="219" t="str">
        <f t="shared" si="31"/>
        <v>'Lanç (28)'!$F$42</v>
      </c>
      <c r="AF36" s="256">
        <f t="shared" ca="1" si="3"/>
        <v>0</v>
      </c>
      <c r="AG36" s="219" t="str">
        <f t="shared" si="32"/>
        <v>'Lanç (28)'!$F$43</v>
      </c>
      <c r="AH36" s="256">
        <f t="shared" ca="1" si="4"/>
        <v>0</v>
      </c>
      <c r="AI36" s="219" t="str">
        <f t="shared" si="33"/>
        <v>'Lanç (28)'!$F$44</v>
      </c>
      <c r="AJ36" s="256">
        <f t="shared" ca="1" si="20"/>
        <v>0</v>
      </c>
      <c r="AK36" s="219" t="str">
        <f t="shared" si="34"/>
        <v>'Lanç (28)'!$F$45</v>
      </c>
      <c r="AL36" s="256">
        <f t="shared" ca="1" si="5"/>
        <v>0</v>
      </c>
      <c r="AM36" s="219" t="str">
        <f t="shared" si="35"/>
        <v>'Lanç (28)'!$F$46</v>
      </c>
      <c r="AN36" s="256">
        <f t="shared" ca="1" si="6"/>
        <v>0</v>
      </c>
      <c r="AO36" s="219" t="str">
        <f t="shared" si="36"/>
        <v>'Lanç (28)'!$F$47</v>
      </c>
      <c r="AP36" s="256">
        <f t="shared" ca="1" si="7"/>
        <v>0</v>
      </c>
      <c r="AQ36" s="219" t="str">
        <f t="shared" si="37"/>
        <v>'Lanç (28)'!$F$48</v>
      </c>
      <c r="AR36" s="256">
        <f t="shared" ca="1" si="8"/>
        <v>0</v>
      </c>
      <c r="AS36" s="219" t="str">
        <f t="shared" si="38"/>
        <v>'Lanç (28)'!$F$49</v>
      </c>
      <c r="AT36" s="256">
        <f t="shared" ca="1" si="9"/>
        <v>0</v>
      </c>
      <c r="AU36" s="219" t="str">
        <f t="shared" si="39"/>
        <v>'Lanç (28)'!$F$51</v>
      </c>
      <c r="AV36" s="256">
        <f t="shared" ca="1" si="10"/>
        <v>0</v>
      </c>
      <c r="AW36" s="219" t="str">
        <f t="shared" si="40"/>
        <v>'Lanç (28)'!$F$50</v>
      </c>
      <c r="AX36" s="256">
        <f t="shared" ca="1" si="11"/>
        <v>0</v>
      </c>
      <c r="AY36" s="219" t="str">
        <f t="shared" si="41"/>
        <v>'Lanç (28)'!$F$52</v>
      </c>
      <c r="AZ36" s="256">
        <f t="shared" ca="1" si="12"/>
        <v>0</v>
      </c>
      <c r="BA36" s="219" t="str">
        <f t="shared" si="42"/>
        <v>'Lanç (28)'!$F$53</v>
      </c>
      <c r="BB36" s="256">
        <f t="shared" ca="1" si="13"/>
        <v>0</v>
      </c>
      <c r="BC36" s="219" t="str">
        <f t="shared" si="43"/>
        <v>'Lanç (28)'!$F$54</v>
      </c>
      <c r="BD36" s="257">
        <f t="shared" ca="1" si="14"/>
        <v>0</v>
      </c>
      <c r="BE36" s="219" t="str">
        <f t="shared" si="44"/>
        <v>'Lanç (28)'!$F$55</v>
      </c>
      <c r="BF36" s="257">
        <f t="shared" ca="1" si="15"/>
        <v>0</v>
      </c>
      <c r="BH36" s="219" t="str">
        <f t="shared" si="45"/>
        <v>'Lanç (28)'!$m$5</v>
      </c>
      <c r="BI36" s="256">
        <f t="shared" ca="1" si="46"/>
        <v>0</v>
      </c>
      <c r="BK36" s="219" t="str">
        <f t="shared" si="47"/>
        <v>'Lanç (28)'!$F$55</v>
      </c>
      <c r="BL36" s="2">
        <f t="shared" ca="1" si="21"/>
        <v>0</v>
      </c>
      <c r="BM36" s="2">
        <f t="shared" ca="1" si="22"/>
        <v>0</v>
      </c>
      <c r="BP36" s="2" t="str">
        <f t="shared" si="23"/>
        <v/>
      </c>
      <c r="BQ36" s="219" t="str">
        <f t="shared" si="48"/>
        <v>'Lanç (28)'!$F$55</v>
      </c>
      <c r="BR36" s="219" t="str">
        <f t="shared" si="49"/>
        <v>'Lanç (28)'!$F$54</v>
      </c>
      <c r="BS36" s="219" t="str">
        <f t="shared" si="24"/>
        <v/>
      </c>
      <c r="BT36" s="2">
        <f t="shared" ca="1" si="25"/>
        <v>0</v>
      </c>
      <c r="BU36" s="2">
        <f t="shared" ca="1" si="26"/>
        <v>0</v>
      </c>
      <c r="BV36" s="2">
        <f t="shared" ca="1" si="27"/>
        <v>0</v>
      </c>
      <c r="BW36" s="219" t="str">
        <f t="shared" si="50"/>
        <v>'Lanç (28)'!$H$49</v>
      </c>
    </row>
    <row r="37" spans="1:75" ht="5" customHeight="1" thickTop="1" thickBot="1" x14ac:dyDescent="0.25">
      <c r="A37" s="70"/>
      <c r="B37" s="68"/>
      <c r="F37" s="99"/>
      <c r="G37" s="2"/>
      <c r="H37"/>
      <c r="I37"/>
      <c r="J37"/>
      <c r="K37" s="99"/>
      <c r="R37" s="2" t="str">
        <f>IF(Funcionários!C35=0,"",Funcionários!C35)</f>
        <v/>
      </c>
      <c r="S37" s="219">
        <v>29</v>
      </c>
      <c r="T37" s="219" t="str">
        <f t="shared" si="28"/>
        <v>'Lanç (29)'!$U$8</v>
      </c>
      <c r="U37" s="256">
        <f t="shared" ca="1" si="17"/>
        <v>0</v>
      </c>
      <c r="V37" s="219" t="str">
        <f t="shared" si="18"/>
        <v>'Lanç (29)'!$F$58</v>
      </c>
      <c r="W37" s="256">
        <f t="shared" ca="1" si="17"/>
        <v>0</v>
      </c>
      <c r="X37" s="219" t="str">
        <f t="shared" si="19"/>
        <v>'Lanç (29)'!$U$14</v>
      </c>
      <c r="Y37" s="256">
        <f t="shared" ca="1" si="0"/>
        <v>0</v>
      </c>
      <c r="Z37" s="219" t="str">
        <f t="shared" si="29"/>
        <v>'Lanç (29)'!$K$5</v>
      </c>
      <c r="AA37" s="256">
        <f t="shared" ca="1" si="1"/>
        <v>0</v>
      </c>
      <c r="AC37" s="219" t="str">
        <f t="shared" si="30"/>
        <v>'Lanç (29)'!$F$41</v>
      </c>
      <c r="AD37" s="256">
        <f t="shared" ca="1" si="2"/>
        <v>0</v>
      </c>
      <c r="AE37" s="219" t="str">
        <f t="shared" si="31"/>
        <v>'Lanç (29)'!$F$42</v>
      </c>
      <c r="AF37" s="256">
        <f t="shared" ca="1" si="3"/>
        <v>0</v>
      </c>
      <c r="AG37" s="219" t="str">
        <f t="shared" si="32"/>
        <v>'Lanç (29)'!$F$43</v>
      </c>
      <c r="AH37" s="256">
        <f t="shared" ca="1" si="4"/>
        <v>0</v>
      </c>
      <c r="AI37" s="219" t="str">
        <f t="shared" si="33"/>
        <v>'Lanç (29)'!$F$44</v>
      </c>
      <c r="AJ37" s="256">
        <f t="shared" ca="1" si="20"/>
        <v>0</v>
      </c>
      <c r="AK37" s="219" t="str">
        <f t="shared" si="34"/>
        <v>'Lanç (29)'!$F$45</v>
      </c>
      <c r="AL37" s="256">
        <f t="shared" ca="1" si="5"/>
        <v>0</v>
      </c>
      <c r="AM37" s="219" t="str">
        <f t="shared" si="35"/>
        <v>'Lanç (29)'!$F$46</v>
      </c>
      <c r="AN37" s="256">
        <f t="shared" ca="1" si="6"/>
        <v>0</v>
      </c>
      <c r="AO37" s="219" t="str">
        <f t="shared" si="36"/>
        <v>'Lanç (29)'!$F$47</v>
      </c>
      <c r="AP37" s="256">
        <f t="shared" ca="1" si="7"/>
        <v>0</v>
      </c>
      <c r="AQ37" s="219" t="str">
        <f t="shared" si="37"/>
        <v>'Lanç (29)'!$F$48</v>
      </c>
      <c r="AR37" s="256">
        <f t="shared" ca="1" si="8"/>
        <v>0</v>
      </c>
      <c r="AS37" s="219" t="str">
        <f t="shared" si="38"/>
        <v>'Lanç (29)'!$F$49</v>
      </c>
      <c r="AT37" s="256">
        <f t="shared" ca="1" si="9"/>
        <v>0</v>
      </c>
      <c r="AU37" s="219" t="str">
        <f t="shared" si="39"/>
        <v>'Lanç (29)'!$F$51</v>
      </c>
      <c r="AV37" s="256">
        <f t="shared" ca="1" si="10"/>
        <v>0</v>
      </c>
      <c r="AW37" s="219" t="str">
        <f t="shared" si="40"/>
        <v>'Lanç (29)'!$F$50</v>
      </c>
      <c r="AX37" s="256">
        <f t="shared" ca="1" si="11"/>
        <v>0</v>
      </c>
      <c r="AY37" s="219" t="str">
        <f t="shared" si="41"/>
        <v>'Lanç (29)'!$F$52</v>
      </c>
      <c r="AZ37" s="256">
        <f t="shared" ca="1" si="12"/>
        <v>0</v>
      </c>
      <c r="BA37" s="219" t="str">
        <f t="shared" si="42"/>
        <v>'Lanç (29)'!$F$53</v>
      </c>
      <c r="BB37" s="256">
        <f t="shared" ca="1" si="13"/>
        <v>0</v>
      </c>
      <c r="BC37" s="219" t="str">
        <f t="shared" si="43"/>
        <v>'Lanç (29)'!$F$54</v>
      </c>
      <c r="BD37" s="257">
        <f t="shared" ca="1" si="14"/>
        <v>0</v>
      </c>
      <c r="BE37" s="219" t="str">
        <f t="shared" si="44"/>
        <v>'Lanç (29)'!$F$55</v>
      </c>
      <c r="BF37" s="257">
        <f t="shared" ca="1" si="15"/>
        <v>0</v>
      </c>
      <c r="BH37" s="219" t="str">
        <f t="shared" si="45"/>
        <v>'Lanç (29)'!$m$5</v>
      </c>
      <c r="BI37" s="256">
        <f t="shared" ca="1" si="46"/>
        <v>0</v>
      </c>
      <c r="BK37" s="219" t="str">
        <f t="shared" si="47"/>
        <v>'Lanç (29)'!$F$55</v>
      </c>
      <c r="BL37" s="2">
        <f t="shared" ca="1" si="21"/>
        <v>0</v>
      </c>
      <c r="BM37" s="2">
        <f t="shared" ca="1" si="22"/>
        <v>0</v>
      </c>
      <c r="BP37" s="2" t="str">
        <f t="shared" si="23"/>
        <v/>
      </c>
      <c r="BQ37" s="219" t="str">
        <f t="shared" si="48"/>
        <v>'Lanç (29)'!$F$55</v>
      </c>
      <c r="BR37" s="219" t="str">
        <f t="shared" si="49"/>
        <v>'Lanç (29)'!$F$54</v>
      </c>
      <c r="BS37" s="219" t="str">
        <f t="shared" si="24"/>
        <v/>
      </c>
      <c r="BT37" s="2">
        <f t="shared" ca="1" si="25"/>
        <v>0</v>
      </c>
      <c r="BU37" s="2">
        <f t="shared" ca="1" si="26"/>
        <v>0</v>
      </c>
      <c r="BV37" s="2">
        <f t="shared" ca="1" si="27"/>
        <v>0</v>
      </c>
      <c r="BW37" s="219" t="str">
        <f t="shared" si="50"/>
        <v>'Lanç (29)'!$H$49</v>
      </c>
    </row>
    <row r="38" spans="1:75" ht="30" customHeight="1" thickTop="1" thickBot="1" x14ac:dyDescent="0.25">
      <c r="A38" s="70"/>
      <c r="B38" s="68"/>
      <c r="C38" s="303" t="s">
        <v>82</v>
      </c>
      <c r="D38" s="303"/>
      <c r="E38" s="303"/>
      <c r="F38" s="181" t="str">
        <f>IF($D$9="","",F22*24*$D$9*(1+'P Gerais'!$E$14))</f>
        <v/>
      </c>
      <c r="G38" s="2">
        <v>23</v>
      </c>
      <c r="H38"/>
      <c r="I38"/>
      <c r="J38"/>
      <c r="K38"/>
      <c r="R38" s="2" t="str">
        <f>IF(Funcionários!C36=0,"",Funcionários!C36)</f>
        <v/>
      </c>
      <c r="S38" s="219">
        <v>30</v>
      </c>
      <c r="T38" s="219" t="str">
        <f t="shared" si="28"/>
        <v>'Lanç (30)'!$U$8</v>
      </c>
      <c r="U38" s="256">
        <f t="shared" ca="1" si="17"/>
        <v>0</v>
      </c>
      <c r="V38" s="219" t="str">
        <f t="shared" si="18"/>
        <v>'Lanç (30)'!$F$58</v>
      </c>
      <c r="W38" s="256">
        <f t="shared" ca="1" si="17"/>
        <v>0</v>
      </c>
      <c r="X38" s="219" t="str">
        <f t="shared" si="19"/>
        <v>'Lanç (30)'!$U$14</v>
      </c>
      <c r="Y38" s="256">
        <f t="shared" ca="1" si="0"/>
        <v>0</v>
      </c>
      <c r="Z38" s="219" t="str">
        <f t="shared" si="29"/>
        <v>'Lanç (30)'!$K$5</v>
      </c>
      <c r="AA38" s="256">
        <f t="shared" ca="1" si="1"/>
        <v>0</v>
      </c>
      <c r="AC38" s="219" t="str">
        <f t="shared" si="30"/>
        <v>'Lanç (30)'!$F$41</v>
      </c>
      <c r="AD38" s="256">
        <f t="shared" ca="1" si="2"/>
        <v>0</v>
      </c>
      <c r="AE38" s="219" t="str">
        <f t="shared" si="31"/>
        <v>'Lanç (30)'!$F$42</v>
      </c>
      <c r="AF38" s="256">
        <f t="shared" ca="1" si="3"/>
        <v>0</v>
      </c>
      <c r="AG38" s="219" t="str">
        <f t="shared" si="32"/>
        <v>'Lanç (30)'!$F$43</v>
      </c>
      <c r="AH38" s="256">
        <f t="shared" ca="1" si="4"/>
        <v>0</v>
      </c>
      <c r="AI38" s="219" t="str">
        <f t="shared" si="33"/>
        <v>'Lanç (30)'!$F$44</v>
      </c>
      <c r="AJ38" s="256">
        <f t="shared" ca="1" si="20"/>
        <v>0</v>
      </c>
      <c r="AK38" s="219" t="str">
        <f t="shared" si="34"/>
        <v>'Lanç (30)'!$F$45</v>
      </c>
      <c r="AL38" s="256">
        <f t="shared" ca="1" si="5"/>
        <v>0</v>
      </c>
      <c r="AM38" s="219" t="str">
        <f t="shared" si="35"/>
        <v>'Lanç (30)'!$F$46</v>
      </c>
      <c r="AN38" s="256">
        <f t="shared" ca="1" si="6"/>
        <v>0</v>
      </c>
      <c r="AO38" s="219" t="str">
        <f t="shared" si="36"/>
        <v>'Lanç (30)'!$F$47</v>
      </c>
      <c r="AP38" s="256">
        <f t="shared" ca="1" si="7"/>
        <v>0</v>
      </c>
      <c r="AQ38" s="219" t="str">
        <f t="shared" si="37"/>
        <v>'Lanç (30)'!$F$48</v>
      </c>
      <c r="AR38" s="256">
        <f t="shared" ca="1" si="8"/>
        <v>0</v>
      </c>
      <c r="AS38" s="219" t="str">
        <f t="shared" si="38"/>
        <v>'Lanç (30)'!$F$49</v>
      </c>
      <c r="AT38" s="256">
        <f t="shared" ca="1" si="9"/>
        <v>0</v>
      </c>
      <c r="AU38" s="219" t="str">
        <f t="shared" si="39"/>
        <v>'Lanç (30)'!$F$51</v>
      </c>
      <c r="AV38" s="256">
        <f t="shared" ca="1" si="10"/>
        <v>0</v>
      </c>
      <c r="AW38" s="219" t="str">
        <f t="shared" si="40"/>
        <v>'Lanç (30)'!$F$50</v>
      </c>
      <c r="AX38" s="256">
        <f t="shared" ca="1" si="11"/>
        <v>0</v>
      </c>
      <c r="AY38" s="219" t="str">
        <f t="shared" si="41"/>
        <v>'Lanç (30)'!$F$52</v>
      </c>
      <c r="AZ38" s="256">
        <f t="shared" ca="1" si="12"/>
        <v>0</v>
      </c>
      <c r="BA38" s="219" t="str">
        <f t="shared" si="42"/>
        <v>'Lanç (30)'!$F$53</v>
      </c>
      <c r="BB38" s="256">
        <f t="shared" ca="1" si="13"/>
        <v>0</v>
      </c>
      <c r="BC38" s="219" t="str">
        <f t="shared" si="43"/>
        <v>'Lanç (30)'!$F$54</v>
      </c>
      <c r="BD38" s="257">
        <f t="shared" ca="1" si="14"/>
        <v>0</v>
      </c>
      <c r="BE38" s="219" t="str">
        <f t="shared" si="44"/>
        <v>'Lanç (30)'!$F$55</v>
      </c>
      <c r="BF38" s="257">
        <f t="shared" ca="1" si="15"/>
        <v>0</v>
      </c>
      <c r="BH38" s="219" t="str">
        <f t="shared" si="45"/>
        <v>'Lanç (30)'!$m$5</v>
      </c>
      <c r="BI38" s="256">
        <f t="shared" ca="1" si="46"/>
        <v>0</v>
      </c>
      <c r="BK38" s="219" t="str">
        <f t="shared" si="47"/>
        <v>'Lanç (30)'!$F$55</v>
      </c>
      <c r="BL38" s="2">
        <f t="shared" ca="1" si="21"/>
        <v>0</v>
      </c>
      <c r="BM38" s="2">
        <f t="shared" ca="1" si="22"/>
        <v>0</v>
      </c>
      <c r="BP38" s="2" t="str">
        <f t="shared" si="23"/>
        <v/>
      </c>
      <c r="BQ38" s="219" t="str">
        <f t="shared" si="48"/>
        <v>'Lanç (30)'!$F$55</v>
      </c>
      <c r="BR38" s="219" t="str">
        <f t="shared" si="49"/>
        <v>'Lanç (30)'!$F$54</v>
      </c>
      <c r="BS38" s="219" t="str">
        <f t="shared" si="24"/>
        <v/>
      </c>
      <c r="BT38" s="2">
        <f t="shared" ca="1" si="25"/>
        <v>0</v>
      </c>
      <c r="BU38" s="2">
        <f t="shared" ca="1" si="26"/>
        <v>0</v>
      </c>
      <c r="BV38" s="2">
        <f t="shared" ca="1" si="27"/>
        <v>0</v>
      </c>
      <c r="BW38" s="219" t="str">
        <f t="shared" si="50"/>
        <v>'Lanç (30)'!$H$49</v>
      </c>
    </row>
    <row r="39" spans="1:75" ht="5" customHeight="1" thickTop="1" x14ac:dyDescent="0.2">
      <c r="F39" s="99"/>
      <c r="G39" s="2"/>
      <c r="H39" s="68"/>
      <c r="I39" s="68"/>
      <c r="J39" s="68"/>
      <c r="K39" s="68"/>
    </row>
    <row r="40" spans="1:75" ht="30" customHeight="1" x14ac:dyDescent="0.2">
      <c r="C40" s="303" t="s">
        <v>81</v>
      </c>
      <c r="D40" s="303"/>
      <c r="E40" s="303"/>
      <c r="F40" s="181" t="str">
        <f>IF($D$9="","",F24*24*$D$9*(1+'P Gerais'!$F$14))</f>
        <v/>
      </c>
      <c r="G40" s="2">
        <v>25</v>
      </c>
      <c r="H40"/>
      <c r="I40"/>
      <c r="J40"/>
      <c r="K40"/>
    </row>
    <row r="41" spans="1:75" x14ac:dyDescent="0.2"/>
    <row r="42" spans="1:75" x14ac:dyDescent="0.2"/>
    <row r="43" spans="1:75" x14ac:dyDescent="0.2"/>
    <row r="44" spans="1:75" x14ac:dyDescent="0.2"/>
    <row r="45" spans="1:75" x14ac:dyDescent="0.2"/>
    <row r="46" spans="1:75" x14ac:dyDescent="0.2"/>
    <row r="47" spans="1:75" x14ac:dyDescent="0.2"/>
    <row r="48" spans="1:75" x14ac:dyDescent="0.2"/>
    <row r="49" x14ac:dyDescent="0.2"/>
    <row r="50" x14ac:dyDescent="0.2"/>
    <row r="51" x14ac:dyDescent="0.2"/>
    <row r="52" x14ac:dyDescent="0.2"/>
    <row r="53" x14ac:dyDescent="0.2"/>
    <row r="54" x14ac:dyDescent="0.2"/>
    <row r="55" x14ac:dyDescent="0.2"/>
    <row r="56" x14ac:dyDescent="0.2"/>
    <row r="57" x14ac:dyDescent="0.2"/>
    <row r="58" x14ac:dyDescent="0.2"/>
    <row r="59" x14ac:dyDescent="0.2"/>
    <row r="60" x14ac:dyDescent="0.2"/>
    <row r="61" x14ac:dyDescent="0.2"/>
    <row r="62" x14ac:dyDescent="0.2"/>
    <row r="63" x14ac:dyDescent="0.2"/>
    <row r="64" x14ac:dyDescent="0.2"/>
    <row r="65" x14ac:dyDescent="0.2"/>
    <row r="66" x14ac:dyDescent="0.2"/>
    <row r="67" x14ac:dyDescent="0.2"/>
    <row r="68" x14ac:dyDescent="0.2"/>
    <row r="69" x14ac:dyDescent="0.2"/>
    <row r="70" x14ac:dyDescent="0.2"/>
    <row r="71" x14ac:dyDescent="0.2"/>
    <row r="72" x14ac:dyDescent="0.2"/>
    <row r="73" x14ac:dyDescent="0.2"/>
    <row r="74" x14ac:dyDescent="0.2"/>
    <row r="75" x14ac:dyDescent="0.2"/>
    <row r="76" x14ac:dyDescent="0.2"/>
    <row r="77" x14ac:dyDescent="0.2"/>
    <row r="78" x14ac:dyDescent="0.2"/>
    <row r="79" x14ac:dyDescent="0.2"/>
    <row r="80" x14ac:dyDescent="0.2"/>
    <row r="81" x14ac:dyDescent="0.2"/>
    <row r="82" x14ac:dyDescent="0.2"/>
    <row r="83" x14ac:dyDescent="0.2"/>
    <row r="84" x14ac:dyDescent="0.2"/>
    <row r="85" x14ac:dyDescent="0.2"/>
    <row r="86" x14ac:dyDescent="0.2"/>
    <row r="87" x14ac:dyDescent="0.2"/>
    <row r="88" x14ac:dyDescent="0.2"/>
    <row r="89" x14ac:dyDescent="0.2"/>
    <row r="90" x14ac:dyDescent="0.2"/>
    <row r="91" x14ac:dyDescent="0.2"/>
    <row r="92" x14ac:dyDescent="0.2"/>
    <row r="93" x14ac:dyDescent="0.2"/>
    <row r="94" x14ac:dyDescent="0.2"/>
    <row r="95" x14ac:dyDescent="0.2"/>
    <row r="96" x14ac:dyDescent="0.2"/>
    <row r="97" x14ac:dyDescent="0.2"/>
    <row r="98" x14ac:dyDescent="0.2"/>
    <row r="99" x14ac:dyDescent="0.2"/>
    <row r="100" x14ac:dyDescent="0.2"/>
    <row r="101" x14ac:dyDescent="0.2"/>
    <row r="102" x14ac:dyDescent="0.2"/>
    <row r="103" x14ac:dyDescent="0.2"/>
    <row r="104" x14ac:dyDescent="0.2"/>
  </sheetData>
  <sheetProtection sheet="1" objects="1" scenarios="1" selectLockedCells="1"/>
  <mergeCells count="53">
    <mergeCell ref="BG8:BH8"/>
    <mergeCell ref="BI8:BJ8"/>
    <mergeCell ref="BK8:BL8"/>
    <mergeCell ref="CC8:CD8"/>
    <mergeCell ref="BP8:BQ8"/>
    <mergeCell ref="BR8:BT8"/>
    <mergeCell ref="BU8:BV8"/>
    <mergeCell ref="BW8:BX8"/>
    <mergeCell ref="BY8:BZ8"/>
    <mergeCell ref="CA8:CB8"/>
    <mergeCell ref="AW8:AX8"/>
    <mergeCell ref="AY8:AZ8"/>
    <mergeCell ref="BA8:BB8"/>
    <mergeCell ref="BC8:BD8"/>
    <mergeCell ref="BE8:BF8"/>
    <mergeCell ref="AM8:AN8"/>
    <mergeCell ref="AO8:AP8"/>
    <mergeCell ref="AQ8:AR8"/>
    <mergeCell ref="AS8:AT8"/>
    <mergeCell ref="AU8:AV8"/>
    <mergeCell ref="AC8:AD8"/>
    <mergeCell ref="AE8:AF8"/>
    <mergeCell ref="AG8:AH8"/>
    <mergeCell ref="AI8:AJ8"/>
    <mergeCell ref="AK8:AL8"/>
    <mergeCell ref="V8:W8"/>
    <mergeCell ref="X8:Y8"/>
    <mergeCell ref="Z8:AA8"/>
    <mergeCell ref="C6:E6"/>
    <mergeCell ref="F6:H6"/>
    <mergeCell ref="C22:E22"/>
    <mergeCell ref="C24:E24"/>
    <mergeCell ref="H14:J14"/>
    <mergeCell ref="H16:J16"/>
    <mergeCell ref="T8:U8"/>
    <mergeCell ref="C12:E12"/>
    <mergeCell ref="C14:E14"/>
    <mergeCell ref="C16:E16"/>
    <mergeCell ref="C18:E18"/>
    <mergeCell ref="H12:J12"/>
    <mergeCell ref="H18:J18"/>
    <mergeCell ref="C20:E20"/>
    <mergeCell ref="C40:E40"/>
    <mergeCell ref="C28:E28"/>
    <mergeCell ref="H28:J28"/>
    <mergeCell ref="C30:E30"/>
    <mergeCell ref="H30:J30"/>
    <mergeCell ref="C32:E32"/>
    <mergeCell ref="H32:J32"/>
    <mergeCell ref="C34:E34"/>
    <mergeCell ref="H34:J34"/>
    <mergeCell ref="C36:E36"/>
    <mergeCell ref="C38:E38"/>
  </mergeCells>
  <conditionalFormatting sqref="J9">
    <cfRule type="expression" dxfId="24" priority="68">
      <formula>$K$10="Negativo"</formula>
    </cfRule>
  </conditionalFormatting>
  <conditionalFormatting sqref="I9">
    <cfRule type="expression" dxfId="23" priority="2">
      <formula>$J$10="Horas devidas"</formula>
    </cfRule>
  </conditionalFormatting>
  <dataValidations count="1">
    <dataValidation type="list" allowBlank="1" showInputMessage="1" showErrorMessage="1" sqref="F6:H6">
      <formula1>OFFSET($R$8,,,31-COUNTBLANK($R$8:$R$38))</formula1>
    </dataValidation>
  </dataValidations>
  <printOptions verticalCentered="1"/>
  <pageMargins left="0.25" right="0.25" top="0.984251969" bottom="0.984251969" header="0.3" footer="0.3"/>
  <pageSetup paperSize="9" scale="73" orientation="landscape"/>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1" id="{1184DBF8-957B-0C42-8CB7-2DAD7AF30EC0}">
            <xm:f>'P Gerais'!$I$10:$M$10="Sistema de banco de horas"</xm:f>
            <x14:dxf>
              <font>
                <color theme="0"/>
              </font>
              <fill>
                <patternFill patternType="solid">
                  <bgColor theme="0"/>
                </patternFill>
              </fill>
              <border>
                <left/>
                <right/>
                <top/>
                <bottom/>
              </border>
            </x14:dxf>
          </x14:cfRule>
          <xm:sqref>L8:N9</xm:sqref>
        </x14:conditionalFormatting>
      </x14:conditionalFormatting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35" enableFormatConditionsCalculation="0"/>
  <dimension ref="A1:CB104"/>
  <sheetViews>
    <sheetView showGridLines="0" zoomScale="90" zoomScaleNormal="90" zoomScalePageLayoutView="90" workbookViewId="0"/>
  </sheetViews>
  <sheetFormatPr baseColWidth="10" defaultColWidth="8.83203125" defaultRowHeight="0" customHeight="1" zeroHeight="1" x14ac:dyDescent="0.2"/>
  <cols>
    <col min="1" max="1" width="27.83203125" style="1" customWidth="1"/>
    <col min="2" max="2" width="3.83203125" customWidth="1"/>
    <col min="3" max="3" width="50.83203125" customWidth="1"/>
    <col min="4" max="4" width="14.1640625" customWidth="1"/>
    <col min="5" max="5" width="17.1640625" customWidth="1"/>
    <col min="6" max="6" width="14.1640625" customWidth="1"/>
    <col min="7" max="8" width="14.1640625" style="14" customWidth="1"/>
    <col min="9" max="12" width="16.83203125" style="14" customWidth="1"/>
    <col min="13" max="13" width="16.1640625" style="14" customWidth="1"/>
    <col min="14" max="14" width="16.1640625" style="68" customWidth="1"/>
    <col min="15" max="15" width="18.33203125" style="68" customWidth="1"/>
    <col min="16" max="16" width="18" style="68" customWidth="1"/>
    <col min="17" max="17" width="12.83203125" style="14" bestFit="1" customWidth="1"/>
    <col min="18" max="18" width="12.83203125" style="14" customWidth="1"/>
    <col min="19" max="19" width="12.83203125" style="14" bestFit="1" customWidth="1"/>
    <col min="20" max="20" width="12.83203125" style="2" customWidth="1"/>
    <col min="21" max="21" width="12.83203125" style="2" bestFit="1" customWidth="1"/>
    <col min="22" max="22" width="14.1640625" style="2" bestFit="1" customWidth="1"/>
    <col min="23" max="23" width="12.83203125" style="155" bestFit="1" customWidth="1"/>
    <col min="24" max="24" width="12.83203125" style="2" bestFit="1" customWidth="1"/>
    <col min="25" max="25" width="12.83203125" style="155" bestFit="1" customWidth="1"/>
    <col min="26" max="26" width="8.83203125" style="14"/>
    <col min="27" max="27" width="8.83203125" style="183"/>
    <col min="28" max="28" width="8.83203125" style="14"/>
    <col min="29" max="29" width="8.83203125" style="183"/>
    <col min="30" max="30" width="8.83203125" style="14"/>
    <col min="31" max="31" width="16.1640625" style="14" bestFit="1" customWidth="1"/>
    <col min="32" max="32" width="7.33203125" style="183" bestFit="1" customWidth="1"/>
    <col min="33" max="33" width="16.1640625" style="14" bestFit="1" customWidth="1"/>
    <col min="34" max="34" width="7.33203125" style="183" bestFit="1" customWidth="1"/>
    <col min="35" max="35" width="16.1640625" style="14" bestFit="1" customWidth="1"/>
    <col min="36" max="36" width="7.33203125" style="183" bestFit="1" customWidth="1"/>
    <col min="37" max="37" width="16.1640625" style="14" bestFit="1" customWidth="1"/>
    <col min="38" max="38" width="7.33203125" style="183" bestFit="1" customWidth="1"/>
    <col min="39" max="39" width="16.1640625" style="14" bestFit="1" customWidth="1"/>
    <col min="40" max="40" width="7.33203125" style="183" bestFit="1" customWidth="1"/>
    <col min="41" max="41" width="16.1640625" style="14" bestFit="1" customWidth="1"/>
    <col min="42" max="42" width="7.33203125" style="183" bestFit="1" customWidth="1"/>
    <col min="43" max="43" width="16.1640625" style="14" bestFit="1" customWidth="1"/>
    <col min="44" max="44" width="8.83203125" style="183" bestFit="1" customWidth="1"/>
    <col min="45" max="45" width="16.1640625" style="14" bestFit="1" customWidth="1"/>
    <col min="46" max="46" width="7.33203125" style="183" bestFit="1" customWidth="1"/>
    <col min="47" max="47" width="16.1640625" style="14" bestFit="1" customWidth="1"/>
    <col min="48" max="48" width="7.33203125" style="183" bestFit="1" customWidth="1"/>
    <col min="49" max="49" width="16.1640625" style="14" bestFit="1" customWidth="1"/>
    <col min="50" max="50" width="7.33203125" style="183" bestFit="1" customWidth="1"/>
    <col min="51" max="51" width="16.1640625" style="14" bestFit="1" customWidth="1"/>
    <col min="52" max="52" width="7.33203125" style="183" bestFit="1" customWidth="1"/>
    <col min="53" max="53" width="16.1640625" style="14" bestFit="1" customWidth="1"/>
    <col min="54" max="54" width="8.83203125" style="183" bestFit="1" customWidth="1"/>
    <col min="55" max="55" width="16.1640625" style="68" bestFit="1" customWidth="1"/>
    <col min="56" max="56" width="7.33203125" style="92" bestFit="1" customWidth="1"/>
    <col min="57" max="57" width="16.1640625" style="68" bestFit="1" customWidth="1"/>
    <col min="58" max="58" width="12" style="68" bestFit="1" customWidth="1"/>
    <col min="59" max="59" width="16.1640625" style="68" bestFit="1" customWidth="1"/>
    <col min="60" max="60" width="12.33203125" style="68" bestFit="1" customWidth="1"/>
    <col min="61" max="16384" width="8.83203125" style="68"/>
  </cols>
  <sheetData>
    <row r="1" spans="1:80" s="67" customFormat="1" ht="33.75" customHeight="1" x14ac:dyDescent="0.3">
      <c r="A1" s="56"/>
      <c r="B1" s="3"/>
      <c r="C1" s="4" t="s">
        <v>70</v>
      </c>
      <c r="D1" s="3"/>
      <c r="E1" s="3"/>
      <c r="F1" s="3"/>
      <c r="G1" s="50"/>
      <c r="H1" s="50"/>
      <c r="I1" s="50"/>
      <c r="J1" s="50"/>
      <c r="K1" s="50"/>
      <c r="L1" s="50"/>
      <c r="M1" s="50"/>
      <c r="Q1" s="50"/>
      <c r="R1" s="50"/>
      <c r="S1" s="50"/>
      <c r="T1" s="15"/>
      <c r="U1" s="15"/>
      <c r="V1" s="15"/>
      <c r="W1" s="162"/>
      <c r="X1" s="15"/>
      <c r="Y1" s="162"/>
      <c r="Z1" s="50"/>
      <c r="AA1" s="184"/>
      <c r="AB1" s="50"/>
      <c r="AC1" s="184"/>
      <c r="AD1" s="50"/>
      <c r="AE1" s="50"/>
      <c r="AF1" s="184"/>
      <c r="AG1" s="50"/>
      <c r="AH1" s="184"/>
      <c r="AI1" s="50"/>
      <c r="AJ1" s="184"/>
      <c r="AK1" s="50"/>
      <c r="AL1" s="184"/>
      <c r="AM1" s="50"/>
      <c r="AN1" s="184"/>
      <c r="AO1" s="50"/>
      <c r="AP1" s="184"/>
      <c r="AQ1" s="50"/>
      <c r="AR1" s="184"/>
      <c r="AS1" s="50"/>
      <c r="AT1" s="184"/>
      <c r="AU1" s="50"/>
      <c r="AV1" s="184"/>
      <c r="AW1" s="50"/>
      <c r="AX1" s="184"/>
      <c r="AY1" s="50"/>
      <c r="AZ1" s="184"/>
      <c r="BA1" s="50"/>
      <c r="BB1" s="184"/>
      <c r="BD1" s="100"/>
    </row>
    <row r="2" spans="1:80" s="67" customFormat="1" ht="21.5" customHeight="1" x14ac:dyDescent="0.2">
      <c r="A2" s="1"/>
      <c r="B2" s="3"/>
      <c r="C2" s="3"/>
      <c r="D2" s="3"/>
      <c r="E2" s="3"/>
      <c r="F2" s="3"/>
      <c r="G2" s="50"/>
      <c r="H2" s="50"/>
      <c r="I2" s="50"/>
      <c r="J2" s="50"/>
      <c r="K2" s="50"/>
      <c r="L2" s="50"/>
      <c r="M2" s="50"/>
      <c r="Q2" s="50"/>
      <c r="R2" s="50"/>
      <c r="S2" s="50"/>
      <c r="T2" s="15"/>
      <c r="U2" s="15"/>
      <c r="V2" s="15"/>
      <c r="W2" s="162"/>
      <c r="X2" s="15"/>
      <c r="Y2" s="162"/>
      <c r="Z2" s="50"/>
      <c r="AA2" s="184"/>
      <c r="AB2" s="50"/>
      <c r="AC2" s="184"/>
      <c r="AD2" s="50"/>
      <c r="AE2" s="50"/>
      <c r="AF2" s="184"/>
      <c r="AG2" s="50"/>
      <c r="AH2" s="184"/>
      <c r="AI2" s="50"/>
      <c r="AJ2" s="184"/>
      <c r="AK2" s="50"/>
      <c r="AL2" s="184"/>
      <c r="AM2" s="50"/>
      <c r="AN2" s="184"/>
      <c r="AO2" s="50"/>
      <c r="AP2" s="184"/>
      <c r="AQ2" s="50"/>
      <c r="AR2" s="184"/>
      <c r="AS2" s="50"/>
      <c r="AT2" s="184"/>
      <c r="AU2" s="50"/>
      <c r="AV2" s="184"/>
      <c r="AW2" s="50"/>
      <c r="AX2" s="184"/>
      <c r="AY2" s="50"/>
      <c r="AZ2" s="184"/>
      <c r="BA2" s="50"/>
      <c r="BB2" s="184"/>
      <c r="BD2" s="100"/>
    </row>
    <row r="3" spans="1:80" s="67" customFormat="1" ht="21.5" customHeight="1" x14ac:dyDescent="0.2">
      <c r="A3" s="1"/>
      <c r="B3" s="3"/>
      <c r="C3" s="3"/>
      <c r="D3" s="3"/>
      <c r="E3" s="3"/>
      <c r="F3" s="3"/>
      <c r="G3" s="50"/>
      <c r="H3" s="50"/>
      <c r="I3" s="50"/>
      <c r="J3" s="50"/>
      <c r="K3" s="50"/>
      <c r="L3" s="50"/>
      <c r="M3" s="50"/>
      <c r="Q3" s="50"/>
      <c r="R3" s="50"/>
      <c r="S3" s="50"/>
      <c r="T3" s="15"/>
      <c r="U3" s="15"/>
      <c r="V3" s="15"/>
      <c r="W3" s="162"/>
      <c r="X3" s="15"/>
      <c r="Y3" s="162"/>
      <c r="Z3" s="50"/>
      <c r="AA3" s="184"/>
      <c r="AB3" s="50"/>
      <c r="AC3" s="184"/>
      <c r="AD3" s="50"/>
      <c r="AE3" s="50"/>
      <c r="AF3" s="184"/>
      <c r="AG3" s="50"/>
      <c r="AH3" s="184"/>
      <c r="AI3" s="50"/>
      <c r="AJ3" s="184"/>
      <c r="AK3" s="50"/>
      <c r="AL3" s="184"/>
      <c r="AM3" s="50"/>
      <c r="AN3" s="184"/>
      <c r="AO3" s="50"/>
      <c r="AP3" s="184"/>
      <c r="AQ3" s="50"/>
      <c r="AR3" s="184"/>
      <c r="AS3" s="50"/>
      <c r="AT3" s="184"/>
      <c r="AU3" s="50"/>
      <c r="AV3" s="184"/>
      <c r="AW3" s="50"/>
      <c r="AX3" s="184"/>
      <c r="AY3" s="50"/>
      <c r="AZ3" s="184"/>
      <c r="BA3" s="50"/>
      <c r="BB3" s="184"/>
      <c r="BD3" s="100"/>
    </row>
    <row r="4" spans="1:80" s="147" customFormat="1" ht="9.75" customHeight="1" x14ac:dyDescent="0.2">
      <c r="A4" s="1"/>
      <c r="B4"/>
      <c r="C4" s="13"/>
      <c r="D4"/>
      <c r="E4"/>
      <c r="F4"/>
      <c r="G4" s="14"/>
      <c r="H4" s="14"/>
      <c r="I4" s="14"/>
      <c r="J4" s="14"/>
      <c r="K4" s="14"/>
      <c r="L4" s="14"/>
      <c r="M4" s="14"/>
      <c r="N4" s="68"/>
      <c r="O4" s="68"/>
      <c r="P4" s="68"/>
      <c r="Q4" s="14"/>
      <c r="R4" s="14"/>
      <c r="S4" s="14"/>
      <c r="T4" s="2"/>
      <c r="U4" s="2"/>
      <c r="V4" s="2"/>
      <c r="W4" s="155"/>
      <c r="X4" s="2"/>
      <c r="Y4" s="155"/>
      <c r="Z4" s="14"/>
      <c r="AA4" s="183"/>
      <c r="AB4" s="14"/>
      <c r="AC4" s="183"/>
      <c r="AD4" s="14"/>
      <c r="AE4" s="14"/>
      <c r="AF4" s="183"/>
      <c r="AG4" s="14"/>
      <c r="AH4" s="183"/>
      <c r="AI4" s="14"/>
      <c r="AJ4" s="183"/>
      <c r="AK4" s="14"/>
      <c r="AL4" s="183"/>
      <c r="AM4" s="14"/>
      <c r="AN4" s="183"/>
      <c r="AO4" s="14"/>
      <c r="AP4" s="183"/>
      <c r="AQ4" s="14"/>
      <c r="AR4" s="183"/>
      <c r="AS4" s="14"/>
      <c r="AT4" s="183"/>
      <c r="AU4" s="14"/>
      <c r="AV4" s="183"/>
      <c r="AW4" s="14"/>
      <c r="AX4" s="183"/>
      <c r="AY4" s="14"/>
      <c r="AZ4" s="183"/>
      <c r="BA4" s="14"/>
      <c r="BB4" s="183"/>
      <c r="BC4" s="68"/>
      <c r="BD4" s="92"/>
      <c r="BE4" s="68"/>
      <c r="BF4" s="68"/>
      <c r="BG4" s="68"/>
      <c r="BH4" s="68"/>
      <c r="BI4" s="68"/>
      <c r="BJ4" s="68"/>
      <c r="BK4" s="68"/>
      <c r="BL4" s="68"/>
      <c r="BM4" s="68"/>
      <c r="BN4" s="68"/>
      <c r="BO4" s="68"/>
      <c r="BP4" s="68"/>
      <c r="BQ4" s="68"/>
      <c r="BR4" s="68"/>
      <c r="BS4" s="68"/>
      <c r="BT4" s="68"/>
      <c r="BU4" s="68"/>
      <c r="BV4" s="68"/>
      <c r="BW4" s="68"/>
      <c r="BX4" s="68"/>
      <c r="BY4" s="68"/>
      <c r="BZ4" s="68"/>
      <c r="CA4" s="68"/>
      <c r="CB4" s="68"/>
    </row>
    <row r="5" spans="1:80" s="147" customFormat="1" ht="9.75" customHeight="1" thickBot="1" x14ac:dyDescent="0.25">
      <c r="A5" s="1"/>
      <c r="B5"/>
      <c r="C5"/>
      <c r="D5"/>
      <c r="E5"/>
      <c r="F5" s="2">
        <v>4</v>
      </c>
      <c r="G5" s="2">
        <v>6</v>
      </c>
      <c r="H5" s="2">
        <v>8</v>
      </c>
      <c r="I5" s="2">
        <v>10</v>
      </c>
      <c r="J5" s="2"/>
      <c r="K5" s="14"/>
      <c r="L5" s="14"/>
      <c r="M5" s="14"/>
      <c r="N5" s="68"/>
      <c r="O5" s="68"/>
      <c r="P5" s="68"/>
      <c r="Q5" s="14"/>
      <c r="R5" s="14"/>
      <c r="S5" s="14"/>
      <c r="T5" s="2"/>
      <c r="U5" s="2"/>
      <c r="V5" s="2"/>
      <c r="W5" s="155"/>
      <c r="X5" s="2"/>
      <c r="Y5" s="155"/>
      <c r="Z5" s="14"/>
      <c r="AA5" s="183"/>
      <c r="AB5" s="14"/>
      <c r="AC5" s="183"/>
      <c r="AD5" s="14"/>
      <c r="AE5" s="14"/>
      <c r="AF5" s="183"/>
      <c r="AG5" s="14"/>
      <c r="AH5" s="183"/>
      <c r="AI5" s="14"/>
      <c r="AJ5" s="183"/>
      <c r="AK5" s="14"/>
      <c r="AL5" s="183"/>
      <c r="AM5" s="14"/>
      <c r="AN5" s="183"/>
      <c r="AO5" s="14"/>
      <c r="AP5" s="183"/>
      <c r="AQ5" s="14"/>
      <c r="AR5" s="183"/>
      <c r="AS5" s="14"/>
      <c r="AT5" s="183"/>
      <c r="AU5" s="14"/>
      <c r="AV5" s="183"/>
      <c r="AW5" s="14"/>
      <c r="AX5" s="183"/>
      <c r="AY5" s="14"/>
      <c r="AZ5" s="183"/>
      <c r="BA5" s="14"/>
      <c r="BB5" s="183"/>
      <c r="BC5" s="68"/>
      <c r="BD5" s="92"/>
      <c r="BE5" s="68"/>
      <c r="BF5" s="68"/>
      <c r="BG5" s="68"/>
      <c r="BH5" s="68"/>
      <c r="BI5" s="68"/>
      <c r="BJ5" s="68"/>
      <c r="BK5" s="68"/>
      <c r="BL5" s="68"/>
      <c r="BM5" s="68"/>
      <c r="BN5" s="68"/>
      <c r="BO5" s="68"/>
      <c r="BP5" s="68"/>
      <c r="BQ5" s="68"/>
      <c r="BR5" s="68"/>
      <c r="BS5" s="68"/>
      <c r="BT5" s="68"/>
      <c r="BU5" s="68"/>
      <c r="BV5" s="68"/>
      <c r="BW5" s="68"/>
      <c r="BX5" s="68"/>
      <c r="BY5" s="68"/>
      <c r="BZ5" s="68"/>
      <c r="CA5" s="68"/>
      <c r="CB5" s="68"/>
    </row>
    <row r="6" spans="1:80" s="147" customFormat="1" ht="30" customHeight="1" thickTop="1" thickBot="1" x14ac:dyDescent="0.25">
      <c r="A6" s="1"/>
      <c r="B6"/>
      <c r="C6" s="57" t="s">
        <v>159</v>
      </c>
      <c r="D6" s="121" t="s">
        <v>149</v>
      </c>
      <c r="E6" s="121" t="s">
        <v>150</v>
      </c>
      <c r="F6" s="121" t="s">
        <v>151</v>
      </c>
      <c r="G6" s="121" t="s">
        <v>63</v>
      </c>
      <c r="H6" s="121" t="s">
        <v>62</v>
      </c>
      <c r="I6" s="121" t="s">
        <v>74</v>
      </c>
      <c r="J6" s="121" t="s">
        <v>286</v>
      </c>
      <c r="K6" s="121" t="s">
        <v>73</v>
      </c>
      <c r="L6" s="121" t="s">
        <v>287</v>
      </c>
      <c r="M6" s="121" t="s">
        <v>72</v>
      </c>
      <c r="N6" s="139" t="s">
        <v>152</v>
      </c>
      <c r="O6" s="139" t="s">
        <v>153</v>
      </c>
      <c r="P6" s="139" t="s">
        <v>154</v>
      </c>
      <c r="Q6" s="14"/>
      <c r="R6" s="14"/>
      <c r="S6" s="185"/>
      <c r="T6" s="2" t="s">
        <v>183</v>
      </c>
      <c r="U6" s="2"/>
      <c r="V6" s="305"/>
      <c r="W6" s="306"/>
      <c r="X6" s="305"/>
      <c r="Y6" s="306"/>
      <c r="Z6" s="314"/>
      <c r="AA6" s="315"/>
      <c r="AB6" s="314"/>
      <c r="AC6" s="315"/>
      <c r="AD6" s="182"/>
      <c r="AE6" s="314"/>
      <c r="AF6" s="315"/>
      <c r="AG6" s="314"/>
      <c r="AH6" s="315"/>
      <c r="AI6" s="314"/>
      <c r="AJ6" s="315"/>
      <c r="AK6" s="314"/>
      <c r="AL6" s="315"/>
      <c r="AM6" s="314"/>
      <c r="AN6" s="315"/>
      <c r="AO6" s="314"/>
      <c r="AP6" s="315"/>
      <c r="AQ6" s="314"/>
      <c r="AR6" s="315"/>
      <c r="AS6" s="314"/>
      <c r="AT6" s="315"/>
      <c r="AU6" s="314"/>
      <c r="AV6" s="315"/>
      <c r="AW6" s="314"/>
      <c r="AX6" s="315"/>
      <c r="AY6" s="314"/>
      <c r="AZ6" s="315"/>
      <c r="BA6" s="314"/>
      <c r="BB6" s="315"/>
      <c r="BC6" s="313"/>
      <c r="BD6" s="316"/>
      <c r="BE6" s="313"/>
      <c r="BF6" s="313"/>
      <c r="BG6" s="313"/>
      <c r="BH6" s="313"/>
      <c r="BI6" s="313"/>
      <c r="BJ6" s="313"/>
      <c r="BK6" s="313"/>
      <c r="BL6" s="313"/>
      <c r="BM6" s="313"/>
      <c r="BN6" s="313"/>
      <c r="BO6" s="313"/>
      <c r="BP6" s="313"/>
      <c r="BQ6" s="313"/>
      <c r="BR6" s="313"/>
      <c r="BS6" s="313"/>
      <c r="BT6" s="313"/>
      <c r="BU6" s="313"/>
      <c r="BV6" s="313"/>
      <c r="BW6" s="313"/>
      <c r="BX6" s="313"/>
      <c r="BY6" s="313"/>
      <c r="BZ6" s="313"/>
      <c r="CA6" s="313"/>
      <c r="CB6" s="313"/>
    </row>
    <row r="7" spans="1:80" s="147" customFormat="1" ht="30" customHeight="1" thickTop="1" thickBot="1" x14ac:dyDescent="0.25">
      <c r="A7" s="1"/>
      <c r="B7"/>
      <c r="C7" s="140" t="str">
        <f>T7</f>
        <v/>
      </c>
      <c r="D7" s="141" t="str">
        <f t="shared" ref="D7" si="0">IF(E7=0,"",M7/E7)</f>
        <v/>
      </c>
      <c r="E7" s="142">
        <f>VLOOKUP($C7,Jornada!$C$8:$AF$37,30,0)</f>
        <v>0</v>
      </c>
      <c r="F7" s="143">
        <f ca="1">VLOOKUP($C7,Resul!$R$9:$AA$38,F$5,0)</f>
        <v>0</v>
      </c>
      <c r="G7" s="143">
        <f ca="1">VLOOKUP($C7,Resul!$R$9:$AA$38,G$5,0)</f>
        <v>0</v>
      </c>
      <c r="H7" s="143">
        <f ca="1">VLOOKUP($C7,Resul!$R$9:$AA$38,H$5,0)</f>
        <v>0</v>
      </c>
      <c r="I7" s="143">
        <f ca="1">VLOOKUP($C7,Resul!$R$9:$AA$38,I$5,0)</f>
        <v>0</v>
      </c>
      <c r="J7" s="143">
        <f ca="1">W7</f>
        <v>0</v>
      </c>
      <c r="K7" s="144">
        <f ca="1">IF(W7="Horas devidas",ABS(I7+H7-G7),IF(X7="Negativo",ABS(G7-H7+I7),G7-H7+I7))</f>
        <v>0</v>
      </c>
      <c r="L7" s="144" t="str">
        <f>IF(T7="","",IF(X7=0,"Horas extras","Horas devidas"))</f>
        <v/>
      </c>
      <c r="M7" s="145" t="e">
        <f>VLOOKUP($C7,Funcionários!$C$7:$I$36,7,0)</f>
        <v>#N/A</v>
      </c>
      <c r="N7" s="146">
        <f ca="1">VLOOKUP($C7,Resul!$R$9:$BF$38,39,0)</f>
        <v>0</v>
      </c>
      <c r="O7" s="146" t="e">
        <f ca="1">(H7*24)*D7</f>
        <v>#VALUE!</v>
      </c>
      <c r="P7" s="146" t="e">
        <f ca="1">M7+N7-O7</f>
        <v>#N/A</v>
      </c>
      <c r="Q7" s="14"/>
      <c r="R7" s="14"/>
      <c r="S7" s="14"/>
      <c r="T7" s="2" t="str">
        <f>IF(Funcionários!C7=0,"",Funcionários!C7)</f>
        <v/>
      </c>
      <c r="U7" s="2"/>
      <c r="V7" s="2"/>
      <c r="W7" s="2">
        <f ca="1">VLOOKUP($C7,Resul!$R$9:$BI$38,44,0)</f>
        <v>0</v>
      </c>
      <c r="X7" s="2">
        <f ca="1">IF(AND(I7&gt;Y7,J7="Horas devidas"),"Negativo",IF(AND(Y7&gt;I7,H7&gt;G7),"Negativo",0))</f>
        <v>0</v>
      </c>
      <c r="Y7" s="163">
        <f ca="1">IF(H7&gt;=G7,(H7)-G7,(G7-H7))</f>
        <v>0</v>
      </c>
      <c r="Z7" s="14"/>
      <c r="AA7" s="186"/>
      <c r="AB7" s="14"/>
      <c r="AC7" s="186"/>
      <c r="AD7" s="14"/>
      <c r="AE7" s="14"/>
      <c r="AF7" s="186"/>
      <c r="AG7" s="14"/>
      <c r="AH7" s="186"/>
      <c r="AI7" s="14"/>
      <c r="AJ7" s="186"/>
      <c r="AK7" s="14"/>
      <c r="AL7" s="186"/>
      <c r="AM7" s="14"/>
      <c r="AN7" s="186"/>
      <c r="AO7" s="14"/>
      <c r="AP7" s="186"/>
      <c r="AQ7" s="14"/>
      <c r="AR7" s="186"/>
      <c r="AS7" s="14"/>
      <c r="AT7" s="186"/>
      <c r="AU7" s="14"/>
      <c r="AV7" s="186"/>
      <c r="AW7" s="14"/>
      <c r="AX7" s="186"/>
      <c r="AY7" s="14"/>
      <c r="AZ7" s="186"/>
      <c r="BA7" s="14"/>
      <c r="BB7" s="186"/>
      <c r="BC7" s="68"/>
      <c r="BD7" s="101"/>
      <c r="BE7" s="68"/>
      <c r="BF7" s="86"/>
      <c r="BG7" s="68"/>
      <c r="BH7" s="86"/>
      <c r="BI7" s="68"/>
      <c r="BJ7" s="68"/>
      <c r="BK7" s="68"/>
      <c r="BL7" s="68"/>
      <c r="BM7" s="68"/>
      <c r="BN7" s="68"/>
      <c r="BO7" s="68"/>
      <c r="BP7" s="68"/>
      <c r="BQ7" s="68"/>
      <c r="BR7" s="68"/>
      <c r="BS7" s="68"/>
      <c r="BT7" s="68"/>
      <c r="BU7" s="68"/>
      <c r="BV7" s="68"/>
      <c r="BW7" s="68"/>
      <c r="BX7" s="68"/>
      <c r="BY7" s="68"/>
      <c r="BZ7" s="68"/>
      <c r="CA7" s="68"/>
      <c r="CB7" s="68"/>
    </row>
    <row r="8" spans="1:80" s="147" customFormat="1" ht="30" customHeight="1" thickTop="1" thickBot="1" x14ac:dyDescent="0.25">
      <c r="A8" s="1"/>
      <c r="B8"/>
      <c r="C8" s="140" t="str">
        <f t="shared" ref="C8:C36" si="1">T8</f>
        <v/>
      </c>
      <c r="D8" s="141" t="str">
        <f t="shared" ref="D8:D36" si="2">IF(E8=0,"",M8/E8)</f>
        <v/>
      </c>
      <c r="E8" s="142">
        <f>VLOOKUP($C8,Jornada!$C$8:$AF$37,30,0)</f>
        <v>0</v>
      </c>
      <c r="F8" s="143">
        <f ca="1">VLOOKUP($C8,Resul!$R$9:$AA$38,F$5,0)</f>
        <v>0</v>
      </c>
      <c r="G8" s="143">
        <f ca="1">VLOOKUP($C8,Resul!$R$9:$AA$38,G$5,0)</f>
        <v>0</v>
      </c>
      <c r="H8" s="143">
        <f ca="1">VLOOKUP($C8,Resul!$R$9:$AA$38,H$5,0)</f>
        <v>0</v>
      </c>
      <c r="I8" s="143">
        <f ca="1">VLOOKUP($C8,Resul!$R$9:$AA$38,I$5,0)</f>
        <v>0</v>
      </c>
      <c r="J8" s="143">
        <f t="shared" ref="J8:J16" ca="1" si="3">W8</f>
        <v>0</v>
      </c>
      <c r="K8" s="144">
        <f t="shared" ref="K8:K16" ca="1" si="4">IF(W8="Horas devidas",ABS(I8+H8-G8),IF(X8="Negativo",ABS(G8-H8+I8),G8-H8+I8))</f>
        <v>0</v>
      </c>
      <c r="L8" s="144" t="str">
        <f t="shared" ref="L8:L16" si="5">IF(T8="","",IF(X8=0,"Horas extras","Horas devidas"))</f>
        <v/>
      </c>
      <c r="M8" s="145" t="e">
        <f>VLOOKUP($C8,Funcionários!$C$7:$I$36,7,0)</f>
        <v>#N/A</v>
      </c>
      <c r="N8" s="146">
        <f ca="1">VLOOKUP($C8,Resul!$R$9:$BF$38,39,0)</f>
        <v>0</v>
      </c>
      <c r="O8" s="146" t="e">
        <f t="shared" ref="O8:O36" ca="1" si="6">(H8*24)*D8</f>
        <v>#VALUE!</v>
      </c>
      <c r="P8" s="146" t="e">
        <f t="shared" ref="P8:P36" ca="1" si="7">M8+N8-O8</f>
        <v>#N/A</v>
      </c>
      <c r="Q8" s="14"/>
      <c r="R8" s="14"/>
      <c r="S8" s="14"/>
      <c r="T8" s="2" t="str">
        <f>IF(Funcionários!C8=0,"",Funcionários!C8)</f>
        <v/>
      </c>
      <c r="U8" s="2"/>
      <c r="V8" s="2"/>
      <c r="W8" s="2">
        <f ca="1">VLOOKUP($C8,Resul!$R$9:$BI$38,44,0)</f>
        <v>0</v>
      </c>
      <c r="X8" s="2">
        <f t="shared" ref="X8:X36" ca="1" si="8">IF(AND(I8&gt;Y8,J8="Horas devidas"),"Negativo",IF(AND(Y8&gt;I8,H8&gt;G8),"Negativo",0))</f>
        <v>0</v>
      </c>
      <c r="Y8" s="163">
        <f t="shared" ref="Y8:Y35" ca="1" si="9">IF(H8&gt;=G8,(H8)-G8,(G8-H8))</f>
        <v>0</v>
      </c>
      <c r="Z8" s="14"/>
      <c r="AA8" s="186"/>
      <c r="AB8" s="14"/>
      <c r="AC8" s="186"/>
      <c r="AD8" s="14"/>
      <c r="AE8" s="14"/>
      <c r="AF8" s="186"/>
      <c r="AG8" s="14"/>
      <c r="AH8" s="186"/>
      <c r="AI8" s="14"/>
      <c r="AJ8" s="186"/>
      <c r="AK8" s="14"/>
      <c r="AL8" s="186"/>
      <c r="AM8" s="14"/>
      <c r="AN8" s="186"/>
      <c r="AO8" s="14"/>
      <c r="AP8" s="186"/>
      <c r="AQ8" s="14"/>
      <c r="AR8" s="186"/>
      <c r="AS8" s="14"/>
      <c r="AT8" s="186"/>
      <c r="AU8" s="14"/>
      <c r="AV8" s="186"/>
      <c r="AW8" s="14"/>
      <c r="AX8" s="186"/>
      <c r="AY8" s="14"/>
      <c r="AZ8" s="186"/>
      <c r="BA8" s="14"/>
      <c r="BB8" s="186"/>
      <c r="BC8" s="68"/>
      <c r="BD8" s="101"/>
      <c r="BE8" s="68"/>
      <c r="BF8" s="86"/>
      <c r="BG8" s="68"/>
      <c r="BH8" s="86"/>
      <c r="BI8" s="68"/>
      <c r="BJ8" s="68"/>
      <c r="BK8" s="68"/>
      <c r="BL8" s="68"/>
      <c r="BM8" s="68"/>
      <c r="BN8" s="68"/>
      <c r="BO8" s="68"/>
      <c r="BP8" s="68"/>
      <c r="BQ8" s="68"/>
      <c r="BR8" s="68"/>
      <c r="BS8" s="68"/>
      <c r="BT8" s="68"/>
      <c r="BU8" s="68"/>
      <c r="BV8" s="68"/>
      <c r="BW8" s="68"/>
      <c r="BX8" s="68"/>
      <c r="BY8" s="68"/>
      <c r="BZ8" s="68"/>
      <c r="CA8" s="68"/>
      <c r="CB8" s="68"/>
    </row>
    <row r="9" spans="1:80" s="147" customFormat="1" ht="30" customHeight="1" thickTop="1" thickBot="1" x14ac:dyDescent="0.25">
      <c r="A9" s="1"/>
      <c r="B9"/>
      <c r="C9" s="140" t="str">
        <f t="shared" si="1"/>
        <v/>
      </c>
      <c r="D9" s="141" t="str">
        <f t="shared" si="2"/>
        <v/>
      </c>
      <c r="E9" s="142">
        <f>VLOOKUP($C9,Jornada!$C$8:$AF$37,30,0)</f>
        <v>0</v>
      </c>
      <c r="F9" s="143">
        <f ca="1">VLOOKUP($C9,Resul!$R$9:$AA$38,F$5,0)</f>
        <v>0</v>
      </c>
      <c r="G9" s="143">
        <f ca="1">VLOOKUP($C9,Resul!$R$9:$AA$38,G$5,0)</f>
        <v>0</v>
      </c>
      <c r="H9" s="143">
        <f ca="1">VLOOKUP($C9,Resul!$R$9:$AA$38,H$5,0)</f>
        <v>0</v>
      </c>
      <c r="I9" s="143">
        <f ca="1">VLOOKUP($C9,Resul!$R$9:$AA$38,I$5,0)</f>
        <v>0</v>
      </c>
      <c r="J9" s="143">
        <f t="shared" ca="1" si="3"/>
        <v>0</v>
      </c>
      <c r="K9" s="144">
        <f t="shared" ca="1" si="4"/>
        <v>0</v>
      </c>
      <c r="L9" s="144" t="str">
        <f t="shared" si="5"/>
        <v/>
      </c>
      <c r="M9" s="145" t="e">
        <f>VLOOKUP($C9,Funcionários!$C$7:$I$36,7,0)</f>
        <v>#N/A</v>
      </c>
      <c r="N9" s="146">
        <f ca="1">VLOOKUP($C9,Resul!$R$9:$BF$38,39,0)</f>
        <v>0</v>
      </c>
      <c r="O9" s="146" t="e">
        <f t="shared" ca="1" si="6"/>
        <v>#VALUE!</v>
      </c>
      <c r="P9" s="146" t="e">
        <f t="shared" ca="1" si="7"/>
        <v>#N/A</v>
      </c>
      <c r="Q9" s="14"/>
      <c r="R9" s="14"/>
      <c r="S9" s="14"/>
      <c r="T9" s="2" t="str">
        <f>IF(Funcionários!C9=0,"",Funcionários!C9)</f>
        <v/>
      </c>
      <c r="U9" s="2"/>
      <c r="V9" s="2"/>
      <c r="W9" s="2">
        <f ca="1">VLOOKUP($C9,Resul!$R$9:$BI$38,44,0)</f>
        <v>0</v>
      </c>
      <c r="X9" s="2">
        <f t="shared" ca="1" si="8"/>
        <v>0</v>
      </c>
      <c r="Y9" s="163">
        <f t="shared" ca="1" si="9"/>
        <v>0</v>
      </c>
      <c r="Z9" s="14"/>
      <c r="AA9" s="186"/>
      <c r="AB9" s="14"/>
      <c r="AC9" s="186"/>
      <c r="AD9" s="14"/>
      <c r="AE9" s="14"/>
      <c r="AF9" s="186"/>
      <c r="AG9" s="14"/>
      <c r="AH9" s="186"/>
      <c r="AI9" s="14"/>
      <c r="AJ9" s="186"/>
      <c r="AK9" s="14"/>
      <c r="AL9" s="186"/>
      <c r="AM9" s="14"/>
      <c r="AN9" s="186"/>
      <c r="AO9" s="14"/>
      <c r="AP9" s="186"/>
      <c r="AQ9" s="14"/>
      <c r="AR9" s="186"/>
      <c r="AS9" s="14"/>
      <c r="AT9" s="186"/>
      <c r="AU9" s="14"/>
      <c r="AV9" s="186"/>
      <c r="AW9" s="14"/>
      <c r="AX9" s="186"/>
      <c r="AY9" s="14"/>
      <c r="AZ9" s="186"/>
      <c r="BA9" s="14"/>
      <c r="BB9" s="186"/>
      <c r="BC9" s="68"/>
      <c r="BD9" s="101"/>
      <c r="BE9" s="68"/>
      <c r="BF9" s="86"/>
      <c r="BG9" s="68"/>
      <c r="BH9" s="86"/>
      <c r="BI9" s="68"/>
      <c r="BJ9" s="68"/>
      <c r="BK9" s="68"/>
      <c r="BL9" s="68"/>
      <c r="BM9" s="68"/>
      <c r="BN9" s="68"/>
      <c r="BO9" s="68"/>
      <c r="BP9" s="68"/>
      <c r="BQ9" s="68"/>
      <c r="BR9" s="68"/>
      <c r="BS9" s="68"/>
      <c r="BT9" s="68"/>
      <c r="BU9" s="68"/>
      <c r="BV9" s="68"/>
      <c r="BW9" s="68"/>
      <c r="BX9" s="68"/>
      <c r="BY9" s="68"/>
      <c r="BZ9" s="68"/>
      <c r="CA9" s="68"/>
      <c r="CB9" s="68"/>
    </row>
    <row r="10" spans="1:80" s="147" customFormat="1" ht="30" customHeight="1" thickTop="1" thickBot="1" x14ac:dyDescent="0.25">
      <c r="A10" s="1"/>
      <c r="B10"/>
      <c r="C10" s="140" t="str">
        <f t="shared" si="1"/>
        <v/>
      </c>
      <c r="D10" s="141" t="str">
        <f t="shared" si="2"/>
        <v/>
      </c>
      <c r="E10" s="142">
        <f>VLOOKUP($C10,Jornada!$C$8:$AF$37,30,0)</f>
        <v>0</v>
      </c>
      <c r="F10" s="143">
        <f ca="1">VLOOKUP($C10,Resul!$R$9:$AA$38,F$5,0)</f>
        <v>0</v>
      </c>
      <c r="G10" s="143">
        <f ca="1">VLOOKUP($C10,Resul!$R$9:$AA$38,G$5,0)</f>
        <v>0</v>
      </c>
      <c r="H10" s="143">
        <f ca="1">VLOOKUP($C10,Resul!$R$9:$AA$38,H$5,0)</f>
        <v>0</v>
      </c>
      <c r="I10" s="143">
        <f ca="1">VLOOKUP($C10,Resul!$R$9:$AA$38,I$5,0)</f>
        <v>0</v>
      </c>
      <c r="J10" s="143">
        <f t="shared" ca="1" si="3"/>
        <v>0</v>
      </c>
      <c r="K10" s="144">
        <f t="shared" ca="1" si="4"/>
        <v>0</v>
      </c>
      <c r="L10" s="144" t="str">
        <f t="shared" si="5"/>
        <v/>
      </c>
      <c r="M10" s="145" t="e">
        <f>VLOOKUP($C10,Funcionários!$C$7:$I$36,7,0)</f>
        <v>#N/A</v>
      </c>
      <c r="N10" s="146">
        <f ca="1">VLOOKUP($C10,Resul!$R$9:$BF$38,39,0)</f>
        <v>0</v>
      </c>
      <c r="O10" s="146" t="e">
        <f t="shared" ca="1" si="6"/>
        <v>#VALUE!</v>
      </c>
      <c r="P10" s="146" t="e">
        <f t="shared" ca="1" si="7"/>
        <v>#N/A</v>
      </c>
      <c r="Q10" s="14"/>
      <c r="R10" s="14"/>
      <c r="S10" s="14"/>
      <c r="T10" s="2" t="str">
        <f>IF(Funcionários!C10=0,"",Funcionários!C10)</f>
        <v/>
      </c>
      <c r="U10" s="2"/>
      <c r="V10" s="2"/>
      <c r="W10" s="2">
        <f ca="1">VLOOKUP($C10,Resul!$R$9:$BI$38,44,0)</f>
        <v>0</v>
      </c>
      <c r="X10" s="2">
        <f t="shared" ca="1" si="8"/>
        <v>0</v>
      </c>
      <c r="Y10" s="163">
        <f t="shared" ca="1" si="9"/>
        <v>0</v>
      </c>
      <c r="Z10" s="14"/>
      <c r="AA10" s="186"/>
      <c r="AB10" s="14"/>
      <c r="AC10" s="186"/>
      <c r="AD10" s="14"/>
      <c r="AE10" s="14"/>
      <c r="AF10" s="186"/>
      <c r="AG10" s="14"/>
      <c r="AH10" s="186"/>
      <c r="AI10" s="14"/>
      <c r="AJ10" s="186"/>
      <c r="AK10" s="14"/>
      <c r="AL10" s="186"/>
      <c r="AM10" s="14"/>
      <c r="AN10" s="186"/>
      <c r="AO10" s="14"/>
      <c r="AP10" s="186"/>
      <c r="AQ10" s="14"/>
      <c r="AR10" s="186"/>
      <c r="AS10" s="14"/>
      <c r="AT10" s="186"/>
      <c r="AU10" s="14"/>
      <c r="AV10" s="186"/>
      <c r="AW10" s="14"/>
      <c r="AX10" s="186"/>
      <c r="AY10" s="14"/>
      <c r="AZ10" s="186"/>
      <c r="BA10" s="14"/>
      <c r="BB10" s="186"/>
      <c r="BC10" s="68"/>
      <c r="BD10" s="101"/>
      <c r="BE10" s="68"/>
      <c r="BF10" s="86"/>
      <c r="BG10" s="68"/>
      <c r="BH10" s="86"/>
      <c r="BI10" s="68"/>
      <c r="BJ10" s="68"/>
      <c r="BK10" s="68"/>
      <c r="BL10" s="68"/>
      <c r="BM10" s="68"/>
      <c r="BN10" s="68"/>
      <c r="BO10" s="68"/>
      <c r="BP10" s="68"/>
      <c r="BQ10" s="68"/>
      <c r="BR10" s="68"/>
      <c r="BS10" s="68"/>
      <c r="BT10" s="68"/>
      <c r="BU10" s="68"/>
      <c r="BV10" s="68"/>
      <c r="BW10" s="68"/>
      <c r="BX10" s="68"/>
      <c r="BY10" s="68"/>
      <c r="BZ10" s="68"/>
      <c r="CA10" s="68"/>
      <c r="CB10" s="68"/>
    </row>
    <row r="11" spans="1:80" s="147" customFormat="1" ht="30" customHeight="1" thickTop="1" thickBot="1" x14ac:dyDescent="0.25">
      <c r="A11" s="1"/>
      <c r="B11"/>
      <c r="C11" s="140" t="str">
        <f t="shared" si="1"/>
        <v/>
      </c>
      <c r="D11" s="141" t="str">
        <f t="shared" si="2"/>
        <v/>
      </c>
      <c r="E11" s="142">
        <f>VLOOKUP($C11,Jornada!$C$8:$AF$37,30,0)</f>
        <v>0</v>
      </c>
      <c r="F11" s="143">
        <f ca="1">VLOOKUP($C11,Resul!$R$9:$AA$38,F$5,0)</f>
        <v>0</v>
      </c>
      <c r="G11" s="143">
        <f ca="1">VLOOKUP($C11,Resul!$R$9:$AA$38,G$5,0)</f>
        <v>0</v>
      </c>
      <c r="H11" s="143">
        <f ca="1">VLOOKUP($C11,Resul!$R$9:$AA$38,H$5,0)</f>
        <v>0</v>
      </c>
      <c r="I11" s="143">
        <f ca="1">VLOOKUP($C11,Resul!$R$9:$AA$38,I$5,0)</f>
        <v>0</v>
      </c>
      <c r="J11" s="143">
        <f t="shared" ca="1" si="3"/>
        <v>0</v>
      </c>
      <c r="K11" s="144">
        <f t="shared" ca="1" si="4"/>
        <v>0</v>
      </c>
      <c r="L11" s="144" t="str">
        <f t="shared" si="5"/>
        <v/>
      </c>
      <c r="M11" s="145" t="e">
        <f>VLOOKUP($C11,Funcionários!$C$7:$I$36,7,0)</f>
        <v>#N/A</v>
      </c>
      <c r="N11" s="146">
        <f ca="1">VLOOKUP($C11,Resul!$R$9:$BF$38,39,0)</f>
        <v>0</v>
      </c>
      <c r="O11" s="146" t="e">
        <f t="shared" ca="1" si="6"/>
        <v>#VALUE!</v>
      </c>
      <c r="P11" s="146" t="e">
        <f t="shared" ca="1" si="7"/>
        <v>#N/A</v>
      </c>
      <c r="Q11" s="14"/>
      <c r="R11" s="14"/>
      <c r="S11" s="14"/>
      <c r="T11" s="2" t="str">
        <f>IF(Funcionários!C11=0,"",Funcionários!C11)</f>
        <v/>
      </c>
      <c r="U11" s="2"/>
      <c r="V11" s="2"/>
      <c r="W11" s="2">
        <f ca="1">VLOOKUP($C11,Resul!$R$9:$BI$38,44,0)</f>
        <v>0</v>
      </c>
      <c r="X11" s="2">
        <f t="shared" ca="1" si="8"/>
        <v>0</v>
      </c>
      <c r="Y11" s="163">
        <f t="shared" ca="1" si="9"/>
        <v>0</v>
      </c>
      <c r="Z11" s="14"/>
      <c r="AA11" s="186"/>
      <c r="AB11" s="14"/>
      <c r="AC11" s="186"/>
      <c r="AD11" s="14"/>
      <c r="AE11" s="14"/>
      <c r="AF11" s="186"/>
      <c r="AG11" s="14"/>
      <c r="AH11" s="186"/>
      <c r="AI11" s="14"/>
      <c r="AJ11" s="186"/>
      <c r="AK11" s="14"/>
      <c r="AL11" s="186"/>
      <c r="AM11" s="14"/>
      <c r="AN11" s="186"/>
      <c r="AO11" s="14"/>
      <c r="AP11" s="186"/>
      <c r="AQ11" s="14"/>
      <c r="AR11" s="186"/>
      <c r="AS11" s="14"/>
      <c r="AT11" s="186"/>
      <c r="AU11" s="14"/>
      <c r="AV11" s="186"/>
      <c r="AW11" s="14"/>
      <c r="AX11" s="186"/>
      <c r="AY11" s="14"/>
      <c r="AZ11" s="186"/>
      <c r="BA11" s="14"/>
      <c r="BB11" s="186"/>
      <c r="BC11" s="68"/>
      <c r="BD11" s="101"/>
      <c r="BE11" s="68"/>
      <c r="BF11" s="86"/>
      <c r="BG11" s="68"/>
      <c r="BH11" s="86"/>
      <c r="BI11" s="68"/>
      <c r="BJ11" s="68"/>
      <c r="BK11" s="68"/>
      <c r="BL11" s="68"/>
      <c r="BM11" s="68"/>
      <c r="BN11" s="68"/>
      <c r="BO11" s="68"/>
      <c r="BP11" s="68"/>
      <c r="BQ11" s="68"/>
      <c r="BR11" s="68"/>
      <c r="BS11" s="68"/>
      <c r="BT11" s="68"/>
      <c r="BU11" s="68"/>
      <c r="BV11" s="68"/>
      <c r="BW11" s="68"/>
      <c r="BX11" s="68"/>
      <c r="BY11" s="68"/>
      <c r="BZ11" s="68"/>
      <c r="CA11" s="68"/>
      <c r="CB11" s="68"/>
    </row>
    <row r="12" spans="1:80" s="147" customFormat="1" ht="30" customHeight="1" thickTop="1" thickBot="1" x14ac:dyDescent="0.25">
      <c r="A12" s="1"/>
      <c r="B12"/>
      <c r="C12" s="140" t="str">
        <f t="shared" si="1"/>
        <v/>
      </c>
      <c r="D12" s="141" t="str">
        <f t="shared" si="2"/>
        <v/>
      </c>
      <c r="E12" s="142">
        <f>VLOOKUP($C12,Jornada!$C$8:$AF$37,30,0)</f>
        <v>0</v>
      </c>
      <c r="F12" s="143">
        <f ca="1">VLOOKUP($C12,Resul!$R$9:$AA$38,F$5,0)</f>
        <v>0</v>
      </c>
      <c r="G12" s="143">
        <f ca="1">VLOOKUP($C12,Resul!$R$9:$AA$38,G$5,0)</f>
        <v>0</v>
      </c>
      <c r="H12" s="143">
        <f ca="1">VLOOKUP($C12,Resul!$R$9:$AA$38,H$5,0)</f>
        <v>0</v>
      </c>
      <c r="I12" s="143">
        <f ca="1">VLOOKUP($C12,Resul!$R$9:$AA$38,I$5,0)</f>
        <v>0</v>
      </c>
      <c r="J12" s="143">
        <f t="shared" ca="1" si="3"/>
        <v>0</v>
      </c>
      <c r="K12" s="144">
        <f t="shared" ca="1" si="4"/>
        <v>0</v>
      </c>
      <c r="L12" s="144" t="str">
        <f t="shared" si="5"/>
        <v/>
      </c>
      <c r="M12" s="145" t="e">
        <f>VLOOKUP($C12,Funcionários!$C$7:$I$36,7,0)</f>
        <v>#N/A</v>
      </c>
      <c r="N12" s="146">
        <f ca="1">VLOOKUP($C12,Resul!$R$9:$BF$38,39,0)</f>
        <v>0</v>
      </c>
      <c r="O12" s="146" t="e">
        <f t="shared" ca="1" si="6"/>
        <v>#VALUE!</v>
      </c>
      <c r="P12" s="146" t="e">
        <f t="shared" ca="1" si="7"/>
        <v>#N/A</v>
      </c>
      <c r="Q12" s="14"/>
      <c r="R12" s="14"/>
      <c r="S12" s="14"/>
      <c r="T12" s="2" t="str">
        <f>IF(Funcionários!C12=0,"",Funcionários!C12)</f>
        <v/>
      </c>
      <c r="U12" s="2"/>
      <c r="V12" s="2"/>
      <c r="W12" s="2">
        <f ca="1">VLOOKUP($C12,Resul!$R$9:$BI$38,44,0)</f>
        <v>0</v>
      </c>
      <c r="X12" s="2">
        <f t="shared" ca="1" si="8"/>
        <v>0</v>
      </c>
      <c r="Y12" s="163">
        <f t="shared" ca="1" si="9"/>
        <v>0</v>
      </c>
      <c r="Z12" s="14"/>
      <c r="AA12" s="186"/>
      <c r="AB12" s="14"/>
      <c r="AC12" s="186"/>
      <c r="AD12" s="14"/>
      <c r="AE12" s="14"/>
      <c r="AF12" s="186"/>
      <c r="AG12" s="14"/>
      <c r="AH12" s="186"/>
      <c r="AI12" s="14"/>
      <c r="AJ12" s="186"/>
      <c r="AK12" s="14"/>
      <c r="AL12" s="186"/>
      <c r="AM12" s="14"/>
      <c r="AN12" s="186"/>
      <c r="AO12" s="14"/>
      <c r="AP12" s="186"/>
      <c r="AQ12" s="14"/>
      <c r="AR12" s="186"/>
      <c r="AS12" s="14"/>
      <c r="AT12" s="186"/>
      <c r="AU12" s="14"/>
      <c r="AV12" s="186"/>
      <c r="AW12" s="14"/>
      <c r="AX12" s="186"/>
      <c r="AY12" s="14"/>
      <c r="AZ12" s="186"/>
      <c r="BA12" s="14"/>
      <c r="BB12" s="186"/>
      <c r="BC12" s="68"/>
      <c r="BD12" s="101"/>
      <c r="BE12" s="68"/>
      <c r="BF12" s="86"/>
      <c r="BG12" s="68"/>
      <c r="BH12" s="86"/>
      <c r="BI12" s="68"/>
      <c r="BJ12" s="68"/>
      <c r="BK12" s="68"/>
      <c r="BL12" s="68"/>
      <c r="BM12" s="68"/>
      <c r="BN12" s="68"/>
      <c r="BO12" s="68"/>
      <c r="BP12" s="68"/>
      <c r="BQ12" s="68"/>
      <c r="BR12" s="68"/>
      <c r="BS12" s="68"/>
      <c r="BT12" s="68"/>
      <c r="BU12" s="68"/>
      <c r="BV12" s="68"/>
      <c r="BW12" s="68"/>
      <c r="BX12" s="68"/>
      <c r="BY12" s="68"/>
      <c r="BZ12" s="68"/>
      <c r="CA12" s="68"/>
      <c r="CB12" s="68"/>
    </row>
    <row r="13" spans="1:80" s="147" customFormat="1" ht="30" customHeight="1" thickTop="1" thickBot="1" x14ac:dyDescent="0.25">
      <c r="A13" s="1"/>
      <c r="B13"/>
      <c r="C13" s="140" t="str">
        <f t="shared" si="1"/>
        <v/>
      </c>
      <c r="D13" s="141" t="str">
        <f t="shared" si="2"/>
        <v/>
      </c>
      <c r="E13" s="142">
        <f>VLOOKUP($C13,Jornada!$C$8:$AF$37,30,0)</f>
        <v>0</v>
      </c>
      <c r="F13" s="143">
        <f ca="1">VLOOKUP($C13,Resul!$R$9:$AA$38,F$5,0)</f>
        <v>0</v>
      </c>
      <c r="G13" s="143">
        <f ca="1">VLOOKUP($C13,Resul!$R$9:$AA$38,G$5,0)</f>
        <v>0</v>
      </c>
      <c r="H13" s="143">
        <f ca="1">VLOOKUP($C13,Resul!$R$9:$AA$38,H$5,0)</f>
        <v>0</v>
      </c>
      <c r="I13" s="143">
        <f ca="1">VLOOKUP($C13,Resul!$R$9:$AA$38,I$5,0)</f>
        <v>0</v>
      </c>
      <c r="J13" s="143">
        <f t="shared" ca="1" si="3"/>
        <v>0</v>
      </c>
      <c r="K13" s="144">
        <f t="shared" ca="1" si="4"/>
        <v>0</v>
      </c>
      <c r="L13" s="144" t="str">
        <f t="shared" si="5"/>
        <v/>
      </c>
      <c r="M13" s="145" t="e">
        <f>VLOOKUP($C13,Funcionários!$C$7:$I$36,7,0)</f>
        <v>#N/A</v>
      </c>
      <c r="N13" s="146">
        <f ca="1">VLOOKUP($C13,Resul!$R$9:$BF$38,39,0)</f>
        <v>0</v>
      </c>
      <c r="O13" s="146" t="e">
        <f t="shared" ca="1" si="6"/>
        <v>#VALUE!</v>
      </c>
      <c r="P13" s="146" t="e">
        <f t="shared" ca="1" si="7"/>
        <v>#N/A</v>
      </c>
      <c r="Q13" s="14"/>
      <c r="R13" s="14"/>
      <c r="S13" s="14"/>
      <c r="T13" s="2" t="str">
        <f>IF(Funcionários!C13=0,"",Funcionários!C13)</f>
        <v/>
      </c>
      <c r="U13" s="2"/>
      <c r="V13" s="2"/>
      <c r="W13" s="2">
        <f ca="1">VLOOKUP($C13,Resul!$R$9:$BI$38,44,0)</f>
        <v>0</v>
      </c>
      <c r="X13" s="2">
        <f t="shared" ca="1" si="8"/>
        <v>0</v>
      </c>
      <c r="Y13" s="163">
        <f t="shared" ca="1" si="9"/>
        <v>0</v>
      </c>
      <c r="Z13" s="14"/>
      <c r="AA13" s="186"/>
      <c r="AB13" s="14"/>
      <c r="AC13" s="186"/>
      <c r="AD13" s="14"/>
      <c r="AE13" s="14"/>
      <c r="AF13" s="186"/>
      <c r="AG13" s="14"/>
      <c r="AH13" s="186"/>
      <c r="AI13" s="14"/>
      <c r="AJ13" s="186"/>
      <c r="AK13" s="14"/>
      <c r="AL13" s="186"/>
      <c r="AM13" s="14"/>
      <c r="AN13" s="186"/>
      <c r="AO13" s="14"/>
      <c r="AP13" s="186"/>
      <c r="AQ13" s="14"/>
      <c r="AR13" s="186"/>
      <c r="AS13" s="14"/>
      <c r="AT13" s="186"/>
      <c r="AU13" s="14"/>
      <c r="AV13" s="186"/>
      <c r="AW13" s="14"/>
      <c r="AX13" s="186"/>
      <c r="AY13" s="14"/>
      <c r="AZ13" s="186"/>
      <c r="BA13" s="14"/>
      <c r="BB13" s="186"/>
      <c r="BC13" s="68"/>
      <c r="BD13" s="101"/>
      <c r="BE13" s="68"/>
      <c r="BF13" s="86"/>
      <c r="BG13" s="68"/>
      <c r="BH13" s="86"/>
      <c r="BI13" s="68"/>
      <c r="BJ13" s="68"/>
      <c r="BK13" s="68"/>
      <c r="BL13" s="68"/>
      <c r="BM13" s="68"/>
      <c r="BN13" s="68"/>
      <c r="BO13" s="68"/>
      <c r="BP13" s="68"/>
      <c r="BQ13" s="68"/>
      <c r="BR13" s="68"/>
      <c r="BS13" s="68"/>
      <c r="BT13" s="68"/>
      <c r="BU13" s="68"/>
      <c r="BV13" s="68"/>
      <c r="BW13" s="68"/>
      <c r="BX13" s="68"/>
      <c r="BY13" s="68"/>
      <c r="BZ13" s="68"/>
      <c r="CA13" s="68"/>
      <c r="CB13" s="68"/>
    </row>
    <row r="14" spans="1:80" s="147" customFormat="1" ht="30" customHeight="1" thickTop="1" thickBot="1" x14ac:dyDescent="0.25">
      <c r="A14" s="1"/>
      <c r="B14"/>
      <c r="C14" s="140" t="str">
        <f t="shared" si="1"/>
        <v/>
      </c>
      <c r="D14" s="141" t="str">
        <f t="shared" si="2"/>
        <v/>
      </c>
      <c r="E14" s="142">
        <f>VLOOKUP($C14,Jornada!$C$8:$AF$37,30,0)</f>
        <v>0</v>
      </c>
      <c r="F14" s="143">
        <f ca="1">VLOOKUP($C14,Resul!$R$9:$AA$38,F$5,0)</f>
        <v>0</v>
      </c>
      <c r="G14" s="143">
        <f ca="1">VLOOKUP($C14,Resul!$R$9:$AA$38,G$5,0)</f>
        <v>0</v>
      </c>
      <c r="H14" s="143">
        <f ca="1">VLOOKUP($C14,Resul!$R$9:$AA$38,H$5,0)</f>
        <v>0</v>
      </c>
      <c r="I14" s="143">
        <f ca="1">VLOOKUP($C14,Resul!$R$9:$AA$38,I$5,0)</f>
        <v>0</v>
      </c>
      <c r="J14" s="143">
        <f t="shared" ca="1" si="3"/>
        <v>0</v>
      </c>
      <c r="K14" s="144">
        <f t="shared" ca="1" si="4"/>
        <v>0</v>
      </c>
      <c r="L14" s="144" t="str">
        <f t="shared" si="5"/>
        <v/>
      </c>
      <c r="M14" s="145" t="e">
        <f>VLOOKUP($C14,Funcionários!$C$7:$I$36,7,0)</f>
        <v>#N/A</v>
      </c>
      <c r="N14" s="146">
        <f ca="1">VLOOKUP($C14,Resul!$R$9:$BF$38,39,0)</f>
        <v>0</v>
      </c>
      <c r="O14" s="146" t="e">
        <f t="shared" ca="1" si="6"/>
        <v>#VALUE!</v>
      </c>
      <c r="P14" s="146" t="e">
        <f t="shared" ca="1" si="7"/>
        <v>#N/A</v>
      </c>
      <c r="Q14" s="14"/>
      <c r="R14" s="14"/>
      <c r="S14" s="14"/>
      <c r="T14" s="2" t="str">
        <f>IF(Funcionários!C14=0,"",Funcionários!C14)</f>
        <v/>
      </c>
      <c r="U14" s="2"/>
      <c r="V14" s="2"/>
      <c r="W14" s="2">
        <f ca="1">VLOOKUP($C14,Resul!$R$9:$BI$38,44,0)</f>
        <v>0</v>
      </c>
      <c r="X14" s="2">
        <f t="shared" ca="1" si="8"/>
        <v>0</v>
      </c>
      <c r="Y14" s="163">
        <f t="shared" ca="1" si="9"/>
        <v>0</v>
      </c>
      <c r="Z14" s="14"/>
      <c r="AA14" s="186"/>
      <c r="AB14" s="14"/>
      <c r="AC14" s="186"/>
      <c r="AD14" s="14"/>
      <c r="AE14" s="14"/>
      <c r="AF14" s="186"/>
      <c r="AG14" s="14"/>
      <c r="AH14" s="186"/>
      <c r="AI14" s="14"/>
      <c r="AJ14" s="186"/>
      <c r="AK14" s="14"/>
      <c r="AL14" s="186"/>
      <c r="AM14" s="14"/>
      <c r="AN14" s="186"/>
      <c r="AO14" s="14"/>
      <c r="AP14" s="186"/>
      <c r="AQ14" s="14"/>
      <c r="AR14" s="186"/>
      <c r="AS14" s="14"/>
      <c r="AT14" s="186"/>
      <c r="AU14" s="14"/>
      <c r="AV14" s="186"/>
      <c r="AW14" s="14"/>
      <c r="AX14" s="186"/>
      <c r="AY14" s="14"/>
      <c r="AZ14" s="186"/>
      <c r="BA14" s="14"/>
      <c r="BB14" s="186"/>
      <c r="BC14" s="68"/>
      <c r="BD14" s="101"/>
      <c r="BE14" s="68"/>
      <c r="BF14" s="86"/>
      <c r="BG14" s="68"/>
      <c r="BH14" s="86"/>
      <c r="BI14" s="68"/>
      <c r="BJ14" s="68"/>
      <c r="BK14" s="68"/>
      <c r="BL14" s="68"/>
      <c r="BM14" s="68"/>
      <c r="BN14" s="68"/>
      <c r="BO14" s="68"/>
      <c r="BP14" s="68"/>
      <c r="BQ14" s="68"/>
      <c r="BR14" s="68"/>
      <c r="BS14" s="68"/>
      <c r="BT14" s="68"/>
      <c r="BU14" s="68"/>
      <c r="BV14" s="68"/>
      <c r="BW14" s="68"/>
      <c r="BX14" s="68"/>
      <c r="BY14" s="68"/>
      <c r="BZ14" s="68"/>
      <c r="CA14" s="68"/>
      <c r="CB14" s="68"/>
    </row>
    <row r="15" spans="1:80" s="147" customFormat="1" ht="30" customHeight="1" thickTop="1" thickBot="1" x14ac:dyDescent="0.25">
      <c r="A15" s="1"/>
      <c r="B15"/>
      <c r="C15" s="140" t="str">
        <f t="shared" si="1"/>
        <v/>
      </c>
      <c r="D15" s="141" t="str">
        <f t="shared" si="2"/>
        <v/>
      </c>
      <c r="E15" s="142">
        <f>VLOOKUP($C15,Jornada!$C$8:$AF$37,30,0)</f>
        <v>0</v>
      </c>
      <c r="F15" s="143">
        <f ca="1">VLOOKUP($C15,Resul!$R$9:$AA$38,F$5,0)</f>
        <v>0</v>
      </c>
      <c r="G15" s="143">
        <f ca="1">VLOOKUP($C15,Resul!$R$9:$AA$38,G$5,0)</f>
        <v>0</v>
      </c>
      <c r="H15" s="143">
        <f ca="1">VLOOKUP($C15,Resul!$R$9:$AA$38,H$5,0)</f>
        <v>0</v>
      </c>
      <c r="I15" s="143">
        <f ca="1">VLOOKUP($C15,Resul!$R$9:$AA$38,I$5,0)</f>
        <v>0</v>
      </c>
      <c r="J15" s="143">
        <f t="shared" ca="1" si="3"/>
        <v>0</v>
      </c>
      <c r="K15" s="144">
        <f t="shared" ca="1" si="4"/>
        <v>0</v>
      </c>
      <c r="L15" s="144" t="str">
        <f t="shared" si="5"/>
        <v/>
      </c>
      <c r="M15" s="145" t="e">
        <f>VLOOKUP($C15,Funcionários!$C$7:$I$36,7,0)</f>
        <v>#N/A</v>
      </c>
      <c r="N15" s="146">
        <f ca="1">VLOOKUP($C15,Resul!$R$9:$BF$38,39,0)</f>
        <v>0</v>
      </c>
      <c r="O15" s="146" t="e">
        <f t="shared" ca="1" si="6"/>
        <v>#VALUE!</v>
      </c>
      <c r="P15" s="146" t="e">
        <f t="shared" ca="1" si="7"/>
        <v>#N/A</v>
      </c>
      <c r="Q15" s="14"/>
      <c r="R15" s="14"/>
      <c r="S15" s="14"/>
      <c r="T15" s="2" t="str">
        <f>IF(Funcionários!C15=0,"",Funcionários!C15)</f>
        <v/>
      </c>
      <c r="U15" s="2"/>
      <c r="V15" s="2"/>
      <c r="W15" s="2">
        <f ca="1">VLOOKUP($C15,Resul!$R$9:$BI$38,44,0)</f>
        <v>0</v>
      </c>
      <c r="X15" s="2">
        <f t="shared" ca="1" si="8"/>
        <v>0</v>
      </c>
      <c r="Y15" s="163">
        <f t="shared" ca="1" si="9"/>
        <v>0</v>
      </c>
      <c r="Z15" s="14"/>
      <c r="AA15" s="186"/>
      <c r="AB15" s="14"/>
      <c r="AC15" s="186"/>
      <c r="AD15" s="14"/>
      <c r="AE15" s="14"/>
      <c r="AF15" s="186"/>
      <c r="AG15" s="14"/>
      <c r="AH15" s="186"/>
      <c r="AI15" s="14"/>
      <c r="AJ15" s="186"/>
      <c r="AK15" s="14"/>
      <c r="AL15" s="186"/>
      <c r="AM15" s="14"/>
      <c r="AN15" s="186"/>
      <c r="AO15" s="14"/>
      <c r="AP15" s="186"/>
      <c r="AQ15" s="14"/>
      <c r="AR15" s="186"/>
      <c r="AS15" s="14"/>
      <c r="AT15" s="186"/>
      <c r="AU15" s="14"/>
      <c r="AV15" s="186"/>
      <c r="AW15" s="14"/>
      <c r="AX15" s="186"/>
      <c r="AY15" s="14"/>
      <c r="AZ15" s="186"/>
      <c r="BA15" s="14"/>
      <c r="BB15" s="186"/>
      <c r="BC15" s="68"/>
      <c r="BD15" s="101"/>
      <c r="BE15" s="68"/>
      <c r="BF15" s="86"/>
      <c r="BG15" s="68"/>
      <c r="BH15" s="86"/>
      <c r="BI15" s="68"/>
      <c r="BJ15" s="68"/>
      <c r="BK15" s="68"/>
      <c r="BL15" s="68"/>
      <c r="BM15" s="68"/>
      <c r="BN15" s="68"/>
      <c r="BO15" s="68"/>
      <c r="BP15" s="68"/>
      <c r="BQ15" s="68"/>
      <c r="BR15" s="68"/>
      <c r="BS15" s="68"/>
      <c r="BT15" s="68"/>
      <c r="BU15" s="68"/>
      <c r="BV15" s="68"/>
      <c r="BW15" s="68"/>
      <c r="BX15" s="68"/>
      <c r="BY15" s="68"/>
      <c r="BZ15" s="68"/>
      <c r="CA15" s="68"/>
      <c r="CB15" s="68"/>
    </row>
    <row r="16" spans="1:80" s="147" customFormat="1" ht="30" customHeight="1" thickTop="1" thickBot="1" x14ac:dyDescent="0.25">
      <c r="A16" s="1"/>
      <c r="B16"/>
      <c r="C16" s="140" t="str">
        <f t="shared" si="1"/>
        <v/>
      </c>
      <c r="D16" s="141" t="str">
        <f t="shared" si="2"/>
        <v/>
      </c>
      <c r="E16" s="142">
        <f>VLOOKUP($C16,Jornada!$C$8:$AF$37,30,0)</f>
        <v>0</v>
      </c>
      <c r="F16" s="143">
        <f ca="1">VLOOKUP($C16,Resul!$R$9:$AA$38,F$5,0)</f>
        <v>0</v>
      </c>
      <c r="G16" s="143">
        <f ca="1">VLOOKUP($C16,Resul!$R$9:$AA$38,G$5,0)</f>
        <v>0</v>
      </c>
      <c r="H16" s="143">
        <f ca="1">VLOOKUP($C16,Resul!$R$9:$AA$38,H$5,0)</f>
        <v>0</v>
      </c>
      <c r="I16" s="143">
        <f ca="1">VLOOKUP($C16,Resul!$R$9:$AA$38,I$5,0)</f>
        <v>0</v>
      </c>
      <c r="J16" s="143">
        <f t="shared" ca="1" si="3"/>
        <v>0</v>
      </c>
      <c r="K16" s="144">
        <f t="shared" ca="1" si="4"/>
        <v>0</v>
      </c>
      <c r="L16" s="144" t="str">
        <f t="shared" si="5"/>
        <v/>
      </c>
      <c r="M16" s="145" t="e">
        <f>VLOOKUP($C16,Funcionários!$C$7:$I$36,7,0)</f>
        <v>#N/A</v>
      </c>
      <c r="N16" s="146">
        <f ca="1">VLOOKUP($C16,Resul!$R$9:$BF$38,39,0)</f>
        <v>0</v>
      </c>
      <c r="O16" s="146" t="e">
        <f t="shared" ca="1" si="6"/>
        <v>#VALUE!</v>
      </c>
      <c r="P16" s="146" t="e">
        <f t="shared" ca="1" si="7"/>
        <v>#N/A</v>
      </c>
      <c r="Q16" s="14"/>
      <c r="R16" s="14"/>
      <c r="S16" s="14"/>
      <c r="T16" s="2" t="str">
        <f>IF(Funcionários!C16=0,"",Funcionários!C16)</f>
        <v/>
      </c>
      <c r="U16" s="2"/>
      <c r="V16" s="2"/>
      <c r="W16" s="2">
        <f ca="1">VLOOKUP($C16,Resul!$R$9:$BI$38,44,0)</f>
        <v>0</v>
      </c>
      <c r="X16" s="2">
        <f t="shared" ca="1" si="8"/>
        <v>0</v>
      </c>
      <c r="Y16" s="163">
        <f t="shared" ca="1" si="9"/>
        <v>0</v>
      </c>
      <c r="Z16" s="14"/>
      <c r="AA16" s="186"/>
      <c r="AB16" s="14"/>
      <c r="AC16" s="186"/>
      <c r="AD16" s="14"/>
      <c r="AE16" s="14"/>
      <c r="AF16" s="186"/>
      <c r="AG16" s="14"/>
      <c r="AH16" s="186"/>
      <c r="AI16" s="14"/>
      <c r="AJ16" s="186"/>
      <c r="AK16" s="14"/>
      <c r="AL16" s="186"/>
      <c r="AM16" s="14"/>
      <c r="AN16" s="186"/>
      <c r="AO16" s="14"/>
      <c r="AP16" s="186"/>
      <c r="AQ16" s="14"/>
      <c r="AR16" s="186"/>
      <c r="AS16" s="14"/>
      <c r="AT16" s="186"/>
      <c r="AU16" s="14"/>
      <c r="AV16" s="186"/>
      <c r="AW16" s="14"/>
      <c r="AX16" s="186"/>
      <c r="AY16" s="14"/>
      <c r="AZ16" s="186"/>
      <c r="BA16" s="14"/>
      <c r="BB16" s="186"/>
      <c r="BC16" s="68"/>
      <c r="BD16" s="101"/>
      <c r="BE16" s="68"/>
      <c r="BF16" s="86"/>
      <c r="BG16" s="68"/>
      <c r="BH16" s="86"/>
      <c r="BI16" s="68"/>
      <c r="BJ16" s="68"/>
      <c r="BK16" s="68"/>
      <c r="BL16" s="68"/>
      <c r="BM16" s="68"/>
      <c r="BN16" s="68"/>
      <c r="BO16" s="68"/>
      <c r="BP16" s="68"/>
      <c r="BQ16" s="68"/>
      <c r="BR16" s="68"/>
      <c r="BS16" s="68"/>
      <c r="BT16" s="68"/>
      <c r="BU16" s="68"/>
      <c r="BV16" s="68"/>
      <c r="BW16" s="68"/>
      <c r="BX16" s="68"/>
      <c r="BY16" s="68"/>
      <c r="BZ16" s="68"/>
      <c r="CA16" s="68"/>
      <c r="CB16" s="68"/>
    </row>
    <row r="17" spans="1:80" s="147" customFormat="1" ht="30" customHeight="1" thickTop="1" thickBot="1" x14ac:dyDescent="0.25">
      <c r="A17" s="1"/>
      <c r="B17"/>
      <c r="C17" s="140" t="str">
        <f t="shared" si="1"/>
        <v/>
      </c>
      <c r="D17" s="141" t="str">
        <f t="shared" si="2"/>
        <v/>
      </c>
      <c r="E17" s="142">
        <f>VLOOKUP($C17,Jornada!$C$8:$AF$37,30,0)</f>
        <v>0</v>
      </c>
      <c r="F17" s="143">
        <f ca="1">VLOOKUP($C17,Resul!$R$9:$AA$38,F$5,0)</f>
        <v>0</v>
      </c>
      <c r="G17" s="143">
        <f ca="1">VLOOKUP($C17,Resul!$R$9:$AA$38,G$5,0)</f>
        <v>0</v>
      </c>
      <c r="H17" s="143">
        <f ca="1">VLOOKUP($C17,Resul!$R$9:$AA$38,H$5,0)</f>
        <v>0</v>
      </c>
      <c r="I17" s="143">
        <f ca="1">VLOOKUP($C17,Resul!$R$9:$AA$38,I$5,0)</f>
        <v>0</v>
      </c>
      <c r="J17" s="143">
        <f t="shared" ref="J17:J36" ca="1" si="10">W17</f>
        <v>0</v>
      </c>
      <c r="K17" s="144">
        <f t="shared" ref="K17:K36" ca="1" si="11">IF(W17="Horas devidas",ABS(I17+H17-G17),IF(X17="Negativo",ABS(G17-H17+I17),G17-H17+I17))</f>
        <v>0</v>
      </c>
      <c r="L17" s="144" t="str">
        <f t="shared" ref="L17:L36" si="12">IF(T17="","",IF(X17=0,"Horas extras","Horas devidas"))</f>
        <v/>
      </c>
      <c r="M17" s="145" t="e">
        <f>VLOOKUP($C17,Funcionários!$C$7:$I$36,7,0)</f>
        <v>#N/A</v>
      </c>
      <c r="N17" s="146">
        <f ca="1">VLOOKUP($C17,Resul!$R$9:$BF$38,39,0)</f>
        <v>0</v>
      </c>
      <c r="O17" s="146" t="e">
        <f t="shared" ca="1" si="6"/>
        <v>#VALUE!</v>
      </c>
      <c r="P17" s="146" t="e">
        <f t="shared" ca="1" si="7"/>
        <v>#N/A</v>
      </c>
      <c r="Q17" s="14"/>
      <c r="R17" s="14"/>
      <c r="S17" s="14"/>
      <c r="T17" s="2" t="str">
        <f>IF(Funcionários!C17=0,"",Funcionários!C17)</f>
        <v/>
      </c>
      <c r="U17" s="2"/>
      <c r="V17" s="2"/>
      <c r="W17" s="2">
        <f ca="1">VLOOKUP($C17,Resul!$R$9:$BI$38,44,0)</f>
        <v>0</v>
      </c>
      <c r="X17" s="2">
        <f t="shared" ca="1" si="8"/>
        <v>0</v>
      </c>
      <c r="Y17" s="163">
        <f t="shared" ca="1" si="9"/>
        <v>0</v>
      </c>
      <c r="Z17" s="14"/>
      <c r="AA17" s="186"/>
      <c r="AB17" s="14"/>
      <c r="AC17" s="186"/>
      <c r="AD17" s="14"/>
      <c r="AE17" s="14"/>
      <c r="AF17" s="186"/>
      <c r="AG17" s="14"/>
      <c r="AH17" s="186"/>
      <c r="AI17" s="14"/>
      <c r="AJ17" s="186"/>
      <c r="AK17" s="14"/>
      <c r="AL17" s="186"/>
      <c r="AM17" s="14"/>
      <c r="AN17" s="186"/>
      <c r="AO17" s="14"/>
      <c r="AP17" s="186"/>
      <c r="AQ17" s="14"/>
      <c r="AR17" s="186"/>
      <c r="AS17" s="14"/>
      <c r="AT17" s="186"/>
      <c r="AU17" s="14"/>
      <c r="AV17" s="186"/>
      <c r="AW17" s="14"/>
      <c r="AX17" s="186"/>
      <c r="AY17" s="14"/>
      <c r="AZ17" s="186"/>
      <c r="BA17" s="14"/>
      <c r="BB17" s="186"/>
      <c r="BC17" s="68"/>
      <c r="BD17" s="101"/>
      <c r="BE17" s="68"/>
      <c r="BF17" s="86"/>
      <c r="BG17" s="68"/>
      <c r="BH17" s="86"/>
      <c r="BI17" s="68"/>
      <c r="BJ17" s="68"/>
      <c r="BK17" s="68"/>
      <c r="BL17" s="68"/>
      <c r="BM17" s="68"/>
      <c r="BN17" s="68"/>
      <c r="BO17" s="68"/>
      <c r="BP17" s="68"/>
      <c r="BQ17" s="68"/>
      <c r="BR17" s="68"/>
      <c r="BS17" s="68"/>
      <c r="BT17" s="68"/>
      <c r="BU17" s="68"/>
      <c r="BV17" s="68"/>
      <c r="BW17" s="68"/>
      <c r="BX17" s="68"/>
      <c r="BY17" s="68"/>
      <c r="BZ17" s="68"/>
      <c r="CA17" s="68"/>
      <c r="CB17" s="68"/>
    </row>
    <row r="18" spans="1:80" s="147" customFormat="1" ht="30" customHeight="1" thickTop="1" thickBot="1" x14ac:dyDescent="0.25">
      <c r="A18" s="1"/>
      <c r="B18"/>
      <c r="C18" s="140" t="str">
        <f t="shared" si="1"/>
        <v/>
      </c>
      <c r="D18" s="141" t="str">
        <f t="shared" si="2"/>
        <v/>
      </c>
      <c r="E18" s="142">
        <f>VLOOKUP($C18,Jornada!$C$8:$AF$37,30,0)</f>
        <v>0</v>
      </c>
      <c r="F18" s="143">
        <f ca="1">VLOOKUP($C18,Resul!$R$9:$AA$38,F$5,0)</f>
        <v>0</v>
      </c>
      <c r="G18" s="143">
        <f ca="1">VLOOKUP($C18,Resul!$R$9:$AA$38,G$5,0)</f>
        <v>0</v>
      </c>
      <c r="H18" s="143">
        <f ca="1">VLOOKUP($C18,Resul!$R$9:$AA$38,H$5,0)</f>
        <v>0</v>
      </c>
      <c r="I18" s="143">
        <f ca="1">VLOOKUP($C18,Resul!$R$9:$AA$38,I$5,0)</f>
        <v>0</v>
      </c>
      <c r="J18" s="143">
        <f t="shared" ca="1" si="10"/>
        <v>0</v>
      </c>
      <c r="K18" s="144">
        <f t="shared" ca="1" si="11"/>
        <v>0</v>
      </c>
      <c r="L18" s="144" t="str">
        <f t="shared" si="12"/>
        <v/>
      </c>
      <c r="M18" s="145" t="e">
        <f>VLOOKUP($C18,Funcionários!$C$7:$I$36,7,0)</f>
        <v>#N/A</v>
      </c>
      <c r="N18" s="146">
        <f ca="1">VLOOKUP($C18,Resul!$R$9:$BF$38,39,0)</f>
        <v>0</v>
      </c>
      <c r="O18" s="146" t="e">
        <f t="shared" ca="1" si="6"/>
        <v>#VALUE!</v>
      </c>
      <c r="P18" s="146" t="e">
        <f t="shared" ca="1" si="7"/>
        <v>#N/A</v>
      </c>
      <c r="Q18" s="14"/>
      <c r="R18" s="14"/>
      <c r="S18" s="14"/>
      <c r="T18" s="2" t="str">
        <f>IF(Funcionários!C18=0,"",Funcionários!C18)</f>
        <v/>
      </c>
      <c r="U18" s="2"/>
      <c r="V18" s="2"/>
      <c r="W18" s="2">
        <f ca="1">VLOOKUP($C18,Resul!$R$9:$BI$38,44,0)</f>
        <v>0</v>
      </c>
      <c r="X18" s="2">
        <f t="shared" ca="1" si="8"/>
        <v>0</v>
      </c>
      <c r="Y18" s="163">
        <f t="shared" ca="1" si="9"/>
        <v>0</v>
      </c>
      <c r="Z18" s="14"/>
      <c r="AA18" s="186"/>
      <c r="AB18" s="14"/>
      <c r="AC18" s="186"/>
      <c r="AD18" s="14"/>
      <c r="AE18" s="14"/>
      <c r="AF18" s="186"/>
      <c r="AG18" s="14"/>
      <c r="AH18" s="186"/>
      <c r="AI18" s="14"/>
      <c r="AJ18" s="186"/>
      <c r="AK18" s="14"/>
      <c r="AL18" s="186"/>
      <c r="AM18" s="14"/>
      <c r="AN18" s="186"/>
      <c r="AO18" s="14"/>
      <c r="AP18" s="186"/>
      <c r="AQ18" s="14"/>
      <c r="AR18" s="186"/>
      <c r="AS18" s="14"/>
      <c r="AT18" s="186"/>
      <c r="AU18" s="14"/>
      <c r="AV18" s="186"/>
      <c r="AW18" s="14"/>
      <c r="AX18" s="186"/>
      <c r="AY18" s="14"/>
      <c r="AZ18" s="186"/>
      <c r="BA18" s="14"/>
      <c r="BB18" s="186"/>
      <c r="BC18" s="68"/>
      <c r="BD18" s="101"/>
      <c r="BE18" s="68"/>
      <c r="BF18" s="86"/>
      <c r="BG18" s="68"/>
      <c r="BH18" s="86"/>
      <c r="BI18" s="68"/>
      <c r="BJ18" s="68"/>
      <c r="BK18" s="68"/>
      <c r="BL18" s="68"/>
      <c r="BM18" s="68"/>
      <c r="BN18" s="68"/>
      <c r="BO18" s="68"/>
      <c r="BP18" s="68"/>
      <c r="BQ18" s="68"/>
      <c r="BR18" s="68"/>
      <c r="BS18" s="68"/>
      <c r="BT18" s="68"/>
      <c r="BU18" s="68"/>
      <c r="BV18" s="68"/>
      <c r="BW18" s="68"/>
      <c r="BX18" s="68"/>
      <c r="BY18" s="68"/>
      <c r="BZ18" s="68"/>
      <c r="CA18" s="68"/>
      <c r="CB18" s="68"/>
    </row>
    <row r="19" spans="1:80" s="147" customFormat="1" ht="30" customHeight="1" thickTop="1" thickBot="1" x14ac:dyDescent="0.25">
      <c r="A19" s="1"/>
      <c r="B19"/>
      <c r="C19" s="140" t="str">
        <f t="shared" si="1"/>
        <v/>
      </c>
      <c r="D19" s="141" t="str">
        <f t="shared" si="2"/>
        <v/>
      </c>
      <c r="E19" s="142">
        <f>VLOOKUP($C19,Jornada!$C$8:$AF$37,30,0)</f>
        <v>0</v>
      </c>
      <c r="F19" s="143">
        <f ca="1">VLOOKUP($C19,Resul!$R$9:$AA$38,F$5,0)</f>
        <v>0</v>
      </c>
      <c r="G19" s="143">
        <f ca="1">VLOOKUP($C19,Resul!$R$9:$AA$38,G$5,0)</f>
        <v>0</v>
      </c>
      <c r="H19" s="143">
        <f ca="1">VLOOKUP($C19,Resul!$R$9:$AA$38,H$5,0)</f>
        <v>0</v>
      </c>
      <c r="I19" s="143">
        <f ca="1">VLOOKUP($C19,Resul!$R$9:$AA$38,I$5,0)</f>
        <v>0</v>
      </c>
      <c r="J19" s="143">
        <f t="shared" ca="1" si="10"/>
        <v>0</v>
      </c>
      <c r="K19" s="144">
        <f t="shared" ca="1" si="11"/>
        <v>0</v>
      </c>
      <c r="L19" s="144" t="str">
        <f t="shared" si="12"/>
        <v/>
      </c>
      <c r="M19" s="145" t="e">
        <f>VLOOKUP($C19,Funcionários!$C$7:$I$36,7,0)</f>
        <v>#N/A</v>
      </c>
      <c r="N19" s="146">
        <f ca="1">VLOOKUP($C19,Resul!$R$9:$BF$38,39,0)</f>
        <v>0</v>
      </c>
      <c r="O19" s="146" t="e">
        <f t="shared" ca="1" si="6"/>
        <v>#VALUE!</v>
      </c>
      <c r="P19" s="146" t="e">
        <f t="shared" ca="1" si="7"/>
        <v>#N/A</v>
      </c>
      <c r="Q19" s="14"/>
      <c r="R19" s="14"/>
      <c r="S19" s="14"/>
      <c r="T19" s="2" t="str">
        <f>IF(Funcionários!C19=0,"",Funcionários!C19)</f>
        <v/>
      </c>
      <c r="U19" s="2"/>
      <c r="V19" s="2"/>
      <c r="W19" s="2">
        <f ca="1">VLOOKUP($C19,Resul!$R$9:$BI$38,44,0)</f>
        <v>0</v>
      </c>
      <c r="X19" s="2">
        <f t="shared" ca="1" si="8"/>
        <v>0</v>
      </c>
      <c r="Y19" s="163">
        <f t="shared" ca="1" si="9"/>
        <v>0</v>
      </c>
      <c r="Z19" s="14"/>
      <c r="AA19" s="186"/>
      <c r="AB19" s="14"/>
      <c r="AC19" s="186"/>
      <c r="AD19" s="14"/>
      <c r="AE19" s="14"/>
      <c r="AF19" s="186"/>
      <c r="AG19" s="14"/>
      <c r="AH19" s="186"/>
      <c r="AI19" s="14"/>
      <c r="AJ19" s="186"/>
      <c r="AK19" s="14"/>
      <c r="AL19" s="186"/>
      <c r="AM19" s="14"/>
      <c r="AN19" s="186"/>
      <c r="AO19" s="14"/>
      <c r="AP19" s="186"/>
      <c r="AQ19" s="14"/>
      <c r="AR19" s="186"/>
      <c r="AS19" s="14"/>
      <c r="AT19" s="186"/>
      <c r="AU19" s="14"/>
      <c r="AV19" s="186"/>
      <c r="AW19" s="14"/>
      <c r="AX19" s="186"/>
      <c r="AY19" s="14"/>
      <c r="AZ19" s="186"/>
      <c r="BA19" s="14"/>
      <c r="BB19" s="186"/>
      <c r="BC19" s="68"/>
      <c r="BD19" s="101"/>
      <c r="BE19" s="68"/>
      <c r="BF19" s="86"/>
      <c r="BG19" s="68"/>
      <c r="BH19" s="86"/>
      <c r="BI19" s="68"/>
      <c r="BJ19" s="68"/>
      <c r="BK19" s="68"/>
      <c r="BL19" s="68"/>
      <c r="BM19" s="68"/>
      <c r="BN19" s="68"/>
      <c r="BO19" s="68"/>
      <c r="BP19" s="68"/>
      <c r="BQ19" s="68"/>
      <c r="BR19" s="68"/>
      <c r="BS19" s="68"/>
      <c r="BT19" s="68"/>
      <c r="BU19" s="68"/>
      <c r="BV19" s="68"/>
      <c r="BW19" s="68"/>
      <c r="BX19" s="68"/>
      <c r="BY19" s="68"/>
      <c r="BZ19" s="68"/>
      <c r="CA19" s="68"/>
      <c r="CB19" s="68"/>
    </row>
    <row r="20" spans="1:80" s="147" customFormat="1" ht="30" customHeight="1" thickTop="1" thickBot="1" x14ac:dyDescent="0.25">
      <c r="A20" s="1"/>
      <c r="B20"/>
      <c r="C20" s="140" t="str">
        <f t="shared" si="1"/>
        <v/>
      </c>
      <c r="D20" s="141" t="str">
        <f t="shared" si="2"/>
        <v/>
      </c>
      <c r="E20" s="142">
        <f>VLOOKUP($C20,Jornada!$C$8:$AF$37,30,0)</f>
        <v>0</v>
      </c>
      <c r="F20" s="143">
        <f ca="1">VLOOKUP($C20,Resul!$R$9:$AA$38,F$5,0)</f>
        <v>0</v>
      </c>
      <c r="G20" s="143">
        <f ca="1">VLOOKUP($C20,Resul!$R$9:$AA$38,G$5,0)</f>
        <v>0</v>
      </c>
      <c r="H20" s="143">
        <f ca="1">VLOOKUP($C20,Resul!$R$9:$AA$38,H$5,0)</f>
        <v>0</v>
      </c>
      <c r="I20" s="143">
        <f ca="1">VLOOKUP($C20,Resul!$R$9:$AA$38,I$5,0)</f>
        <v>0</v>
      </c>
      <c r="J20" s="143">
        <f t="shared" ca="1" si="10"/>
        <v>0</v>
      </c>
      <c r="K20" s="144">
        <f t="shared" ca="1" si="11"/>
        <v>0</v>
      </c>
      <c r="L20" s="144" t="str">
        <f t="shared" si="12"/>
        <v/>
      </c>
      <c r="M20" s="145" t="e">
        <f>VLOOKUP($C20,Funcionários!$C$7:$I$36,7,0)</f>
        <v>#N/A</v>
      </c>
      <c r="N20" s="146">
        <f ca="1">VLOOKUP($C20,Resul!$R$9:$BF$38,39,0)</f>
        <v>0</v>
      </c>
      <c r="O20" s="146" t="e">
        <f t="shared" ca="1" si="6"/>
        <v>#VALUE!</v>
      </c>
      <c r="P20" s="146" t="e">
        <f t="shared" ca="1" si="7"/>
        <v>#N/A</v>
      </c>
      <c r="Q20" s="14"/>
      <c r="R20" s="14"/>
      <c r="S20" s="14"/>
      <c r="T20" s="2" t="str">
        <f>IF(Funcionários!C20=0,"",Funcionários!C20)</f>
        <v/>
      </c>
      <c r="U20" s="2"/>
      <c r="V20" s="2"/>
      <c r="W20" s="2">
        <f ca="1">VLOOKUP($C20,Resul!$R$9:$BI$38,44,0)</f>
        <v>0</v>
      </c>
      <c r="X20" s="2">
        <f t="shared" ca="1" si="8"/>
        <v>0</v>
      </c>
      <c r="Y20" s="163">
        <f t="shared" ca="1" si="9"/>
        <v>0</v>
      </c>
      <c r="Z20" s="14"/>
      <c r="AA20" s="186"/>
      <c r="AB20" s="14"/>
      <c r="AC20" s="186"/>
      <c r="AD20" s="14"/>
      <c r="AE20" s="14"/>
      <c r="AF20" s="186"/>
      <c r="AG20" s="14"/>
      <c r="AH20" s="186"/>
      <c r="AI20" s="14"/>
      <c r="AJ20" s="186"/>
      <c r="AK20" s="14"/>
      <c r="AL20" s="186"/>
      <c r="AM20" s="14"/>
      <c r="AN20" s="186"/>
      <c r="AO20" s="14"/>
      <c r="AP20" s="186"/>
      <c r="AQ20" s="14"/>
      <c r="AR20" s="186"/>
      <c r="AS20" s="14"/>
      <c r="AT20" s="186"/>
      <c r="AU20" s="14"/>
      <c r="AV20" s="186"/>
      <c r="AW20" s="14"/>
      <c r="AX20" s="186"/>
      <c r="AY20" s="14"/>
      <c r="AZ20" s="186"/>
      <c r="BA20" s="14"/>
      <c r="BB20" s="186"/>
      <c r="BC20" s="68"/>
      <c r="BD20" s="101"/>
      <c r="BE20" s="68"/>
      <c r="BF20" s="86"/>
      <c r="BG20" s="68"/>
      <c r="BH20" s="86"/>
      <c r="BI20" s="68"/>
      <c r="BJ20" s="68"/>
      <c r="BK20" s="68"/>
      <c r="BL20" s="68"/>
      <c r="BM20" s="68"/>
      <c r="BN20" s="68"/>
      <c r="BO20" s="68"/>
      <c r="BP20" s="68"/>
      <c r="BQ20" s="68"/>
      <c r="BR20" s="68"/>
      <c r="BS20" s="68"/>
      <c r="BT20" s="68"/>
      <c r="BU20" s="68"/>
      <c r="BV20" s="68"/>
      <c r="BW20" s="68"/>
      <c r="BX20" s="68"/>
      <c r="BY20" s="68"/>
      <c r="BZ20" s="68"/>
      <c r="CA20" s="68"/>
      <c r="CB20" s="68"/>
    </row>
    <row r="21" spans="1:80" s="147" customFormat="1" ht="30" customHeight="1" thickTop="1" thickBot="1" x14ac:dyDescent="0.25">
      <c r="A21" s="1"/>
      <c r="B21"/>
      <c r="C21" s="140" t="str">
        <f t="shared" si="1"/>
        <v/>
      </c>
      <c r="D21" s="141" t="str">
        <f t="shared" si="2"/>
        <v/>
      </c>
      <c r="E21" s="142">
        <f>VLOOKUP($C21,Jornada!$C$8:$AF$37,30,0)</f>
        <v>0</v>
      </c>
      <c r="F21" s="143">
        <f ca="1">VLOOKUP($C21,Resul!$R$9:$AA$38,F$5,0)</f>
        <v>0</v>
      </c>
      <c r="G21" s="143">
        <f ca="1">VLOOKUP($C21,Resul!$R$9:$AA$38,G$5,0)</f>
        <v>0</v>
      </c>
      <c r="H21" s="143">
        <f ca="1">VLOOKUP($C21,Resul!$R$9:$AA$38,H$5,0)</f>
        <v>0</v>
      </c>
      <c r="I21" s="143">
        <f ca="1">VLOOKUP($C21,Resul!$R$9:$AA$38,I$5,0)</f>
        <v>0</v>
      </c>
      <c r="J21" s="143">
        <f t="shared" ca="1" si="10"/>
        <v>0</v>
      </c>
      <c r="K21" s="144">
        <f t="shared" ca="1" si="11"/>
        <v>0</v>
      </c>
      <c r="L21" s="144" t="str">
        <f t="shared" si="12"/>
        <v/>
      </c>
      <c r="M21" s="145" t="e">
        <f>VLOOKUP($C21,Funcionários!$C$7:$I$36,7,0)</f>
        <v>#N/A</v>
      </c>
      <c r="N21" s="146">
        <f ca="1">VLOOKUP($C21,Resul!$R$9:$BF$38,39,0)</f>
        <v>0</v>
      </c>
      <c r="O21" s="146" t="e">
        <f t="shared" ca="1" si="6"/>
        <v>#VALUE!</v>
      </c>
      <c r="P21" s="146" t="e">
        <f t="shared" ca="1" si="7"/>
        <v>#N/A</v>
      </c>
      <c r="Q21" s="14"/>
      <c r="R21" s="14"/>
      <c r="S21" s="14"/>
      <c r="T21" s="2" t="str">
        <f>IF(Funcionários!C21=0,"",Funcionários!C21)</f>
        <v/>
      </c>
      <c r="U21" s="2"/>
      <c r="V21" s="2"/>
      <c r="W21" s="2">
        <f ca="1">VLOOKUP($C21,Resul!$R$9:$BI$38,44,0)</f>
        <v>0</v>
      </c>
      <c r="X21" s="2">
        <f t="shared" ca="1" si="8"/>
        <v>0</v>
      </c>
      <c r="Y21" s="163">
        <f t="shared" ca="1" si="9"/>
        <v>0</v>
      </c>
      <c r="Z21" s="14"/>
      <c r="AA21" s="186"/>
      <c r="AB21" s="14"/>
      <c r="AC21" s="186"/>
      <c r="AD21" s="14"/>
      <c r="AE21" s="14"/>
      <c r="AF21" s="186"/>
      <c r="AG21" s="14"/>
      <c r="AH21" s="186"/>
      <c r="AI21" s="14"/>
      <c r="AJ21" s="186"/>
      <c r="AK21" s="14"/>
      <c r="AL21" s="186"/>
      <c r="AM21" s="14"/>
      <c r="AN21" s="186"/>
      <c r="AO21" s="14"/>
      <c r="AP21" s="186"/>
      <c r="AQ21" s="14"/>
      <c r="AR21" s="186"/>
      <c r="AS21" s="14"/>
      <c r="AT21" s="186"/>
      <c r="AU21" s="14"/>
      <c r="AV21" s="186"/>
      <c r="AW21" s="14"/>
      <c r="AX21" s="186"/>
      <c r="AY21" s="14"/>
      <c r="AZ21" s="186"/>
      <c r="BA21" s="14"/>
      <c r="BB21" s="186"/>
      <c r="BC21" s="68"/>
      <c r="BD21" s="101"/>
      <c r="BE21" s="68"/>
      <c r="BF21" s="86"/>
      <c r="BG21" s="68"/>
      <c r="BH21" s="86"/>
      <c r="BI21" s="68"/>
      <c r="BJ21" s="68"/>
      <c r="BK21" s="68"/>
      <c r="BL21" s="68"/>
      <c r="BM21" s="68"/>
      <c r="BN21" s="68"/>
      <c r="BO21" s="68"/>
      <c r="BP21" s="68"/>
      <c r="BQ21" s="68"/>
      <c r="BR21" s="68"/>
      <c r="BS21" s="68"/>
      <c r="BT21" s="68"/>
      <c r="BU21" s="68"/>
      <c r="BV21" s="68"/>
      <c r="BW21" s="68"/>
      <c r="BX21" s="68"/>
      <c r="BY21" s="68"/>
      <c r="BZ21" s="68"/>
      <c r="CA21" s="68"/>
      <c r="CB21" s="68"/>
    </row>
    <row r="22" spans="1:80" s="147" customFormat="1" ht="30" customHeight="1" thickTop="1" thickBot="1" x14ac:dyDescent="0.25">
      <c r="A22" s="1"/>
      <c r="B22"/>
      <c r="C22" s="140" t="str">
        <f t="shared" si="1"/>
        <v/>
      </c>
      <c r="D22" s="141" t="str">
        <f t="shared" si="2"/>
        <v/>
      </c>
      <c r="E22" s="142">
        <f>VLOOKUP($C22,Jornada!$C$8:$AF$37,30,0)</f>
        <v>0</v>
      </c>
      <c r="F22" s="143">
        <f ca="1">VLOOKUP($C22,Resul!$R$9:$AA$38,F$5,0)</f>
        <v>0</v>
      </c>
      <c r="G22" s="143">
        <f ca="1">VLOOKUP($C22,Resul!$R$9:$AA$38,G$5,0)</f>
        <v>0</v>
      </c>
      <c r="H22" s="143">
        <f ca="1">VLOOKUP($C22,Resul!$R$9:$AA$38,H$5,0)</f>
        <v>0</v>
      </c>
      <c r="I22" s="143">
        <f ca="1">VLOOKUP($C22,Resul!$R$9:$AA$38,I$5,0)</f>
        <v>0</v>
      </c>
      <c r="J22" s="143">
        <f t="shared" ca="1" si="10"/>
        <v>0</v>
      </c>
      <c r="K22" s="144">
        <f t="shared" ca="1" si="11"/>
        <v>0</v>
      </c>
      <c r="L22" s="144" t="str">
        <f t="shared" si="12"/>
        <v/>
      </c>
      <c r="M22" s="145" t="e">
        <f>VLOOKUP($C22,Funcionários!$C$7:$I$36,7,0)</f>
        <v>#N/A</v>
      </c>
      <c r="N22" s="146">
        <f ca="1">VLOOKUP($C22,Resul!$R$9:$BF$38,39,0)</f>
        <v>0</v>
      </c>
      <c r="O22" s="146" t="e">
        <f t="shared" ca="1" si="6"/>
        <v>#VALUE!</v>
      </c>
      <c r="P22" s="146" t="e">
        <f t="shared" ca="1" si="7"/>
        <v>#N/A</v>
      </c>
      <c r="Q22" s="14"/>
      <c r="R22" s="14"/>
      <c r="S22" s="14"/>
      <c r="T22" s="2" t="str">
        <f>IF(Funcionários!C22=0,"",Funcionários!C22)</f>
        <v/>
      </c>
      <c r="U22" s="2"/>
      <c r="V22" s="2"/>
      <c r="W22" s="2">
        <f ca="1">VLOOKUP($C22,Resul!$R$9:$BI$38,44,0)</f>
        <v>0</v>
      </c>
      <c r="X22" s="2">
        <f t="shared" ca="1" si="8"/>
        <v>0</v>
      </c>
      <c r="Y22" s="163">
        <f t="shared" ca="1" si="9"/>
        <v>0</v>
      </c>
      <c r="Z22" s="14"/>
      <c r="AA22" s="186"/>
      <c r="AB22" s="14"/>
      <c r="AC22" s="186"/>
      <c r="AD22" s="14"/>
      <c r="AE22" s="14"/>
      <c r="AF22" s="186"/>
      <c r="AG22" s="14"/>
      <c r="AH22" s="186"/>
      <c r="AI22" s="14"/>
      <c r="AJ22" s="186"/>
      <c r="AK22" s="14"/>
      <c r="AL22" s="186"/>
      <c r="AM22" s="14"/>
      <c r="AN22" s="186"/>
      <c r="AO22" s="14"/>
      <c r="AP22" s="186"/>
      <c r="AQ22" s="14"/>
      <c r="AR22" s="186"/>
      <c r="AS22" s="14"/>
      <c r="AT22" s="186"/>
      <c r="AU22" s="14"/>
      <c r="AV22" s="186"/>
      <c r="AW22" s="14"/>
      <c r="AX22" s="186"/>
      <c r="AY22" s="14"/>
      <c r="AZ22" s="186"/>
      <c r="BA22" s="14"/>
      <c r="BB22" s="186"/>
      <c r="BC22" s="68"/>
      <c r="BD22" s="101"/>
      <c r="BE22" s="68"/>
      <c r="BF22" s="86"/>
      <c r="BG22" s="68"/>
      <c r="BH22" s="86"/>
      <c r="BI22" s="68"/>
      <c r="BJ22" s="68"/>
      <c r="BK22" s="68"/>
      <c r="BL22" s="68"/>
      <c r="BM22" s="68"/>
      <c r="BN22" s="68"/>
      <c r="BO22" s="68"/>
      <c r="BP22" s="68"/>
      <c r="BQ22" s="68"/>
      <c r="BR22" s="68"/>
      <c r="BS22" s="68"/>
      <c r="BT22" s="68"/>
      <c r="BU22" s="68"/>
      <c r="BV22" s="68"/>
      <c r="BW22" s="68"/>
      <c r="BX22" s="68"/>
      <c r="BY22" s="68"/>
      <c r="BZ22" s="68"/>
      <c r="CA22" s="68"/>
      <c r="CB22" s="68"/>
    </row>
    <row r="23" spans="1:80" s="147" customFormat="1" ht="30" customHeight="1" thickTop="1" thickBot="1" x14ac:dyDescent="0.25">
      <c r="A23" s="1"/>
      <c r="B23"/>
      <c r="C23" s="140" t="str">
        <f t="shared" si="1"/>
        <v/>
      </c>
      <c r="D23" s="141" t="str">
        <f t="shared" si="2"/>
        <v/>
      </c>
      <c r="E23" s="142">
        <f>VLOOKUP($C23,Jornada!$C$8:$AF$37,30,0)</f>
        <v>0</v>
      </c>
      <c r="F23" s="143">
        <f ca="1">VLOOKUP($C23,Resul!$R$9:$AA$38,F$5,0)</f>
        <v>0</v>
      </c>
      <c r="G23" s="143">
        <f ca="1">VLOOKUP($C23,Resul!$R$9:$AA$38,G$5,0)</f>
        <v>0</v>
      </c>
      <c r="H23" s="143">
        <f ca="1">VLOOKUP($C23,Resul!$R$9:$AA$38,H$5,0)</f>
        <v>0</v>
      </c>
      <c r="I23" s="143">
        <f ca="1">VLOOKUP($C23,Resul!$R$9:$AA$38,I$5,0)</f>
        <v>0</v>
      </c>
      <c r="J23" s="143">
        <f t="shared" ca="1" si="10"/>
        <v>0</v>
      </c>
      <c r="K23" s="144">
        <f t="shared" ca="1" si="11"/>
        <v>0</v>
      </c>
      <c r="L23" s="144" t="str">
        <f t="shared" si="12"/>
        <v/>
      </c>
      <c r="M23" s="145" t="e">
        <f>VLOOKUP($C23,Funcionários!$C$7:$I$36,7,0)</f>
        <v>#N/A</v>
      </c>
      <c r="N23" s="146">
        <f ca="1">VLOOKUP($C23,Resul!$R$9:$BF$38,39,0)</f>
        <v>0</v>
      </c>
      <c r="O23" s="146" t="e">
        <f t="shared" ca="1" si="6"/>
        <v>#VALUE!</v>
      </c>
      <c r="P23" s="146" t="e">
        <f t="shared" ca="1" si="7"/>
        <v>#N/A</v>
      </c>
      <c r="Q23" s="14"/>
      <c r="R23" s="14"/>
      <c r="S23" s="14"/>
      <c r="T23" s="2" t="str">
        <f>IF(Funcionários!C23=0,"",Funcionários!C23)</f>
        <v/>
      </c>
      <c r="U23" s="2"/>
      <c r="V23" s="2"/>
      <c r="W23" s="2">
        <f ca="1">VLOOKUP($C23,Resul!$R$9:$BI$38,44,0)</f>
        <v>0</v>
      </c>
      <c r="X23" s="2">
        <f t="shared" ca="1" si="8"/>
        <v>0</v>
      </c>
      <c r="Y23" s="163">
        <f t="shared" ca="1" si="9"/>
        <v>0</v>
      </c>
      <c r="Z23" s="14"/>
      <c r="AA23" s="186"/>
      <c r="AB23" s="14"/>
      <c r="AC23" s="186"/>
      <c r="AD23" s="14"/>
      <c r="AE23" s="14"/>
      <c r="AF23" s="186"/>
      <c r="AG23" s="14"/>
      <c r="AH23" s="186"/>
      <c r="AI23" s="14"/>
      <c r="AJ23" s="186"/>
      <c r="AK23" s="14"/>
      <c r="AL23" s="186"/>
      <c r="AM23" s="14"/>
      <c r="AN23" s="186"/>
      <c r="AO23" s="14"/>
      <c r="AP23" s="186"/>
      <c r="AQ23" s="14"/>
      <c r="AR23" s="186"/>
      <c r="AS23" s="14"/>
      <c r="AT23" s="186"/>
      <c r="AU23" s="14"/>
      <c r="AV23" s="186"/>
      <c r="AW23" s="14"/>
      <c r="AX23" s="186"/>
      <c r="AY23" s="14"/>
      <c r="AZ23" s="186"/>
      <c r="BA23" s="14"/>
      <c r="BB23" s="186"/>
      <c r="BC23" s="68"/>
      <c r="BD23" s="101"/>
      <c r="BE23" s="68"/>
      <c r="BF23" s="86"/>
      <c r="BG23" s="68"/>
      <c r="BH23" s="86"/>
      <c r="BI23" s="68"/>
      <c r="BJ23" s="68"/>
      <c r="BK23" s="68"/>
      <c r="BL23" s="68"/>
      <c r="BM23" s="68"/>
      <c r="BN23" s="68"/>
      <c r="BO23" s="68"/>
      <c r="BP23" s="68"/>
      <c r="BQ23" s="68"/>
      <c r="BR23" s="68"/>
      <c r="BS23" s="68"/>
      <c r="BT23" s="68"/>
      <c r="BU23" s="68"/>
      <c r="BV23" s="68"/>
      <c r="BW23" s="68"/>
      <c r="BX23" s="68"/>
      <c r="BY23" s="68"/>
      <c r="BZ23" s="68"/>
      <c r="CA23" s="68"/>
      <c r="CB23" s="68"/>
    </row>
    <row r="24" spans="1:80" s="147" customFormat="1" ht="30" customHeight="1" thickTop="1" thickBot="1" x14ac:dyDescent="0.25">
      <c r="A24" s="1"/>
      <c r="B24"/>
      <c r="C24" s="140" t="str">
        <f t="shared" si="1"/>
        <v/>
      </c>
      <c r="D24" s="141" t="str">
        <f t="shared" si="2"/>
        <v/>
      </c>
      <c r="E24" s="142">
        <f>VLOOKUP($C24,Jornada!$C$8:$AF$37,30,0)</f>
        <v>0</v>
      </c>
      <c r="F24" s="143">
        <f ca="1">VLOOKUP($C24,Resul!$R$9:$AA$38,F$5,0)</f>
        <v>0</v>
      </c>
      <c r="G24" s="143">
        <f ca="1">VLOOKUP($C24,Resul!$R$9:$AA$38,G$5,0)</f>
        <v>0</v>
      </c>
      <c r="H24" s="143">
        <f ca="1">VLOOKUP($C24,Resul!$R$9:$AA$38,H$5,0)</f>
        <v>0</v>
      </c>
      <c r="I24" s="143">
        <f ca="1">VLOOKUP($C24,Resul!$R$9:$AA$38,I$5,0)</f>
        <v>0</v>
      </c>
      <c r="J24" s="143">
        <f t="shared" ca="1" si="10"/>
        <v>0</v>
      </c>
      <c r="K24" s="144">
        <f t="shared" ca="1" si="11"/>
        <v>0</v>
      </c>
      <c r="L24" s="144" t="str">
        <f t="shared" si="12"/>
        <v/>
      </c>
      <c r="M24" s="145" t="e">
        <f>VLOOKUP($C24,Funcionários!$C$7:$I$36,7,0)</f>
        <v>#N/A</v>
      </c>
      <c r="N24" s="146">
        <f ca="1">VLOOKUP($C24,Resul!$R$9:$BF$38,39,0)</f>
        <v>0</v>
      </c>
      <c r="O24" s="146" t="e">
        <f t="shared" ca="1" si="6"/>
        <v>#VALUE!</v>
      </c>
      <c r="P24" s="146" t="e">
        <f t="shared" ca="1" si="7"/>
        <v>#N/A</v>
      </c>
      <c r="Q24" s="14"/>
      <c r="R24" s="14"/>
      <c r="S24" s="14"/>
      <c r="T24" s="2" t="str">
        <f>IF(Funcionários!C24=0,"",Funcionários!C24)</f>
        <v/>
      </c>
      <c r="U24" s="2"/>
      <c r="V24" s="2"/>
      <c r="W24" s="2">
        <f ca="1">VLOOKUP($C24,Resul!$R$9:$BI$38,44,0)</f>
        <v>0</v>
      </c>
      <c r="X24" s="2">
        <f t="shared" ca="1" si="8"/>
        <v>0</v>
      </c>
      <c r="Y24" s="163">
        <f t="shared" ca="1" si="9"/>
        <v>0</v>
      </c>
      <c r="Z24" s="14"/>
      <c r="AA24" s="186"/>
      <c r="AB24" s="14"/>
      <c r="AC24" s="186"/>
      <c r="AD24" s="14"/>
      <c r="AE24" s="14"/>
      <c r="AF24" s="186"/>
      <c r="AG24" s="14"/>
      <c r="AH24" s="186"/>
      <c r="AI24" s="14"/>
      <c r="AJ24" s="186"/>
      <c r="AK24" s="14"/>
      <c r="AL24" s="186"/>
      <c r="AM24" s="14"/>
      <c r="AN24" s="186"/>
      <c r="AO24" s="14"/>
      <c r="AP24" s="186"/>
      <c r="AQ24" s="14"/>
      <c r="AR24" s="186"/>
      <c r="AS24" s="14"/>
      <c r="AT24" s="186"/>
      <c r="AU24" s="14"/>
      <c r="AV24" s="186"/>
      <c r="AW24" s="14"/>
      <c r="AX24" s="186"/>
      <c r="AY24" s="14"/>
      <c r="AZ24" s="186"/>
      <c r="BA24" s="14"/>
      <c r="BB24" s="186"/>
      <c r="BC24" s="68"/>
      <c r="BD24" s="101"/>
      <c r="BE24" s="68"/>
      <c r="BF24" s="86"/>
      <c r="BG24" s="68"/>
      <c r="BH24" s="86"/>
      <c r="BI24" s="68"/>
      <c r="BJ24" s="68"/>
      <c r="BK24" s="68"/>
      <c r="BL24" s="68"/>
      <c r="BM24" s="68"/>
      <c r="BN24" s="68"/>
      <c r="BO24" s="68"/>
      <c r="BP24" s="68"/>
      <c r="BQ24" s="68"/>
      <c r="BR24" s="68"/>
      <c r="BS24" s="68"/>
      <c r="BT24" s="68"/>
      <c r="BU24" s="68"/>
      <c r="BV24" s="68"/>
      <c r="BW24" s="68"/>
      <c r="BX24" s="68"/>
      <c r="BY24" s="68"/>
      <c r="BZ24" s="68"/>
      <c r="CA24" s="68"/>
      <c r="CB24" s="68"/>
    </row>
    <row r="25" spans="1:80" s="147" customFormat="1" ht="30" customHeight="1" thickTop="1" thickBot="1" x14ac:dyDescent="0.25">
      <c r="A25" s="1"/>
      <c r="B25"/>
      <c r="C25" s="140" t="str">
        <f t="shared" si="1"/>
        <v/>
      </c>
      <c r="D25" s="141" t="str">
        <f t="shared" si="2"/>
        <v/>
      </c>
      <c r="E25" s="142">
        <f>VLOOKUP($C25,Jornada!$C$8:$AF$37,30,0)</f>
        <v>0</v>
      </c>
      <c r="F25" s="143">
        <f ca="1">VLOOKUP($C25,Resul!$R$9:$AA$38,F$5,0)</f>
        <v>0</v>
      </c>
      <c r="G25" s="143">
        <f ca="1">VLOOKUP($C25,Resul!$R$9:$AA$38,G$5,0)</f>
        <v>0</v>
      </c>
      <c r="H25" s="143">
        <f ca="1">VLOOKUP($C25,Resul!$R$9:$AA$38,H$5,0)</f>
        <v>0</v>
      </c>
      <c r="I25" s="143">
        <f ca="1">VLOOKUP($C25,Resul!$R$9:$AA$38,I$5,0)</f>
        <v>0</v>
      </c>
      <c r="J25" s="143">
        <f t="shared" ca="1" si="10"/>
        <v>0</v>
      </c>
      <c r="K25" s="144">
        <f t="shared" ca="1" si="11"/>
        <v>0</v>
      </c>
      <c r="L25" s="144" t="str">
        <f t="shared" si="12"/>
        <v/>
      </c>
      <c r="M25" s="145" t="e">
        <f>VLOOKUP($C25,Funcionários!$C$7:$I$36,7,0)</f>
        <v>#N/A</v>
      </c>
      <c r="N25" s="146">
        <f ca="1">VLOOKUP($C25,Resul!$R$9:$BF$38,39,0)</f>
        <v>0</v>
      </c>
      <c r="O25" s="146" t="e">
        <f t="shared" ca="1" si="6"/>
        <v>#VALUE!</v>
      </c>
      <c r="P25" s="146" t="e">
        <f t="shared" ca="1" si="7"/>
        <v>#N/A</v>
      </c>
      <c r="Q25" s="14"/>
      <c r="R25" s="14"/>
      <c r="S25" s="14"/>
      <c r="T25" s="2" t="str">
        <f>IF(Funcionários!C25=0,"",Funcionários!C25)</f>
        <v/>
      </c>
      <c r="U25" s="2"/>
      <c r="V25" s="2"/>
      <c r="W25" s="2">
        <f ca="1">VLOOKUP($C25,Resul!$R$9:$BI$38,44,0)</f>
        <v>0</v>
      </c>
      <c r="X25" s="2">
        <f t="shared" ca="1" si="8"/>
        <v>0</v>
      </c>
      <c r="Y25" s="163">
        <f t="shared" ca="1" si="9"/>
        <v>0</v>
      </c>
      <c r="Z25" s="14"/>
      <c r="AA25" s="186"/>
      <c r="AB25" s="14"/>
      <c r="AC25" s="186"/>
      <c r="AD25" s="14"/>
      <c r="AE25" s="14"/>
      <c r="AF25" s="186"/>
      <c r="AG25" s="14"/>
      <c r="AH25" s="186"/>
      <c r="AI25" s="14"/>
      <c r="AJ25" s="186"/>
      <c r="AK25" s="14"/>
      <c r="AL25" s="186"/>
      <c r="AM25" s="14"/>
      <c r="AN25" s="186"/>
      <c r="AO25" s="14"/>
      <c r="AP25" s="186"/>
      <c r="AQ25" s="14"/>
      <c r="AR25" s="186"/>
      <c r="AS25" s="14"/>
      <c r="AT25" s="186"/>
      <c r="AU25" s="14"/>
      <c r="AV25" s="186"/>
      <c r="AW25" s="14"/>
      <c r="AX25" s="186"/>
      <c r="AY25" s="14"/>
      <c r="AZ25" s="186"/>
      <c r="BA25" s="14"/>
      <c r="BB25" s="186"/>
      <c r="BC25" s="68"/>
      <c r="BD25" s="101"/>
      <c r="BE25" s="68"/>
      <c r="BF25" s="86"/>
      <c r="BG25" s="68"/>
      <c r="BH25" s="86"/>
      <c r="BI25" s="68"/>
      <c r="BJ25" s="68"/>
      <c r="BK25" s="68"/>
      <c r="BL25" s="68"/>
      <c r="BM25" s="68"/>
      <c r="BN25" s="68"/>
      <c r="BO25" s="68"/>
      <c r="BP25" s="68"/>
      <c r="BQ25" s="68"/>
      <c r="BR25" s="68"/>
      <c r="BS25" s="68"/>
      <c r="BT25" s="68"/>
      <c r="BU25" s="68"/>
      <c r="BV25" s="68"/>
      <c r="BW25" s="68"/>
      <c r="BX25" s="68"/>
      <c r="BY25" s="68"/>
      <c r="BZ25" s="68"/>
      <c r="CA25" s="68"/>
      <c r="CB25" s="68"/>
    </row>
    <row r="26" spans="1:80" s="147" customFormat="1" ht="30" customHeight="1" thickTop="1" thickBot="1" x14ac:dyDescent="0.25">
      <c r="A26" s="1"/>
      <c r="B26"/>
      <c r="C26" s="140" t="str">
        <f t="shared" si="1"/>
        <v/>
      </c>
      <c r="D26" s="141" t="str">
        <f t="shared" si="2"/>
        <v/>
      </c>
      <c r="E26" s="142">
        <f>VLOOKUP($C26,Jornada!$C$8:$AF$37,30,0)</f>
        <v>0</v>
      </c>
      <c r="F26" s="143">
        <f ca="1">VLOOKUP($C26,Resul!$R$9:$AA$38,F$5,0)</f>
        <v>0</v>
      </c>
      <c r="G26" s="143">
        <f ca="1">VLOOKUP($C26,Resul!$R$9:$AA$38,G$5,0)</f>
        <v>0</v>
      </c>
      <c r="H26" s="143">
        <f ca="1">VLOOKUP($C26,Resul!$R$9:$AA$38,H$5,0)</f>
        <v>0</v>
      </c>
      <c r="I26" s="143">
        <f ca="1">VLOOKUP($C26,Resul!$R$9:$AA$38,I$5,0)</f>
        <v>0</v>
      </c>
      <c r="J26" s="143">
        <f t="shared" ca="1" si="10"/>
        <v>0</v>
      </c>
      <c r="K26" s="144">
        <f t="shared" ca="1" si="11"/>
        <v>0</v>
      </c>
      <c r="L26" s="144" t="str">
        <f t="shared" si="12"/>
        <v/>
      </c>
      <c r="M26" s="145" t="e">
        <f>VLOOKUP($C26,Funcionários!$C$7:$I$36,7,0)</f>
        <v>#N/A</v>
      </c>
      <c r="N26" s="146">
        <f ca="1">VLOOKUP($C26,Resul!$R$9:$BF$38,39,0)</f>
        <v>0</v>
      </c>
      <c r="O26" s="146" t="e">
        <f t="shared" ca="1" si="6"/>
        <v>#VALUE!</v>
      </c>
      <c r="P26" s="146" t="e">
        <f t="shared" ca="1" si="7"/>
        <v>#N/A</v>
      </c>
      <c r="Q26" s="14"/>
      <c r="R26" s="14"/>
      <c r="S26" s="14"/>
      <c r="T26" s="2" t="str">
        <f>IF(Funcionários!C26=0,"",Funcionários!C26)</f>
        <v/>
      </c>
      <c r="U26" s="2"/>
      <c r="V26" s="2"/>
      <c r="W26" s="2">
        <f ca="1">VLOOKUP($C26,Resul!$R$9:$BI$38,44,0)</f>
        <v>0</v>
      </c>
      <c r="X26" s="2">
        <f t="shared" ca="1" si="8"/>
        <v>0</v>
      </c>
      <c r="Y26" s="163">
        <f t="shared" ca="1" si="9"/>
        <v>0</v>
      </c>
      <c r="Z26" s="14"/>
      <c r="AA26" s="186"/>
      <c r="AB26" s="14"/>
      <c r="AC26" s="186"/>
      <c r="AD26" s="14"/>
      <c r="AE26" s="14"/>
      <c r="AF26" s="186"/>
      <c r="AG26" s="14"/>
      <c r="AH26" s="186"/>
      <c r="AI26" s="14"/>
      <c r="AJ26" s="186"/>
      <c r="AK26" s="14"/>
      <c r="AL26" s="186"/>
      <c r="AM26" s="14"/>
      <c r="AN26" s="186"/>
      <c r="AO26" s="14"/>
      <c r="AP26" s="186"/>
      <c r="AQ26" s="14"/>
      <c r="AR26" s="186"/>
      <c r="AS26" s="14"/>
      <c r="AT26" s="186"/>
      <c r="AU26" s="14"/>
      <c r="AV26" s="186"/>
      <c r="AW26" s="14"/>
      <c r="AX26" s="186"/>
      <c r="AY26" s="14"/>
      <c r="AZ26" s="186"/>
      <c r="BA26" s="14"/>
      <c r="BB26" s="186"/>
      <c r="BC26" s="68"/>
      <c r="BD26" s="101"/>
      <c r="BE26" s="68"/>
      <c r="BF26" s="86"/>
      <c r="BG26" s="68"/>
      <c r="BH26" s="86"/>
      <c r="BI26" s="68"/>
      <c r="BJ26" s="68"/>
      <c r="BK26" s="68"/>
      <c r="BL26" s="68"/>
      <c r="BM26" s="68"/>
      <c r="BN26" s="68"/>
      <c r="BO26" s="68"/>
      <c r="BP26" s="68"/>
      <c r="BQ26" s="68"/>
      <c r="BR26" s="68"/>
      <c r="BS26" s="68"/>
      <c r="BT26" s="68"/>
      <c r="BU26" s="68"/>
      <c r="BV26" s="68"/>
      <c r="BW26" s="68"/>
      <c r="BX26" s="68"/>
      <c r="BY26" s="68"/>
      <c r="BZ26" s="68"/>
      <c r="CA26" s="68"/>
      <c r="CB26" s="68"/>
    </row>
    <row r="27" spans="1:80" s="147" customFormat="1" ht="30" customHeight="1" thickTop="1" thickBot="1" x14ac:dyDescent="0.25">
      <c r="A27" s="1"/>
      <c r="B27"/>
      <c r="C27" s="140" t="str">
        <f t="shared" si="1"/>
        <v/>
      </c>
      <c r="D27" s="141" t="str">
        <f t="shared" si="2"/>
        <v/>
      </c>
      <c r="E27" s="142">
        <f>VLOOKUP($C27,Jornada!$C$8:$AF$37,30,0)</f>
        <v>0</v>
      </c>
      <c r="F27" s="143">
        <f ca="1">VLOOKUP($C27,Resul!$R$9:$AA$38,F$5,0)</f>
        <v>0</v>
      </c>
      <c r="G27" s="143">
        <f ca="1">VLOOKUP($C27,Resul!$R$9:$AA$38,G$5,0)</f>
        <v>0</v>
      </c>
      <c r="H27" s="143">
        <f ca="1">VLOOKUP($C27,Resul!$R$9:$AA$38,H$5,0)</f>
        <v>0</v>
      </c>
      <c r="I27" s="143">
        <f ca="1">VLOOKUP($C27,Resul!$R$9:$AA$38,I$5,0)</f>
        <v>0</v>
      </c>
      <c r="J27" s="143">
        <f t="shared" ca="1" si="10"/>
        <v>0</v>
      </c>
      <c r="K27" s="144">
        <f t="shared" ca="1" si="11"/>
        <v>0</v>
      </c>
      <c r="L27" s="144" t="str">
        <f t="shared" si="12"/>
        <v/>
      </c>
      <c r="M27" s="145" t="e">
        <f>VLOOKUP($C27,Funcionários!$C$7:$I$36,7,0)</f>
        <v>#N/A</v>
      </c>
      <c r="N27" s="146">
        <f ca="1">VLOOKUP($C27,Resul!$R$9:$BF$38,39,0)</f>
        <v>0</v>
      </c>
      <c r="O27" s="146" t="e">
        <f t="shared" ca="1" si="6"/>
        <v>#VALUE!</v>
      </c>
      <c r="P27" s="146" t="e">
        <f t="shared" ca="1" si="7"/>
        <v>#N/A</v>
      </c>
      <c r="Q27" s="14"/>
      <c r="R27" s="14"/>
      <c r="S27" s="14"/>
      <c r="T27" s="2" t="str">
        <f>IF(Funcionários!C27=0,"",Funcionários!C27)</f>
        <v/>
      </c>
      <c r="U27" s="2"/>
      <c r="V27" s="2"/>
      <c r="W27" s="2">
        <f ca="1">VLOOKUP($C27,Resul!$R$9:$BI$38,44,0)</f>
        <v>0</v>
      </c>
      <c r="X27" s="2">
        <f t="shared" ca="1" si="8"/>
        <v>0</v>
      </c>
      <c r="Y27" s="163">
        <f t="shared" ca="1" si="9"/>
        <v>0</v>
      </c>
      <c r="Z27" s="14"/>
      <c r="AA27" s="186"/>
      <c r="AB27" s="14"/>
      <c r="AC27" s="186"/>
      <c r="AD27" s="14"/>
      <c r="AE27" s="14"/>
      <c r="AF27" s="186"/>
      <c r="AG27" s="14"/>
      <c r="AH27" s="186"/>
      <c r="AI27" s="14"/>
      <c r="AJ27" s="186"/>
      <c r="AK27" s="14"/>
      <c r="AL27" s="186"/>
      <c r="AM27" s="14"/>
      <c r="AN27" s="186"/>
      <c r="AO27" s="14"/>
      <c r="AP27" s="186"/>
      <c r="AQ27" s="14"/>
      <c r="AR27" s="186"/>
      <c r="AS27" s="14"/>
      <c r="AT27" s="186"/>
      <c r="AU27" s="14"/>
      <c r="AV27" s="186"/>
      <c r="AW27" s="14"/>
      <c r="AX27" s="186"/>
      <c r="AY27" s="14"/>
      <c r="AZ27" s="186"/>
      <c r="BA27" s="14"/>
      <c r="BB27" s="186"/>
      <c r="BC27" s="68"/>
      <c r="BD27" s="101"/>
      <c r="BE27" s="68"/>
      <c r="BF27" s="86"/>
      <c r="BG27" s="68"/>
      <c r="BH27" s="86"/>
      <c r="BI27" s="68"/>
      <c r="BJ27" s="68"/>
      <c r="BK27" s="68"/>
      <c r="BL27" s="68"/>
      <c r="BM27" s="68"/>
      <c r="BN27" s="68"/>
      <c r="BO27" s="68"/>
      <c r="BP27" s="68"/>
      <c r="BQ27" s="68"/>
      <c r="BR27" s="68"/>
      <c r="BS27" s="68"/>
      <c r="BT27" s="68"/>
      <c r="BU27" s="68"/>
      <c r="BV27" s="68"/>
      <c r="BW27" s="68"/>
      <c r="BX27" s="68"/>
      <c r="BY27" s="68"/>
      <c r="BZ27" s="68"/>
      <c r="CA27" s="68"/>
      <c r="CB27" s="68"/>
    </row>
    <row r="28" spans="1:80" s="147" customFormat="1" ht="30" customHeight="1" thickTop="1" thickBot="1" x14ac:dyDescent="0.25">
      <c r="A28" s="1"/>
      <c r="B28"/>
      <c r="C28" s="140" t="str">
        <f t="shared" si="1"/>
        <v/>
      </c>
      <c r="D28" s="141" t="str">
        <f t="shared" si="2"/>
        <v/>
      </c>
      <c r="E28" s="142">
        <f>VLOOKUP($C28,Jornada!$C$8:$AF$37,30,0)</f>
        <v>0</v>
      </c>
      <c r="F28" s="143">
        <f ca="1">VLOOKUP($C28,Resul!$R$9:$AA$38,F$5,0)</f>
        <v>0</v>
      </c>
      <c r="G28" s="143">
        <f ca="1">VLOOKUP($C28,Resul!$R$9:$AA$38,G$5,0)</f>
        <v>0</v>
      </c>
      <c r="H28" s="143">
        <f ca="1">VLOOKUP($C28,Resul!$R$9:$AA$38,H$5,0)</f>
        <v>0</v>
      </c>
      <c r="I28" s="143">
        <f ca="1">VLOOKUP($C28,Resul!$R$9:$AA$38,I$5,0)</f>
        <v>0</v>
      </c>
      <c r="J28" s="143">
        <f t="shared" ca="1" si="10"/>
        <v>0</v>
      </c>
      <c r="K28" s="144">
        <f t="shared" ca="1" si="11"/>
        <v>0</v>
      </c>
      <c r="L28" s="144" t="str">
        <f t="shared" si="12"/>
        <v/>
      </c>
      <c r="M28" s="145" t="e">
        <f>VLOOKUP($C28,Funcionários!$C$7:$I$36,7,0)</f>
        <v>#N/A</v>
      </c>
      <c r="N28" s="146">
        <f ca="1">VLOOKUP($C28,Resul!$R$9:$BF$38,39,0)</f>
        <v>0</v>
      </c>
      <c r="O28" s="146" t="e">
        <f t="shared" ca="1" si="6"/>
        <v>#VALUE!</v>
      </c>
      <c r="P28" s="146" t="e">
        <f t="shared" ca="1" si="7"/>
        <v>#N/A</v>
      </c>
      <c r="Q28" s="14"/>
      <c r="R28" s="14"/>
      <c r="S28" s="14"/>
      <c r="T28" s="2" t="str">
        <f>IF(Funcionários!C28=0,"",Funcionários!C28)</f>
        <v/>
      </c>
      <c r="U28" s="2"/>
      <c r="V28" s="2"/>
      <c r="W28" s="2">
        <f ca="1">VLOOKUP($C28,Resul!$R$9:$BI$38,44,0)</f>
        <v>0</v>
      </c>
      <c r="X28" s="2">
        <f t="shared" ca="1" si="8"/>
        <v>0</v>
      </c>
      <c r="Y28" s="163">
        <f t="shared" ca="1" si="9"/>
        <v>0</v>
      </c>
      <c r="Z28" s="14"/>
      <c r="AA28" s="186"/>
      <c r="AB28" s="14"/>
      <c r="AC28" s="186"/>
      <c r="AD28" s="14"/>
      <c r="AE28" s="14"/>
      <c r="AF28" s="186"/>
      <c r="AG28" s="14"/>
      <c r="AH28" s="186"/>
      <c r="AI28" s="14"/>
      <c r="AJ28" s="186"/>
      <c r="AK28" s="14"/>
      <c r="AL28" s="186"/>
      <c r="AM28" s="14"/>
      <c r="AN28" s="186"/>
      <c r="AO28" s="14"/>
      <c r="AP28" s="186"/>
      <c r="AQ28" s="14"/>
      <c r="AR28" s="186"/>
      <c r="AS28" s="14"/>
      <c r="AT28" s="186"/>
      <c r="AU28" s="14"/>
      <c r="AV28" s="186"/>
      <c r="AW28" s="14"/>
      <c r="AX28" s="186"/>
      <c r="AY28" s="14"/>
      <c r="AZ28" s="186"/>
      <c r="BA28" s="14"/>
      <c r="BB28" s="186"/>
      <c r="BC28" s="68"/>
      <c r="BD28" s="101"/>
      <c r="BE28" s="68"/>
      <c r="BF28" s="86"/>
      <c r="BG28" s="68"/>
      <c r="BH28" s="86"/>
      <c r="BI28" s="68"/>
      <c r="BJ28" s="68"/>
      <c r="BK28" s="68"/>
      <c r="BL28" s="68"/>
      <c r="BM28" s="68"/>
      <c r="BN28" s="68"/>
      <c r="BO28" s="68"/>
      <c r="BP28" s="68"/>
      <c r="BQ28" s="68"/>
      <c r="BR28" s="68"/>
      <c r="BS28" s="68"/>
      <c r="BT28" s="68"/>
      <c r="BU28" s="68"/>
      <c r="BV28" s="68"/>
      <c r="BW28" s="68"/>
      <c r="BX28" s="68"/>
      <c r="BY28" s="68"/>
      <c r="BZ28" s="68"/>
      <c r="CA28" s="68"/>
      <c r="CB28" s="68"/>
    </row>
    <row r="29" spans="1:80" s="147" customFormat="1" ht="30" customHeight="1" thickTop="1" thickBot="1" x14ac:dyDescent="0.25">
      <c r="A29" s="1"/>
      <c r="B29"/>
      <c r="C29" s="140" t="str">
        <f t="shared" si="1"/>
        <v/>
      </c>
      <c r="D29" s="141" t="str">
        <f t="shared" si="2"/>
        <v/>
      </c>
      <c r="E29" s="142">
        <f>VLOOKUP($C29,Jornada!$C$8:$AF$37,30,0)</f>
        <v>0</v>
      </c>
      <c r="F29" s="143">
        <f ca="1">VLOOKUP($C29,Resul!$R$9:$AA$38,F$5,0)</f>
        <v>0</v>
      </c>
      <c r="G29" s="143">
        <f ca="1">VLOOKUP($C29,Resul!$R$9:$AA$38,G$5,0)</f>
        <v>0</v>
      </c>
      <c r="H29" s="143">
        <f ca="1">VLOOKUP($C29,Resul!$R$9:$AA$38,H$5,0)</f>
        <v>0</v>
      </c>
      <c r="I29" s="143">
        <f ca="1">VLOOKUP($C29,Resul!$R$9:$AA$38,I$5,0)</f>
        <v>0</v>
      </c>
      <c r="J29" s="143">
        <f t="shared" ca="1" si="10"/>
        <v>0</v>
      </c>
      <c r="K29" s="144">
        <f t="shared" ca="1" si="11"/>
        <v>0</v>
      </c>
      <c r="L29" s="144" t="str">
        <f t="shared" si="12"/>
        <v/>
      </c>
      <c r="M29" s="145" t="e">
        <f>VLOOKUP($C29,Funcionários!$C$7:$I$36,7,0)</f>
        <v>#N/A</v>
      </c>
      <c r="N29" s="146">
        <f ca="1">VLOOKUP($C29,Resul!$R$9:$BF$38,39,0)</f>
        <v>0</v>
      </c>
      <c r="O29" s="146" t="e">
        <f t="shared" ca="1" si="6"/>
        <v>#VALUE!</v>
      </c>
      <c r="P29" s="146" t="e">
        <f t="shared" ca="1" si="7"/>
        <v>#N/A</v>
      </c>
      <c r="Q29" s="14"/>
      <c r="R29" s="14"/>
      <c r="S29" s="14"/>
      <c r="T29" s="2" t="str">
        <f>IF(Funcionários!C29=0,"",Funcionários!C29)</f>
        <v/>
      </c>
      <c r="U29" s="2"/>
      <c r="V29" s="2"/>
      <c r="W29" s="2">
        <f ca="1">VLOOKUP($C29,Resul!$R$9:$BI$38,44,0)</f>
        <v>0</v>
      </c>
      <c r="X29" s="2">
        <f t="shared" ca="1" si="8"/>
        <v>0</v>
      </c>
      <c r="Y29" s="163">
        <f t="shared" ca="1" si="9"/>
        <v>0</v>
      </c>
      <c r="Z29" s="14"/>
      <c r="AA29" s="186"/>
      <c r="AB29" s="14"/>
      <c r="AC29" s="186"/>
      <c r="AD29" s="14"/>
      <c r="AE29" s="14"/>
      <c r="AF29" s="186"/>
      <c r="AG29" s="14"/>
      <c r="AH29" s="186"/>
      <c r="AI29" s="14"/>
      <c r="AJ29" s="186"/>
      <c r="AK29" s="14"/>
      <c r="AL29" s="186"/>
      <c r="AM29" s="14"/>
      <c r="AN29" s="186"/>
      <c r="AO29" s="14"/>
      <c r="AP29" s="186"/>
      <c r="AQ29" s="14"/>
      <c r="AR29" s="186"/>
      <c r="AS29" s="14"/>
      <c r="AT29" s="186"/>
      <c r="AU29" s="14"/>
      <c r="AV29" s="186"/>
      <c r="AW29" s="14"/>
      <c r="AX29" s="186"/>
      <c r="AY29" s="14"/>
      <c r="AZ29" s="186"/>
      <c r="BA29" s="14"/>
      <c r="BB29" s="186"/>
      <c r="BC29" s="68"/>
      <c r="BD29" s="101"/>
      <c r="BE29" s="68"/>
      <c r="BF29" s="86"/>
      <c r="BG29" s="68"/>
      <c r="BH29" s="86"/>
      <c r="BI29" s="68"/>
      <c r="BJ29" s="68"/>
      <c r="BK29" s="68"/>
      <c r="BL29" s="68"/>
      <c r="BM29" s="68"/>
      <c r="BN29" s="68"/>
      <c r="BO29" s="68"/>
      <c r="BP29" s="68"/>
      <c r="BQ29" s="68"/>
      <c r="BR29" s="68"/>
      <c r="BS29" s="68"/>
      <c r="BT29" s="68"/>
      <c r="BU29" s="68"/>
      <c r="BV29" s="68"/>
      <c r="BW29" s="68"/>
      <c r="BX29" s="68"/>
      <c r="BY29" s="68"/>
      <c r="BZ29" s="68"/>
      <c r="CA29" s="68"/>
      <c r="CB29" s="68"/>
    </row>
    <row r="30" spans="1:80" s="147" customFormat="1" ht="30" customHeight="1" thickTop="1" thickBot="1" x14ac:dyDescent="0.25">
      <c r="A30" s="1"/>
      <c r="B30"/>
      <c r="C30" s="140" t="str">
        <f t="shared" si="1"/>
        <v/>
      </c>
      <c r="D30" s="141" t="str">
        <f t="shared" si="2"/>
        <v/>
      </c>
      <c r="E30" s="142">
        <f>VLOOKUP($C30,Jornada!$C$8:$AF$37,30,0)</f>
        <v>0</v>
      </c>
      <c r="F30" s="143">
        <f ca="1">VLOOKUP($C30,Resul!$R$9:$AA$38,F$5,0)</f>
        <v>0</v>
      </c>
      <c r="G30" s="143">
        <f ca="1">VLOOKUP($C30,Resul!$R$9:$AA$38,G$5,0)</f>
        <v>0</v>
      </c>
      <c r="H30" s="143">
        <f ca="1">VLOOKUP($C30,Resul!$R$9:$AA$38,H$5,0)</f>
        <v>0</v>
      </c>
      <c r="I30" s="143">
        <f ca="1">VLOOKUP($C30,Resul!$R$9:$AA$38,I$5,0)</f>
        <v>0</v>
      </c>
      <c r="J30" s="143">
        <f t="shared" ca="1" si="10"/>
        <v>0</v>
      </c>
      <c r="K30" s="144">
        <f t="shared" ca="1" si="11"/>
        <v>0</v>
      </c>
      <c r="L30" s="144" t="str">
        <f t="shared" si="12"/>
        <v/>
      </c>
      <c r="M30" s="145" t="e">
        <f>VLOOKUP($C30,Funcionários!$C$7:$I$36,7,0)</f>
        <v>#N/A</v>
      </c>
      <c r="N30" s="146">
        <f ca="1">VLOOKUP($C30,Resul!$R$9:$BF$38,39,0)</f>
        <v>0</v>
      </c>
      <c r="O30" s="146" t="e">
        <f t="shared" ca="1" si="6"/>
        <v>#VALUE!</v>
      </c>
      <c r="P30" s="146" t="e">
        <f t="shared" ca="1" si="7"/>
        <v>#N/A</v>
      </c>
      <c r="Q30" s="14"/>
      <c r="R30" s="14"/>
      <c r="S30" s="14"/>
      <c r="T30" s="2" t="str">
        <f>IF(Funcionários!C30=0,"",Funcionários!C30)</f>
        <v/>
      </c>
      <c r="U30" s="2"/>
      <c r="V30" s="2"/>
      <c r="W30" s="2">
        <f ca="1">VLOOKUP($C30,Resul!$R$9:$BI$38,44,0)</f>
        <v>0</v>
      </c>
      <c r="X30" s="2">
        <f t="shared" ca="1" si="8"/>
        <v>0</v>
      </c>
      <c r="Y30" s="163">
        <f t="shared" ca="1" si="9"/>
        <v>0</v>
      </c>
      <c r="Z30" s="14"/>
      <c r="AA30" s="186"/>
      <c r="AB30" s="14"/>
      <c r="AC30" s="186"/>
      <c r="AD30" s="14"/>
      <c r="AE30" s="14"/>
      <c r="AF30" s="186"/>
      <c r="AG30" s="14"/>
      <c r="AH30" s="186"/>
      <c r="AI30" s="14"/>
      <c r="AJ30" s="186"/>
      <c r="AK30" s="14"/>
      <c r="AL30" s="186"/>
      <c r="AM30" s="14"/>
      <c r="AN30" s="186"/>
      <c r="AO30" s="14"/>
      <c r="AP30" s="186"/>
      <c r="AQ30" s="14"/>
      <c r="AR30" s="186"/>
      <c r="AS30" s="14"/>
      <c r="AT30" s="186"/>
      <c r="AU30" s="14"/>
      <c r="AV30" s="186"/>
      <c r="AW30" s="14"/>
      <c r="AX30" s="186"/>
      <c r="AY30" s="14"/>
      <c r="AZ30" s="186"/>
      <c r="BA30" s="14"/>
      <c r="BB30" s="186"/>
      <c r="BC30" s="68"/>
      <c r="BD30" s="101"/>
      <c r="BE30" s="68"/>
      <c r="BF30" s="86"/>
      <c r="BG30" s="68"/>
      <c r="BH30" s="86"/>
      <c r="BI30" s="68"/>
      <c r="BJ30" s="68"/>
      <c r="BK30" s="68"/>
      <c r="BL30" s="68"/>
      <c r="BM30" s="68"/>
      <c r="BN30" s="68"/>
      <c r="BO30" s="68"/>
      <c r="BP30" s="68"/>
      <c r="BQ30" s="68"/>
      <c r="BR30" s="68"/>
      <c r="BS30" s="68"/>
      <c r="BT30" s="68"/>
      <c r="BU30" s="68"/>
      <c r="BV30" s="68"/>
      <c r="BW30" s="68"/>
      <c r="BX30" s="68"/>
      <c r="BY30" s="68"/>
      <c r="BZ30" s="68"/>
      <c r="CA30" s="68"/>
      <c r="CB30" s="68"/>
    </row>
    <row r="31" spans="1:80" s="147" customFormat="1" ht="30" customHeight="1" thickTop="1" thickBot="1" x14ac:dyDescent="0.25">
      <c r="A31" s="1"/>
      <c r="B31"/>
      <c r="C31" s="140" t="str">
        <f t="shared" si="1"/>
        <v/>
      </c>
      <c r="D31" s="141" t="str">
        <f t="shared" si="2"/>
        <v/>
      </c>
      <c r="E31" s="142">
        <f>VLOOKUP($C31,Jornada!$C$8:$AF$37,30,0)</f>
        <v>0</v>
      </c>
      <c r="F31" s="143">
        <f ca="1">VLOOKUP($C31,Resul!$R$9:$AA$38,F$5,0)</f>
        <v>0</v>
      </c>
      <c r="G31" s="143">
        <f ca="1">VLOOKUP($C31,Resul!$R$9:$AA$38,G$5,0)</f>
        <v>0</v>
      </c>
      <c r="H31" s="143">
        <f ca="1">VLOOKUP($C31,Resul!$R$9:$AA$38,H$5,0)</f>
        <v>0</v>
      </c>
      <c r="I31" s="143">
        <f ca="1">VLOOKUP($C31,Resul!$R$9:$AA$38,I$5,0)</f>
        <v>0</v>
      </c>
      <c r="J31" s="143">
        <f t="shared" ca="1" si="10"/>
        <v>0</v>
      </c>
      <c r="K31" s="144">
        <f t="shared" ca="1" si="11"/>
        <v>0</v>
      </c>
      <c r="L31" s="144" t="str">
        <f t="shared" si="12"/>
        <v/>
      </c>
      <c r="M31" s="145" t="e">
        <f>VLOOKUP($C31,Funcionários!$C$7:$I$36,7,0)</f>
        <v>#N/A</v>
      </c>
      <c r="N31" s="146">
        <f ca="1">VLOOKUP($C31,Resul!$R$9:$BF$38,39,0)</f>
        <v>0</v>
      </c>
      <c r="O31" s="146" t="e">
        <f t="shared" ca="1" si="6"/>
        <v>#VALUE!</v>
      </c>
      <c r="P31" s="146" t="e">
        <f t="shared" ca="1" si="7"/>
        <v>#N/A</v>
      </c>
      <c r="Q31" s="14"/>
      <c r="R31" s="14"/>
      <c r="S31" s="14"/>
      <c r="T31" s="2" t="str">
        <f>IF(Funcionários!C31=0,"",Funcionários!C31)</f>
        <v/>
      </c>
      <c r="U31" s="2"/>
      <c r="V31" s="2"/>
      <c r="W31" s="2">
        <f ca="1">VLOOKUP($C31,Resul!$R$9:$BI$38,44,0)</f>
        <v>0</v>
      </c>
      <c r="X31" s="2">
        <f t="shared" ca="1" si="8"/>
        <v>0</v>
      </c>
      <c r="Y31" s="163">
        <f t="shared" ca="1" si="9"/>
        <v>0</v>
      </c>
      <c r="Z31" s="14"/>
      <c r="AA31" s="186"/>
      <c r="AB31" s="14"/>
      <c r="AC31" s="186"/>
      <c r="AD31" s="14"/>
      <c r="AE31" s="14"/>
      <c r="AF31" s="186"/>
      <c r="AG31" s="14"/>
      <c r="AH31" s="186"/>
      <c r="AI31" s="14"/>
      <c r="AJ31" s="186"/>
      <c r="AK31" s="14"/>
      <c r="AL31" s="186"/>
      <c r="AM31" s="14"/>
      <c r="AN31" s="186"/>
      <c r="AO31" s="14"/>
      <c r="AP31" s="186"/>
      <c r="AQ31" s="14"/>
      <c r="AR31" s="186"/>
      <c r="AS31" s="14"/>
      <c r="AT31" s="186"/>
      <c r="AU31" s="14"/>
      <c r="AV31" s="186"/>
      <c r="AW31" s="14"/>
      <c r="AX31" s="186"/>
      <c r="AY31" s="14"/>
      <c r="AZ31" s="186"/>
      <c r="BA31" s="14"/>
      <c r="BB31" s="186"/>
      <c r="BC31" s="68"/>
      <c r="BD31" s="101"/>
      <c r="BE31" s="68"/>
      <c r="BF31" s="86"/>
      <c r="BG31" s="68"/>
      <c r="BH31" s="86"/>
      <c r="BI31" s="68"/>
      <c r="BJ31" s="68"/>
      <c r="BK31" s="68"/>
      <c r="BL31" s="68"/>
      <c r="BM31" s="68"/>
      <c r="BN31" s="68"/>
      <c r="BO31" s="68"/>
      <c r="BP31" s="68"/>
      <c r="BQ31" s="68"/>
      <c r="BR31" s="68"/>
      <c r="BS31" s="68"/>
      <c r="BT31" s="68"/>
      <c r="BU31" s="68"/>
      <c r="BV31" s="68"/>
      <c r="BW31" s="68"/>
      <c r="BX31" s="68"/>
      <c r="BY31" s="68"/>
      <c r="BZ31" s="68"/>
      <c r="CA31" s="68"/>
      <c r="CB31" s="68"/>
    </row>
    <row r="32" spans="1:80" s="147" customFormat="1" ht="30" customHeight="1" thickTop="1" thickBot="1" x14ac:dyDescent="0.25">
      <c r="A32" s="1"/>
      <c r="B32"/>
      <c r="C32" s="140" t="str">
        <f t="shared" si="1"/>
        <v/>
      </c>
      <c r="D32" s="141" t="str">
        <f t="shared" si="2"/>
        <v/>
      </c>
      <c r="E32" s="142">
        <f>VLOOKUP($C32,Jornada!$C$8:$AF$37,30,0)</f>
        <v>0</v>
      </c>
      <c r="F32" s="143">
        <f ca="1">VLOOKUP($C32,Resul!$R$9:$AA$38,F$5,0)</f>
        <v>0</v>
      </c>
      <c r="G32" s="143">
        <f ca="1">VLOOKUP($C32,Resul!$R$9:$AA$38,G$5,0)</f>
        <v>0</v>
      </c>
      <c r="H32" s="143">
        <f ca="1">VLOOKUP($C32,Resul!$R$9:$AA$38,H$5,0)</f>
        <v>0</v>
      </c>
      <c r="I32" s="143">
        <f ca="1">VLOOKUP($C32,Resul!$R$9:$AA$38,I$5,0)</f>
        <v>0</v>
      </c>
      <c r="J32" s="143">
        <f t="shared" ca="1" si="10"/>
        <v>0</v>
      </c>
      <c r="K32" s="144">
        <f t="shared" ca="1" si="11"/>
        <v>0</v>
      </c>
      <c r="L32" s="144" t="str">
        <f t="shared" si="12"/>
        <v/>
      </c>
      <c r="M32" s="145" t="e">
        <f>VLOOKUP($C32,Funcionários!$C$7:$I$36,7,0)</f>
        <v>#N/A</v>
      </c>
      <c r="N32" s="146">
        <f ca="1">VLOOKUP($C32,Resul!$R$9:$BF$38,39,0)</f>
        <v>0</v>
      </c>
      <c r="O32" s="146" t="e">
        <f t="shared" ca="1" si="6"/>
        <v>#VALUE!</v>
      </c>
      <c r="P32" s="146" t="e">
        <f t="shared" ca="1" si="7"/>
        <v>#N/A</v>
      </c>
      <c r="Q32" s="14"/>
      <c r="R32" s="14"/>
      <c r="S32" s="14"/>
      <c r="T32" s="2" t="str">
        <f>IF(Funcionários!C32=0,"",Funcionários!C32)</f>
        <v/>
      </c>
      <c r="U32" s="2"/>
      <c r="V32" s="2"/>
      <c r="W32" s="2">
        <f ca="1">VLOOKUP($C32,Resul!$R$9:$BI$38,44,0)</f>
        <v>0</v>
      </c>
      <c r="X32" s="2">
        <f t="shared" ca="1" si="8"/>
        <v>0</v>
      </c>
      <c r="Y32" s="163">
        <f t="shared" ca="1" si="9"/>
        <v>0</v>
      </c>
      <c r="Z32" s="14"/>
      <c r="AA32" s="186"/>
      <c r="AB32" s="14"/>
      <c r="AC32" s="186"/>
      <c r="AD32" s="14"/>
      <c r="AE32" s="14"/>
      <c r="AF32" s="186"/>
      <c r="AG32" s="14"/>
      <c r="AH32" s="186"/>
      <c r="AI32" s="14"/>
      <c r="AJ32" s="186"/>
      <c r="AK32" s="14"/>
      <c r="AL32" s="186"/>
      <c r="AM32" s="14"/>
      <c r="AN32" s="186"/>
      <c r="AO32" s="14"/>
      <c r="AP32" s="186"/>
      <c r="AQ32" s="14"/>
      <c r="AR32" s="186"/>
      <c r="AS32" s="14"/>
      <c r="AT32" s="186"/>
      <c r="AU32" s="14"/>
      <c r="AV32" s="186"/>
      <c r="AW32" s="14"/>
      <c r="AX32" s="186"/>
      <c r="AY32" s="14"/>
      <c r="AZ32" s="186"/>
      <c r="BA32" s="14"/>
      <c r="BB32" s="186"/>
      <c r="BC32" s="68"/>
      <c r="BD32" s="101"/>
      <c r="BE32" s="68"/>
      <c r="BF32" s="86"/>
      <c r="BG32" s="68"/>
      <c r="BH32" s="86"/>
      <c r="BI32" s="68"/>
      <c r="BJ32" s="68"/>
      <c r="BK32" s="68"/>
      <c r="BL32" s="68"/>
      <c r="BM32" s="68"/>
      <c r="BN32" s="68"/>
      <c r="BO32" s="68"/>
      <c r="BP32" s="68"/>
      <c r="BQ32" s="68"/>
      <c r="BR32" s="68"/>
      <c r="BS32" s="68"/>
      <c r="BT32" s="68"/>
      <c r="BU32" s="68"/>
      <c r="BV32" s="68"/>
      <c r="BW32" s="68"/>
      <c r="BX32" s="68"/>
      <c r="BY32" s="68"/>
      <c r="BZ32" s="68"/>
      <c r="CA32" s="68"/>
      <c r="CB32" s="68"/>
    </row>
    <row r="33" spans="1:80" s="147" customFormat="1" ht="30" customHeight="1" thickTop="1" thickBot="1" x14ac:dyDescent="0.25">
      <c r="A33" s="1"/>
      <c r="B33"/>
      <c r="C33" s="140" t="str">
        <f t="shared" si="1"/>
        <v/>
      </c>
      <c r="D33" s="141" t="str">
        <f t="shared" si="2"/>
        <v/>
      </c>
      <c r="E33" s="142">
        <f>VLOOKUP($C33,Jornada!$C$8:$AF$37,30,0)</f>
        <v>0</v>
      </c>
      <c r="F33" s="143">
        <f ca="1">VLOOKUP($C33,Resul!$R$9:$AA$38,F$5,0)</f>
        <v>0</v>
      </c>
      <c r="G33" s="143">
        <f ca="1">VLOOKUP($C33,Resul!$R$9:$AA$38,G$5,0)</f>
        <v>0</v>
      </c>
      <c r="H33" s="143">
        <f ca="1">VLOOKUP($C33,Resul!$R$9:$AA$38,H$5,0)</f>
        <v>0</v>
      </c>
      <c r="I33" s="143">
        <f ca="1">VLOOKUP($C33,Resul!$R$9:$AA$38,I$5,0)</f>
        <v>0</v>
      </c>
      <c r="J33" s="143">
        <f t="shared" ca="1" si="10"/>
        <v>0</v>
      </c>
      <c r="K33" s="144">
        <f t="shared" ca="1" si="11"/>
        <v>0</v>
      </c>
      <c r="L33" s="144" t="str">
        <f t="shared" si="12"/>
        <v/>
      </c>
      <c r="M33" s="145" t="e">
        <f>VLOOKUP($C33,Funcionários!$C$7:$I$36,7,0)</f>
        <v>#N/A</v>
      </c>
      <c r="N33" s="146">
        <f ca="1">VLOOKUP($C33,Resul!$R$9:$BF$38,39,0)</f>
        <v>0</v>
      </c>
      <c r="O33" s="146" t="e">
        <f t="shared" ca="1" si="6"/>
        <v>#VALUE!</v>
      </c>
      <c r="P33" s="146" t="e">
        <f t="shared" ca="1" si="7"/>
        <v>#N/A</v>
      </c>
      <c r="Q33" s="14"/>
      <c r="R33" s="14"/>
      <c r="S33" s="14"/>
      <c r="T33" s="2" t="str">
        <f>IF(Funcionários!C33=0,"",Funcionários!C33)</f>
        <v/>
      </c>
      <c r="U33" s="2"/>
      <c r="V33" s="2"/>
      <c r="W33" s="2">
        <f ca="1">VLOOKUP($C33,Resul!$R$9:$BI$38,44,0)</f>
        <v>0</v>
      </c>
      <c r="X33" s="2">
        <f t="shared" ca="1" si="8"/>
        <v>0</v>
      </c>
      <c r="Y33" s="163">
        <f t="shared" ca="1" si="9"/>
        <v>0</v>
      </c>
      <c r="Z33" s="14"/>
      <c r="AA33" s="186"/>
      <c r="AB33" s="14"/>
      <c r="AC33" s="186"/>
      <c r="AD33" s="14"/>
      <c r="AE33" s="14"/>
      <c r="AF33" s="186"/>
      <c r="AG33" s="14"/>
      <c r="AH33" s="186"/>
      <c r="AI33" s="14"/>
      <c r="AJ33" s="186"/>
      <c r="AK33" s="14"/>
      <c r="AL33" s="186"/>
      <c r="AM33" s="14"/>
      <c r="AN33" s="186"/>
      <c r="AO33" s="14"/>
      <c r="AP33" s="186"/>
      <c r="AQ33" s="14"/>
      <c r="AR33" s="186"/>
      <c r="AS33" s="14"/>
      <c r="AT33" s="186"/>
      <c r="AU33" s="14"/>
      <c r="AV33" s="186"/>
      <c r="AW33" s="14"/>
      <c r="AX33" s="186"/>
      <c r="AY33" s="14"/>
      <c r="AZ33" s="186"/>
      <c r="BA33" s="14"/>
      <c r="BB33" s="186"/>
      <c r="BC33" s="68"/>
      <c r="BD33" s="101"/>
      <c r="BE33" s="68"/>
      <c r="BF33" s="86"/>
      <c r="BG33" s="68"/>
      <c r="BH33" s="86"/>
      <c r="BI33" s="68"/>
      <c r="BJ33" s="68"/>
      <c r="BK33" s="68"/>
      <c r="BL33" s="68"/>
      <c r="BM33" s="68"/>
      <c r="BN33" s="68"/>
      <c r="BO33" s="68"/>
      <c r="BP33" s="68"/>
      <c r="BQ33" s="68"/>
      <c r="BR33" s="68"/>
      <c r="BS33" s="68"/>
      <c r="BT33" s="68"/>
      <c r="BU33" s="68"/>
      <c r="BV33" s="68"/>
      <c r="BW33" s="68"/>
      <c r="BX33" s="68"/>
      <c r="BY33" s="68"/>
      <c r="BZ33" s="68"/>
      <c r="CA33" s="68"/>
      <c r="CB33" s="68"/>
    </row>
    <row r="34" spans="1:80" s="147" customFormat="1" ht="30" customHeight="1" thickTop="1" thickBot="1" x14ac:dyDescent="0.25">
      <c r="A34" s="1"/>
      <c r="B34"/>
      <c r="C34" s="140" t="str">
        <f t="shared" si="1"/>
        <v/>
      </c>
      <c r="D34" s="141" t="str">
        <f t="shared" si="2"/>
        <v/>
      </c>
      <c r="E34" s="142">
        <f>VLOOKUP($C34,Jornada!$C$8:$AF$37,30,0)</f>
        <v>0</v>
      </c>
      <c r="F34" s="143">
        <f ca="1">VLOOKUP($C34,Resul!$R$9:$AA$38,F$5,0)</f>
        <v>0</v>
      </c>
      <c r="G34" s="143">
        <f ca="1">VLOOKUP($C34,Resul!$R$9:$AA$38,G$5,0)</f>
        <v>0</v>
      </c>
      <c r="H34" s="143">
        <f ca="1">VLOOKUP($C34,Resul!$R$9:$AA$38,H$5,0)</f>
        <v>0</v>
      </c>
      <c r="I34" s="143">
        <f ca="1">VLOOKUP($C34,Resul!$R$9:$AA$38,I$5,0)</f>
        <v>0</v>
      </c>
      <c r="J34" s="143">
        <f t="shared" ca="1" si="10"/>
        <v>0</v>
      </c>
      <c r="K34" s="144">
        <f t="shared" ca="1" si="11"/>
        <v>0</v>
      </c>
      <c r="L34" s="144" t="str">
        <f t="shared" si="12"/>
        <v/>
      </c>
      <c r="M34" s="145" t="e">
        <f>VLOOKUP($C34,Funcionários!$C$7:$I$36,7,0)</f>
        <v>#N/A</v>
      </c>
      <c r="N34" s="146">
        <f ca="1">VLOOKUP($C34,Resul!$R$9:$BF$38,39,0)</f>
        <v>0</v>
      </c>
      <c r="O34" s="146" t="e">
        <f t="shared" ca="1" si="6"/>
        <v>#VALUE!</v>
      </c>
      <c r="P34" s="146" t="e">
        <f t="shared" ca="1" si="7"/>
        <v>#N/A</v>
      </c>
      <c r="Q34" s="14"/>
      <c r="R34" s="14"/>
      <c r="S34" s="14"/>
      <c r="T34" s="2" t="str">
        <f>IF(Funcionários!C34=0,"",Funcionários!C34)</f>
        <v/>
      </c>
      <c r="U34" s="2"/>
      <c r="V34" s="2"/>
      <c r="W34" s="2">
        <f ca="1">VLOOKUP($C34,Resul!$R$9:$BI$38,44,0)</f>
        <v>0</v>
      </c>
      <c r="X34" s="2">
        <f t="shared" ca="1" si="8"/>
        <v>0</v>
      </c>
      <c r="Y34" s="163">
        <f t="shared" ca="1" si="9"/>
        <v>0</v>
      </c>
      <c r="Z34" s="14"/>
      <c r="AA34" s="186"/>
      <c r="AB34" s="14"/>
      <c r="AC34" s="186"/>
      <c r="AD34" s="14"/>
      <c r="AE34" s="14"/>
      <c r="AF34" s="186"/>
      <c r="AG34" s="14"/>
      <c r="AH34" s="186"/>
      <c r="AI34" s="14"/>
      <c r="AJ34" s="186"/>
      <c r="AK34" s="14"/>
      <c r="AL34" s="186"/>
      <c r="AM34" s="14"/>
      <c r="AN34" s="186"/>
      <c r="AO34" s="14"/>
      <c r="AP34" s="186"/>
      <c r="AQ34" s="14"/>
      <c r="AR34" s="186"/>
      <c r="AS34" s="14"/>
      <c r="AT34" s="186"/>
      <c r="AU34" s="14"/>
      <c r="AV34" s="186"/>
      <c r="AW34" s="14"/>
      <c r="AX34" s="186"/>
      <c r="AY34" s="14"/>
      <c r="AZ34" s="186"/>
      <c r="BA34" s="14"/>
      <c r="BB34" s="186"/>
      <c r="BC34" s="68"/>
      <c r="BD34" s="101"/>
      <c r="BE34" s="68"/>
      <c r="BF34" s="86"/>
      <c r="BG34" s="68"/>
      <c r="BH34" s="86"/>
      <c r="BI34" s="68"/>
      <c r="BJ34" s="68"/>
      <c r="BK34" s="68"/>
      <c r="BL34" s="68"/>
      <c r="BM34" s="68"/>
      <c r="BN34" s="68"/>
      <c r="BO34" s="68"/>
      <c r="BP34" s="68"/>
      <c r="BQ34" s="68"/>
      <c r="BR34" s="68"/>
      <c r="BS34" s="68"/>
      <c r="BT34" s="68"/>
      <c r="BU34" s="68"/>
      <c r="BV34" s="68"/>
      <c r="BW34" s="68"/>
      <c r="BX34" s="68"/>
      <c r="BY34" s="68"/>
      <c r="BZ34" s="68"/>
      <c r="CA34" s="68"/>
      <c r="CB34" s="68"/>
    </row>
    <row r="35" spans="1:80" s="147" customFormat="1" ht="30" customHeight="1" thickTop="1" thickBot="1" x14ac:dyDescent="0.25">
      <c r="A35" s="70"/>
      <c r="B35" s="68"/>
      <c r="C35" s="140" t="str">
        <f t="shared" si="1"/>
        <v/>
      </c>
      <c r="D35" s="141" t="str">
        <f t="shared" si="2"/>
        <v/>
      </c>
      <c r="E35" s="142">
        <f>VLOOKUP($C35,Jornada!$C$8:$AF$37,30,0)</f>
        <v>0</v>
      </c>
      <c r="F35" s="143">
        <f ca="1">VLOOKUP($C35,Resul!$R$9:$AA$38,F$5,0)</f>
        <v>0</v>
      </c>
      <c r="G35" s="143">
        <f ca="1">VLOOKUP($C35,Resul!$R$9:$AA$38,G$5,0)</f>
        <v>0</v>
      </c>
      <c r="H35" s="143">
        <f ca="1">VLOOKUP($C35,Resul!$R$9:$AA$38,H$5,0)</f>
        <v>0</v>
      </c>
      <c r="I35" s="143">
        <f ca="1">VLOOKUP($C35,Resul!$R$9:$AA$38,I$5,0)</f>
        <v>0</v>
      </c>
      <c r="J35" s="143">
        <f t="shared" ca="1" si="10"/>
        <v>0</v>
      </c>
      <c r="K35" s="144">
        <f t="shared" ca="1" si="11"/>
        <v>0</v>
      </c>
      <c r="L35" s="144" t="str">
        <f t="shared" si="12"/>
        <v/>
      </c>
      <c r="M35" s="145" t="e">
        <f>VLOOKUP($C35,Funcionários!$C$7:$I$36,7,0)</f>
        <v>#N/A</v>
      </c>
      <c r="N35" s="146">
        <f ca="1">VLOOKUP($C35,Resul!$R$9:$BF$38,39,0)</f>
        <v>0</v>
      </c>
      <c r="O35" s="146" t="e">
        <f t="shared" ca="1" si="6"/>
        <v>#VALUE!</v>
      </c>
      <c r="P35" s="146" t="e">
        <f t="shared" ca="1" si="7"/>
        <v>#N/A</v>
      </c>
      <c r="Q35" s="14"/>
      <c r="R35" s="14"/>
      <c r="S35" s="14"/>
      <c r="T35" s="2" t="str">
        <f>IF(Funcionários!C35=0,"",Funcionários!C35)</f>
        <v/>
      </c>
      <c r="U35" s="2"/>
      <c r="V35" s="2"/>
      <c r="W35" s="2">
        <f ca="1">VLOOKUP($C35,Resul!$R$9:$BI$38,44,0)</f>
        <v>0</v>
      </c>
      <c r="X35" s="2">
        <f t="shared" ca="1" si="8"/>
        <v>0</v>
      </c>
      <c r="Y35" s="163">
        <f t="shared" ca="1" si="9"/>
        <v>0</v>
      </c>
      <c r="Z35" s="14"/>
      <c r="AA35" s="186"/>
      <c r="AB35" s="14"/>
      <c r="AC35" s="186"/>
      <c r="AD35" s="14"/>
      <c r="AE35" s="14"/>
      <c r="AF35" s="186"/>
      <c r="AG35" s="14"/>
      <c r="AH35" s="186"/>
      <c r="AI35" s="14"/>
      <c r="AJ35" s="186"/>
      <c r="AK35" s="14"/>
      <c r="AL35" s="186"/>
      <c r="AM35" s="14"/>
      <c r="AN35" s="186"/>
      <c r="AO35" s="14"/>
      <c r="AP35" s="186"/>
      <c r="AQ35" s="14"/>
      <c r="AR35" s="186"/>
      <c r="AS35" s="14"/>
      <c r="AT35" s="186"/>
      <c r="AU35" s="14"/>
      <c r="AV35" s="186"/>
      <c r="AW35" s="14"/>
      <c r="AX35" s="186"/>
      <c r="AY35" s="14"/>
      <c r="AZ35" s="186"/>
      <c r="BA35" s="14"/>
      <c r="BB35" s="186"/>
      <c r="BC35" s="68"/>
      <c r="BD35" s="101"/>
      <c r="BE35" s="68"/>
      <c r="BF35" s="86"/>
      <c r="BG35" s="68"/>
      <c r="BH35" s="86"/>
      <c r="BI35" s="68"/>
      <c r="BJ35" s="68"/>
      <c r="BK35" s="68"/>
      <c r="BL35" s="68"/>
      <c r="BM35" s="68"/>
      <c r="BN35" s="68"/>
      <c r="BO35" s="68"/>
      <c r="BP35" s="68"/>
      <c r="BQ35" s="68"/>
      <c r="BR35" s="68"/>
      <c r="BS35" s="68"/>
      <c r="BT35" s="68"/>
      <c r="BU35" s="68"/>
      <c r="BV35" s="68"/>
      <c r="BW35" s="68"/>
      <c r="BX35" s="68"/>
      <c r="BY35" s="68"/>
      <c r="BZ35" s="68"/>
      <c r="CA35" s="68"/>
      <c r="CB35" s="68"/>
    </row>
    <row r="36" spans="1:80" s="147" customFormat="1" ht="30" customHeight="1" thickTop="1" thickBot="1" x14ac:dyDescent="0.25">
      <c r="A36" s="70"/>
      <c r="B36" s="68"/>
      <c r="C36" s="140" t="str">
        <f t="shared" si="1"/>
        <v/>
      </c>
      <c r="D36" s="141" t="str">
        <f t="shared" si="2"/>
        <v/>
      </c>
      <c r="E36" s="142">
        <f>VLOOKUP($C36,Jornada!$C$8:$AF$37,30,0)</f>
        <v>0</v>
      </c>
      <c r="F36" s="143">
        <f ca="1">VLOOKUP($C36,Resul!$R$9:$AA$38,F$5,0)</f>
        <v>0</v>
      </c>
      <c r="G36" s="143">
        <f ca="1">VLOOKUP($C36,Resul!$R$9:$AA$38,G$5,0)</f>
        <v>0</v>
      </c>
      <c r="H36" s="143">
        <f ca="1">VLOOKUP($C36,Resul!$R$9:$AA$38,H$5,0)</f>
        <v>0</v>
      </c>
      <c r="I36" s="143">
        <f ca="1">VLOOKUP($C36,Resul!$R$9:$AA$38,I$5,0)</f>
        <v>0</v>
      </c>
      <c r="J36" s="143">
        <f t="shared" ca="1" si="10"/>
        <v>0</v>
      </c>
      <c r="K36" s="144">
        <f t="shared" ca="1" si="11"/>
        <v>0</v>
      </c>
      <c r="L36" s="144" t="str">
        <f t="shared" si="12"/>
        <v/>
      </c>
      <c r="M36" s="145" t="e">
        <f>VLOOKUP($C36,Funcionários!$C$7:$I$36,7,0)</f>
        <v>#N/A</v>
      </c>
      <c r="N36" s="146">
        <f ca="1">VLOOKUP($C36,Resul!$R$9:$BF$38,39,0)</f>
        <v>0</v>
      </c>
      <c r="O36" s="146" t="e">
        <f t="shared" ca="1" si="6"/>
        <v>#VALUE!</v>
      </c>
      <c r="P36" s="146" t="e">
        <f t="shared" ca="1" si="7"/>
        <v>#N/A</v>
      </c>
      <c r="Q36" s="14"/>
      <c r="R36" s="14"/>
      <c r="S36" s="14"/>
      <c r="T36" s="2" t="str">
        <f>IF(Funcionários!C36=0,"",Funcionários!C36)</f>
        <v/>
      </c>
      <c r="U36" s="2"/>
      <c r="V36" s="2"/>
      <c r="W36" s="2">
        <f ca="1">VLOOKUP($C36,Resul!$R$9:$BI$38,44,0)</f>
        <v>0</v>
      </c>
      <c r="X36" s="2">
        <f t="shared" ca="1" si="8"/>
        <v>0</v>
      </c>
      <c r="Y36" s="163">
        <f ca="1">IF(H36&gt;=G36,(H36)-G36,(G36-H36))</f>
        <v>0</v>
      </c>
      <c r="Z36" s="14"/>
      <c r="AA36" s="186"/>
      <c r="AB36" s="14"/>
      <c r="AC36" s="186"/>
      <c r="AD36" s="14"/>
      <c r="AE36" s="14"/>
      <c r="AF36" s="186"/>
      <c r="AG36" s="14"/>
      <c r="AH36" s="186"/>
      <c r="AI36" s="14"/>
      <c r="AJ36" s="186"/>
      <c r="AK36" s="14"/>
      <c r="AL36" s="186"/>
      <c r="AM36" s="14"/>
      <c r="AN36" s="186"/>
      <c r="AO36" s="14"/>
      <c r="AP36" s="186"/>
      <c r="AQ36" s="14"/>
      <c r="AR36" s="186"/>
      <c r="AS36" s="14"/>
      <c r="AT36" s="186"/>
      <c r="AU36" s="14"/>
      <c r="AV36" s="186"/>
      <c r="AW36" s="14"/>
      <c r="AX36" s="186"/>
      <c r="AY36" s="14"/>
      <c r="AZ36" s="186"/>
      <c r="BA36" s="14"/>
      <c r="BB36" s="186"/>
      <c r="BC36" s="68"/>
      <c r="BD36" s="101"/>
      <c r="BE36" s="68"/>
      <c r="BF36" s="86"/>
      <c r="BG36" s="68"/>
      <c r="BH36" s="86"/>
      <c r="BI36" s="68"/>
      <c r="BJ36" s="68"/>
      <c r="BK36" s="68"/>
      <c r="BL36" s="68"/>
      <c r="BM36" s="68"/>
      <c r="BN36" s="68"/>
      <c r="BO36" s="68"/>
      <c r="BP36" s="68"/>
      <c r="BQ36" s="68"/>
      <c r="BR36" s="68"/>
      <c r="BS36" s="68"/>
      <c r="BT36" s="68"/>
      <c r="BU36" s="68"/>
      <c r="BV36" s="68"/>
      <c r="BW36" s="68"/>
      <c r="BX36" s="68"/>
      <c r="BY36" s="68"/>
      <c r="BZ36" s="68"/>
      <c r="CA36" s="68"/>
      <c r="CB36" s="68"/>
    </row>
    <row r="37" spans="1:80" s="147" customFormat="1" ht="16" thickTop="1" x14ac:dyDescent="0.2">
      <c r="A37" s="1"/>
      <c r="B37"/>
      <c r="C37"/>
      <c r="D37"/>
      <c r="E37"/>
      <c r="F37"/>
      <c r="G37" s="14"/>
      <c r="H37" s="14"/>
      <c r="I37" s="14"/>
      <c r="J37" s="14"/>
      <c r="K37" s="14"/>
      <c r="L37" s="14"/>
      <c r="M37" s="14"/>
      <c r="N37" s="68"/>
      <c r="O37" s="68"/>
      <c r="P37" s="68"/>
      <c r="Q37" s="14"/>
      <c r="R37" s="14"/>
      <c r="S37" s="14"/>
      <c r="T37" s="2"/>
      <c r="U37" s="2"/>
      <c r="V37" s="2"/>
      <c r="W37" s="155"/>
      <c r="X37" s="2"/>
      <c r="Y37" s="155"/>
      <c r="Z37" s="14"/>
      <c r="AA37" s="183"/>
      <c r="AB37" s="14"/>
      <c r="AC37" s="183"/>
      <c r="AD37" s="14"/>
      <c r="AE37" s="14"/>
      <c r="AF37" s="183"/>
      <c r="AG37" s="14"/>
      <c r="AH37" s="183"/>
      <c r="AI37" s="14"/>
      <c r="AJ37" s="183"/>
      <c r="AK37" s="14"/>
      <c r="AL37" s="183"/>
      <c r="AM37" s="14"/>
      <c r="AN37" s="183"/>
      <c r="AO37" s="14"/>
      <c r="AP37" s="183"/>
      <c r="AQ37" s="14"/>
      <c r="AR37" s="183"/>
      <c r="AS37" s="14"/>
      <c r="AT37" s="183"/>
      <c r="AU37" s="14"/>
      <c r="AV37" s="183"/>
      <c r="AW37" s="14"/>
      <c r="AX37" s="183"/>
      <c r="AY37" s="14"/>
      <c r="AZ37" s="183"/>
      <c r="BA37" s="14"/>
      <c r="BB37" s="183"/>
      <c r="BC37" s="68"/>
      <c r="BD37" s="92"/>
      <c r="BE37" s="68"/>
      <c r="BF37" s="68"/>
      <c r="BG37" s="68"/>
      <c r="BH37" s="68"/>
      <c r="BI37" s="68"/>
      <c r="BJ37" s="68"/>
      <c r="BK37" s="68"/>
      <c r="BL37" s="68"/>
      <c r="BM37" s="68"/>
      <c r="BN37" s="68"/>
      <c r="BO37" s="68"/>
      <c r="BP37" s="68"/>
      <c r="BQ37" s="68"/>
      <c r="BR37" s="68"/>
      <c r="BS37" s="68"/>
      <c r="BT37" s="68"/>
      <c r="BU37" s="68"/>
      <c r="BV37" s="68"/>
      <c r="BW37" s="68"/>
      <c r="BX37" s="68"/>
      <c r="BY37" s="68"/>
      <c r="BZ37" s="68"/>
      <c r="CA37" s="68"/>
      <c r="CB37" s="68"/>
    </row>
    <row r="38" spans="1:80" s="147" customFormat="1" ht="15" x14ac:dyDescent="0.2">
      <c r="A38" s="1"/>
      <c r="B38"/>
      <c r="C38"/>
      <c r="D38"/>
      <c r="E38"/>
      <c r="F38"/>
      <c r="G38" s="14"/>
      <c r="H38" s="14"/>
      <c r="I38" s="14"/>
      <c r="J38" s="14"/>
      <c r="K38" s="14"/>
      <c r="L38" s="14"/>
      <c r="M38" s="14"/>
      <c r="N38" s="68"/>
      <c r="O38" s="68"/>
      <c r="P38" s="68"/>
      <c r="Q38" s="14"/>
      <c r="R38" s="14"/>
      <c r="S38" s="14"/>
      <c r="T38" s="2"/>
      <c r="U38" s="2"/>
      <c r="V38" s="2"/>
      <c r="W38" s="155"/>
      <c r="X38" s="2"/>
      <c r="Y38" s="155"/>
      <c r="Z38" s="14"/>
      <c r="AA38" s="183"/>
      <c r="AB38" s="14"/>
      <c r="AC38" s="183"/>
      <c r="AD38" s="14"/>
      <c r="AE38" s="14"/>
      <c r="AF38" s="183"/>
      <c r="AG38" s="14"/>
      <c r="AH38" s="183"/>
      <c r="AI38" s="14"/>
      <c r="AJ38" s="183"/>
      <c r="AK38" s="14"/>
      <c r="AL38" s="183"/>
      <c r="AM38" s="14"/>
      <c r="AN38" s="183"/>
      <c r="AO38" s="14"/>
      <c r="AP38" s="183"/>
      <c r="AQ38" s="14"/>
      <c r="AR38" s="183"/>
      <c r="AS38" s="14"/>
      <c r="AT38" s="183"/>
      <c r="AU38" s="14"/>
      <c r="AV38" s="183"/>
      <c r="AW38" s="14"/>
      <c r="AX38" s="183"/>
      <c r="AY38" s="14"/>
      <c r="AZ38" s="183"/>
      <c r="BA38" s="14"/>
      <c r="BB38" s="183"/>
      <c r="BC38" s="68"/>
      <c r="BD38" s="92"/>
      <c r="BE38" s="68"/>
      <c r="BF38" s="68"/>
      <c r="BG38" s="68"/>
      <c r="BH38" s="68"/>
      <c r="BI38" s="68"/>
      <c r="BJ38" s="68"/>
      <c r="BK38" s="68"/>
      <c r="BL38" s="68"/>
      <c r="BM38" s="68"/>
      <c r="BN38" s="68"/>
      <c r="BO38" s="68"/>
      <c r="BP38" s="68"/>
      <c r="BQ38" s="68"/>
      <c r="BR38" s="68"/>
      <c r="BS38" s="68"/>
      <c r="BT38" s="68"/>
      <c r="BU38" s="68"/>
      <c r="BV38" s="68"/>
      <c r="BW38" s="68"/>
      <c r="BX38" s="68"/>
      <c r="BY38" s="68"/>
      <c r="BZ38" s="68"/>
      <c r="CA38" s="68"/>
      <c r="CB38" s="68"/>
    </row>
    <row r="39" spans="1:80" s="147" customFormat="1" ht="15" x14ac:dyDescent="0.2">
      <c r="A39" s="1"/>
      <c r="B39"/>
      <c r="C39"/>
      <c r="D39"/>
      <c r="E39"/>
      <c r="F39"/>
      <c r="G39" s="14"/>
      <c r="H39" s="14"/>
      <c r="I39" s="14"/>
      <c r="J39" s="14"/>
      <c r="K39" s="14"/>
      <c r="L39" s="14"/>
      <c r="M39" s="14"/>
      <c r="N39" s="68"/>
      <c r="O39" s="68"/>
      <c r="P39" s="68"/>
      <c r="Q39" s="14"/>
      <c r="R39" s="14"/>
      <c r="S39" s="14"/>
      <c r="T39" s="2"/>
      <c r="U39" s="2"/>
      <c r="V39" s="2"/>
      <c r="W39" s="155"/>
      <c r="X39" s="2"/>
      <c r="Y39" s="155"/>
      <c r="Z39" s="14"/>
      <c r="AA39" s="183"/>
      <c r="AB39" s="14"/>
      <c r="AC39" s="183"/>
      <c r="AD39" s="14"/>
      <c r="AE39" s="14"/>
      <c r="AF39" s="183"/>
      <c r="AG39" s="14"/>
      <c r="AH39" s="183"/>
      <c r="AI39" s="14"/>
      <c r="AJ39" s="183"/>
      <c r="AK39" s="14"/>
      <c r="AL39" s="183"/>
      <c r="AM39" s="14"/>
      <c r="AN39" s="183"/>
      <c r="AO39" s="14"/>
      <c r="AP39" s="183"/>
      <c r="AQ39" s="14"/>
      <c r="AR39" s="183"/>
      <c r="AS39" s="14"/>
      <c r="AT39" s="183"/>
      <c r="AU39" s="14"/>
      <c r="AV39" s="183"/>
      <c r="AW39" s="14"/>
      <c r="AX39" s="183"/>
      <c r="AY39" s="14"/>
      <c r="AZ39" s="183"/>
      <c r="BA39" s="14"/>
      <c r="BB39" s="183"/>
      <c r="BC39" s="68"/>
      <c r="BD39" s="92"/>
      <c r="BE39" s="68"/>
      <c r="BF39" s="68"/>
      <c r="BG39" s="68"/>
      <c r="BH39" s="68"/>
      <c r="BI39" s="68"/>
      <c r="BJ39" s="68"/>
      <c r="BK39" s="68"/>
      <c r="BL39" s="68"/>
      <c r="BM39" s="68"/>
      <c r="BN39" s="68"/>
      <c r="BO39" s="68"/>
      <c r="BP39" s="68"/>
      <c r="BQ39" s="68"/>
      <c r="BR39" s="68"/>
      <c r="BS39" s="68"/>
      <c r="BT39" s="68"/>
      <c r="BU39" s="68"/>
      <c r="BV39" s="68"/>
      <c r="BW39" s="68"/>
      <c r="BX39" s="68"/>
      <c r="BY39" s="68"/>
      <c r="BZ39" s="68"/>
      <c r="CA39" s="68"/>
      <c r="CB39" s="68"/>
    </row>
    <row r="40" spans="1:80" s="147" customFormat="1" ht="15" x14ac:dyDescent="0.2">
      <c r="A40" s="1"/>
      <c r="B40"/>
      <c r="C40"/>
      <c r="D40"/>
      <c r="E40"/>
      <c r="F40"/>
      <c r="G40" s="14"/>
      <c r="H40" s="14"/>
      <c r="I40" s="14"/>
      <c r="J40" s="14"/>
      <c r="K40" s="14"/>
      <c r="L40" s="14"/>
      <c r="M40" s="14"/>
      <c r="N40" s="68"/>
      <c r="O40" s="68"/>
      <c r="P40" s="68"/>
      <c r="Q40" s="14"/>
      <c r="R40" s="14"/>
      <c r="S40" s="14"/>
      <c r="T40" s="2"/>
      <c r="U40" s="2"/>
      <c r="V40" s="2"/>
      <c r="W40" s="155"/>
      <c r="X40" s="2"/>
      <c r="Y40" s="155"/>
      <c r="Z40" s="14"/>
      <c r="AA40" s="183"/>
      <c r="AB40" s="14"/>
      <c r="AC40" s="183"/>
      <c r="AD40" s="14"/>
      <c r="AE40" s="14"/>
      <c r="AF40" s="183"/>
      <c r="AG40" s="14"/>
      <c r="AH40" s="183"/>
      <c r="AI40" s="14"/>
      <c r="AJ40" s="183"/>
      <c r="AK40" s="14"/>
      <c r="AL40" s="183"/>
      <c r="AM40" s="14"/>
      <c r="AN40" s="183"/>
      <c r="AO40" s="14"/>
      <c r="AP40" s="183"/>
      <c r="AQ40" s="14"/>
      <c r="AR40" s="183"/>
      <c r="AS40" s="14"/>
      <c r="AT40" s="183"/>
      <c r="AU40" s="14"/>
      <c r="AV40" s="183"/>
      <c r="AW40" s="14"/>
      <c r="AX40" s="183"/>
      <c r="AY40" s="14"/>
      <c r="AZ40" s="183"/>
      <c r="BA40" s="14"/>
      <c r="BB40" s="183"/>
      <c r="BC40" s="68"/>
      <c r="BD40" s="92"/>
      <c r="BE40" s="68"/>
      <c r="BF40" s="68"/>
      <c r="BG40" s="68"/>
      <c r="BH40" s="68"/>
      <c r="BI40" s="68"/>
      <c r="BJ40" s="68"/>
      <c r="BK40" s="68"/>
      <c r="BL40" s="68"/>
      <c r="BM40" s="68"/>
      <c r="BN40" s="68"/>
      <c r="BO40" s="68"/>
      <c r="BP40" s="68"/>
      <c r="BQ40" s="68"/>
      <c r="BR40" s="68"/>
      <c r="BS40" s="68"/>
      <c r="BT40" s="68"/>
      <c r="BU40" s="68"/>
      <c r="BV40" s="68"/>
      <c r="BW40" s="68"/>
      <c r="BX40" s="68"/>
      <c r="BY40" s="68"/>
      <c r="BZ40" s="68"/>
      <c r="CA40" s="68"/>
      <c r="CB40" s="68"/>
    </row>
    <row r="41" spans="1:80" s="147" customFormat="1" ht="15" x14ac:dyDescent="0.2">
      <c r="A41" s="1"/>
      <c r="B41"/>
      <c r="C41"/>
      <c r="D41"/>
      <c r="E41"/>
      <c r="F41"/>
      <c r="G41" s="14"/>
      <c r="H41" s="14"/>
      <c r="I41" s="14"/>
      <c r="J41" s="14"/>
      <c r="K41" s="14"/>
      <c r="L41" s="14"/>
      <c r="M41" s="14"/>
      <c r="N41" s="68"/>
      <c r="O41" s="68"/>
      <c r="P41" s="68"/>
      <c r="Q41" s="14"/>
      <c r="R41" s="14"/>
      <c r="S41" s="14"/>
      <c r="T41" s="2"/>
      <c r="U41" s="2"/>
      <c r="V41" s="2"/>
      <c r="W41" s="155"/>
      <c r="X41" s="2"/>
      <c r="Y41" s="155"/>
      <c r="Z41" s="14"/>
      <c r="AA41" s="183"/>
      <c r="AB41" s="14"/>
      <c r="AC41" s="183"/>
      <c r="AD41" s="14"/>
      <c r="AE41" s="14"/>
      <c r="AF41" s="183"/>
      <c r="AG41" s="14"/>
      <c r="AH41" s="183"/>
      <c r="AI41" s="14"/>
      <c r="AJ41" s="183"/>
      <c r="AK41" s="14"/>
      <c r="AL41" s="183"/>
      <c r="AM41" s="14"/>
      <c r="AN41" s="183"/>
      <c r="AO41" s="14"/>
      <c r="AP41" s="183"/>
      <c r="AQ41" s="14"/>
      <c r="AR41" s="183"/>
      <c r="AS41" s="14"/>
      <c r="AT41" s="183"/>
      <c r="AU41" s="14"/>
      <c r="AV41" s="183"/>
      <c r="AW41" s="14"/>
      <c r="AX41" s="183"/>
      <c r="AY41" s="14"/>
      <c r="AZ41" s="183"/>
      <c r="BA41" s="14"/>
      <c r="BB41" s="183"/>
      <c r="BC41" s="68"/>
      <c r="BD41" s="92"/>
      <c r="BE41" s="68"/>
      <c r="BF41" s="68"/>
      <c r="BG41" s="68"/>
      <c r="BH41" s="68"/>
      <c r="BI41" s="68"/>
      <c r="BJ41" s="68"/>
      <c r="BK41" s="68"/>
      <c r="BL41" s="68"/>
      <c r="BM41" s="68"/>
      <c r="BN41" s="68"/>
      <c r="BO41" s="68"/>
      <c r="BP41" s="68"/>
      <c r="BQ41" s="68"/>
      <c r="BR41" s="68"/>
      <c r="BS41" s="68"/>
      <c r="BT41" s="68"/>
      <c r="BU41" s="68"/>
      <c r="BV41" s="68"/>
      <c r="BW41" s="68"/>
      <c r="BX41" s="68"/>
      <c r="BY41" s="68"/>
      <c r="BZ41" s="68"/>
      <c r="CA41" s="68"/>
      <c r="CB41" s="68"/>
    </row>
    <row r="42" spans="1:80" s="147" customFormat="1" ht="15" x14ac:dyDescent="0.2">
      <c r="A42" s="1"/>
      <c r="B42"/>
      <c r="C42"/>
      <c r="D42"/>
      <c r="E42"/>
      <c r="F42"/>
      <c r="G42" s="14"/>
      <c r="H42" s="14"/>
      <c r="I42" s="14"/>
      <c r="J42" s="14"/>
      <c r="K42" s="14"/>
      <c r="L42" s="14"/>
      <c r="M42" s="14"/>
      <c r="N42" s="68"/>
      <c r="O42" s="68"/>
      <c r="P42" s="68"/>
      <c r="Q42" s="14"/>
      <c r="R42" s="14"/>
      <c r="S42" s="14"/>
      <c r="T42" s="2"/>
      <c r="U42" s="2"/>
      <c r="V42" s="2"/>
      <c r="W42" s="155"/>
      <c r="X42" s="2"/>
      <c r="Y42" s="155"/>
      <c r="Z42" s="14"/>
      <c r="AA42" s="183"/>
      <c r="AB42" s="14"/>
      <c r="AC42" s="183"/>
      <c r="AD42" s="14"/>
      <c r="AE42" s="14"/>
      <c r="AF42" s="183"/>
      <c r="AG42" s="14"/>
      <c r="AH42" s="183"/>
      <c r="AI42" s="14"/>
      <c r="AJ42" s="183"/>
      <c r="AK42" s="14"/>
      <c r="AL42" s="183"/>
      <c r="AM42" s="14"/>
      <c r="AN42" s="183"/>
      <c r="AO42" s="14"/>
      <c r="AP42" s="183"/>
      <c r="AQ42" s="14"/>
      <c r="AR42" s="183"/>
      <c r="AS42" s="14"/>
      <c r="AT42" s="183"/>
      <c r="AU42" s="14"/>
      <c r="AV42" s="183"/>
      <c r="AW42" s="14"/>
      <c r="AX42" s="183"/>
      <c r="AY42" s="14"/>
      <c r="AZ42" s="183"/>
      <c r="BA42" s="14"/>
      <c r="BB42" s="183"/>
      <c r="BC42" s="68"/>
      <c r="BD42" s="92"/>
      <c r="BE42" s="68"/>
      <c r="BF42" s="68"/>
      <c r="BG42" s="68"/>
      <c r="BH42" s="68"/>
      <c r="BI42" s="68"/>
      <c r="BJ42" s="68"/>
      <c r="BK42" s="68"/>
      <c r="BL42" s="68"/>
      <c r="BM42" s="68"/>
      <c r="BN42" s="68"/>
      <c r="BO42" s="68"/>
      <c r="BP42" s="68"/>
      <c r="BQ42" s="68"/>
      <c r="BR42" s="68"/>
      <c r="BS42" s="68"/>
      <c r="BT42" s="68"/>
      <c r="BU42" s="68"/>
      <c r="BV42" s="68"/>
      <c r="BW42" s="68"/>
      <c r="BX42" s="68"/>
      <c r="BY42" s="68"/>
      <c r="BZ42" s="68"/>
      <c r="CA42" s="68"/>
      <c r="CB42" s="68"/>
    </row>
    <row r="43" spans="1:80" s="147" customFormat="1" ht="15" x14ac:dyDescent="0.2">
      <c r="A43" s="1"/>
      <c r="B43"/>
      <c r="C43"/>
      <c r="D43"/>
      <c r="E43"/>
      <c r="F43"/>
      <c r="G43" s="14"/>
      <c r="H43" s="14"/>
      <c r="I43" s="14"/>
      <c r="J43" s="14"/>
      <c r="K43" s="14"/>
      <c r="L43" s="14"/>
      <c r="M43" s="14"/>
      <c r="N43" s="68"/>
      <c r="O43" s="68"/>
      <c r="P43" s="68"/>
      <c r="Q43" s="14"/>
      <c r="R43" s="14"/>
      <c r="S43" s="14"/>
      <c r="T43" s="2"/>
      <c r="U43" s="2"/>
      <c r="V43" s="2"/>
      <c r="W43" s="155"/>
      <c r="X43" s="2"/>
      <c r="Y43" s="155"/>
      <c r="Z43" s="14"/>
      <c r="AA43" s="183"/>
      <c r="AB43" s="14"/>
      <c r="AC43" s="183"/>
      <c r="AD43" s="14"/>
      <c r="AE43" s="14"/>
      <c r="AF43" s="183"/>
      <c r="AG43" s="14"/>
      <c r="AH43" s="183"/>
      <c r="AI43" s="14"/>
      <c r="AJ43" s="183"/>
      <c r="AK43" s="14"/>
      <c r="AL43" s="183"/>
      <c r="AM43" s="14"/>
      <c r="AN43" s="183"/>
      <c r="AO43" s="14"/>
      <c r="AP43" s="183"/>
      <c r="AQ43" s="14"/>
      <c r="AR43" s="183"/>
      <c r="AS43" s="14"/>
      <c r="AT43" s="183"/>
      <c r="AU43" s="14"/>
      <c r="AV43" s="183"/>
      <c r="AW43" s="14"/>
      <c r="AX43" s="183"/>
      <c r="AY43" s="14"/>
      <c r="AZ43" s="183"/>
      <c r="BA43" s="14"/>
      <c r="BB43" s="183"/>
      <c r="BC43" s="68"/>
      <c r="BD43" s="92"/>
      <c r="BE43" s="68"/>
      <c r="BF43" s="68"/>
      <c r="BG43" s="68"/>
      <c r="BH43" s="68"/>
      <c r="BI43" s="68"/>
      <c r="BJ43" s="68"/>
      <c r="BK43" s="68"/>
      <c r="BL43" s="68"/>
      <c r="BM43" s="68"/>
      <c r="BN43" s="68"/>
      <c r="BO43" s="68"/>
      <c r="BP43" s="68"/>
      <c r="BQ43" s="68"/>
      <c r="BR43" s="68"/>
      <c r="BS43" s="68"/>
      <c r="BT43" s="68"/>
      <c r="BU43" s="68"/>
      <c r="BV43" s="68"/>
      <c r="BW43" s="68"/>
      <c r="BX43" s="68"/>
      <c r="BY43" s="68"/>
      <c r="BZ43" s="68"/>
      <c r="CA43" s="68"/>
      <c r="CB43" s="68"/>
    </row>
    <row r="44" spans="1:80" s="147" customFormat="1" ht="15" x14ac:dyDescent="0.2">
      <c r="A44" s="1"/>
      <c r="B44"/>
      <c r="C44"/>
      <c r="D44"/>
      <c r="E44"/>
      <c r="F44"/>
      <c r="G44" s="14"/>
      <c r="H44" s="14"/>
      <c r="I44" s="14"/>
      <c r="J44" s="14"/>
      <c r="K44" s="14"/>
      <c r="L44" s="14"/>
      <c r="M44" s="14"/>
      <c r="N44" s="68"/>
      <c r="O44" s="68"/>
      <c r="P44" s="68"/>
      <c r="Q44" s="14"/>
      <c r="R44" s="14"/>
      <c r="S44" s="14"/>
      <c r="T44" s="2"/>
      <c r="U44" s="2"/>
      <c r="V44" s="2"/>
      <c r="W44" s="155"/>
      <c r="X44" s="2"/>
      <c r="Y44" s="155"/>
      <c r="Z44" s="14"/>
      <c r="AA44" s="183"/>
      <c r="AB44" s="14"/>
      <c r="AC44" s="183"/>
      <c r="AD44" s="14"/>
      <c r="AE44" s="14"/>
      <c r="AF44" s="183"/>
      <c r="AG44" s="14"/>
      <c r="AH44" s="183"/>
      <c r="AI44" s="14"/>
      <c r="AJ44" s="183"/>
      <c r="AK44" s="14"/>
      <c r="AL44" s="183"/>
      <c r="AM44" s="14"/>
      <c r="AN44" s="183"/>
      <c r="AO44" s="14"/>
      <c r="AP44" s="183"/>
      <c r="AQ44" s="14"/>
      <c r="AR44" s="183"/>
      <c r="AS44" s="14"/>
      <c r="AT44" s="183"/>
      <c r="AU44" s="14"/>
      <c r="AV44" s="183"/>
      <c r="AW44" s="14"/>
      <c r="AX44" s="183"/>
      <c r="AY44" s="14"/>
      <c r="AZ44" s="183"/>
      <c r="BA44" s="14"/>
      <c r="BB44" s="183"/>
      <c r="BC44" s="68"/>
      <c r="BD44" s="92"/>
      <c r="BE44" s="68"/>
      <c r="BF44" s="68"/>
      <c r="BG44" s="68"/>
      <c r="BH44" s="68"/>
      <c r="BI44" s="68"/>
      <c r="BJ44" s="68"/>
      <c r="BK44" s="68"/>
      <c r="BL44" s="68"/>
      <c r="BM44" s="68"/>
      <c r="BN44" s="68"/>
      <c r="BO44" s="68"/>
      <c r="BP44" s="68"/>
      <c r="BQ44" s="68"/>
      <c r="BR44" s="68"/>
      <c r="BS44" s="68"/>
      <c r="BT44" s="68"/>
      <c r="BU44" s="68"/>
      <c r="BV44" s="68"/>
      <c r="BW44" s="68"/>
      <c r="BX44" s="68"/>
      <c r="BY44" s="68"/>
      <c r="BZ44" s="68"/>
      <c r="CA44" s="68"/>
      <c r="CB44" s="68"/>
    </row>
    <row r="45" spans="1:80" s="147" customFormat="1" ht="15" x14ac:dyDescent="0.2">
      <c r="A45" s="1"/>
      <c r="B45"/>
      <c r="C45"/>
      <c r="D45"/>
      <c r="E45"/>
      <c r="F45"/>
      <c r="G45" s="14"/>
      <c r="H45" s="14"/>
      <c r="I45" s="14"/>
      <c r="J45" s="14"/>
      <c r="K45" s="14"/>
      <c r="L45" s="14"/>
      <c r="M45" s="14"/>
      <c r="N45" s="68"/>
      <c r="O45" s="68"/>
      <c r="P45" s="68"/>
      <c r="Q45" s="14"/>
      <c r="R45" s="14"/>
      <c r="S45" s="14"/>
      <c r="T45" s="2"/>
      <c r="U45" s="2"/>
      <c r="V45" s="2"/>
      <c r="W45" s="155"/>
      <c r="X45" s="2"/>
      <c r="Y45" s="155"/>
      <c r="Z45" s="14"/>
      <c r="AA45" s="183"/>
      <c r="AB45" s="14"/>
      <c r="AC45" s="183"/>
      <c r="AD45" s="14"/>
      <c r="AE45" s="14"/>
      <c r="AF45" s="183"/>
      <c r="AG45" s="14"/>
      <c r="AH45" s="183"/>
      <c r="AI45" s="14"/>
      <c r="AJ45" s="183"/>
      <c r="AK45" s="14"/>
      <c r="AL45" s="183"/>
      <c r="AM45" s="14"/>
      <c r="AN45" s="183"/>
      <c r="AO45" s="14"/>
      <c r="AP45" s="183"/>
      <c r="AQ45" s="14"/>
      <c r="AR45" s="183"/>
      <c r="AS45" s="14"/>
      <c r="AT45" s="183"/>
      <c r="AU45" s="14"/>
      <c r="AV45" s="183"/>
      <c r="AW45" s="14"/>
      <c r="AX45" s="183"/>
      <c r="AY45" s="14"/>
      <c r="AZ45" s="183"/>
      <c r="BA45" s="14"/>
      <c r="BB45" s="183"/>
      <c r="BC45" s="68"/>
      <c r="BD45" s="92"/>
      <c r="BE45" s="68"/>
      <c r="BF45" s="68"/>
      <c r="BG45" s="68"/>
      <c r="BH45" s="68"/>
      <c r="BI45" s="68"/>
      <c r="BJ45" s="68"/>
      <c r="BK45" s="68"/>
      <c r="BL45" s="68"/>
      <c r="BM45" s="68"/>
      <c r="BN45" s="68"/>
      <c r="BO45" s="68"/>
      <c r="BP45" s="68"/>
      <c r="BQ45" s="68"/>
      <c r="BR45" s="68"/>
      <c r="BS45" s="68"/>
      <c r="BT45" s="68"/>
      <c r="BU45" s="68"/>
      <c r="BV45" s="68"/>
      <c r="BW45" s="68"/>
      <c r="BX45" s="68"/>
      <c r="BY45" s="68"/>
      <c r="BZ45" s="68"/>
      <c r="CA45" s="68"/>
      <c r="CB45" s="68"/>
    </row>
    <row r="46" spans="1:80" s="13" customFormat="1" ht="15" x14ac:dyDescent="0.2">
      <c r="A46" s="1"/>
      <c r="B46"/>
      <c r="C46"/>
      <c r="D46"/>
      <c r="E46"/>
      <c r="F46"/>
      <c r="G46" s="14"/>
      <c r="H46" s="14"/>
      <c r="I46" s="14"/>
      <c r="J46" s="14"/>
      <c r="K46" s="14"/>
      <c r="L46" s="14"/>
      <c r="M46" s="14"/>
      <c r="N46" s="68"/>
      <c r="O46" s="68"/>
      <c r="P46" s="68"/>
      <c r="Q46" s="14"/>
      <c r="R46" s="14"/>
      <c r="S46" s="14"/>
      <c r="T46" s="2"/>
      <c r="U46" s="2"/>
      <c r="V46" s="2"/>
      <c r="W46" s="155"/>
      <c r="X46" s="2"/>
      <c r="Y46" s="155"/>
      <c r="Z46" s="14"/>
      <c r="AA46" s="183"/>
      <c r="AB46" s="14"/>
      <c r="AC46" s="183"/>
      <c r="AD46" s="14"/>
      <c r="AE46" s="14"/>
      <c r="AF46" s="183"/>
      <c r="AG46" s="14"/>
      <c r="AH46" s="183"/>
      <c r="AI46" s="14"/>
      <c r="AJ46" s="183"/>
      <c r="AK46" s="14"/>
      <c r="AL46" s="183"/>
      <c r="AM46" s="14"/>
      <c r="AN46" s="183"/>
      <c r="AO46" s="14"/>
      <c r="AP46" s="183"/>
      <c r="AQ46" s="14"/>
      <c r="AR46" s="183"/>
      <c r="AS46" s="14"/>
      <c r="AT46" s="183"/>
      <c r="AU46" s="14"/>
      <c r="AV46" s="183"/>
      <c r="AW46" s="14"/>
      <c r="AX46" s="183"/>
      <c r="AY46" s="14"/>
      <c r="AZ46" s="183"/>
      <c r="BA46" s="14"/>
      <c r="BB46" s="183"/>
      <c r="BC46" s="68"/>
      <c r="BD46" s="92"/>
      <c r="BE46" s="68"/>
      <c r="BF46" s="68"/>
      <c r="BG46" s="68"/>
      <c r="BH46" s="68"/>
      <c r="BI46" s="68"/>
      <c r="BJ46" s="68"/>
      <c r="BK46" s="68"/>
      <c r="BL46" s="68"/>
      <c r="BM46" s="68"/>
      <c r="BN46" s="68"/>
      <c r="BO46" s="68"/>
      <c r="BP46" s="68"/>
      <c r="BQ46" s="68"/>
      <c r="BR46" s="68"/>
      <c r="BS46" s="68"/>
      <c r="BT46" s="68"/>
      <c r="BU46" s="68"/>
      <c r="BV46" s="68"/>
      <c r="BW46" s="68"/>
      <c r="BX46" s="68"/>
      <c r="BY46" s="68"/>
      <c r="BZ46" s="68"/>
      <c r="CA46" s="68"/>
      <c r="CB46" s="68"/>
    </row>
    <row r="47" spans="1:80" s="13" customFormat="1" ht="15" x14ac:dyDescent="0.2">
      <c r="A47" s="1"/>
      <c r="B47"/>
      <c r="C47"/>
      <c r="D47"/>
      <c r="E47"/>
      <c r="F47"/>
      <c r="G47" s="14"/>
      <c r="H47" s="14"/>
      <c r="I47" s="14"/>
      <c r="J47" s="14"/>
      <c r="K47" s="14"/>
      <c r="L47" s="14"/>
      <c r="M47" s="14"/>
      <c r="N47" s="68"/>
      <c r="O47" s="68"/>
      <c r="P47" s="68"/>
      <c r="Q47" s="14"/>
      <c r="R47" s="14"/>
      <c r="S47" s="14"/>
      <c r="T47" s="2"/>
      <c r="U47" s="2"/>
      <c r="V47" s="2"/>
      <c r="W47" s="155"/>
      <c r="X47" s="2"/>
      <c r="Y47" s="155"/>
      <c r="Z47" s="14"/>
      <c r="AA47" s="183"/>
      <c r="AB47" s="14"/>
      <c r="AC47" s="183"/>
      <c r="AD47" s="14"/>
      <c r="AE47" s="14"/>
      <c r="AF47" s="183"/>
      <c r="AG47" s="14"/>
      <c r="AH47" s="183"/>
      <c r="AI47" s="14"/>
      <c r="AJ47" s="183"/>
      <c r="AK47" s="14"/>
      <c r="AL47" s="183"/>
      <c r="AM47" s="14"/>
      <c r="AN47" s="183"/>
      <c r="AO47" s="14"/>
      <c r="AP47" s="183"/>
      <c r="AQ47" s="14"/>
      <c r="AR47" s="183"/>
      <c r="AS47" s="14"/>
      <c r="AT47" s="183"/>
      <c r="AU47" s="14"/>
      <c r="AV47" s="183"/>
      <c r="AW47" s="14"/>
      <c r="AX47" s="183"/>
      <c r="AY47" s="14"/>
      <c r="AZ47" s="183"/>
      <c r="BA47" s="14"/>
      <c r="BB47" s="183"/>
      <c r="BC47" s="68"/>
      <c r="BD47" s="92"/>
      <c r="BE47" s="68"/>
      <c r="BF47" s="68"/>
      <c r="BG47" s="68"/>
      <c r="BH47" s="68"/>
      <c r="BI47" s="68"/>
      <c r="BJ47" s="68"/>
      <c r="BK47" s="68"/>
      <c r="BL47" s="68"/>
      <c r="BM47" s="68"/>
      <c r="BN47" s="68"/>
      <c r="BO47" s="68"/>
      <c r="BP47" s="68"/>
      <c r="BQ47" s="68"/>
      <c r="BR47" s="68"/>
      <c r="BS47" s="68"/>
      <c r="BT47" s="68"/>
      <c r="BU47" s="68"/>
      <c r="BV47" s="68"/>
      <c r="BW47" s="68"/>
      <c r="BX47" s="68"/>
      <c r="BY47" s="68"/>
      <c r="BZ47" s="68"/>
      <c r="CA47" s="68"/>
      <c r="CB47" s="68"/>
    </row>
    <row r="48" spans="1:80" s="13" customFormat="1" ht="15" x14ac:dyDescent="0.2">
      <c r="A48" s="1"/>
      <c r="B48"/>
      <c r="C48"/>
      <c r="D48"/>
      <c r="E48"/>
      <c r="F48"/>
      <c r="G48" s="14"/>
      <c r="H48" s="14"/>
      <c r="I48" s="14"/>
      <c r="J48" s="14"/>
      <c r="K48" s="14"/>
      <c r="L48" s="14"/>
      <c r="M48" s="14"/>
      <c r="N48" s="68"/>
      <c r="O48" s="68"/>
      <c r="P48" s="68"/>
      <c r="Q48" s="14"/>
      <c r="R48" s="14"/>
      <c r="S48" s="14"/>
      <c r="T48" s="2"/>
      <c r="U48" s="2"/>
      <c r="V48" s="2"/>
      <c r="W48" s="155"/>
      <c r="X48" s="2"/>
      <c r="Y48" s="155"/>
      <c r="Z48" s="14"/>
      <c r="AA48" s="183"/>
      <c r="AB48" s="14"/>
      <c r="AC48" s="183"/>
      <c r="AD48" s="14"/>
      <c r="AE48" s="14"/>
      <c r="AF48" s="183"/>
      <c r="AG48" s="14"/>
      <c r="AH48" s="183"/>
      <c r="AI48" s="14"/>
      <c r="AJ48" s="183"/>
      <c r="AK48" s="14"/>
      <c r="AL48" s="183"/>
      <c r="AM48" s="14"/>
      <c r="AN48" s="183"/>
      <c r="AO48" s="14"/>
      <c r="AP48" s="183"/>
      <c r="AQ48" s="14"/>
      <c r="AR48" s="183"/>
      <c r="AS48" s="14"/>
      <c r="AT48" s="183"/>
      <c r="AU48" s="14"/>
      <c r="AV48" s="183"/>
      <c r="AW48" s="14"/>
      <c r="AX48" s="183"/>
      <c r="AY48" s="14"/>
      <c r="AZ48" s="183"/>
      <c r="BA48" s="14"/>
      <c r="BB48" s="183"/>
      <c r="BC48" s="68"/>
      <c r="BD48" s="92"/>
      <c r="BE48" s="68"/>
      <c r="BF48" s="68"/>
      <c r="BG48" s="68"/>
      <c r="BH48" s="68"/>
      <c r="BI48" s="68"/>
      <c r="BJ48" s="68"/>
      <c r="BK48" s="68"/>
      <c r="BL48" s="68"/>
      <c r="BM48" s="68"/>
      <c r="BN48" s="68"/>
      <c r="BO48" s="68"/>
      <c r="BP48" s="68"/>
      <c r="BQ48" s="68"/>
      <c r="BR48" s="68"/>
      <c r="BS48" s="68"/>
      <c r="BT48" s="68"/>
      <c r="BU48" s="68"/>
      <c r="BV48" s="68"/>
      <c r="BW48" s="68"/>
      <c r="BX48" s="68"/>
      <c r="BY48" s="68"/>
      <c r="BZ48" s="68"/>
      <c r="CA48" s="68"/>
      <c r="CB48" s="68"/>
    </row>
    <row r="49" spans="1:80" s="13" customFormat="1" ht="15" x14ac:dyDescent="0.2">
      <c r="A49" s="1"/>
      <c r="B49"/>
      <c r="C49"/>
      <c r="D49"/>
      <c r="E49"/>
      <c r="F49"/>
      <c r="G49" s="14"/>
      <c r="H49" s="14"/>
      <c r="I49" s="14"/>
      <c r="J49" s="14"/>
      <c r="K49" s="14"/>
      <c r="L49" s="14"/>
      <c r="M49" s="14"/>
      <c r="N49" s="68"/>
      <c r="O49" s="68"/>
      <c r="P49" s="68"/>
      <c r="Q49" s="14"/>
      <c r="R49" s="14"/>
      <c r="S49" s="14"/>
      <c r="T49" s="2"/>
      <c r="U49" s="2"/>
      <c r="V49" s="2"/>
      <c r="W49" s="155"/>
      <c r="X49" s="2"/>
      <c r="Y49" s="155"/>
      <c r="Z49" s="14"/>
      <c r="AA49" s="183"/>
      <c r="AB49" s="14"/>
      <c r="AC49" s="183"/>
      <c r="AD49" s="14"/>
      <c r="AE49" s="14"/>
      <c r="AF49" s="183"/>
      <c r="AG49" s="14"/>
      <c r="AH49" s="183"/>
      <c r="AI49" s="14"/>
      <c r="AJ49" s="183"/>
      <c r="AK49" s="14"/>
      <c r="AL49" s="183"/>
      <c r="AM49" s="14"/>
      <c r="AN49" s="183"/>
      <c r="AO49" s="14"/>
      <c r="AP49" s="183"/>
      <c r="AQ49" s="14"/>
      <c r="AR49" s="183"/>
      <c r="AS49" s="14"/>
      <c r="AT49" s="183"/>
      <c r="AU49" s="14"/>
      <c r="AV49" s="183"/>
      <c r="AW49" s="14"/>
      <c r="AX49" s="183"/>
      <c r="AY49" s="14"/>
      <c r="AZ49" s="183"/>
      <c r="BA49" s="14"/>
      <c r="BB49" s="183"/>
      <c r="BC49" s="68"/>
      <c r="BD49" s="92"/>
      <c r="BE49" s="68"/>
      <c r="BF49" s="68"/>
      <c r="BG49" s="68"/>
      <c r="BH49" s="68"/>
      <c r="BI49" s="68"/>
      <c r="BJ49" s="68"/>
      <c r="BK49" s="68"/>
      <c r="BL49" s="68"/>
      <c r="BM49" s="68"/>
      <c r="BN49" s="68"/>
      <c r="BO49" s="68"/>
      <c r="BP49" s="68"/>
      <c r="BQ49" s="68"/>
      <c r="BR49" s="68"/>
      <c r="BS49" s="68"/>
      <c r="BT49" s="68"/>
      <c r="BU49" s="68"/>
      <c r="BV49" s="68"/>
      <c r="BW49" s="68"/>
      <c r="BX49" s="68"/>
      <c r="BY49" s="68"/>
      <c r="BZ49" s="68"/>
      <c r="CA49" s="68"/>
      <c r="CB49" s="68"/>
    </row>
    <row r="50" spans="1:80" s="13" customFormat="1" ht="15" x14ac:dyDescent="0.2">
      <c r="A50" s="1"/>
      <c r="B50"/>
      <c r="C50"/>
      <c r="D50"/>
      <c r="E50"/>
      <c r="F50"/>
      <c r="G50" s="14"/>
      <c r="H50" s="14"/>
      <c r="I50" s="14"/>
      <c r="J50" s="14"/>
      <c r="K50" s="14"/>
      <c r="L50" s="14"/>
      <c r="M50" s="14"/>
      <c r="N50" s="68"/>
      <c r="O50" s="68"/>
      <c r="P50" s="68"/>
      <c r="Q50" s="14"/>
      <c r="R50" s="14"/>
      <c r="S50" s="14"/>
      <c r="T50" s="2"/>
      <c r="U50" s="2"/>
      <c r="V50" s="2"/>
      <c r="W50" s="155"/>
      <c r="X50" s="2"/>
      <c r="Y50" s="155"/>
      <c r="Z50" s="14"/>
      <c r="AA50" s="183"/>
      <c r="AB50" s="14"/>
      <c r="AC50" s="183"/>
      <c r="AD50" s="14"/>
      <c r="AE50" s="14"/>
      <c r="AF50" s="183"/>
      <c r="AG50" s="14"/>
      <c r="AH50" s="183"/>
      <c r="AI50" s="14"/>
      <c r="AJ50" s="183"/>
      <c r="AK50" s="14"/>
      <c r="AL50" s="183"/>
      <c r="AM50" s="14"/>
      <c r="AN50" s="183"/>
      <c r="AO50" s="14"/>
      <c r="AP50" s="183"/>
      <c r="AQ50" s="14"/>
      <c r="AR50" s="183"/>
      <c r="AS50" s="14"/>
      <c r="AT50" s="183"/>
      <c r="AU50" s="14"/>
      <c r="AV50" s="183"/>
      <c r="AW50" s="14"/>
      <c r="AX50" s="183"/>
      <c r="AY50" s="14"/>
      <c r="AZ50" s="183"/>
      <c r="BA50" s="14"/>
      <c r="BB50" s="183"/>
      <c r="BC50" s="68"/>
      <c r="BD50" s="92"/>
      <c r="BE50" s="68"/>
      <c r="BF50" s="68"/>
      <c r="BG50" s="68"/>
      <c r="BH50" s="68"/>
      <c r="BI50" s="68"/>
      <c r="BJ50" s="68"/>
      <c r="BK50" s="68"/>
      <c r="BL50" s="68"/>
      <c r="BM50" s="68"/>
      <c r="BN50" s="68"/>
      <c r="BO50" s="68"/>
      <c r="BP50" s="68"/>
      <c r="BQ50" s="68"/>
      <c r="BR50" s="68"/>
      <c r="BS50" s="68"/>
      <c r="BT50" s="68"/>
      <c r="BU50" s="68"/>
      <c r="BV50" s="68"/>
      <c r="BW50" s="68"/>
      <c r="BX50" s="68"/>
      <c r="BY50" s="68"/>
      <c r="BZ50" s="68"/>
      <c r="CA50" s="68"/>
      <c r="CB50" s="68"/>
    </row>
    <row r="51" spans="1:80" s="13" customFormat="1" ht="15" x14ac:dyDescent="0.2">
      <c r="A51" s="1"/>
      <c r="B51"/>
      <c r="C51"/>
      <c r="D51"/>
      <c r="E51"/>
      <c r="F51"/>
      <c r="G51" s="14"/>
      <c r="H51" s="14"/>
      <c r="I51" s="14"/>
      <c r="J51" s="14"/>
      <c r="K51" s="14"/>
      <c r="L51" s="14"/>
      <c r="M51" s="14"/>
      <c r="N51" s="68"/>
      <c r="O51" s="68"/>
      <c r="P51" s="68"/>
      <c r="Q51" s="14"/>
      <c r="R51" s="14"/>
      <c r="S51" s="14"/>
      <c r="T51" s="2"/>
      <c r="U51" s="2"/>
      <c r="V51" s="2"/>
      <c r="W51" s="155"/>
      <c r="X51" s="2"/>
      <c r="Y51" s="155"/>
      <c r="Z51" s="14"/>
      <c r="AA51" s="183"/>
      <c r="AB51" s="14"/>
      <c r="AC51" s="183"/>
      <c r="AD51" s="14"/>
      <c r="AE51" s="14"/>
      <c r="AF51" s="183"/>
      <c r="AG51" s="14"/>
      <c r="AH51" s="183"/>
      <c r="AI51" s="14"/>
      <c r="AJ51" s="183"/>
      <c r="AK51" s="14"/>
      <c r="AL51" s="183"/>
      <c r="AM51" s="14"/>
      <c r="AN51" s="183"/>
      <c r="AO51" s="14"/>
      <c r="AP51" s="183"/>
      <c r="AQ51" s="14"/>
      <c r="AR51" s="183"/>
      <c r="AS51" s="14"/>
      <c r="AT51" s="183"/>
      <c r="AU51" s="14"/>
      <c r="AV51" s="183"/>
      <c r="AW51" s="14"/>
      <c r="AX51" s="183"/>
      <c r="AY51" s="14"/>
      <c r="AZ51" s="183"/>
      <c r="BA51" s="14"/>
      <c r="BB51" s="183"/>
      <c r="BC51" s="68"/>
      <c r="BD51" s="92"/>
      <c r="BE51" s="68"/>
      <c r="BF51" s="68"/>
      <c r="BG51" s="68"/>
      <c r="BH51" s="68"/>
      <c r="BI51" s="68"/>
      <c r="BJ51" s="68"/>
      <c r="BK51" s="68"/>
      <c r="BL51" s="68"/>
      <c r="BM51" s="68"/>
      <c r="BN51" s="68"/>
      <c r="BO51" s="68"/>
      <c r="BP51" s="68"/>
      <c r="BQ51" s="68"/>
      <c r="BR51" s="68"/>
      <c r="BS51" s="68"/>
      <c r="BT51" s="68"/>
      <c r="BU51" s="68"/>
      <c r="BV51" s="68"/>
      <c r="BW51" s="68"/>
      <c r="BX51" s="68"/>
      <c r="BY51" s="68"/>
      <c r="BZ51" s="68"/>
      <c r="CA51" s="68"/>
      <c r="CB51" s="68"/>
    </row>
    <row r="52" spans="1:80" s="13" customFormat="1" ht="15" x14ac:dyDescent="0.2">
      <c r="A52" s="1"/>
      <c r="B52"/>
      <c r="C52"/>
      <c r="D52"/>
      <c r="E52"/>
      <c r="F52"/>
      <c r="G52" s="14"/>
      <c r="H52" s="14"/>
      <c r="I52" s="14"/>
      <c r="J52" s="14"/>
      <c r="K52" s="14"/>
      <c r="L52" s="14"/>
      <c r="M52" s="14"/>
      <c r="N52" s="68"/>
      <c r="O52" s="68"/>
      <c r="P52" s="68"/>
      <c r="Q52" s="14"/>
      <c r="R52" s="14"/>
      <c r="S52" s="14"/>
      <c r="T52" s="2"/>
      <c r="U52" s="2"/>
      <c r="V52" s="2"/>
      <c r="W52" s="155"/>
      <c r="X52" s="2"/>
      <c r="Y52" s="155"/>
      <c r="Z52" s="14"/>
      <c r="AA52" s="183"/>
      <c r="AB52" s="14"/>
      <c r="AC52" s="183"/>
      <c r="AD52" s="14"/>
      <c r="AE52" s="14"/>
      <c r="AF52" s="183"/>
      <c r="AG52" s="14"/>
      <c r="AH52" s="183"/>
      <c r="AI52" s="14"/>
      <c r="AJ52" s="183"/>
      <c r="AK52" s="14"/>
      <c r="AL52" s="183"/>
      <c r="AM52" s="14"/>
      <c r="AN52" s="183"/>
      <c r="AO52" s="14"/>
      <c r="AP52" s="183"/>
      <c r="AQ52" s="14"/>
      <c r="AR52" s="183"/>
      <c r="AS52" s="14"/>
      <c r="AT52" s="183"/>
      <c r="AU52" s="14"/>
      <c r="AV52" s="183"/>
      <c r="AW52" s="14"/>
      <c r="AX52" s="183"/>
      <c r="AY52" s="14"/>
      <c r="AZ52" s="183"/>
      <c r="BA52" s="14"/>
      <c r="BB52" s="183"/>
      <c r="BC52" s="68"/>
      <c r="BD52" s="92"/>
      <c r="BE52" s="68"/>
      <c r="BF52" s="68"/>
      <c r="BG52" s="68"/>
      <c r="BH52" s="68"/>
      <c r="BI52" s="68"/>
      <c r="BJ52" s="68"/>
      <c r="BK52" s="68"/>
      <c r="BL52" s="68"/>
      <c r="BM52" s="68"/>
      <c r="BN52" s="68"/>
      <c r="BO52" s="68"/>
      <c r="BP52" s="68"/>
      <c r="BQ52" s="68"/>
      <c r="BR52" s="68"/>
      <c r="BS52" s="68"/>
      <c r="BT52" s="68"/>
      <c r="BU52" s="68"/>
      <c r="BV52" s="68"/>
      <c r="BW52" s="68"/>
      <c r="BX52" s="68"/>
      <c r="BY52" s="68"/>
      <c r="BZ52" s="68"/>
      <c r="CA52" s="68"/>
      <c r="CB52" s="68"/>
    </row>
    <row r="53" spans="1:80" s="13" customFormat="1" ht="15" x14ac:dyDescent="0.2">
      <c r="A53" s="1"/>
      <c r="B53"/>
      <c r="C53"/>
      <c r="D53"/>
      <c r="E53"/>
      <c r="F53"/>
      <c r="G53" s="14"/>
      <c r="H53" s="14"/>
      <c r="I53" s="14"/>
      <c r="J53" s="14"/>
      <c r="K53" s="14"/>
      <c r="L53" s="14"/>
      <c r="M53" s="14"/>
      <c r="N53" s="68"/>
      <c r="O53" s="68"/>
      <c r="P53" s="68"/>
      <c r="Q53" s="14"/>
      <c r="R53" s="14"/>
      <c r="S53" s="14"/>
      <c r="T53" s="2"/>
      <c r="U53" s="2"/>
      <c r="V53" s="2"/>
      <c r="W53" s="155"/>
      <c r="X53" s="2"/>
      <c r="Y53" s="155"/>
      <c r="Z53" s="14"/>
      <c r="AA53" s="183"/>
      <c r="AB53" s="14"/>
      <c r="AC53" s="183"/>
      <c r="AD53" s="14"/>
      <c r="AE53" s="14"/>
      <c r="AF53" s="183"/>
      <c r="AG53" s="14"/>
      <c r="AH53" s="183"/>
      <c r="AI53" s="14"/>
      <c r="AJ53" s="183"/>
      <c r="AK53" s="14"/>
      <c r="AL53" s="183"/>
      <c r="AM53" s="14"/>
      <c r="AN53" s="183"/>
      <c r="AO53" s="14"/>
      <c r="AP53" s="183"/>
      <c r="AQ53" s="14"/>
      <c r="AR53" s="183"/>
      <c r="AS53" s="14"/>
      <c r="AT53" s="183"/>
      <c r="AU53" s="14"/>
      <c r="AV53" s="183"/>
      <c r="AW53" s="14"/>
      <c r="AX53" s="183"/>
      <c r="AY53" s="14"/>
      <c r="AZ53" s="183"/>
      <c r="BA53" s="14"/>
      <c r="BB53" s="183"/>
      <c r="BC53" s="68"/>
      <c r="BD53" s="92"/>
      <c r="BE53" s="68"/>
      <c r="BF53" s="68"/>
      <c r="BG53" s="68"/>
      <c r="BH53" s="68"/>
      <c r="BI53" s="68"/>
      <c r="BJ53" s="68"/>
      <c r="BK53" s="68"/>
      <c r="BL53" s="68"/>
      <c r="BM53" s="68"/>
      <c r="BN53" s="68"/>
      <c r="BO53" s="68"/>
      <c r="BP53" s="68"/>
      <c r="BQ53" s="68"/>
      <c r="BR53" s="68"/>
      <c r="BS53" s="68"/>
      <c r="BT53" s="68"/>
      <c r="BU53" s="68"/>
      <c r="BV53" s="68"/>
      <c r="BW53" s="68"/>
      <c r="BX53" s="68"/>
      <c r="BY53" s="68"/>
      <c r="BZ53" s="68"/>
      <c r="CA53" s="68"/>
      <c r="CB53" s="68"/>
    </row>
    <row r="54" spans="1:80" s="13" customFormat="1" ht="15" x14ac:dyDescent="0.2">
      <c r="A54" s="1"/>
      <c r="B54"/>
      <c r="C54"/>
      <c r="D54"/>
      <c r="E54"/>
      <c r="F54"/>
      <c r="G54" s="14"/>
      <c r="H54" s="14"/>
      <c r="I54" s="14"/>
      <c r="J54" s="14"/>
      <c r="K54" s="14"/>
      <c r="L54" s="14"/>
      <c r="M54" s="14"/>
      <c r="N54" s="68"/>
      <c r="O54" s="68"/>
      <c r="P54" s="68"/>
      <c r="Q54" s="14"/>
      <c r="R54" s="14"/>
      <c r="S54" s="14"/>
      <c r="T54" s="2"/>
      <c r="U54" s="2"/>
      <c r="V54" s="2"/>
      <c r="W54" s="155"/>
      <c r="X54" s="2"/>
      <c r="Y54" s="155"/>
      <c r="Z54" s="14"/>
      <c r="AA54" s="183"/>
      <c r="AB54" s="14"/>
      <c r="AC54" s="183"/>
      <c r="AD54" s="14"/>
      <c r="AE54" s="14"/>
      <c r="AF54" s="183"/>
      <c r="AG54" s="14"/>
      <c r="AH54" s="183"/>
      <c r="AI54" s="14"/>
      <c r="AJ54" s="183"/>
      <c r="AK54" s="14"/>
      <c r="AL54" s="183"/>
      <c r="AM54" s="14"/>
      <c r="AN54" s="183"/>
      <c r="AO54" s="14"/>
      <c r="AP54" s="183"/>
      <c r="AQ54" s="14"/>
      <c r="AR54" s="183"/>
      <c r="AS54" s="14"/>
      <c r="AT54" s="183"/>
      <c r="AU54" s="14"/>
      <c r="AV54" s="183"/>
      <c r="AW54" s="14"/>
      <c r="AX54" s="183"/>
      <c r="AY54" s="14"/>
      <c r="AZ54" s="183"/>
      <c r="BA54" s="14"/>
      <c r="BB54" s="183"/>
      <c r="BC54" s="68"/>
      <c r="BD54" s="92"/>
      <c r="BE54" s="68"/>
      <c r="BF54" s="68"/>
      <c r="BG54" s="68"/>
      <c r="BH54" s="68"/>
      <c r="BI54" s="68"/>
      <c r="BJ54" s="68"/>
      <c r="BK54" s="68"/>
      <c r="BL54" s="68"/>
      <c r="BM54" s="68"/>
      <c r="BN54" s="68"/>
      <c r="BO54" s="68"/>
      <c r="BP54" s="68"/>
      <c r="BQ54" s="68"/>
      <c r="BR54" s="68"/>
      <c r="BS54" s="68"/>
      <c r="BT54" s="68"/>
      <c r="BU54" s="68"/>
      <c r="BV54" s="68"/>
      <c r="BW54" s="68"/>
      <c r="BX54" s="68"/>
      <c r="BY54" s="68"/>
      <c r="BZ54" s="68"/>
      <c r="CA54" s="68"/>
      <c r="CB54" s="68"/>
    </row>
    <row r="55" spans="1:80" s="13" customFormat="1" ht="15" x14ac:dyDescent="0.2">
      <c r="A55" s="1"/>
      <c r="B55"/>
      <c r="C55"/>
      <c r="D55"/>
      <c r="E55"/>
      <c r="F55"/>
      <c r="G55" s="14"/>
      <c r="H55" s="14"/>
      <c r="I55" s="14"/>
      <c r="J55" s="14"/>
      <c r="K55" s="14"/>
      <c r="L55" s="14"/>
      <c r="M55" s="14"/>
      <c r="N55" s="68"/>
      <c r="O55" s="68"/>
      <c r="P55" s="68"/>
      <c r="Q55" s="14"/>
      <c r="R55" s="14"/>
      <c r="S55" s="14"/>
      <c r="T55" s="2"/>
      <c r="U55" s="2"/>
      <c r="V55" s="2"/>
      <c r="W55" s="155"/>
      <c r="X55" s="2"/>
      <c r="Y55" s="155"/>
      <c r="Z55" s="14"/>
      <c r="AA55" s="183"/>
      <c r="AB55" s="14"/>
      <c r="AC55" s="183"/>
      <c r="AD55" s="14"/>
      <c r="AE55" s="14"/>
      <c r="AF55" s="183"/>
      <c r="AG55" s="14"/>
      <c r="AH55" s="183"/>
      <c r="AI55" s="14"/>
      <c r="AJ55" s="183"/>
      <c r="AK55" s="14"/>
      <c r="AL55" s="183"/>
      <c r="AM55" s="14"/>
      <c r="AN55" s="183"/>
      <c r="AO55" s="14"/>
      <c r="AP55" s="183"/>
      <c r="AQ55" s="14"/>
      <c r="AR55" s="183"/>
      <c r="AS55" s="14"/>
      <c r="AT55" s="183"/>
      <c r="AU55" s="14"/>
      <c r="AV55" s="183"/>
      <c r="AW55" s="14"/>
      <c r="AX55" s="183"/>
      <c r="AY55" s="14"/>
      <c r="AZ55" s="183"/>
      <c r="BA55" s="14"/>
      <c r="BB55" s="183"/>
      <c r="BC55" s="68"/>
      <c r="BD55" s="92"/>
      <c r="BE55" s="68"/>
      <c r="BF55" s="68"/>
      <c r="BG55" s="68"/>
      <c r="BH55" s="68"/>
      <c r="BI55" s="68"/>
      <c r="BJ55" s="68"/>
      <c r="BK55" s="68"/>
      <c r="BL55" s="68"/>
      <c r="BM55" s="68"/>
      <c r="BN55" s="68"/>
      <c r="BO55" s="68"/>
      <c r="BP55" s="68"/>
      <c r="BQ55" s="68"/>
      <c r="BR55" s="68"/>
      <c r="BS55" s="68"/>
      <c r="BT55" s="68"/>
      <c r="BU55" s="68"/>
      <c r="BV55" s="68"/>
      <c r="BW55" s="68"/>
      <c r="BX55" s="68"/>
      <c r="BY55" s="68"/>
      <c r="BZ55" s="68"/>
      <c r="CA55" s="68"/>
      <c r="CB55" s="68"/>
    </row>
    <row r="56" spans="1:80" s="13" customFormat="1" ht="15" x14ac:dyDescent="0.2">
      <c r="A56" s="1"/>
      <c r="B56"/>
      <c r="C56"/>
      <c r="D56"/>
      <c r="E56"/>
      <c r="F56"/>
      <c r="G56" s="14"/>
      <c r="H56" s="14"/>
      <c r="I56" s="14"/>
      <c r="J56" s="14"/>
      <c r="K56" s="14"/>
      <c r="L56" s="14"/>
      <c r="M56" s="14"/>
      <c r="N56" s="68"/>
      <c r="O56" s="68"/>
      <c r="P56" s="68"/>
      <c r="Q56" s="14"/>
      <c r="R56" s="14"/>
      <c r="S56" s="14"/>
      <c r="T56" s="2"/>
      <c r="U56" s="2"/>
      <c r="V56" s="2"/>
      <c r="W56" s="155"/>
      <c r="X56" s="2"/>
      <c r="Y56" s="155"/>
      <c r="Z56" s="14"/>
      <c r="AA56" s="183"/>
      <c r="AB56" s="14"/>
      <c r="AC56" s="183"/>
      <c r="AD56" s="14"/>
      <c r="AE56" s="14"/>
      <c r="AF56" s="183"/>
      <c r="AG56" s="14"/>
      <c r="AH56" s="183"/>
      <c r="AI56" s="14"/>
      <c r="AJ56" s="183"/>
      <c r="AK56" s="14"/>
      <c r="AL56" s="183"/>
      <c r="AM56" s="14"/>
      <c r="AN56" s="183"/>
      <c r="AO56" s="14"/>
      <c r="AP56" s="183"/>
      <c r="AQ56" s="14"/>
      <c r="AR56" s="183"/>
      <c r="AS56" s="14"/>
      <c r="AT56" s="183"/>
      <c r="AU56" s="14"/>
      <c r="AV56" s="183"/>
      <c r="AW56" s="14"/>
      <c r="AX56" s="183"/>
      <c r="AY56" s="14"/>
      <c r="AZ56" s="183"/>
      <c r="BA56" s="14"/>
      <c r="BB56" s="183"/>
      <c r="BC56" s="68"/>
      <c r="BD56" s="92"/>
      <c r="BE56" s="68"/>
      <c r="BF56" s="68"/>
      <c r="BG56" s="68"/>
      <c r="BH56" s="68"/>
      <c r="BI56" s="68"/>
      <c r="BJ56" s="68"/>
      <c r="BK56" s="68"/>
      <c r="BL56" s="68"/>
      <c r="BM56" s="68"/>
      <c r="BN56" s="68"/>
      <c r="BO56" s="68"/>
      <c r="BP56" s="68"/>
      <c r="BQ56" s="68"/>
      <c r="BR56" s="68"/>
      <c r="BS56" s="68"/>
      <c r="BT56" s="68"/>
      <c r="BU56" s="68"/>
      <c r="BV56" s="68"/>
      <c r="BW56" s="68"/>
      <c r="BX56" s="68"/>
      <c r="BY56" s="68"/>
      <c r="BZ56" s="68"/>
      <c r="CA56" s="68"/>
      <c r="CB56" s="68"/>
    </row>
    <row r="57" spans="1:80" s="13" customFormat="1" ht="15" x14ac:dyDescent="0.2">
      <c r="A57" s="1"/>
      <c r="B57"/>
      <c r="C57"/>
      <c r="D57"/>
      <c r="E57"/>
      <c r="F57"/>
      <c r="G57" s="14"/>
      <c r="H57" s="14"/>
      <c r="I57" s="14"/>
      <c r="J57" s="14"/>
      <c r="K57" s="14"/>
      <c r="L57" s="14"/>
      <c r="M57" s="14"/>
      <c r="N57" s="68"/>
      <c r="O57" s="68"/>
      <c r="P57" s="68"/>
      <c r="Q57" s="14"/>
      <c r="R57" s="14"/>
      <c r="S57" s="14"/>
      <c r="T57" s="2"/>
      <c r="U57" s="2"/>
      <c r="V57" s="2"/>
      <c r="W57" s="155"/>
      <c r="X57" s="2"/>
      <c r="Y57" s="155"/>
      <c r="Z57" s="14"/>
      <c r="AA57" s="183"/>
      <c r="AB57" s="14"/>
      <c r="AC57" s="183"/>
      <c r="AD57" s="14"/>
      <c r="AE57" s="14"/>
      <c r="AF57" s="183"/>
      <c r="AG57" s="14"/>
      <c r="AH57" s="183"/>
      <c r="AI57" s="14"/>
      <c r="AJ57" s="183"/>
      <c r="AK57" s="14"/>
      <c r="AL57" s="183"/>
      <c r="AM57" s="14"/>
      <c r="AN57" s="183"/>
      <c r="AO57" s="14"/>
      <c r="AP57" s="183"/>
      <c r="AQ57" s="14"/>
      <c r="AR57" s="183"/>
      <c r="AS57" s="14"/>
      <c r="AT57" s="183"/>
      <c r="AU57" s="14"/>
      <c r="AV57" s="183"/>
      <c r="AW57" s="14"/>
      <c r="AX57" s="183"/>
      <c r="AY57" s="14"/>
      <c r="AZ57" s="183"/>
      <c r="BA57" s="14"/>
      <c r="BB57" s="183"/>
      <c r="BC57" s="68"/>
      <c r="BD57" s="92"/>
      <c r="BE57" s="68"/>
      <c r="BF57" s="68"/>
      <c r="BG57" s="68"/>
      <c r="BH57" s="68"/>
      <c r="BI57" s="68"/>
      <c r="BJ57" s="68"/>
      <c r="BK57" s="68"/>
      <c r="BL57" s="68"/>
      <c r="BM57" s="68"/>
      <c r="BN57" s="68"/>
      <c r="BO57" s="68"/>
      <c r="BP57" s="68"/>
      <c r="BQ57" s="68"/>
      <c r="BR57" s="68"/>
      <c r="BS57" s="68"/>
      <c r="BT57" s="68"/>
      <c r="BU57" s="68"/>
      <c r="BV57" s="68"/>
      <c r="BW57" s="68"/>
      <c r="BX57" s="68"/>
      <c r="BY57" s="68"/>
      <c r="BZ57" s="68"/>
      <c r="CA57" s="68"/>
      <c r="CB57" s="68"/>
    </row>
    <row r="58" spans="1:80" s="13" customFormat="1" ht="15" x14ac:dyDescent="0.2">
      <c r="A58" s="1"/>
      <c r="B58"/>
      <c r="C58"/>
      <c r="D58"/>
      <c r="E58"/>
      <c r="F58"/>
      <c r="G58" s="14"/>
      <c r="H58" s="14"/>
      <c r="I58" s="14"/>
      <c r="J58" s="14"/>
      <c r="K58" s="14"/>
      <c r="L58" s="14"/>
      <c r="M58" s="14"/>
      <c r="N58" s="68"/>
      <c r="O58" s="68"/>
      <c r="P58" s="68"/>
      <c r="Q58" s="14"/>
      <c r="R58" s="14"/>
      <c r="S58" s="14"/>
      <c r="T58" s="2"/>
      <c r="U58" s="2"/>
      <c r="V58" s="2"/>
      <c r="W58" s="155"/>
      <c r="X58" s="2"/>
      <c r="Y58" s="155"/>
      <c r="Z58" s="14"/>
      <c r="AA58" s="183"/>
      <c r="AB58" s="14"/>
      <c r="AC58" s="183"/>
      <c r="AD58" s="14"/>
      <c r="AE58" s="14"/>
      <c r="AF58" s="183"/>
      <c r="AG58" s="14"/>
      <c r="AH58" s="183"/>
      <c r="AI58" s="14"/>
      <c r="AJ58" s="183"/>
      <c r="AK58" s="14"/>
      <c r="AL58" s="183"/>
      <c r="AM58" s="14"/>
      <c r="AN58" s="183"/>
      <c r="AO58" s="14"/>
      <c r="AP58" s="183"/>
      <c r="AQ58" s="14"/>
      <c r="AR58" s="183"/>
      <c r="AS58" s="14"/>
      <c r="AT58" s="183"/>
      <c r="AU58" s="14"/>
      <c r="AV58" s="183"/>
      <c r="AW58" s="14"/>
      <c r="AX58" s="183"/>
      <c r="AY58" s="14"/>
      <c r="AZ58" s="183"/>
      <c r="BA58" s="14"/>
      <c r="BB58" s="183"/>
      <c r="BC58" s="68"/>
      <c r="BD58" s="92"/>
      <c r="BE58" s="68"/>
      <c r="BF58" s="68"/>
      <c r="BG58" s="68"/>
      <c r="BH58" s="68"/>
      <c r="BI58" s="68"/>
      <c r="BJ58" s="68"/>
      <c r="BK58" s="68"/>
      <c r="BL58" s="68"/>
      <c r="BM58" s="68"/>
      <c r="BN58" s="68"/>
      <c r="BO58" s="68"/>
      <c r="BP58" s="68"/>
      <c r="BQ58" s="68"/>
      <c r="BR58" s="68"/>
      <c r="BS58" s="68"/>
      <c r="BT58" s="68"/>
      <c r="BU58" s="68"/>
      <c r="BV58" s="68"/>
      <c r="BW58" s="68"/>
      <c r="BX58" s="68"/>
      <c r="BY58" s="68"/>
      <c r="BZ58" s="68"/>
      <c r="CA58" s="68"/>
      <c r="CB58" s="68"/>
    </row>
    <row r="59" spans="1:80" s="13" customFormat="1" ht="15" x14ac:dyDescent="0.2">
      <c r="A59" s="1"/>
      <c r="B59"/>
      <c r="C59"/>
      <c r="D59"/>
      <c r="E59"/>
      <c r="F59"/>
      <c r="G59" s="14"/>
      <c r="H59" s="14"/>
      <c r="I59" s="14"/>
      <c r="J59" s="14"/>
      <c r="K59" s="14"/>
      <c r="L59" s="14"/>
      <c r="M59" s="14"/>
      <c r="N59" s="68"/>
      <c r="O59" s="68"/>
      <c r="P59" s="68"/>
      <c r="Q59" s="14"/>
      <c r="R59" s="14"/>
      <c r="S59" s="14"/>
      <c r="T59" s="2"/>
      <c r="U59" s="2"/>
      <c r="V59" s="2"/>
      <c r="W59" s="155"/>
      <c r="X59" s="2"/>
      <c r="Y59" s="155"/>
      <c r="Z59" s="14"/>
      <c r="AA59" s="183"/>
      <c r="AB59" s="14"/>
      <c r="AC59" s="183"/>
      <c r="AD59" s="14"/>
      <c r="AE59" s="14"/>
      <c r="AF59" s="183"/>
      <c r="AG59" s="14"/>
      <c r="AH59" s="183"/>
      <c r="AI59" s="14"/>
      <c r="AJ59" s="183"/>
      <c r="AK59" s="14"/>
      <c r="AL59" s="183"/>
      <c r="AM59" s="14"/>
      <c r="AN59" s="183"/>
      <c r="AO59" s="14"/>
      <c r="AP59" s="183"/>
      <c r="AQ59" s="14"/>
      <c r="AR59" s="183"/>
      <c r="AS59" s="14"/>
      <c r="AT59" s="183"/>
      <c r="AU59" s="14"/>
      <c r="AV59" s="183"/>
      <c r="AW59" s="14"/>
      <c r="AX59" s="183"/>
      <c r="AY59" s="14"/>
      <c r="AZ59" s="183"/>
      <c r="BA59" s="14"/>
      <c r="BB59" s="183"/>
      <c r="BC59" s="68"/>
      <c r="BD59" s="92"/>
      <c r="BE59" s="68"/>
      <c r="BF59" s="68"/>
      <c r="BG59" s="68"/>
      <c r="BH59" s="68"/>
      <c r="BI59" s="68"/>
      <c r="BJ59" s="68"/>
      <c r="BK59" s="68"/>
      <c r="BL59" s="68"/>
      <c r="BM59" s="68"/>
      <c r="BN59" s="68"/>
      <c r="BO59" s="68"/>
      <c r="BP59" s="68"/>
      <c r="BQ59" s="68"/>
      <c r="BR59" s="68"/>
      <c r="BS59" s="68"/>
      <c r="BT59" s="68"/>
      <c r="BU59" s="68"/>
      <c r="BV59" s="68"/>
      <c r="BW59" s="68"/>
      <c r="BX59" s="68"/>
      <c r="BY59" s="68"/>
      <c r="BZ59" s="68"/>
      <c r="CA59" s="68"/>
      <c r="CB59" s="68"/>
    </row>
    <row r="60" spans="1:80" s="13" customFormat="1" ht="15" x14ac:dyDescent="0.2">
      <c r="A60" s="1"/>
      <c r="B60"/>
      <c r="C60"/>
      <c r="D60"/>
      <c r="E60"/>
      <c r="F60"/>
      <c r="G60" s="14"/>
      <c r="H60" s="14"/>
      <c r="I60" s="14"/>
      <c r="J60" s="14"/>
      <c r="K60" s="14"/>
      <c r="L60" s="14"/>
      <c r="M60" s="14"/>
      <c r="N60" s="68"/>
      <c r="O60" s="68"/>
      <c r="P60" s="68"/>
      <c r="Q60" s="14"/>
      <c r="R60" s="14"/>
      <c r="S60" s="14"/>
      <c r="T60" s="2"/>
      <c r="U60" s="2"/>
      <c r="V60" s="2"/>
      <c r="W60" s="155"/>
      <c r="X60" s="2"/>
      <c r="Y60" s="155"/>
      <c r="Z60" s="14"/>
      <c r="AA60" s="183"/>
      <c r="AB60" s="14"/>
      <c r="AC60" s="183"/>
      <c r="AD60" s="14"/>
      <c r="AE60" s="14"/>
      <c r="AF60" s="183"/>
      <c r="AG60" s="14"/>
      <c r="AH60" s="183"/>
      <c r="AI60" s="14"/>
      <c r="AJ60" s="183"/>
      <c r="AK60" s="14"/>
      <c r="AL60" s="183"/>
      <c r="AM60" s="14"/>
      <c r="AN60" s="183"/>
      <c r="AO60" s="14"/>
      <c r="AP60" s="183"/>
      <c r="AQ60" s="14"/>
      <c r="AR60" s="183"/>
      <c r="AS60" s="14"/>
      <c r="AT60" s="183"/>
      <c r="AU60" s="14"/>
      <c r="AV60" s="183"/>
      <c r="AW60" s="14"/>
      <c r="AX60" s="183"/>
      <c r="AY60" s="14"/>
      <c r="AZ60" s="183"/>
      <c r="BA60" s="14"/>
      <c r="BB60" s="183"/>
      <c r="BC60" s="68"/>
      <c r="BD60" s="92"/>
      <c r="BE60" s="68"/>
      <c r="BF60" s="68"/>
      <c r="BG60" s="68"/>
      <c r="BH60" s="68"/>
      <c r="BI60" s="68"/>
      <c r="BJ60" s="68"/>
      <c r="BK60" s="68"/>
      <c r="BL60" s="68"/>
      <c r="BM60" s="68"/>
      <c r="BN60" s="68"/>
      <c r="BO60" s="68"/>
      <c r="BP60" s="68"/>
      <c r="BQ60" s="68"/>
      <c r="BR60" s="68"/>
      <c r="BS60" s="68"/>
      <c r="BT60" s="68"/>
      <c r="BU60" s="68"/>
      <c r="BV60" s="68"/>
      <c r="BW60" s="68"/>
      <c r="BX60" s="68"/>
      <c r="BY60" s="68"/>
      <c r="BZ60" s="68"/>
      <c r="CA60" s="68"/>
      <c r="CB60" s="68"/>
    </row>
    <row r="61" spans="1:80" s="13" customFormat="1" ht="15" x14ac:dyDescent="0.2">
      <c r="A61" s="1"/>
      <c r="B61"/>
      <c r="C61"/>
      <c r="D61"/>
      <c r="E61"/>
      <c r="F61"/>
      <c r="G61" s="14"/>
      <c r="H61" s="14"/>
      <c r="I61" s="14"/>
      <c r="J61" s="14"/>
      <c r="K61" s="14"/>
      <c r="L61" s="14"/>
      <c r="M61" s="14"/>
      <c r="N61" s="68"/>
      <c r="O61" s="68"/>
      <c r="P61" s="68"/>
      <c r="Q61" s="14"/>
      <c r="R61" s="14"/>
      <c r="S61" s="14"/>
      <c r="T61" s="2"/>
      <c r="U61" s="2"/>
      <c r="V61" s="2"/>
      <c r="W61" s="155"/>
      <c r="X61" s="2"/>
      <c r="Y61" s="155"/>
      <c r="Z61" s="14"/>
      <c r="AA61" s="183"/>
      <c r="AB61" s="14"/>
      <c r="AC61" s="183"/>
      <c r="AD61" s="14"/>
      <c r="AE61" s="14"/>
      <c r="AF61" s="183"/>
      <c r="AG61" s="14"/>
      <c r="AH61" s="183"/>
      <c r="AI61" s="14"/>
      <c r="AJ61" s="183"/>
      <c r="AK61" s="14"/>
      <c r="AL61" s="183"/>
      <c r="AM61" s="14"/>
      <c r="AN61" s="183"/>
      <c r="AO61" s="14"/>
      <c r="AP61" s="183"/>
      <c r="AQ61" s="14"/>
      <c r="AR61" s="183"/>
      <c r="AS61" s="14"/>
      <c r="AT61" s="183"/>
      <c r="AU61" s="14"/>
      <c r="AV61" s="183"/>
      <c r="AW61" s="14"/>
      <c r="AX61" s="183"/>
      <c r="AY61" s="14"/>
      <c r="AZ61" s="183"/>
      <c r="BA61" s="14"/>
      <c r="BB61" s="183"/>
      <c r="BC61" s="68"/>
      <c r="BD61" s="92"/>
      <c r="BE61" s="68"/>
      <c r="BF61" s="68"/>
      <c r="BG61" s="68"/>
      <c r="BH61" s="68"/>
      <c r="BI61" s="68"/>
      <c r="BJ61" s="68"/>
      <c r="BK61" s="68"/>
      <c r="BL61" s="68"/>
      <c r="BM61" s="68"/>
      <c r="BN61" s="68"/>
      <c r="BO61" s="68"/>
      <c r="BP61" s="68"/>
      <c r="BQ61" s="68"/>
      <c r="BR61" s="68"/>
      <c r="BS61" s="68"/>
      <c r="BT61" s="68"/>
      <c r="BU61" s="68"/>
      <c r="BV61" s="68"/>
      <c r="BW61" s="68"/>
      <c r="BX61" s="68"/>
      <c r="BY61" s="68"/>
      <c r="BZ61" s="68"/>
      <c r="CA61" s="68"/>
      <c r="CB61" s="68"/>
    </row>
    <row r="62" spans="1:80" s="13" customFormat="1" ht="15" x14ac:dyDescent="0.2">
      <c r="A62" s="1"/>
      <c r="B62"/>
      <c r="C62"/>
      <c r="D62"/>
      <c r="E62"/>
      <c r="F62"/>
      <c r="G62" s="14"/>
      <c r="H62" s="14"/>
      <c r="I62" s="14"/>
      <c r="J62" s="14"/>
      <c r="K62" s="14"/>
      <c r="L62" s="14"/>
      <c r="M62" s="14"/>
      <c r="N62" s="68"/>
      <c r="O62" s="68"/>
      <c r="P62" s="68"/>
      <c r="Q62" s="14"/>
      <c r="R62" s="14"/>
      <c r="S62" s="14"/>
      <c r="T62" s="2"/>
      <c r="U62" s="2"/>
      <c r="V62" s="2"/>
      <c r="W62" s="155"/>
      <c r="X62" s="2"/>
      <c r="Y62" s="155"/>
      <c r="Z62" s="14"/>
      <c r="AA62" s="183"/>
      <c r="AB62" s="14"/>
      <c r="AC62" s="183"/>
      <c r="AD62" s="14"/>
      <c r="AE62" s="14"/>
      <c r="AF62" s="183"/>
      <c r="AG62" s="14"/>
      <c r="AH62" s="183"/>
      <c r="AI62" s="14"/>
      <c r="AJ62" s="183"/>
      <c r="AK62" s="14"/>
      <c r="AL62" s="183"/>
      <c r="AM62" s="14"/>
      <c r="AN62" s="183"/>
      <c r="AO62" s="14"/>
      <c r="AP62" s="183"/>
      <c r="AQ62" s="14"/>
      <c r="AR62" s="183"/>
      <c r="AS62" s="14"/>
      <c r="AT62" s="183"/>
      <c r="AU62" s="14"/>
      <c r="AV62" s="183"/>
      <c r="AW62" s="14"/>
      <c r="AX62" s="183"/>
      <c r="AY62" s="14"/>
      <c r="AZ62" s="183"/>
      <c r="BA62" s="14"/>
      <c r="BB62" s="183"/>
      <c r="BC62" s="68"/>
      <c r="BD62" s="92"/>
      <c r="BE62" s="68"/>
      <c r="BF62" s="68"/>
      <c r="BG62" s="68"/>
      <c r="BH62" s="68"/>
      <c r="BI62" s="68"/>
      <c r="BJ62" s="68"/>
      <c r="BK62" s="68"/>
      <c r="BL62" s="68"/>
      <c r="BM62" s="68"/>
      <c r="BN62" s="68"/>
      <c r="BO62" s="68"/>
      <c r="BP62" s="68"/>
      <c r="BQ62" s="68"/>
      <c r="BR62" s="68"/>
      <c r="BS62" s="68"/>
      <c r="BT62" s="68"/>
      <c r="BU62" s="68"/>
      <c r="BV62" s="68"/>
      <c r="BW62" s="68"/>
      <c r="BX62" s="68"/>
      <c r="BY62" s="68"/>
      <c r="BZ62" s="68"/>
      <c r="CA62" s="68"/>
      <c r="CB62" s="68"/>
    </row>
    <row r="63" spans="1:80" s="13" customFormat="1" ht="15" x14ac:dyDescent="0.2">
      <c r="A63" s="1"/>
      <c r="B63"/>
      <c r="C63"/>
      <c r="D63"/>
      <c r="E63"/>
      <c r="F63"/>
      <c r="G63" s="14"/>
      <c r="H63" s="14"/>
      <c r="I63" s="14"/>
      <c r="J63" s="14"/>
      <c r="K63" s="14"/>
      <c r="L63" s="14"/>
      <c r="M63" s="14"/>
      <c r="N63" s="68"/>
      <c r="O63" s="68"/>
      <c r="P63" s="68"/>
      <c r="Q63" s="14"/>
      <c r="R63" s="14"/>
      <c r="S63" s="14"/>
      <c r="T63" s="2"/>
      <c r="U63" s="2"/>
      <c r="V63" s="2"/>
      <c r="W63" s="155"/>
      <c r="X63" s="2"/>
      <c r="Y63" s="155"/>
      <c r="Z63" s="14"/>
      <c r="AA63" s="183"/>
      <c r="AB63" s="14"/>
      <c r="AC63" s="183"/>
      <c r="AD63" s="14"/>
      <c r="AE63" s="14"/>
      <c r="AF63" s="183"/>
      <c r="AG63" s="14"/>
      <c r="AH63" s="183"/>
      <c r="AI63" s="14"/>
      <c r="AJ63" s="183"/>
      <c r="AK63" s="14"/>
      <c r="AL63" s="183"/>
      <c r="AM63" s="14"/>
      <c r="AN63" s="183"/>
      <c r="AO63" s="14"/>
      <c r="AP63" s="183"/>
      <c r="AQ63" s="14"/>
      <c r="AR63" s="183"/>
      <c r="AS63" s="14"/>
      <c r="AT63" s="183"/>
      <c r="AU63" s="14"/>
      <c r="AV63" s="183"/>
      <c r="AW63" s="14"/>
      <c r="AX63" s="183"/>
      <c r="AY63" s="14"/>
      <c r="AZ63" s="183"/>
      <c r="BA63" s="14"/>
      <c r="BB63" s="183"/>
      <c r="BC63" s="68"/>
      <c r="BD63" s="92"/>
      <c r="BE63" s="68"/>
      <c r="BF63" s="68"/>
      <c r="BG63" s="68"/>
      <c r="BH63" s="68"/>
      <c r="BI63" s="68"/>
      <c r="BJ63" s="68"/>
      <c r="BK63" s="68"/>
      <c r="BL63" s="68"/>
      <c r="BM63" s="68"/>
      <c r="BN63" s="68"/>
      <c r="BO63" s="68"/>
      <c r="BP63" s="68"/>
      <c r="BQ63" s="68"/>
      <c r="BR63" s="68"/>
      <c r="BS63" s="68"/>
      <c r="BT63" s="68"/>
      <c r="BU63" s="68"/>
      <c r="BV63" s="68"/>
      <c r="BW63" s="68"/>
      <c r="BX63" s="68"/>
      <c r="BY63" s="68"/>
      <c r="BZ63" s="68"/>
      <c r="CA63" s="68"/>
      <c r="CB63" s="68"/>
    </row>
    <row r="64" spans="1:80" s="13" customFormat="1" ht="15" x14ac:dyDescent="0.2">
      <c r="A64" s="1"/>
      <c r="B64"/>
      <c r="C64"/>
      <c r="D64"/>
      <c r="E64"/>
      <c r="F64"/>
      <c r="G64" s="14"/>
      <c r="H64" s="14"/>
      <c r="I64" s="14"/>
      <c r="J64" s="14"/>
      <c r="K64" s="14"/>
      <c r="L64" s="14"/>
      <c r="M64" s="14"/>
      <c r="N64" s="68"/>
      <c r="O64" s="68"/>
      <c r="P64" s="68"/>
      <c r="Q64" s="14"/>
      <c r="R64" s="14"/>
      <c r="S64" s="14"/>
      <c r="T64" s="2"/>
      <c r="U64" s="2"/>
      <c r="V64" s="2"/>
      <c r="W64" s="155"/>
      <c r="X64" s="2"/>
      <c r="Y64" s="155"/>
      <c r="Z64" s="14"/>
      <c r="AA64" s="183"/>
      <c r="AB64" s="14"/>
      <c r="AC64" s="183"/>
      <c r="AD64" s="14"/>
      <c r="AE64" s="14"/>
      <c r="AF64" s="183"/>
      <c r="AG64" s="14"/>
      <c r="AH64" s="183"/>
      <c r="AI64" s="14"/>
      <c r="AJ64" s="183"/>
      <c r="AK64" s="14"/>
      <c r="AL64" s="183"/>
      <c r="AM64" s="14"/>
      <c r="AN64" s="183"/>
      <c r="AO64" s="14"/>
      <c r="AP64" s="183"/>
      <c r="AQ64" s="14"/>
      <c r="AR64" s="183"/>
      <c r="AS64" s="14"/>
      <c r="AT64" s="183"/>
      <c r="AU64" s="14"/>
      <c r="AV64" s="183"/>
      <c r="AW64" s="14"/>
      <c r="AX64" s="183"/>
      <c r="AY64" s="14"/>
      <c r="AZ64" s="183"/>
      <c r="BA64" s="14"/>
      <c r="BB64" s="183"/>
      <c r="BC64" s="68"/>
      <c r="BD64" s="92"/>
      <c r="BE64" s="68"/>
      <c r="BF64" s="68"/>
      <c r="BG64" s="68"/>
      <c r="BH64" s="68"/>
      <c r="BI64" s="68"/>
      <c r="BJ64" s="68"/>
      <c r="BK64" s="68"/>
      <c r="BL64" s="68"/>
      <c r="BM64" s="68"/>
      <c r="BN64" s="68"/>
      <c r="BO64" s="68"/>
      <c r="BP64" s="68"/>
      <c r="BQ64" s="68"/>
      <c r="BR64" s="68"/>
      <c r="BS64" s="68"/>
      <c r="BT64" s="68"/>
      <c r="BU64" s="68"/>
      <c r="BV64" s="68"/>
      <c r="BW64" s="68"/>
      <c r="BX64" s="68"/>
      <c r="BY64" s="68"/>
      <c r="BZ64" s="68"/>
      <c r="CA64" s="68"/>
      <c r="CB64" s="68"/>
    </row>
    <row r="65" spans="1:80" s="13" customFormat="1" ht="15" x14ac:dyDescent="0.2">
      <c r="A65" s="1"/>
      <c r="B65"/>
      <c r="C65"/>
      <c r="D65"/>
      <c r="E65"/>
      <c r="F65"/>
      <c r="G65" s="14"/>
      <c r="H65" s="14"/>
      <c r="I65" s="14"/>
      <c r="J65" s="14"/>
      <c r="K65" s="14"/>
      <c r="L65" s="14"/>
      <c r="M65" s="14"/>
      <c r="N65" s="68"/>
      <c r="O65" s="68"/>
      <c r="P65" s="68"/>
      <c r="Q65" s="14"/>
      <c r="R65" s="14"/>
      <c r="S65" s="14"/>
      <c r="T65" s="2"/>
      <c r="U65" s="2"/>
      <c r="V65" s="2"/>
      <c r="W65" s="155"/>
      <c r="X65" s="2"/>
      <c r="Y65" s="155"/>
      <c r="Z65" s="14"/>
      <c r="AA65" s="183"/>
      <c r="AB65" s="14"/>
      <c r="AC65" s="183"/>
      <c r="AD65" s="14"/>
      <c r="AE65" s="14"/>
      <c r="AF65" s="183"/>
      <c r="AG65" s="14"/>
      <c r="AH65" s="183"/>
      <c r="AI65" s="14"/>
      <c r="AJ65" s="183"/>
      <c r="AK65" s="14"/>
      <c r="AL65" s="183"/>
      <c r="AM65" s="14"/>
      <c r="AN65" s="183"/>
      <c r="AO65" s="14"/>
      <c r="AP65" s="183"/>
      <c r="AQ65" s="14"/>
      <c r="AR65" s="183"/>
      <c r="AS65" s="14"/>
      <c r="AT65" s="183"/>
      <c r="AU65" s="14"/>
      <c r="AV65" s="183"/>
      <c r="AW65" s="14"/>
      <c r="AX65" s="183"/>
      <c r="AY65" s="14"/>
      <c r="AZ65" s="183"/>
      <c r="BA65" s="14"/>
      <c r="BB65" s="183"/>
      <c r="BC65" s="68"/>
      <c r="BD65" s="92"/>
      <c r="BE65" s="68"/>
      <c r="BF65" s="68"/>
      <c r="BG65" s="68"/>
      <c r="BH65" s="68"/>
      <c r="BI65" s="68"/>
      <c r="BJ65" s="68"/>
      <c r="BK65" s="68"/>
      <c r="BL65" s="68"/>
      <c r="BM65" s="68"/>
      <c r="BN65" s="68"/>
      <c r="BO65" s="68"/>
      <c r="BP65" s="68"/>
      <c r="BQ65" s="68"/>
      <c r="BR65" s="68"/>
      <c r="BS65" s="68"/>
      <c r="BT65" s="68"/>
      <c r="BU65" s="68"/>
      <c r="BV65" s="68"/>
      <c r="BW65" s="68"/>
      <c r="BX65" s="68"/>
      <c r="BY65" s="68"/>
      <c r="BZ65" s="68"/>
      <c r="CA65" s="68"/>
      <c r="CB65" s="68"/>
    </row>
    <row r="66" spans="1:80" s="13" customFormat="1" ht="15" x14ac:dyDescent="0.2">
      <c r="A66" s="1"/>
      <c r="B66"/>
      <c r="C66"/>
      <c r="D66"/>
      <c r="E66"/>
      <c r="F66"/>
      <c r="G66" s="14"/>
      <c r="H66" s="14"/>
      <c r="I66" s="14"/>
      <c r="J66" s="14"/>
      <c r="K66" s="14"/>
      <c r="L66" s="14"/>
      <c r="M66" s="14"/>
      <c r="N66" s="68"/>
      <c r="O66" s="68"/>
      <c r="P66" s="68"/>
      <c r="Q66" s="14"/>
      <c r="R66" s="14"/>
      <c r="S66" s="14"/>
      <c r="T66" s="2"/>
      <c r="U66" s="2"/>
      <c r="V66" s="2"/>
      <c r="W66" s="155"/>
      <c r="X66" s="2"/>
      <c r="Y66" s="155"/>
      <c r="Z66" s="14"/>
      <c r="AA66" s="183"/>
      <c r="AB66" s="14"/>
      <c r="AC66" s="183"/>
      <c r="AD66" s="14"/>
      <c r="AE66" s="14"/>
      <c r="AF66" s="183"/>
      <c r="AG66" s="14"/>
      <c r="AH66" s="183"/>
      <c r="AI66" s="14"/>
      <c r="AJ66" s="183"/>
      <c r="AK66" s="14"/>
      <c r="AL66" s="183"/>
      <c r="AM66" s="14"/>
      <c r="AN66" s="183"/>
      <c r="AO66" s="14"/>
      <c r="AP66" s="183"/>
      <c r="AQ66" s="14"/>
      <c r="AR66" s="183"/>
      <c r="AS66" s="14"/>
      <c r="AT66" s="183"/>
      <c r="AU66" s="14"/>
      <c r="AV66" s="183"/>
      <c r="AW66" s="14"/>
      <c r="AX66" s="183"/>
      <c r="AY66" s="14"/>
      <c r="AZ66" s="183"/>
      <c r="BA66" s="14"/>
      <c r="BB66" s="183"/>
      <c r="BC66" s="68"/>
      <c r="BD66" s="92"/>
      <c r="BE66" s="68"/>
      <c r="BF66" s="68"/>
      <c r="BG66" s="68"/>
      <c r="BH66" s="68"/>
      <c r="BI66" s="68"/>
      <c r="BJ66" s="68"/>
      <c r="BK66" s="68"/>
      <c r="BL66" s="68"/>
      <c r="BM66" s="68"/>
      <c r="BN66" s="68"/>
      <c r="BO66" s="68"/>
      <c r="BP66" s="68"/>
      <c r="BQ66" s="68"/>
      <c r="BR66" s="68"/>
      <c r="BS66" s="68"/>
      <c r="BT66" s="68"/>
      <c r="BU66" s="68"/>
      <c r="BV66" s="68"/>
      <c r="BW66" s="68"/>
      <c r="BX66" s="68"/>
      <c r="BY66" s="68"/>
      <c r="BZ66" s="68"/>
      <c r="CA66" s="68"/>
      <c r="CB66" s="68"/>
    </row>
    <row r="67" spans="1:80" s="13" customFormat="1" ht="15" x14ac:dyDescent="0.2">
      <c r="A67" s="1"/>
      <c r="B67"/>
      <c r="C67"/>
      <c r="D67"/>
      <c r="E67"/>
      <c r="F67"/>
      <c r="G67" s="14"/>
      <c r="H67" s="14"/>
      <c r="I67" s="14"/>
      <c r="J67" s="14"/>
      <c r="K67" s="14"/>
      <c r="L67" s="14"/>
      <c r="M67" s="14"/>
      <c r="N67" s="68"/>
      <c r="O67" s="68"/>
      <c r="P67" s="68"/>
      <c r="Q67" s="14"/>
      <c r="R67" s="14"/>
      <c r="S67" s="14"/>
      <c r="T67" s="2"/>
      <c r="U67" s="2"/>
      <c r="V67" s="2"/>
      <c r="W67" s="155"/>
      <c r="X67" s="2"/>
      <c r="Y67" s="155"/>
      <c r="Z67" s="14"/>
      <c r="AA67" s="183"/>
      <c r="AB67" s="14"/>
      <c r="AC67" s="183"/>
      <c r="AD67" s="14"/>
      <c r="AE67" s="14"/>
      <c r="AF67" s="183"/>
      <c r="AG67" s="14"/>
      <c r="AH67" s="183"/>
      <c r="AI67" s="14"/>
      <c r="AJ67" s="183"/>
      <c r="AK67" s="14"/>
      <c r="AL67" s="183"/>
      <c r="AM67" s="14"/>
      <c r="AN67" s="183"/>
      <c r="AO67" s="14"/>
      <c r="AP67" s="183"/>
      <c r="AQ67" s="14"/>
      <c r="AR67" s="183"/>
      <c r="AS67" s="14"/>
      <c r="AT67" s="183"/>
      <c r="AU67" s="14"/>
      <c r="AV67" s="183"/>
      <c r="AW67" s="14"/>
      <c r="AX67" s="183"/>
      <c r="AY67" s="14"/>
      <c r="AZ67" s="183"/>
      <c r="BA67" s="14"/>
      <c r="BB67" s="183"/>
      <c r="BC67" s="68"/>
      <c r="BD67" s="92"/>
      <c r="BE67" s="68"/>
      <c r="BF67" s="68"/>
      <c r="BG67" s="68"/>
      <c r="BH67" s="68"/>
      <c r="BI67" s="68"/>
      <c r="BJ67" s="68"/>
      <c r="BK67" s="68"/>
      <c r="BL67" s="68"/>
      <c r="BM67" s="68"/>
      <c r="BN67" s="68"/>
      <c r="BO67" s="68"/>
      <c r="BP67" s="68"/>
      <c r="BQ67" s="68"/>
      <c r="BR67" s="68"/>
      <c r="BS67" s="68"/>
      <c r="BT67" s="68"/>
      <c r="BU67" s="68"/>
      <c r="BV67" s="68"/>
      <c r="BW67" s="68"/>
      <c r="BX67" s="68"/>
      <c r="BY67" s="68"/>
      <c r="BZ67" s="68"/>
      <c r="CA67" s="68"/>
      <c r="CB67" s="68"/>
    </row>
    <row r="68" spans="1:80" s="13" customFormat="1" ht="15" x14ac:dyDescent="0.2">
      <c r="A68" s="1"/>
      <c r="B68"/>
      <c r="C68"/>
      <c r="D68"/>
      <c r="E68"/>
      <c r="F68"/>
      <c r="G68" s="14"/>
      <c r="H68" s="14"/>
      <c r="I68" s="14"/>
      <c r="J68" s="14"/>
      <c r="K68" s="14"/>
      <c r="L68" s="14"/>
      <c r="M68" s="14"/>
      <c r="N68" s="68"/>
      <c r="O68" s="68"/>
      <c r="P68" s="68"/>
      <c r="Q68" s="14"/>
      <c r="R68" s="14"/>
      <c r="S68" s="14"/>
      <c r="T68" s="2"/>
      <c r="U68" s="2"/>
      <c r="V68" s="2"/>
      <c r="W68" s="155"/>
      <c r="X68" s="2"/>
      <c r="Y68" s="155"/>
      <c r="Z68" s="14"/>
      <c r="AA68" s="183"/>
      <c r="AB68" s="14"/>
      <c r="AC68" s="183"/>
      <c r="AD68" s="14"/>
      <c r="AE68" s="14"/>
      <c r="AF68" s="183"/>
      <c r="AG68" s="14"/>
      <c r="AH68" s="183"/>
      <c r="AI68" s="14"/>
      <c r="AJ68" s="183"/>
      <c r="AK68" s="14"/>
      <c r="AL68" s="183"/>
      <c r="AM68" s="14"/>
      <c r="AN68" s="183"/>
      <c r="AO68" s="14"/>
      <c r="AP68" s="183"/>
      <c r="AQ68" s="14"/>
      <c r="AR68" s="183"/>
      <c r="AS68" s="14"/>
      <c r="AT68" s="183"/>
      <c r="AU68" s="14"/>
      <c r="AV68" s="183"/>
      <c r="AW68" s="14"/>
      <c r="AX68" s="183"/>
      <c r="AY68" s="14"/>
      <c r="AZ68" s="183"/>
      <c r="BA68" s="14"/>
      <c r="BB68" s="183"/>
      <c r="BC68" s="68"/>
      <c r="BD68" s="92"/>
      <c r="BE68" s="68"/>
      <c r="BF68" s="68"/>
      <c r="BG68" s="68"/>
      <c r="BH68" s="68"/>
      <c r="BI68" s="68"/>
      <c r="BJ68" s="68"/>
      <c r="BK68" s="68"/>
      <c r="BL68" s="68"/>
      <c r="BM68" s="68"/>
      <c r="BN68" s="68"/>
      <c r="BO68" s="68"/>
      <c r="BP68" s="68"/>
      <c r="BQ68" s="68"/>
      <c r="BR68" s="68"/>
      <c r="BS68" s="68"/>
      <c r="BT68" s="68"/>
      <c r="BU68" s="68"/>
      <c r="BV68" s="68"/>
      <c r="BW68" s="68"/>
      <c r="BX68" s="68"/>
      <c r="BY68" s="68"/>
      <c r="BZ68" s="68"/>
      <c r="CA68" s="68"/>
      <c r="CB68" s="68"/>
    </row>
    <row r="69" spans="1:80" s="13" customFormat="1" ht="15" x14ac:dyDescent="0.2">
      <c r="A69" s="1"/>
      <c r="B69"/>
      <c r="C69"/>
      <c r="D69"/>
      <c r="E69"/>
      <c r="F69"/>
      <c r="G69" s="14"/>
      <c r="H69" s="14"/>
      <c r="I69" s="14"/>
      <c r="J69" s="14"/>
      <c r="K69" s="14"/>
      <c r="L69" s="14"/>
      <c r="M69" s="14"/>
      <c r="N69" s="68"/>
      <c r="O69" s="68"/>
      <c r="P69" s="68"/>
      <c r="Q69" s="14"/>
      <c r="R69" s="14"/>
      <c r="S69" s="14"/>
      <c r="T69" s="2"/>
      <c r="U69" s="2"/>
      <c r="V69" s="2"/>
      <c r="W69" s="155"/>
      <c r="X69" s="2"/>
      <c r="Y69" s="155"/>
      <c r="Z69" s="14"/>
      <c r="AA69" s="183"/>
      <c r="AB69" s="14"/>
      <c r="AC69" s="183"/>
      <c r="AD69" s="14"/>
      <c r="AE69" s="14"/>
      <c r="AF69" s="183"/>
      <c r="AG69" s="14"/>
      <c r="AH69" s="183"/>
      <c r="AI69" s="14"/>
      <c r="AJ69" s="183"/>
      <c r="AK69" s="14"/>
      <c r="AL69" s="183"/>
      <c r="AM69" s="14"/>
      <c r="AN69" s="183"/>
      <c r="AO69" s="14"/>
      <c r="AP69" s="183"/>
      <c r="AQ69" s="14"/>
      <c r="AR69" s="183"/>
      <c r="AS69" s="14"/>
      <c r="AT69" s="183"/>
      <c r="AU69" s="14"/>
      <c r="AV69" s="183"/>
      <c r="AW69" s="14"/>
      <c r="AX69" s="183"/>
      <c r="AY69" s="14"/>
      <c r="AZ69" s="183"/>
      <c r="BA69" s="14"/>
      <c r="BB69" s="183"/>
      <c r="BC69" s="68"/>
      <c r="BD69" s="92"/>
      <c r="BE69" s="68"/>
      <c r="BF69" s="68"/>
      <c r="BG69" s="68"/>
      <c r="BH69" s="68"/>
      <c r="BI69" s="68"/>
      <c r="BJ69" s="68"/>
      <c r="BK69" s="68"/>
      <c r="BL69" s="68"/>
      <c r="BM69" s="68"/>
      <c r="BN69" s="68"/>
      <c r="BO69" s="68"/>
      <c r="BP69" s="68"/>
      <c r="BQ69" s="68"/>
      <c r="BR69" s="68"/>
      <c r="BS69" s="68"/>
      <c r="BT69" s="68"/>
      <c r="BU69" s="68"/>
      <c r="BV69" s="68"/>
      <c r="BW69" s="68"/>
      <c r="BX69" s="68"/>
      <c r="BY69" s="68"/>
      <c r="BZ69" s="68"/>
      <c r="CA69" s="68"/>
      <c r="CB69" s="68"/>
    </row>
    <row r="70" spans="1:80" s="13" customFormat="1" ht="15" x14ac:dyDescent="0.2">
      <c r="A70" s="1"/>
      <c r="B70"/>
      <c r="C70"/>
      <c r="D70"/>
      <c r="E70"/>
      <c r="F70"/>
      <c r="G70" s="14"/>
      <c r="H70" s="14"/>
      <c r="I70" s="14"/>
      <c r="J70" s="14"/>
      <c r="K70" s="14"/>
      <c r="L70" s="14"/>
      <c r="M70" s="14"/>
      <c r="N70" s="68"/>
      <c r="O70" s="68"/>
      <c r="P70" s="68"/>
      <c r="Q70" s="14"/>
      <c r="R70" s="14"/>
      <c r="S70" s="14"/>
      <c r="T70" s="2"/>
      <c r="U70" s="2"/>
      <c r="V70" s="2"/>
      <c r="W70" s="155"/>
      <c r="X70" s="2"/>
      <c r="Y70" s="155"/>
      <c r="Z70" s="14"/>
      <c r="AA70" s="183"/>
      <c r="AB70" s="14"/>
      <c r="AC70" s="183"/>
      <c r="AD70" s="14"/>
      <c r="AE70" s="14"/>
      <c r="AF70" s="183"/>
      <c r="AG70" s="14"/>
      <c r="AH70" s="183"/>
      <c r="AI70" s="14"/>
      <c r="AJ70" s="183"/>
      <c r="AK70" s="14"/>
      <c r="AL70" s="183"/>
      <c r="AM70" s="14"/>
      <c r="AN70" s="183"/>
      <c r="AO70" s="14"/>
      <c r="AP70" s="183"/>
      <c r="AQ70" s="14"/>
      <c r="AR70" s="183"/>
      <c r="AS70" s="14"/>
      <c r="AT70" s="183"/>
      <c r="AU70" s="14"/>
      <c r="AV70" s="183"/>
      <c r="AW70" s="14"/>
      <c r="AX70" s="183"/>
      <c r="AY70" s="14"/>
      <c r="AZ70" s="183"/>
      <c r="BA70" s="14"/>
      <c r="BB70" s="183"/>
      <c r="BC70" s="68"/>
      <c r="BD70" s="92"/>
      <c r="BE70" s="68"/>
      <c r="BF70" s="68"/>
      <c r="BG70" s="68"/>
      <c r="BH70" s="68"/>
      <c r="BI70" s="68"/>
      <c r="BJ70" s="68"/>
      <c r="BK70" s="68"/>
      <c r="BL70" s="68"/>
      <c r="BM70" s="68"/>
      <c r="BN70" s="68"/>
      <c r="BO70" s="68"/>
      <c r="BP70" s="68"/>
      <c r="BQ70" s="68"/>
      <c r="BR70" s="68"/>
      <c r="BS70" s="68"/>
      <c r="BT70" s="68"/>
      <c r="BU70" s="68"/>
      <c r="BV70" s="68"/>
      <c r="BW70" s="68"/>
      <c r="BX70" s="68"/>
      <c r="BY70" s="68"/>
      <c r="BZ70" s="68"/>
      <c r="CA70" s="68"/>
      <c r="CB70" s="68"/>
    </row>
    <row r="71" spans="1:80" s="13" customFormat="1" ht="15" x14ac:dyDescent="0.2">
      <c r="A71" s="1"/>
      <c r="B71"/>
      <c r="C71"/>
      <c r="D71"/>
      <c r="E71"/>
      <c r="F71"/>
      <c r="G71" s="14"/>
      <c r="H71" s="14"/>
      <c r="I71" s="14"/>
      <c r="J71" s="14"/>
      <c r="K71" s="14"/>
      <c r="L71" s="14"/>
      <c r="M71" s="14"/>
      <c r="N71" s="68"/>
      <c r="O71" s="68"/>
      <c r="P71" s="68"/>
      <c r="Q71" s="14"/>
      <c r="R71" s="14"/>
      <c r="S71" s="14"/>
      <c r="T71" s="2"/>
      <c r="U71" s="2"/>
      <c r="V71" s="2"/>
      <c r="W71" s="155"/>
      <c r="X71" s="2"/>
      <c r="Y71" s="155"/>
      <c r="Z71" s="14"/>
      <c r="AA71" s="183"/>
      <c r="AB71" s="14"/>
      <c r="AC71" s="183"/>
      <c r="AD71" s="14"/>
      <c r="AE71" s="14"/>
      <c r="AF71" s="183"/>
      <c r="AG71" s="14"/>
      <c r="AH71" s="183"/>
      <c r="AI71" s="14"/>
      <c r="AJ71" s="183"/>
      <c r="AK71" s="14"/>
      <c r="AL71" s="183"/>
      <c r="AM71" s="14"/>
      <c r="AN71" s="183"/>
      <c r="AO71" s="14"/>
      <c r="AP71" s="183"/>
      <c r="AQ71" s="14"/>
      <c r="AR71" s="183"/>
      <c r="AS71" s="14"/>
      <c r="AT71" s="183"/>
      <c r="AU71" s="14"/>
      <c r="AV71" s="183"/>
      <c r="AW71" s="14"/>
      <c r="AX71" s="183"/>
      <c r="AY71" s="14"/>
      <c r="AZ71" s="183"/>
      <c r="BA71" s="14"/>
      <c r="BB71" s="183"/>
      <c r="BC71" s="68"/>
      <c r="BD71" s="92"/>
      <c r="BE71" s="68"/>
      <c r="BF71" s="68"/>
      <c r="BG71" s="68"/>
      <c r="BH71" s="68"/>
      <c r="BI71" s="68"/>
      <c r="BJ71" s="68"/>
      <c r="BK71" s="68"/>
      <c r="BL71" s="68"/>
      <c r="BM71" s="68"/>
      <c r="BN71" s="68"/>
      <c r="BO71" s="68"/>
      <c r="BP71" s="68"/>
      <c r="BQ71" s="68"/>
      <c r="BR71" s="68"/>
      <c r="BS71" s="68"/>
      <c r="BT71" s="68"/>
      <c r="BU71" s="68"/>
      <c r="BV71" s="68"/>
      <c r="BW71" s="68"/>
      <c r="BX71" s="68"/>
      <c r="BY71" s="68"/>
      <c r="BZ71" s="68"/>
      <c r="CA71" s="68"/>
      <c r="CB71" s="68"/>
    </row>
    <row r="72" spans="1:80" s="13" customFormat="1" ht="15" x14ac:dyDescent="0.2">
      <c r="A72" s="1"/>
      <c r="B72"/>
      <c r="C72"/>
      <c r="D72"/>
      <c r="E72"/>
      <c r="F72"/>
      <c r="G72" s="14"/>
      <c r="H72" s="14"/>
      <c r="I72" s="14"/>
      <c r="J72" s="14"/>
      <c r="K72" s="14"/>
      <c r="L72" s="14"/>
      <c r="M72" s="14"/>
      <c r="N72" s="68"/>
      <c r="O72" s="68"/>
      <c r="P72" s="68"/>
      <c r="Q72" s="14"/>
      <c r="R72" s="14"/>
      <c r="S72" s="14"/>
      <c r="T72" s="2"/>
      <c r="U72" s="2"/>
      <c r="V72" s="2"/>
      <c r="W72" s="155"/>
      <c r="X72" s="2"/>
      <c r="Y72" s="155"/>
      <c r="Z72" s="14"/>
      <c r="AA72" s="183"/>
      <c r="AB72" s="14"/>
      <c r="AC72" s="183"/>
      <c r="AD72" s="14"/>
      <c r="AE72" s="14"/>
      <c r="AF72" s="183"/>
      <c r="AG72" s="14"/>
      <c r="AH72" s="183"/>
      <c r="AI72" s="14"/>
      <c r="AJ72" s="183"/>
      <c r="AK72" s="14"/>
      <c r="AL72" s="183"/>
      <c r="AM72" s="14"/>
      <c r="AN72" s="183"/>
      <c r="AO72" s="14"/>
      <c r="AP72" s="183"/>
      <c r="AQ72" s="14"/>
      <c r="AR72" s="183"/>
      <c r="AS72" s="14"/>
      <c r="AT72" s="183"/>
      <c r="AU72" s="14"/>
      <c r="AV72" s="183"/>
      <c r="AW72" s="14"/>
      <c r="AX72" s="183"/>
      <c r="AY72" s="14"/>
      <c r="AZ72" s="183"/>
      <c r="BA72" s="14"/>
      <c r="BB72" s="183"/>
      <c r="BC72" s="68"/>
      <c r="BD72" s="92"/>
      <c r="BE72" s="68"/>
      <c r="BF72" s="68"/>
      <c r="BG72" s="68"/>
      <c r="BH72" s="68"/>
      <c r="BI72" s="68"/>
      <c r="BJ72" s="68"/>
      <c r="BK72" s="68"/>
      <c r="BL72" s="68"/>
      <c r="BM72" s="68"/>
      <c r="BN72" s="68"/>
      <c r="BO72" s="68"/>
      <c r="BP72" s="68"/>
      <c r="BQ72" s="68"/>
      <c r="BR72" s="68"/>
      <c r="BS72" s="68"/>
      <c r="BT72" s="68"/>
      <c r="BU72" s="68"/>
      <c r="BV72" s="68"/>
      <c r="BW72" s="68"/>
      <c r="BX72" s="68"/>
      <c r="BY72" s="68"/>
      <c r="BZ72" s="68"/>
      <c r="CA72" s="68"/>
      <c r="CB72" s="68"/>
    </row>
    <row r="73" spans="1:80" s="13" customFormat="1" ht="15" x14ac:dyDescent="0.2">
      <c r="A73" s="1"/>
      <c r="B73"/>
      <c r="C73"/>
      <c r="D73"/>
      <c r="E73"/>
      <c r="F73"/>
      <c r="G73" s="14"/>
      <c r="H73" s="14"/>
      <c r="I73" s="14"/>
      <c r="J73" s="14"/>
      <c r="K73" s="14"/>
      <c r="L73" s="14"/>
      <c r="M73" s="14"/>
      <c r="N73" s="68"/>
      <c r="O73" s="68"/>
      <c r="P73" s="68"/>
      <c r="Q73" s="14"/>
      <c r="R73" s="14"/>
      <c r="S73" s="14"/>
      <c r="T73" s="2"/>
      <c r="U73" s="2"/>
      <c r="V73" s="2"/>
      <c r="W73" s="155"/>
      <c r="X73" s="2"/>
      <c r="Y73" s="155"/>
      <c r="Z73" s="14"/>
      <c r="AA73" s="183"/>
      <c r="AB73" s="14"/>
      <c r="AC73" s="183"/>
      <c r="AD73" s="14"/>
      <c r="AE73" s="14"/>
      <c r="AF73" s="183"/>
      <c r="AG73" s="14"/>
      <c r="AH73" s="183"/>
      <c r="AI73" s="14"/>
      <c r="AJ73" s="183"/>
      <c r="AK73" s="14"/>
      <c r="AL73" s="183"/>
      <c r="AM73" s="14"/>
      <c r="AN73" s="183"/>
      <c r="AO73" s="14"/>
      <c r="AP73" s="183"/>
      <c r="AQ73" s="14"/>
      <c r="AR73" s="183"/>
      <c r="AS73" s="14"/>
      <c r="AT73" s="183"/>
      <c r="AU73" s="14"/>
      <c r="AV73" s="183"/>
      <c r="AW73" s="14"/>
      <c r="AX73" s="183"/>
      <c r="AY73" s="14"/>
      <c r="AZ73" s="183"/>
      <c r="BA73" s="14"/>
      <c r="BB73" s="183"/>
      <c r="BC73" s="68"/>
      <c r="BD73" s="92"/>
      <c r="BE73" s="68"/>
      <c r="BF73" s="68"/>
      <c r="BG73" s="68"/>
      <c r="BH73" s="68"/>
      <c r="BI73" s="68"/>
      <c r="BJ73" s="68"/>
      <c r="BK73" s="68"/>
      <c r="BL73" s="68"/>
      <c r="BM73" s="68"/>
      <c r="BN73" s="68"/>
      <c r="BO73" s="68"/>
      <c r="BP73" s="68"/>
      <c r="BQ73" s="68"/>
      <c r="BR73" s="68"/>
      <c r="BS73" s="68"/>
      <c r="BT73" s="68"/>
      <c r="BU73" s="68"/>
      <c r="BV73" s="68"/>
      <c r="BW73" s="68"/>
      <c r="BX73" s="68"/>
      <c r="BY73" s="68"/>
      <c r="BZ73" s="68"/>
      <c r="CA73" s="68"/>
      <c r="CB73" s="68"/>
    </row>
    <row r="74" spans="1:80" s="13" customFormat="1" ht="15" x14ac:dyDescent="0.2">
      <c r="A74" s="1"/>
      <c r="B74"/>
      <c r="C74"/>
      <c r="D74"/>
      <c r="E74"/>
      <c r="F74"/>
      <c r="G74" s="14"/>
      <c r="H74" s="14"/>
      <c r="I74" s="14"/>
      <c r="J74" s="14"/>
      <c r="K74" s="14"/>
      <c r="L74" s="14"/>
      <c r="M74" s="14"/>
      <c r="N74" s="68"/>
      <c r="O74" s="68"/>
      <c r="P74" s="68"/>
      <c r="Q74" s="14"/>
      <c r="R74" s="14"/>
      <c r="S74" s="14"/>
      <c r="T74" s="2"/>
      <c r="U74" s="2"/>
      <c r="V74" s="2"/>
      <c r="W74" s="155"/>
      <c r="X74" s="2"/>
      <c r="Y74" s="155"/>
      <c r="Z74" s="14"/>
      <c r="AA74" s="183"/>
      <c r="AB74" s="14"/>
      <c r="AC74" s="183"/>
      <c r="AD74" s="14"/>
      <c r="AE74" s="14"/>
      <c r="AF74" s="183"/>
      <c r="AG74" s="14"/>
      <c r="AH74" s="183"/>
      <c r="AI74" s="14"/>
      <c r="AJ74" s="183"/>
      <c r="AK74" s="14"/>
      <c r="AL74" s="183"/>
      <c r="AM74" s="14"/>
      <c r="AN74" s="183"/>
      <c r="AO74" s="14"/>
      <c r="AP74" s="183"/>
      <c r="AQ74" s="14"/>
      <c r="AR74" s="183"/>
      <c r="AS74" s="14"/>
      <c r="AT74" s="183"/>
      <c r="AU74" s="14"/>
      <c r="AV74" s="183"/>
      <c r="AW74" s="14"/>
      <c r="AX74" s="183"/>
      <c r="AY74" s="14"/>
      <c r="AZ74" s="183"/>
      <c r="BA74" s="14"/>
      <c r="BB74" s="183"/>
      <c r="BC74" s="68"/>
      <c r="BD74" s="92"/>
      <c r="BE74" s="68"/>
      <c r="BF74" s="68"/>
      <c r="BG74" s="68"/>
      <c r="BH74" s="68"/>
      <c r="BI74" s="68"/>
      <c r="BJ74" s="68"/>
      <c r="BK74" s="68"/>
      <c r="BL74" s="68"/>
      <c r="BM74" s="68"/>
      <c r="BN74" s="68"/>
      <c r="BO74" s="68"/>
      <c r="BP74" s="68"/>
      <c r="BQ74" s="68"/>
      <c r="BR74" s="68"/>
      <c r="BS74" s="68"/>
      <c r="BT74" s="68"/>
      <c r="BU74" s="68"/>
      <c r="BV74" s="68"/>
      <c r="BW74" s="68"/>
      <c r="BX74" s="68"/>
      <c r="BY74" s="68"/>
      <c r="BZ74" s="68"/>
      <c r="CA74" s="68"/>
      <c r="CB74" s="68"/>
    </row>
    <row r="75" spans="1:80" s="13" customFormat="1" ht="15" x14ac:dyDescent="0.2">
      <c r="A75" s="1"/>
      <c r="B75"/>
      <c r="C75"/>
      <c r="D75"/>
      <c r="E75"/>
      <c r="F75"/>
      <c r="G75" s="14"/>
      <c r="H75" s="14"/>
      <c r="I75" s="14"/>
      <c r="J75" s="14"/>
      <c r="K75" s="14"/>
      <c r="L75" s="14"/>
      <c r="M75" s="14"/>
      <c r="N75" s="68"/>
      <c r="O75" s="68"/>
      <c r="P75" s="68"/>
      <c r="Q75" s="14"/>
      <c r="R75" s="14"/>
      <c r="S75" s="14"/>
      <c r="T75" s="2"/>
      <c r="U75" s="2"/>
      <c r="V75" s="2"/>
      <c r="W75" s="155"/>
      <c r="X75" s="2"/>
      <c r="Y75" s="155"/>
      <c r="Z75" s="14"/>
      <c r="AA75" s="183"/>
      <c r="AB75" s="14"/>
      <c r="AC75" s="183"/>
      <c r="AD75" s="14"/>
      <c r="AE75" s="14"/>
      <c r="AF75" s="183"/>
      <c r="AG75" s="14"/>
      <c r="AH75" s="183"/>
      <c r="AI75" s="14"/>
      <c r="AJ75" s="183"/>
      <c r="AK75" s="14"/>
      <c r="AL75" s="183"/>
      <c r="AM75" s="14"/>
      <c r="AN75" s="183"/>
      <c r="AO75" s="14"/>
      <c r="AP75" s="183"/>
      <c r="AQ75" s="14"/>
      <c r="AR75" s="183"/>
      <c r="AS75" s="14"/>
      <c r="AT75" s="183"/>
      <c r="AU75" s="14"/>
      <c r="AV75" s="183"/>
      <c r="AW75" s="14"/>
      <c r="AX75" s="183"/>
      <c r="AY75" s="14"/>
      <c r="AZ75" s="183"/>
      <c r="BA75" s="14"/>
      <c r="BB75" s="183"/>
      <c r="BC75" s="68"/>
      <c r="BD75" s="92"/>
      <c r="BE75" s="68"/>
      <c r="BF75" s="68"/>
      <c r="BG75" s="68"/>
      <c r="BH75" s="68"/>
      <c r="BI75" s="68"/>
      <c r="BJ75" s="68"/>
      <c r="BK75" s="68"/>
      <c r="BL75" s="68"/>
      <c r="BM75" s="68"/>
      <c r="BN75" s="68"/>
      <c r="BO75" s="68"/>
      <c r="BP75" s="68"/>
      <c r="BQ75" s="68"/>
      <c r="BR75" s="68"/>
      <c r="BS75" s="68"/>
      <c r="BT75" s="68"/>
      <c r="BU75" s="68"/>
      <c r="BV75" s="68"/>
      <c r="BW75" s="68"/>
      <c r="BX75" s="68"/>
      <c r="BY75" s="68"/>
      <c r="BZ75" s="68"/>
      <c r="CA75" s="68"/>
      <c r="CB75" s="68"/>
    </row>
    <row r="76" spans="1:80" s="13" customFormat="1" ht="15" x14ac:dyDescent="0.2">
      <c r="A76" s="1"/>
      <c r="B76"/>
      <c r="C76"/>
      <c r="D76"/>
      <c r="E76"/>
      <c r="F76"/>
      <c r="G76" s="14"/>
      <c r="H76" s="14"/>
      <c r="I76" s="14"/>
      <c r="J76" s="14"/>
      <c r="K76" s="14"/>
      <c r="L76" s="14"/>
      <c r="M76" s="14"/>
      <c r="N76" s="68"/>
      <c r="O76" s="68"/>
      <c r="P76" s="68"/>
      <c r="Q76" s="14"/>
      <c r="R76" s="14"/>
      <c r="S76" s="14"/>
      <c r="T76" s="2"/>
      <c r="U76" s="2"/>
      <c r="V76" s="2"/>
      <c r="W76" s="155"/>
      <c r="X76" s="2"/>
      <c r="Y76" s="155"/>
      <c r="Z76" s="14"/>
      <c r="AA76" s="183"/>
      <c r="AB76" s="14"/>
      <c r="AC76" s="183"/>
      <c r="AD76" s="14"/>
      <c r="AE76" s="14"/>
      <c r="AF76" s="183"/>
      <c r="AG76" s="14"/>
      <c r="AH76" s="183"/>
      <c r="AI76" s="14"/>
      <c r="AJ76" s="183"/>
      <c r="AK76" s="14"/>
      <c r="AL76" s="183"/>
      <c r="AM76" s="14"/>
      <c r="AN76" s="183"/>
      <c r="AO76" s="14"/>
      <c r="AP76" s="183"/>
      <c r="AQ76" s="14"/>
      <c r="AR76" s="183"/>
      <c r="AS76" s="14"/>
      <c r="AT76" s="183"/>
      <c r="AU76" s="14"/>
      <c r="AV76" s="183"/>
      <c r="AW76" s="14"/>
      <c r="AX76" s="183"/>
      <c r="AY76" s="14"/>
      <c r="AZ76" s="183"/>
      <c r="BA76" s="14"/>
      <c r="BB76" s="183"/>
      <c r="BC76" s="68"/>
      <c r="BD76" s="92"/>
      <c r="BE76" s="68"/>
      <c r="BF76" s="68"/>
      <c r="BG76" s="68"/>
      <c r="BH76" s="68"/>
      <c r="BI76" s="68"/>
      <c r="BJ76" s="68"/>
      <c r="BK76" s="68"/>
      <c r="BL76" s="68"/>
      <c r="BM76" s="68"/>
      <c r="BN76" s="68"/>
      <c r="BO76" s="68"/>
      <c r="BP76" s="68"/>
      <c r="BQ76" s="68"/>
      <c r="BR76" s="68"/>
      <c r="BS76" s="68"/>
      <c r="BT76" s="68"/>
      <c r="BU76" s="68"/>
      <c r="BV76" s="68"/>
      <c r="BW76" s="68"/>
      <c r="BX76" s="68"/>
      <c r="BY76" s="68"/>
      <c r="BZ76" s="68"/>
      <c r="CA76" s="68"/>
      <c r="CB76" s="68"/>
    </row>
    <row r="77" spans="1:80" s="13" customFormat="1" ht="15" x14ac:dyDescent="0.2">
      <c r="A77" s="1"/>
      <c r="B77"/>
      <c r="C77"/>
      <c r="D77"/>
      <c r="E77"/>
      <c r="F77"/>
      <c r="G77" s="14"/>
      <c r="H77" s="14"/>
      <c r="I77" s="14"/>
      <c r="J77" s="14"/>
      <c r="K77" s="14"/>
      <c r="L77" s="14"/>
      <c r="M77" s="14"/>
      <c r="N77" s="68"/>
      <c r="O77" s="68"/>
      <c r="P77" s="68"/>
      <c r="Q77" s="14"/>
      <c r="R77" s="14"/>
      <c r="S77" s="14"/>
      <c r="T77" s="2"/>
      <c r="U77" s="2"/>
      <c r="V77" s="2"/>
      <c r="W77" s="155"/>
      <c r="X77" s="2"/>
      <c r="Y77" s="155"/>
      <c r="Z77" s="14"/>
      <c r="AA77" s="183"/>
      <c r="AB77" s="14"/>
      <c r="AC77" s="183"/>
      <c r="AD77" s="14"/>
      <c r="AE77" s="14"/>
      <c r="AF77" s="183"/>
      <c r="AG77" s="14"/>
      <c r="AH77" s="183"/>
      <c r="AI77" s="14"/>
      <c r="AJ77" s="183"/>
      <c r="AK77" s="14"/>
      <c r="AL77" s="183"/>
      <c r="AM77" s="14"/>
      <c r="AN77" s="183"/>
      <c r="AO77" s="14"/>
      <c r="AP77" s="183"/>
      <c r="AQ77" s="14"/>
      <c r="AR77" s="183"/>
      <c r="AS77" s="14"/>
      <c r="AT77" s="183"/>
      <c r="AU77" s="14"/>
      <c r="AV77" s="183"/>
      <c r="AW77" s="14"/>
      <c r="AX77" s="183"/>
      <c r="AY77" s="14"/>
      <c r="AZ77" s="183"/>
      <c r="BA77" s="14"/>
      <c r="BB77" s="183"/>
      <c r="BC77" s="68"/>
      <c r="BD77" s="92"/>
      <c r="BE77" s="68"/>
      <c r="BF77" s="68"/>
      <c r="BG77" s="68"/>
      <c r="BH77" s="68"/>
      <c r="BI77" s="68"/>
      <c r="BJ77" s="68"/>
      <c r="BK77" s="68"/>
      <c r="BL77" s="68"/>
      <c r="BM77" s="68"/>
      <c r="BN77" s="68"/>
      <c r="BO77" s="68"/>
      <c r="BP77" s="68"/>
      <c r="BQ77" s="68"/>
      <c r="BR77" s="68"/>
      <c r="BS77" s="68"/>
      <c r="BT77" s="68"/>
      <c r="BU77" s="68"/>
      <c r="BV77" s="68"/>
      <c r="BW77" s="68"/>
      <c r="BX77" s="68"/>
      <c r="BY77" s="68"/>
      <c r="BZ77" s="68"/>
      <c r="CA77" s="68"/>
      <c r="CB77" s="68"/>
    </row>
    <row r="78" spans="1:80" s="13" customFormat="1" ht="15" x14ac:dyDescent="0.2">
      <c r="A78" s="1"/>
      <c r="B78"/>
      <c r="C78"/>
      <c r="D78"/>
      <c r="E78"/>
      <c r="F78"/>
      <c r="G78" s="14"/>
      <c r="H78" s="14"/>
      <c r="I78" s="14"/>
      <c r="J78" s="14"/>
      <c r="K78" s="14"/>
      <c r="L78" s="14"/>
      <c r="M78" s="14"/>
      <c r="N78" s="68"/>
      <c r="O78" s="68"/>
      <c r="P78" s="68"/>
      <c r="Q78" s="14"/>
      <c r="R78" s="14"/>
      <c r="S78" s="14"/>
      <c r="T78" s="2"/>
      <c r="U78" s="2"/>
      <c r="V78" s="2"/>
      <c r="W78" s="155"/>
      <c r="X78" s="2"/>
      <c r="Y78" s="155"/>
      <c r="Z78" s="14"/>
      <c r="AA78" s="183"/>
      <c r="AB78" s="14"/>
      <c r="AC78" s="183"/>
      <c r="AD78" s="14"/>
      <c r="AE78" s="14"/>
      <c r="AF78" s="183"/>
      <c r="AG78" s="14"/>
      <c r="AH78" s="183"/>
      <c r="AI78" s="14"/>
      <c r="AJ78" s="183"/>
      <c r="AK78" s="14"/>
      <c r="AL78" s="183"/>
      <c r="AM78" s="14"/>
      <c r="AN78" s="183"/>
      <c r="AO78" s="14"/>
      <c r="AP78" s="183"/>
      <c r="AQ78" s="14"/>
      <c r="AR78" s="183"/>
      <c r="AS78" s="14"/>
      <c r="AT78" s="183"/>
      <c r="AU78" s="14"/>
      <c r="AV78" s="183"/>
      <c r="AW78" s="14"/>
      <c r="AX78" s="183"/>
      <c r="AY78" s="14"/>
      <c r="AZ78" s="183"/>
      <c r="BA78" s="14"/>
      <c r="BB78" s="183"/>
      <c r="BC78" s="68"/>
      <c r="BD78" s="92"/>
      <c r="BE78" s="68"/>
      <c r="BF78" s="68"/>
      <c r="BG78" s="68"/>
      <c r="BH78" s="68"/>
      <c r="BI78" s="68"/>
      <c r="BJ78" s="68"/>
      <c r="BK78" s="68"/>
      <c r="BL78" s="68"/>
      <c r="BM78" s="68"/>
      <c r="BN78" s="68"/>
      <c r="BO78" s="68"/>
      <c r="BP78" s="68"/>
      <c r="BQ78" s="68"/>
      <c r="BR78" s="68"/>
      <c r="BS78" s="68"/>
      <c r="BT78" s="68"/>
      <c r="BU78" s="68"/>
      <c r="BV78" s="68"/>
      <c r="BW78" s="68"/>
      <c r="BX78" s="68"/>
      <c r="BY78" s="68"/>
      <c r="BZ78" s="68"/>
      <c r="CA78" s="68"/>
      <c r="CB78" s="68"/>
    </row>
    <row r="79" spans="1:80" s="13" customFormat="1" ht="15" x14ac:dyDescent="0.2">
      <c r="A79" s="1"/>
      <c r="B79"/>
      <c r="C79"/>
      <c r="D79"/>
      <c r="E79"/>
      <c r="F79"/>
      <c r="G79" s="14"/>
      <c r="H79" s="14"/>
      <c r="I79" s="14"/>
      <c r="J79" s="14"/>
      <c r="K79" s="14"/>
      <c r="L79" s="14"/>
      <c r="M79" s="14"/>
      <c r="N79" s="68"/>
      <c r="O79" s="68"/>
      <c r="P79" s="68"/>
      <c r="Q79" s="14"/>
      <c r="R79" s="14"/>
      <c r="S79" s="14"/>
      <c r="T79" s="2"/>
      <c r="U79" s="2"/>
      <c r="V79" s="2"/>
      <c r="W79" s="155"/>
      <c r="X79" s="2"/>
      <c r="Y79" s="155"/>
      <c r="Z79" s="14"/>
      <c r="AA79" s="183"/>
      <c r="AB79" s="14"/>
      <c r="AC79" s="183"/>
      <c r="AD79" s="14"/>
      <c r="AE79" s="14"/>
      <c r="AF79" s="183"/>
      <c r="AG79" s="14"/>
      <c r="AH79" s="183"/>
      <c r="AI79" s="14"/>
      <c r="AJ79" s="183"/>
      <c r="AK79" s="14"/>
      <c r="AL79" s="183"/>
      <c r="AM79" s="14"/>
      <c r="AN79" s="183"/>
      <c r="AO79" s="14"/>
      <c r="AP79" s="183"/>
      <c r="AQ79" s="14"/>
      <c r="AR79" s="183"/>
      <c r="AS79" s="14"/>
      <c r="AT79" s="183"/>
      <c r="AU79" s="14"/>
      <c r="AV79" s="183"/>
      <c r="AW79" s="14"/>
      <c r="AX79" s="183"/>
      <c r="AY79" s="14"/>
      <c r="AZ79" s="183"/>
      <c r="BA79" s="14"/>
      <c r="BB79" s="183"/>
      <c r="BC79" s="68"/>
      <c r="BD79" s="92"/>
      <c r="BE79" s="68"/>
      <c r="BF79" s="68"/>
      <c r="BG79" s="68"/>
      <c r="BH79" s="68"/>
      <c r="BI79" s="68"/>
      <c r="BJ79" s="68"/>
      <c r="BK79" s="68"/>
      <c r="BL79" s="68"/>
      <c r="BM79" s="68"/>
      <c r="BN79" s="68"/>
      <c r="BO79" s="68"/>
      <c r="BP79" s="68"/>
      <c r="BQ79" s="68"/>
      <c r="BR79" s="68"/>
      <c r="BS79" s="68"/>
      <c r="BT79" s="68"/>
      <c r="BU79" s="68"/>
      <c r="BV79" s="68"/>
      <c r="BW79" s="68"/>
      <c r="BX79" s="68"/>
      <c r="BY79" s="68"/>
      <c r="BZ79" s="68"/>
      <c r="CA79" s="68"/>
      <c r="CB79" s="68"/>
    </row>
    <row r="80" spans="1:80" s="13" customFormat="1" ht="15" x14ac:dyDescent="0.2">
      <c r="A80" s="1"/>
      <c r="B80"/>
      <c r="C80"/>
      <c r="D80"/>
      <c r="E80"/>
      <c r="F80"/>
      <c r="G80" s="14"/>
      <c r="H80" s="14"/>
      <c r="I80" s="14"/>
      <c r="J80" s="14"/>
      <c r="K80" s="14"/>
      <c r="L80" s="14"/>
      <c r="M80" s="14"/>
      <c r="N80" s="68"/>
      <c r="O80" s="68"/>
      <c r="P80" s="68"/>
      <c r="Q80" s="14"/>
      <c r="R80" s="14"/>
      <c r="S80" s="14"/>
      <c r="T80" s="2"/>
      <c r="U80" s="2"/>
      <c r="V80" s="2"/>
      <c r="W80" s="155"/>
      <c r="X80" s="2"/>
      <c r="Y80" s="155"/>
      <c r="Z80" s="14"/>
      <c r="AA80" s="183"/>
      <c r="AB80" s="14"/>
      <c r="AC80" s="183"/>
      <c r="AD80" s="14"/>
      <c r="AE80" s="14"/>
      <c r="AF80" s="183"/>
      <c r="AG80" s="14"/>
      <c r="AH80" s="183"/>
      <c r="AI80" s="14"/>
      <c r="AJ80" s="183"/>
      <c r="AK80" s="14"/>
      <c r="AL80" s="183"/>
      <c r="AM80" s="14"/>
      <c r="AN80" s="183"/>
      <c r="AO80" s="14"/>
      <c r="AP80" s="183"/>
      <c r="AQ80" s="14"/>
      <c r="AR80" s="183"/>
      <c r="AS80" s="14"/>
      <c r="AT80" s="183"/>
      <c r="AU80" s="14"/>
      <c r="AV80" s="183"/>
      <c r="AW80" s="14"/>
      <c r="AX80" s="183"/>
      <c r="AY80" s="14"/>
      <c r="AZ80" s="183"/>
      <c r="BA80" s="14"/>
      <c r="BB80" s="183"/>
      <c r="BC80" s="68"/>
      <c r="BD80" s="92"/>
      <c r="BE80" s="68"/>
      <c r="BF80" s="68"/>
      <c r="BG80" s="68"/>
      <c r="BH80" s="68"/>
      <c r="BI80" s="68"/>
      <c r="BJ80" s="68"/>
      <c r="BK80" s="68"/>
      <c r="BL80" s="68"/>
      <c r="BM80" s="68"/>
      <c r="BN80" s="68"/>
      <c r="BO80" s="68"/>
      <c r="BP80" s="68"/>
      <c r="BQ80" s="68"/>
      <c r="BR80" s="68"/>
      <c r="BS80" s="68"/>
      <c r="BT80" s="68"/>
      <c r="BU80" s="68"/>
      <c r="BV80" s="68"/>
      <c r="BW80" s="68"/>
      <c r="BX80" s="68"/>
      <c r="BY80" s="68"/>
      <c r="BZ80" s="68"/>
      <c r="CA80" s="68"/>
      <c r="CB80" s="68"/>
    </row>
    <row r="81" spans="1:80" s="13" customFormat="1" ht="15" x14ac:dyDescent="0.2">
      <c r="A81" s="1"/>
      <c r="B81"/>
      <c r="C81"/>
      <c r="D81"/>
      <c r="E81"/>
      <c r="F81"/>
      <c r="G81" s="14"/>
      <c r="H81" s="14"/>
      <c r="I81" s="14"/>
      <c r="J81" s="14"/>
      <c r="K81" s="14"/>
      <c r="L81" s="14"/>
      <c r="M81" s="14"/>
      <c r="N81" s="68"/>
      <c r="O81" s="68"/>
      <c r="P81" s="68"/>
      <c r="Q81" s="14"/>
      <c r="R81" s="14"/>
      <c r="S81" s="14"/>
      <c r="T81" s="2"/>
      <c r="U81" s="2"/>
      <c r="V81" s="2"/>
      <c r="W81" s="155"/>
      <c r="X81" s="2"/>
      <c r="Y81" s="155"/>
      <c r="Z81" s="14"/>
      <c r="AA81" s="183"/>
      <c r="AB81" s="14"/>
      <c r="AC81" s="183"/>
      <c r="AD81" s="14"/>
      <c r="AE81" s="14"/>
      <c r="AF81" s="183"/>
      <c r="AG81" s="14"/>
      <c r="AH81" s="183"/>
      <c r="AI81" s="14"/>
      <c r="AJ81" s="183"/>
      <c r="AK81" s="14"/>
      <c r="AL81" s="183"/>
      <c r="AM81" s="14"/>
      <c r="AN81" s="183"/>
      <c r="AO81" s="14"/>
      <c r="AP81" s="183"/>
      <c r="AQ81" s="14"/>
      <c r="AR81" s="183"/>
      <c r="AS81" s="14"/>
      <c r="AT81" s="183"/>
      <c r="AU81" s="14"/>
      <c r="AV81" s="183"/>
      <c r="AW81" s="14"/>
      <c r="AX81" s="183"/>
      <c r="AY81" s="14"/>
      <c r="AZ81" s="183"/>
      <c r="BA81" s="14"/>
      <c r="BB81" s="183"/>
      <c r="BC81" s="68"/>
      <c r="BD81" s="92"/>
      <c r="BE81" s="68"/>
      <c r="BF81" s="68"/>
      <c r="BG81" s="68"/>
      <c r="BH81" s="68"/>
      <c r="BI81" s="68"/>
      <c r="BJ81" s="68"/>
      <c r="BK81" s="68"/>
      <c r="BL81" s="68"/>
      <c r="BM81" s="68"/>
      <c r="BN81" s="68"/>
      <c r="BO81" s="68"/>
      <c r="BP81" s="68"/>
      <c r="BQ81" s="68"/>
      <c r="BR81" s="68"/>
      <c r="BS81" s="68"/>
      <c r="BT81" s="68"/>
      <c r="BU81" s="68"/>
      <c r="BV81" s="68"/>
      <c r="BW81" s="68"/>
      <c r="BX81" s="68"/>
      <c r="BY81" s="68"/>
      <c r="BZ81" s="68"/>
      <c r="CA81" s="68"/>
      <c r="CB81" s="68"/>
    </row>
    <row r="82" spans="1:80" s="13" customFormat="1" ht="15" x14ac:dyDescent="0.2">
      <c r="A82" s="1"/>
      <c r="B82"/>
      <c r="C82"/>
      <c r="D82"/>
      <c r="E82"/>
      <c r="F82"/>
      <c r="G82" s="14"/>
      <c r="H82" s="14"/>
      <c r="I82" s="14"/>
      <c r="J82" s="14"/>
      <c r="K82" s="14"/>
      <c r="L82" s="14"/>
      <c r="M82" s="14"/>
      <c r="N82" s="68"/>
      <c r="O82" s="68"/>
      <c r="P82" s="68"/>
      <c r="Q82" s="14"/>
      <c r="R82" s="14"/>
      <c r="S82" s="14"/>
      <c r="T82" s="2"/>
      <c r="U82" s="2"/>
      <c r="V82" s="2"/>
      <c r="W82" s="155"/>
      <c r="X82" s="2"/>
      <c r="Y82" s="155"/>
      <c r="Z82" s="14"/>
      <c r="AA82" s="183"/>
      <c r="AB82" s="14"/>
      <c r="AC82" s="183"/>
      <c r="AD82" s="14"/>
      <c r="AE82" s="14"/>
      <c r="AF82" s="183"/>
      <c r="AG82" s="14"/>
      <c r="AH82" s="183"/>
      <c r="AI82" s="14"/>
      <c r="AJ82" s="183"/>
      <c r="AK82" s="14"/>
      <c r="AL82" s="183"/>
      <c r="AM82" s="14"/>
      <c r="AN82" s="183"/>
      <c r="AO82" s="14"/>
      <c r="AP82" s="183"/>
      <c r="AQ82" s="14"/>
      <c r="AR82" s="183"/>
      <c r="AS82" s="14"/>
      <c r="AT82" s="183"/>
      <c r="AU82" s="14"/>
      <c r="AV82" s="183"/>
      <c r="AW82" s="14"/>
      <c r="AX82" s="183"/>
      <c r="AY82" s="14"/>
      <c r="AZ82" s="183"/>
      <c r="BA82" s="14"/>
      <c r="BB82" s="183"/>
      <c r="BC82" s="68"/>
      <c r="BD82" s="92"/>
      <c r="BE82" s="68"/>
      <c r="BF82" s="68"/>
      <c r="BG82" s="68"/>
      <c r="BH82" s="68"/>
      <c r="BI82" s="68"/>
      <c r="BJ82" s="68"/>
      <c r="BK82" s="68"/>
      <c r="BL82" s="68"/>
      <c r="BM82" s="68"/>
      <c r="BN82" s="68"/>
      <c r="BO82" s="68"/>
      <c r="BP82" s="68"/>
      <c r="BQ82" s="68"/>
      <c r="BR82" s="68"/>
      <c r="BS82" s="68"/>
      <c r="BT82" s="68"/>
      <c r="BU82" s="68"/>
      <c r="BV82" s="68"/>
      <c r="BW82" s="68"/>
      <c r="BX82" s="68"/>
      <c r="BY82" s="68"/>
      <c r="BZ82" s="68"/>
      <c r="CA82" s="68"/>
      <c r="CB82" s="68"/>
    </row>
    <row r="83" spans="1:80" s="13" customFormat="1" ht="15" x14ac:dyDescent="0.2">
      <c r="A83" s="1"/>
      <c r="B83"/>
      <c r="C83"/>
      <c r="D83"/>
      <c r="E83"/>
      <c r="F83"/>
      <c r="G83" s="14"/>
      <c r="H83" s="14"/>
      <c r="I83" s="14"/>
      <c r="J83" s="14"/>
      <c r="K83" s="14"/>
      <c r="L83" s="14"/>
      <c r="M83" s="14"/>
      <c r="N83" s="68"/>
      <c r="O83" s="68"/>
      <c r="P83" s="68"/>
      <c r="Q83" s="14"/>
      <c r="R83" s="14"/>
      <c r="S83" s="14"/>
      <c r="T83" s="2"/>
      <c r="U83" s="2"/>
      <c r="V83" s="2"/>
      <c r="W83" s="155"/>
      <c r="X83" s="2"/>
      <c r="Y83" s="155"/>
      <c r="Z83" s="14"/>
      <c r="AA83" s="183"/>
      <c r="AB83" s="14"/>
      <c r="AC83" s="183"/>
      <c r="AD83" s="14"/>
      <c r="AE83" s="14"/>
      <c r="AF83" s="183"/>
      <c r="AG83" s="14"/>
      <c r="AH83" s="183"/>
      <c r="AI83" s="14"/>
      <c r="AJ83" s="183"/>
      <c r="AK83" s="14"/>
      <c r="AL83" s="183"/>
      <c r="AM83" s="14"/>
      <c r="AN83" s="183"/>
      <c r="AO83" s="14"/>
      <c r="AP83" s="183"/>
      <c r="AQ83" s="14"/>
      <c r="AR83" s="183"/>
      <c r="AS83" s="14"/>
      <c r="AT83" s="183"/>
      <c r="AU83" s="14"/>
      <c r="AV83" s="183"/>
      <c r="AW83" s="14"/>
      <c r="AX83" s="183"/>
      <c r="AY83" s="14"/>
      <c r="AZ83" s="183"/>
      <c r="BA83" s="14"/>
      <c r="BB83" s="183"/>
      <c r="BC83" s="68"/>
      <c r="BD83" s="92"/>
      <c r="BE83" s="68"/>
      <c r="BF83" s="68"/>
      <c r="BG83" s="68"/>
      <c r="BH83" s="68"/>
      <c r="BI83" s="68"/>
      <c r="BJ83" s="68"/>
      <c r="BK83" s="68"/>
      <c r="BL83" s="68"/>
      <c r="BM83" s="68"/>
      <c r="BN83" s="68"/>
      <c r="BO83" s="68"/>
      <c r="BP83" s="68"/>
      <c r="BQ83" s="68"/>
      <c r="BR83" s="68"/>
      <c r="BS83" s="68"/>
      <c r="BT83" s="68"/>
      <c r="BU83" s="68"/>
      <c r="BV83" s="68"/>
      <c r="BW83" s="68"/>
      <c r="BX83" s="68"/>
      <c r="BY83" s="68"/>
      <c r="BZ83" s="68"/>
      <c r="CA83" s="68"/>
      <c r="CB83" s="68"/>
    </row>
    <row r="84" spans="1:80" s="13" customFormat="1" ht="15" x14ac:dyDescent="0.2">
      <c r="A84" s="1"/>
      <c r="B84"/>
      <c r="C84"/>
      <c r="D84"/>
      <c r="E84"/>
      <c r="F84"/>
      <c r="G84" s="14"/>
      <c r="H84" s="14"/>
      <c r="I84" s="14"/>
      <c r="J84" s="14"/>
      <c r="K84" s="14"/>
      <c r="L84" s="14"/>
      <c r="M84" s="14"/>
      <c r="N84" s="68"/>
      <c r="O84" s="68"/>
      <c r="P84" s="68"/>
      <c r="Q84" s="14"/>
      <c r="R84" s="14"/>
      <c r="S84" s="14"/>
      <c r="T84" s="2"/>
      <c r="U84" s="2"/>
      <c r="V84" s="2"/>
      <c r="W84" s="155"/>
      <c r="X84" s="2"/>
      <c r="Y84" s="155"/>
      <c r="Z84" s="14"/>
      <c r="AA84" s="183"/>
      <c r="AB84" s="14"/>
      <c r="AC84" s="183"/>
      <c r="AD84" s="14"/>
      <c r="AE84" s="14"/>
      <c r="AF84" s="183"/>
      <c r="AG84" s="14"/>
      <c r="AH84" s="183"/>
      <c r="AI84" s="14"/>
      <c r="AJ84" s="183"/>
      <c r="AK84" s="14"/>
      <c r="AL84" s="183"/>
      <c r="AM84" s="14"/>
      <c r="AN84" s="183"/>
      <c r="AO84" s="14"/>
      <c r="AP84" s="183"/>
      <c r="AQ84" s="14"/>
      <c r="AR84" s="183"/>
      <c r="AS84" s="14"/>
      <c r="AT84" s="183"/>
      <c r="AU84" s="14"/>
      <c r="AV84" s="183"/>
      <c r="AW84" s="14"/>
      <c r="AX84" s="183"/>
      <c r="AY84" s="14"/>
      <c r="AZ84" s="183"/>
      <c r="BA84" s="14"/>
      <c r="BB84" s="183"/>
      <c r="BC84" s="68"/>
      <c r="BD84" s="92"/>
      <c r="BE84" s="68"/>
      <c r="BF84" s="68"/>
      <c r="BG84" s="68"/>
      <c r="BH84" s="68"/>
      <c r="BI84" s="68"/>
      <c r="BJ84" s="68"/>
      <c r="BK84" s="68"/>
      <c r="BL84" s="68"/>
      <c r="BM84" s="68"/>
      <c r="BN84" s="68"/>
      <c r="BO84" s="68"/>
      <c r="BP84" s="68"/>
      <c r="BQ84" s="68"/>
      <c r="BR84" s="68"/>
      <c r="BS84" s="68"/>
      <c r="BT84" s="68"/>
      <c r="BU84" s="68"/>
      <c r="BV84" s="68"/>
      <c r="BW84" s="68"/>
      <c r="BX84" s="68"/>
      <c r="BY84" s="68"/>
      <c r="BZ84" s="68"/>
      <c r="CA84" s="68"/>
      <c r="CB84" s="68"/>
    </row>
    <row r="85" spans="1:80" s="13" customFormat="1" ht="15" x14ac:dyDescent="0.2">
      <c r="A85" s="1"/>
      <c r="B85"/>
      <c r="C85"/>
      <c r="D85"/>
      <c r="E85"/>
      <c r="F85"/>
      <c r="G85" s="14"/>
      <c r="H85" s="14"/>
      <c r="I85" s="14"/>
      <c r="J85" s="14"/>
      <c r="K85" s="14"/>
      <c r="L85" s="14"/>
      <c r="M85" s="14"/>
      <c r="N85" s="68"/>
      <c r="O85" s="68"/>
      <c r="P85" s="68"/>
      <c r="Q85" s="14"/>
      <c r="R85" s="14"/>
      <c r="S85" s="14"/>
      <c r="T85" s="2"/>
      <c r="U85" s="2"/>
      <c r="V85" s="2"/>
      <c r="W85" s="155"/>
      <c r="X85" s="2"/>
      <c r="Y85" s="155"/>
      <c r="Z85" s="14"/>
      <c r="AA85" s="183"/>
      <c r="AB85" s="14"/>
      <c r="AC85" s="183"/>
      <c r="AD85" s="14"/>
      <c r="AE85" s="14"/>
      <c r="AF85" s="183"/>
      <c r="AG85" s="14"/>
      <c r="AH85" s="183"/>
      <c r="AI85" s="14"/>
      <c r="AJ85" s="183"/>
      <c r="AK85" s="14"/>
      <c r="AL85" s="183"/>
      <c r="AM85" s="14"/>
      <c r="AN85" s="183"/>
      <c r="AO85" s="14"/>
      <c r="AP85" s="183"/>
      <c r="AQ85" s="14"/>
      <c r="AR85" s="183"/>
      <c r="AS85" s="14"/>
      <c r="AT85" s="183"/>
      <c r="AU85" s="14"/>
      <c r="AV85" s="183"/>
      <c r="AW85" s="14"/>
      <c r="AX85" s="183"/>
      <c r="AY85" s="14"/>
      <c r="AZ85" s="183"/>
      <c r="BA85" s="14"/>
      <c r="BB85" s="183"/>
      <c r="BC85" s="68"/>
      <c r="BD85" s="92"/>
      <c r="BE85" s="68"/>
      <c r="BF85" s="68"/>
      <c r="BG85" s="68"/>
      <c r="BH85" s="68"/>
      <c r="BI85" s="68"/>
      <c r="BJ85" s="68"/>
      <c r="BK85" s="68"/>
      <c r="BL85" s="68"/>
      <c r="BM85" s="68"/>
      <c r="BN85" s="68"/>
      <c r="BO85" s="68"/>
      <c r="BP85" s="68"/>
      <c r="BQ85" s="68"/>
      <c r="BR85" s="68"/>
      <c r="BS85" s="68"/>
      <c r="BT85" s="68"/>
      <c r="BU85" s="68"/>
      <c r="BV85" s="68"/>
      <c r="BW85" s="68"/>
      <c r="BX85" s="68"/>
      <c r="BY85" s="68"/>
      <c r="BZ85" s="68"/>
      <c r="CA85" s="68"/>
      <c r="CB85" s="68"/>
    </row>
    <row r="86" spans="1:80" s="13" customFormat="1" ht="15" x14ac:dyDescent="0.2">
      <c r="A86" s="1"/>
      <c r="B86"/>
      <c r="C86"/>
      <c r="D86"/>
      <c r="E86"/>
      <c r="F86"/>
      <c r="G86" s="14"/>
      <c r="H86" s="14"/>
      <c r="I86" s="14"/>
      <c r="J86" s="14"/>
      <c r="K86" s="14"/>
      <c r="L86" s="14"/>
      <c r="M86" s="14"/>
      <c r="N86" s="68"/>
      <c r="O86" s="68"/>
      <c r="P86" s="68"/>
      <c r="Q86" s="14"/>
      <c r="R86" s="14"/>
      <c r="S86" s="14"/>
      <c r="T86" s="2"/>
      <c r="U86" s="2"/>
      <c r="V86" s="2"/>
      <c r="W86" s="155"/>
      <c r="X86" s="2"/>
      <c r="Y86" s="155"/>
      <c r="Z86" s="14"/>
      <c r="AA86" s="183"/>
      <c r="AB86" s="14"/>
      <c r="AC86" s="183"/>
      <c r="AD86" s="14"/>
      <c r="AE86" s="14"/>
      <c r="AF86" s="183"/>
      <c r="AG86" s="14"/>
      <c r="AH86" s="183"/>
      <c r="AI86" s="14"/>
      <c r="AJ86" s="183"/>
      <c r="AK86" s="14"/>
      <c r="AL86" s="183"/>
      <c r="AM86" s="14"/>
      <c r="AN86" s="183"/>
      <c r="AO86" s="14"/>
      <c r="AP86" s="183"/>
      <c r="AQ86" s="14"/>
      <c r="AR86" s="183"/>
      <c r="AS86" s="14"/>
      <c r="AT86" s="183"/>
      <c r="AU86" s="14"/>
      <c r="AV86" s="183"/>
      <c r="AW86" s="14"/>
      <c r="AX86" s="183"/>
      <c r="AY86" s="14"/>
      <c r="AZ86" s="183"/>
      <c r="BA86" s="14"/>
      <c r="BB86" s="183"/>
      <c r="BC86" s="68"/>
      <c r="BD86" s="92"/>
      <c r="BE86" s="68"/>
      <c r="BF86" s="68"/>
      <c r="BG86" s="68"/>
      <c r="BH86" s="68"/>
      <c r="BI86" s="68"/>
      <c r="BJ86" s="68"/>
      <c r="BK86" s="68"/>
      <c r="BL86" s="68"/>
      <c r="BM86" s="68"/>
      <c r="BN86" s="68"/>
      <c r="BO86" s="68"/>
      <c r="BP86" s="68"/>
      <c r="BQ86" s="68"/>
      <c r="BR86" s="68"/>
      <c r="BS86" s="68"/>
      <c r="BT86" s="68"/>
      <c r="BU86" s="68"/>
      <c r="BV86" s="68"/>
      <c r="BW86" s="68"/>
      <c r="BX86" s="68"/>
      <c r="BY86" s="68"/>
      <c r="BZ86" s="68"/>
      <c r="CA86" s="68"/>
      <c r="CB86" s="68"/>
    </row>
    <row r="87" spans="1:80" s="13" customFormat="1" ht="15" x14ac:dyDescent="0.2">
      <c r="A87" s="1"/>
      <c r="B87"/>
      <c r="C87"/>
      <c r="D87"/>
      <c r="E87"/>
      <c r="F87"/>
      <c r="G87" s="14"/>
      <c r="H87" s="14"/>
      <c r="I87" s="14"/>
      <c r="J87" s="14"/>
      <c r="K87" s="14"/>
      <c r="L87" s="14"/>
      <c r="M87" s="14"/>
      <c r="N87" s="68"/>
      <c r="O87" s="68"/>
      <c r="P87" s="68"/>
      <c r="Q87" s="14"/>
      <c r="R87" s="14"/>
      <c r="S87" s="14"/>
      <c r="T87" s="2"/>
      <c r="U87" s="2"/>
      <c r="V87" s="2"/>
      <c r="W87" s="155"/>
      <c r="X87" s="2"/>
      <c r="Y87" s="155"/>
      <c r="Z87" s="14"/>
      <c r="AA87" s="183"/>
      <c r="AB87" s="14"/>
      <c r="AC87" s="183"/>
      <c r="AD87" s="14"/>
      <c r="AE87" s="14"/>
      <c r="AF87" s="183"/>
      <c r="AG87" s="14"/>
      <c r="AH87" s="183"/>
      <c r="AI87" s="14"/>
      <c r="AJ87" s="183"/>
      <c r="AK87" s="14"/>
      <c r="AL87" s="183"/>
      <c r="AM87" s="14"/>
      <c r="AN87" s="183"/>
      <c r="AO87" s="14"/>
      <c r="AP87" s="183"/>
      <c r="AQ87" s="14"/>
      <c r="AR87" s="183"/>
      <c r="AS87" s="14"/>
      <c r="AT87" s="183"/>
      <c r="AU87" s="14"/>
      <c r="AV87" s="183"/>
      <c r="AW87" s="14"/>
      <c r="AX87" s="183"/>
      <c r="AY87" s="14"/>
      <c r="AZ87" s="183"/>
      <c r="BA87" s="14"/>
      <c r="BB87" s="183"/>
      <c r="BC87" s="68"/>
      <c r="BD87" s="92"/>
      <c r="BE87" s="68"/>
      <c r="BF87" s="68"/>
      <c r="BG87" s="68"/>
      <c r="BH87" s="68"/>
      <c r="BI87" s="68"/>
      <c r="BJ87" s="68"/>
      <c r="BK87" s="68"/>
      <c r="BL87" s="68"/>
      <c r="BM87" s="68"/>
      <c r="BN87" s="68"/>
      <c r="BO87" s="68"/>
      <c r="BP87" s="68"/>
      <c r="BQ87" s="68"/>
      <c r="BR87" s="68"/>
      <c r="BS87" s="68"/>
      <c r="BT87" s="68"/>
      <c r="BU87" s="68"/>
      <c r="BV87" s="68"/>
      <c r="BW87" s="68"/>
      <c r="BX87" s="68"/>
      <c r="BY87" s="68"/>
      <c r="BZ87" s="68"/>
      <c r="CA87" s="68"/>
      <c r="CB87" s="68"/>
    </row>
    <row r="88" spans="1:80" s="13" customFormat="1" ht="15" x14ac:dyDescent="0.2">
      <c r="A88" s="1"/>
      <c r="B88"/>
      <c r="C88"/>
      <c r="D88"/>
      <c r="E88"/>
      <c r="F88"/>
      <c r="G88" s="14"/>
      <c r="H88" s="14"/>
      <c r="I88" s="14"/>
      <c r="J88" s="14"/>
      <c r="K88" s="14"/>
      <c r="L88" s="14"/>
      <c r="M88" s="14"/>
      <c r="N88" s="68"/>
      <c r="O88" s="68"/>
      <c r="P88" s="68"/>
      <c r="Q88" s="14"/>
      <c r="R88" s="14"/>
      <c r="S88" s="14"/>
      <c r="T88" s="2"/>
      <c r="U88" s="2"/>
      <c r="V88" s="2"/>
      <c r="W88" s="155"/>
      <c r="X88" s="2"/>
      <c r="Y88" s="155"/>
      <c r="Z88" s="14"/>
      <c r="AA88" s="183"/>
      <c r="AB88" s="14"/>
      <c r="AC88" s="183"/>
      <c r="AD88" s="14"/>
      <c r="AE88" s="14"/>
      <c r="AF88" s="183"/>
      <c r="AG88" s="14"/>
      <c r="AH88" s="183"/>
      <c r="AI88" s="14"/>
      <c r="AJ88" s="183"/>
      <c r="AK88" s="14"/>
      <c r="AL88" s="183"/>
      <c r="AM88" s="14"/>
      <c r="AN88" s="183"/>
      <c r="AO88" s="14"/>
      <c r="AP88" s="183"/>
      <c r="AQ88" s="14"/>
      <c r="AR88" s="183"/>
      <c r="AS88" s="14"/>
      <c r="AT88" s="183"/>
      <c r="AU88" s="14"/>
      <c r="AV88" s="183"/>
      <c r="AW88" s="14"/>
      <c r="AX88" s="183"/>
      <c r="AY88" s="14"/>
      <c r="AZ88" s="183"/>
      <c r="BA88" s="14"/>
      <c r="BB88" s="183"/>
      <c r="BC88" s="68"/>
      <c r="BD88" s="92"/>
      <c r="BE88" s="68"/>
      <c r="BF88" s="68"/>
      <c r="BG88" s="68"/>
      <c r="BH88" s="68"/>
      <c r="BI88" s="68"/>
      <c r="BJ88" s="68"/>
      <c r="BK88" s="68"/>
      <c r="BL88" s="68"/>
      <c r="BM88" s="68"/>
      <c r="BN88" s="68"/>
      <c r="BO88" s="68"/>
      <c r="BP88" s="68"/>
      <c r="BQ88" s="68"/>
      <c r="BR88" s="68"/>
      <c r="BS88" s="68"/>
      <c r="BT88" s="68"/>
      <c r="BU88" s="68"/>
      <c r="BV88" s="68"/>
      <c r="BW88" s="68"/>
      <c r="BX88" s="68"/>
      <c r="BY88" s="68"/>
      <c r="BZ88" s="68"/>
      <c r="CA88" s="68"/>
      <c r="CB88" s="68"/>
    </row>
    <row r="89" spans="1:80" s="13" customFormat="1" ht="15" x14ac:dyDescent="0.2">
      <c r="A89" s="1"/>
      <c r="B89"/>
      <c r="C89"/>
      <c r="D89"/>
      <c r="E89"/>
      <c r="F89"/>
      <c r="G89" s="14"/>
      <c r="H89" s="14"/>
      <c r="I89" s="14"/>
      <c r="J89" s="14"/>
      <c r="K89" s="14"/>
      <c r="L89" s="14"/>
      <c r="M89" s="14"/>
      <c r="N89" s="68"/>
      <c r="O89" s="68"/>
      <c r="P89" s="68"/>
      <c r="Q89" s="14"/>
      <c r="R89" s="14"/>
      <c r="S89" s="14"/>
      <c r="T89" s="2"/>
      <c r="U89" s="2"/>
      <c r="V89" s="2"/>
      <c r="W89" s="155"/>
      <c r="X89" s="2"/>
      <c r="Y89" s="155"/>
      <c r="Z89" s="14"/>
      <c r="AA89" s="183"/>
      <c r="AB89" s="14"/>
      <c r="AC89" s="183"/>
      <c r="AD89" s="14"/>
      <c r="AE89" s="14"/>
      <c r="AF89" s="183"/>
      <c r="AG89" s="14"/>
      <c r="AH89" s="183"/>
      <c r="AI89" s="14"/>
      <c r="AJ89" s="183"/>
      <c r="AK89" s="14"/>
      <c r="AL89" s="183"/>
      <c r="AM89" s="14"/>
      <c r="AN89" s="183"/>
      <c r="AO89" s="14"/>
      <c r="AP89" s="183"/>
      <c r="AQ89" s="14"/>
      <c r="AR89" s="183"/>
      <c r="AS89" s="14"/>
      <c r="AT89" s="183"/>
      <c r="AU89" s="14"/>
      <c r="AV89" s="183"/>
      <c r="AW89" s="14"/>
      <c r="AX89" s="183"/>
      <c r="AY89" s="14"/>
      <c r="AZ89" s="183"/>
      <c r="BA89" s="14"/>
      <c r="BB89" s="183"/>
      <c r="BC89" s="68"/>
      <c r="BD89" s="92"/>
      <c r="BE89" s="68"/>
      <c r="BF89" s="68"/>
      <c r="BG89" s="68"/>
      <c r="BH89" s="68"/>
      <c r="BI89" s="68"/>
      <c r="BJ89" s="68"/>
      <c r="BK89" s="68"/>
      <c r="BL89" s="68"/>
      <c r="BM89" s="68"/>
      <c r="BN89" s="68"/>
      <c r="BO89" s="68"/>
      <c r="BP89" s="68"/>
      <c r="BQ89" s="68"/>
      <c r="BR89" s="68"/>
      <c r="BS89" s="68"/>
      <c r="BT89" s="68"/>
      <c r="BU89" s="68"/>
      <c r="BV89" s="68"/>
      <c r="BW89" s="68"/>
      <c r="BX89" s="68"/>
      <c r="BY89" s="68"/>
      <c r="BZ89" s="68"/>
      <c r="CA89" s="68"/>
      <c r="CB89" s="68"/>
    </row>
    <row r="90" spans="1:80" s="13" customFormat="1" ht="15" x14ac:dyDescent="0.2">
      <c r="A90" s="1"/>
      <c r="B90"/>
      <c r="C90"/>
      <c r="D90"/>
      <c r="E90"/>
      <c r="F90"/>
      <c r="G90" s="14"/>
      <c r="H90" s="14"/>
      <c r="I90" s="14"/>
      <c r="J90" s="14"/>
      <c r="K90" s="14"/>
      <c r="L90" s="14"/>
      <c r="M90" s="14"/>
      <c r="N90" s="68"/>
      <c r="O90" s="68"/>
      <c r="P90" s="68"/>
      <c r="Q90" s="14"/>
      <c r="R90" s="14"/>
      <c r="S90" s="14"/>
      <c r="T90" s="2"/>
      <c r="U90" s="2"/>
      <c r="V90" s="2"/>
      <c r="W90" s="155"/>
      <c r="X90" s="2"/>
      <c r="Y90" s="155"/>
      <c r="Z90" s="14"/>
      <c r="AA90" s="183"/>
      <c r="AB90" s="14"/>
      <c r="AC90" s="183"/>
      <c r="AD90" s="14"/>
      <c r="AE90" s="14"/>
      <c r="AF90" s="183"/>
      <c r="AG90" s="14"/>
      <c r="AH90" s="183"/>
      <c r="AI90" s="14"/>
      <c r="AJ90" s="183"/>
      <c r="AK90" s="14"/>
      <c r="AL90" s="183"/>
      <c r="AM90" s="14"/>
      <c r="AN90" s="183"/>
      <c r="AO90" s="14"/>
      <c r="AP90" s="183"/>
      <c r="AQ90" s="14"/>
      <c r="AR90" s="183"/>
      <c r="AS90" s="14"/>
      <c r="AT90" s="183"/>
      <c r="AU90" s="14"/>
      <c r="AV90" s="183"/>
      <c r="AW90" s="14"/>
      <c r="AX90" s="183"/>
      <c r="AY90" s="14"/>
      <c r="AZ90" s="183"/>
      <c r="BA90" s="14"/>
      <c r="BB90" s="183"/>
      <c r="BC90" s="68"/>
      <c r="BD90" s="92"/>
      <c r="BE90" s="68"/>
      <c r="BF90" s="68"/>
      <c r="BG90" s="68"/>
      <c r="BH90" s="68"/>
      <c r="BI90" s="68"/>
      <c r="BJ90" s="68"/>
      <c r="BK90" s="68"/>
      <c r="BL90" s="68"/>
      <c r="BM90" s="68"/>
      <c r="BN90" s="68"/>
      <c r="BO90" s="68"/>
      <c r="BP90" s="68"/>
      <c r="BQ90" s="68"/>
      <c r="BR90" s="68"/>
      <c r="BS90" s="68"/>
      <c r="BT90" s="68"/>
      <c r="BU90" s="68"/>
      <c r="BV90" s="68"/>
      <c r="BW90" s="68"/>
      <c r="BX90" s="68"/>
      <c r="BY90" s="68"/>
      <c r="BZ90" s="68"/>
      <c r="CA90" s="68"/>
      <c r="CB90" s="68"/>
    </row>
    <row r="91" spans="1:80" s="13" customFormat="1" ht="15" x14ac:dyDescent="0.2">
      <c r="A91" s="1"/>
      <c r="B91"/>
      <c r="C91"/>
      <c r="D91"/>
      <c r="E91"/>
      <c r="F91"/>
      <c r="G91" s="14"/>
      <c r="H91" s="14"/>
      <c r="I91" s="14"/>
      <c r="J91" s="14"/>
      <c r="K91" s="14"/>
      <c r="L91" s="14"/>
      <c r="M91" s="14"/>
      <c r="N91" s="68"/>
      <c r="O91" s="68"/>
      <c r="P91" s="68"/>
      <c r="Q91" s="14"/>
      <c r="R91" s="14"/>
      <c r="S91" s="14"/>
      <c r="T91" s="2"/>
      <c r="U91" s="2"/>
      <c r="V91" s="2"/>
      <c r="W91" s="155"/>
      <c r="X91" s="2"/>
      <c r="Y91" s="155"/>
      <c r="Z91" s="14"/>
      <c r="AA91" s="183"/>
      <c r="AB91" s="14"/>
      <c r="AC91" s="183"/>
      <c r="AD91" s="14"/>
      <c r="AE91" s="14"/>
      <c r="AF91" s="183"/>
      <c r="AG91" s="14"/>
      <c r="AH91" s="183"/>
      <c r="AI91" s="14"/>
      <c r="AJ91" s="183"/>
      <c r="AK91" s="14"/>
      <c r="AL91" s="183"/>
      <c r="AM91" s="14"/>
      <c r="AN91" s="183"/>
      <c r="AO91" s="14"/>
      <c r="AP91" s="183"/>
      <c r="AQ91" s="14"/>
      <c r="AR91" s="183"/>
      <c r="AS91" s="14"/>
      <c r="AT91" s="183"/>
      <c r="AU91" s="14"/>
      <c r="AV91" s="183"/>
      <c r="AW91" s="14"/>
      <c r="AX91" s="183"/>
      <c r="AY91" s="14"/>
      <c r="AZ91" s="183"/>
      <c r="BA91" s="14"/>
      <c r="BB91" s="183"/>
      <c r="BC91" s="68"/>
      <c r="BD91" s="92"/>
      <c r="BE91" s="68"/>
      <c r="BF91" s="68"/>
      <c r="BG91" s="68"/>
      <c r="BH91" s="68"/>
      <c r="BI91" s="68"/>
      <c r="BJ91" s="68"/>
      <c r="BK91" s="68"/>
      <c r="BL91" s="68"/>
      <c r="BM91" s="68"/>
      <c r="BN91" s="68"/>
      <c r="BO91" s="68"/>
      <c r="BP91" s="68"/>
      <c r="BQ91" s="68"/>
      <c r="BR91" s="68"/>
      <c r="BS91" s="68"/>
      <c r="BT91" s="68"/>
      <c r="BU91" s="68"/>
      <c r="BV91" s="68"/>
      <c r="BW91" s="68"/>
      <c r="BX91" s="68"/>
      <c r="BY91" s="68"/>
      <c r="BZ91" s="68"/>
      <c r="CA91" s="68"/>
      <c r="CB91" s="68"/>
    </row>
    <row r="92" spans="1:80" s="13" customFormat="1" ht="15" x14ac:dyDescent="0.2">
      <c r="A92" s="1"/>
      <c r="B92"/>
      <c r="C92"/>
      <c r="D92"/>
      <c r="E92"/>
      <c r="F92"/>
      <c r="G92" s="14"/>
      <c r="H92" s="14"/>
      <c r="I92" s="14"/>
      <c r="J92" s="14"/>
      <c r="K92" s="14"/>
      <c r="L92" s="14"/>
      <c r="M92" s="14"/>
      <c r="N92" s="68"/>
      <c r="O92" s="68"/>
      <c r="P92" s="68"/>
      <c r="Q92" s="14"/>
      <c r="R92" s="14"/>
      <c r="S92" s="14"/>
      <c r="T92" s="2"/>
      <c r="U92" s="2"/>
      <c r="V92" s="2"/>
      <c r="W92" s="155"/>
      <c r="X92" s="2"/>
      <c r="Y92" s="155"/>
      <c r="Z92" s="14"/>
      <c r="AA92" s="183"/>
      <c r="AB92" s="14"/>
      <c r="AC92" s="183"/>
      <c r="AD92" s="14"/>
      <c r="AE92" s="14"/>
      <c r="AF92" s="183"/>
      <c r="AG92" s="14"/>
      <c r="AH92" s="183"/>
      <c r="AI92" s="14"/>
      <c r="AJ92" s="183"/>
      <c r="AK92" s="14"/>
      <c r="AL92" s="183"/>
      <c r="AM92" s="14"/>
      <c r="AN92" s="183"/>
      <c r="AO92" s="14"/>
      <c r="AP92" s="183"/>
      <c r="AQ92" s="14"/>
      <c r="AR92" s="183"/>
      <c r="AS92" s="14"/>
      <c r="AT92" s="183"/>
      <c r="AU92" s="14"/>
      <c r="AV92" s="183"/>
      <c r="AW92" s="14"/>
      <c r="AX92" s="183"/>
      <c r="AY92" s="14"/>
      <c r="AZ92" s="183"/>
      <c r="BA92" s="14"/>
      <c r="BB92" s="183"/>
      <c r="BC92" s="68"/>
      <c r="BD92" s="92"/>
      <c r="BE92" s="68"/>
      <c r="BF92" s="68"/>
      <c r="BG92" s="68"/>
      <c r="BH92" s="68"/>
      <c r="BI92" s="68"/>
      <c r="BJ92" s="68"/>
      <c r="BK92" s="68"/>
      <c r="BL92" s="68"/>
      <c r="BM92" s="68"/>
      <c r="BN92" s="68"/>
      <c r="BO92" s="68"/>
      <c r="BP92" s="68"/>
      <c r="BQ92" s="68"/>
      <c r="BR92" s="68"/>
      <c r="BS92" s="68"/>
      <c r="BT92" s="68"/>
      <c r="BU92" s="68"/>
      <c r="BV92" s="68"/>
      <c r="BW92" s="68"/>
      <c r="BX92" s="68"/>
      <c r="BY92" s="68"/>
      <c r="BZ92" s="68"/>
      <c r="CA92" s="68"/>
      <c r="CB92" s="68"/>
    </row>
    <row r="93" spans="1:80" s="13" customFormat="1" ht="15" x14ac:dyDescent="0.2">
      <c r="A93" s="1"/>
      <c r="B93"/>
      <c r="C93"/>
      <c r="D93"/>
      <c r="E93"/>
      <c r="F93"/>
      <c r="G93" s="14"/>
      <c r="H93" s="14"/>
      <c r="I93" s="14"/>
      <c r="J93" s="14"/>
      <c r="K93" s="14"/>
      <c r="L93" s="14"/>
      <c r="M93" s="14"/>
      <c r="N93" s="68"/>
      <c r="O93" s="68"/>
      <c r="P93" s="68"/>
      <c r="Q93" s="14"/>
      <c r="R93" s="14"/>
      <c r="S93" s="14"/>
      <c r="T93" s="2"/>
      <c r="U93" s="2"/>
      <c r="V93" s="2"/>
      <c r="W93" s="155"/>
      <c r="X93" s="2"/>
      <c r="Y93" s="155"/>
      <c r="Z93" s="14"/>
      <c r="AA93" s="183"/>
      <c r="AB93" s="14"/>
      <c r="AC93" s="183"/>
      <c r="AD93" s="14"/>
      <c r="AE93" s="14"/>
      <c r="AF93" s="183"/>
      <c r="AG93" s="14"/>
      <c r="AH93" s="183"/>
      <c r="AI93" s="14"/>
      <c r="AJ93" s="183"/>
      <c r="AK93" s="14"/>
      <c r="AL93" s="183"/>
      <c r="AM93" s="14"/>
      <c r="AN93" s="183"/>
      <c r="AO93" s="14"/>
      <c r="AP93" s="183"/>
      <c r="AQ93" s="14"/>
      <c r="AR93" s="183"/>
      <c r="AS93" s="14"/>
      <c r="AT93" s="183"/>
      <c r="AU93" s="14"/>
      <c r="AV93" s="183"/>
      <c r="AW93" s="14"/>
      <c r="AX93" s="183"/>
      <c r="AY93" s="14"/>
      <c r="AZ93" s="183"/>
      <c r="BA93" s="14"/>
      <c r="BB93" s="183"/>
      <c r="BC93" s="68"/>
      <c r="BD93" s="92"/>
      <c r="BE93" s="68"/>
      <c r="BF93" s="68"/>
      <c r="BG93" s="68"/>
      <c r="BH93" s="68"/>
      <c r="BI93" s="68"/>
      <c r="BJ93" s="68"/>
      <c r="BK93" s="68"/>
      <c r="BL93" s="68"/>
      <c r="BM93" s="68"/>
      <c r="BN93" s="68"/>
      <c r="BO93" s="68"/>
      <c r="BP93" s="68"/>
      <c r="BQ93" s="68"/>
      <c r="BR93" s="68"/>
      <c r="BS93" s="68"/>
      <c r="BT93" s="68"/>
      <c r="BU93" s="68"/>
      <c r="BV93" s="68"/>
      <c r="BW93" s="68"/>
      <c r="BX93" s="68"/>
      <c r="BY93" s="68"/>
      <c r="BZ93" s="68"/>
      <c r="CA93" s="68"/>
      <c r="CB93" s="68"/>
    </row>
    <row r="94" spans="1:80" s="13" customFormat="1" ht="15" x14ac:dyDescent="0.2">
      <c r="A94" s="1"/>
      <c r="B94"/>
      <c r="C94"/>
      <c r="D94"/>
      <c r="E94"/>
      <c r="F94"/>
      <c r="G94" s="14"/>
      <c r="H94" s="14"/>
      <c r="I94" s="14"/>
      <c r="J94" s="14"/>
      <c r="K94" s="14"/>
      <c r="L94" s="14"/>
      <c r="M94" s="14"/>
      <c r="N94" s="68"/>
      <c r="O94" s="68"/>
      <c r="P94" s="68"/>
      <c r="Q94" s="14"/>
      <c r="R94" s="14"/>
      <c r="S94" s="14"/>
      <c r="T94" s="2"/>
      <c r="U94" s="2"/>
      <c r="V94" s="2"/>
      <c r="W94" s="155"/>
      <c r="X94" s="2"/>
      <c r="Y94" s="155"/>
      <c r="Z94" s="14"/>
      <c r="AA94" s="183"/>
      <c r="AB94" s="14"/>
      <c r="AC94" s="183"/>
      <c r="AD94" s="14"/>
      <c r="AE94" s="14"/>
      <c r="AF94" s="183"/>
      <c r="AG94" s="14"/>
      <c r="AH94" s="183"/>
      <c r="AI94" s="14"/>
      <c r="AJ94" s="183"/>
      <c r="AK94" s="14"/>
      <c r="AL94" s="183"/>
      <c r="AM94" s="14"/>
      <c r="AN94" s="183"/>
      <c r="AO94" s="14"/>
      <c r="AP94" s="183"/>
      <c r="AQ94" s="14"/>
      <c r="AR94" s="183"/>
      <c r="AS94" s="14"/>
      <c r="AT94" s="183"/>
      <c r="AU94" s="14"/>
      <c r="AV94" s="183"/>
      <c r="AW94" s="14"/>
      <c r="AX94" s="183"/>
      <c r="AY94" s="14"/>
      <c r="AZ94" s="183"/>
      <c r="BA94" s="14"/>
      <c r="BB94" s="183"/>
      <c r="BC94" s="68"/>
      <c r="BD94" s="92"/>
      <c r="BE94" s="68"/>
      <c r="BF94" s="68"/>
      <c r="BG94" s="68"/>
      <c r="BH94" s="68"/>
      <c r="BI94" s="68"/>
      <c r="BJ94" s="68"/>
      <c r="BK94" s="68"/>
      <c r="BL94" s="68"/>
      <c r="BM94" s="68"/>
      <c r="BN94" s="68"/>
      <c r="BO94" s="68"/>
      <c r="BP94" s="68"/>
      <c r="BQ94" s="68"/>
      <c r="BR94" s="68"/>
      <c r="BS94" s="68"/>
      <c r="BT94" s="68"/>
      <c r="BU94" s="68"/>
      <c r="BV94" s="68"/>
      <c r="BW94" s="68"/>
      <c r="BX94" s="68"/>
      <c r="BY94" s="68"/>
      <c r="BZ94" s="68"/>
      <c r="CA94" s="68"/>
      <c r="CB94" s="68"/>
    </row>
    <row r="95" spans="1:80" s="13" customFormat="1" ht="15" x14ac:dyDescent="0.2">
      <c r="A95" s="1"/>
      <c r="B95"/>
      <c r="C95"/>
      <c r="D95"/>
      <c r="E95"/>
      <c r="F95"/>
      <c r="G95" s="14"/>
      <c r="H95" s="14"/>
      <c r="I95" s="14"/>
      <c r="J95" s="14"/>
      <c r="K95" s="14"/>
      <c r="L95" s="14"/>
      <c r="M95" s="14"/>
      <c r="N95" s="68"/>
      <c r="O95" s="68"/>
      <c r="P95" s="68"/>
      <c r="Q95" s="14"/>
      <c r="R95" s="14"/>
      <c r="S95" s="14"/>
      <c r="T95" s="2"/>
      <c r="U95" s="2"/>
      <c r="V95" s="2"/>
      <c r="W95" s="155"/>
      <c r="X95" s="2"/>
      <c r="Y95" s="155"/>
      <c r="Z95" s="14"/>
      <c r="AA95" s="183"/>
      <c r="AB95" s="14"/>
      <c r="AC95" s="183"/>
      <c r="AD95" s="14"/>
      <c r="AE95" s="14"/>
      <c r="AF95" s="183"/>
      <c r="AG95" s="14"/>
      <c r="AH95" s="183"/>
      <c r="AI95" s="14"/>
      <c r="AJ95" s="183"/>
      <c r="AK95" s="14"/>
      <c r="AL95" s="183"/>
      <c r="AM95" s="14"/>
      <c r="AN95" s="183"/>
      <c r="AO95" s="14"/>
      <c r="AP95" s="183"/>
      <c r="AQ95" s="14"/>
      <c r="AR95" s="183"/>
      <c r="AS95" s="14"/>
      <c r="AT95" s="183"/>
      <c r="AU95" s="14"/>
      <c r="AV95" s="183"/>
      <c r="AW95" s="14"/>
      <c r="AX95" s="183"/>
      <c r="AY95" s="14"/>
      <c r="AZ95" s="183"/>
      <c r="BA95" s="14"/>
      <c r="BB95" s="183"/>
      <c r="BC95" s="68"/>
      <c r="BD95" s="92"/>
      <c r="BE95" s="68"/>
      <c r="BF95" s="68"/>
      <c r="BG95" s="68"/>
      <c r="BH95" s="68"/>
      <c r="BI95" s="68"/>
      <c r="BJ95" s="68"/>
      <c r="BK95" s="68"/>
      <c r="BL95" s="68"/>
      <c r="BM95" s="68"/>
      <c r="BN95" s="68"/>
      <c r="BO95" s="68"/>
      <c r="BP95" s="68"/>
      <c r="BQ95" s="68"/>
      <c r="BR95" s="68"/>
      <c r="BS95" s="68"/>
      <c r="BT95" s="68"/>
      <c r="BU95" s="68"/>
      <c r="BV95" s="68"/>
      <c r="BW95" s="68"/>
      <c r="BX95" s="68"/>
      <c r="BY95" s="68"/>
      <c r="BZ95" s="68"/>
      <c r="CA95" s="68"/>
      <c r="CB95" s="68"/>
    </row>
    <row r="96" spans="1:80" s="13" customFormat="1" ht="15" x14ac:dyDescent="0.2">
      <c r="A96" s="1"/>
      <c r="B96"/>
      <c r="C96"/>
      <c r="D96"/>
      <c r="E96"/>
      <c r="F96"/>
      <c r="G96" s="14"/>
      <c r="H96" s="14"/>
      <c r="I96" s="14"/>
      <c r="J96" s="14"/>
      <c r="K96" s="14"/>
      <c r="L96" s="14"/>
      <c r="M96" s="14"/>
      <c r="N96" s="68"/>
      <c r="O96" s="68"/>
      <c r="P96" s="68"/>
      <c r="Q96" s="14"/>
      <c r="R96" s="14"/>
      <c r="S96" s="14"/>
      <c r="T96" s="2"/>
      <c r="U96" s="2"/>
      <c r="V96" s="2"/>
      <c r="W96" s="155"/>
      <c r="X96" s="2"/>
      <c r="Y96" s="155"/>
      <c r="Z96" s="14"/>
      <c r="AA96" s="183"/>
      <c r="AB96" s="14"/>
      <c r="AC96" s="183"/>
      <c r="AD96" s="14"/>
      <c r="AE96" s="14"/>
      <c r="AF96" s="183"/>
      <c r="AG96" s="14"/>
      <c r="AH96" s="183"/>
      <c r="AI96" s="14"/>
      <c r="AJ96" s="183"/>
      <c r="AK96" s="14"/>
      <c r="AL96" s="183"/>
      <c r="AM96" s="14"/>
      <c r="AN96" s="183"/>
      <c r="AO96" s="14"/>
      <c r="AP96" s="183"/>
      <c r="AQ96" s="14"/>
      <c r="AR96" s="183"/>
      <c r="AS96" s="14"/>
      <c r="AT96" s="183"/>
      <c r="AU96" s="14"/>
      <c r="AV96" s="183"/>
      <c r="AW96" s="14"/>
      <c r="AX96" s="183"/>
      <c r="AY96" s="14"/>
      <c r="AZ96" s="183"/>
      <c r="BA96" s="14"/>
      <c r="BB96" s="183"/>
      <c r="BC96" s="68"/>
      <c r="BD96" s="92"/>
      <c r="BE96" s="68"/>
      <c r="BF96" s="68"/>
      <c r="BG96" s="68"/>
      <c r="BH96" s="68"/>
      <c r="BI96" s="68"/>
      <c r="BJ96" s="68"/>
      <c r="BK96" s="68"/>
      <c r="BL96" s="68"/>
      <c r="BM96" s="68"/>
      <c r="BN96" s="68"/>
      <c r="BO96" s="68"/>
      <c r="BP96" s="68"/>
      <c r="BQ96" s="68"/>
      <c r="BR96" s="68"/>
      <c r="BS96" s="68"/>
      <c r="BT96" s="68"/>
      <c r="BU96" s="68"/>
      <c r="BV96" s="68"/>
      <c r="BW96" s="68"/>
      <c r="BX96" s="68"/>
      <c r="BY96" s="68"/>
      <c r="BZ96" s="68"/>
      <c r="CA96" s="68"/>
      <c r="CB96" s="68"/>
    </row>
    <row r="97" spans="1:80" s="13" customFormat="1" ht="15" x14ac:dyDescent="0.2">
      <c r="A97" s="1"/>
      <c r="B97"/>
      <c r="C97"/>
      <c r="D97"/>
      <c r="E97"/>
      <c r="F97"/>
      <c r="G97" s="14"/>
      <c r="H97" s="14"/>
      <c r="I97" s="14"/>
      <c r="J97" s="14"/>
      <c r="K97" s="14"/>
      <c r="L97" s="14"/>
      <c r="M97" s="14"/>
      <c r="N97" s="68"/>
      <c r="O97" s="68"/>
      <c r="P97" s="68"/>
      <c r="Q97" s="14"/>
      <c r="R97" s="14"/>
      <c r="S97" s="14"/>
      <c r="T97" s="2"/>
      <c r="U97" s="2"/>
      <c r="V97" s="2"/>
      <c r="W97" s="155"/>
      <c r="X97" s="2"/>
      <c r="Y97" s="155"/>
      <c r="Z97" s="14"/>
      <c r="AA97" s="183"/>
      <c r="AB97" s="14"/>
      <c r="AC97" s="183"/>
      <c r="AD97" s="14"/>
      <c r="AE97" s="14"/>
      <c r="AF97" s="183"/>
      <c r="AG97" s="14"/>
      <c r="AH97" s="183"/>
      <c r="AI97" s="14"/>
      <c r="AJ97" s="183"/>
      <c r="AK97" s="14"/>
      <c r="AL97" s="183"/>
      <c r="AM97" s="14"/>
      <c r="AN97" s="183"/>
      <c r="AO97" s="14"/>
      <c r="AP97" s="183"/>
      <c r="AQ97" s="14"/>
      <c r="AR97" s="183"/>
      <c r="AS97" s="14"/>
      <c r="AT97" s="183"/>
      <c r="AU97" s="14"/>
      <c r="AV97" s="183"/>
      <c r="AW97" s="14"/>
      <c r="AX97" s="183"/>
      <c r="AY97" s="14"/>
      <c r="AZ97" s="183"/>
      <c r="BA97" s="14"/>
      <c r="BB97" s="183"/>
      <c r="BC97" s="68"/>
      <c r="BD97" s="92"/>
      <c r="BE97" s="68"/>
      <c r="BF97" s="68"/>
      <c r="BG97" s="68"/>
      <c r="BH97" s="68"/>
      <c r="BI97" s="68"/>
      <c r="BJ97" s="68"/>
      <c r="BK97" s="68"/>
      <c r="BL97" s="68"/>
      <c r="BM97" s="68"/>
      <c r="BN97" s="68"/>
      <c r="BO97" s="68"/>
      <c r="BP97" s="68"/>
      <c r="BQ97" s="68"/>
      <c r="BR97" s="68"/>
      <c r="BS97" s="68"/>
      <c r="BT97" s="68"/>
      <c r="BU97" s="68"/>
      <c r="BV97" s="68"/>
      <c r="BW97" s="68"/>
      <c r="BX97" s="68"/>
      <c r="BY97" s="68"/>
      <c r="BZ97" s="68"/>
      <c r="CA97" s="68"/>
      <c r="CB97" s="68"/>
    </row>
    <row r="98" spans="1:80" s="13" customFormat="1" ht="15" x14ac:dyDescent="0.2">
      <c r="A98" s="1"/>
      <c r="B98"/>
      <c r="C98"/>
      <c r="D98"/>
      <c r="E98"/>
      <c r="F98"/>
      <c r="G98" s="14"/>
      <c r="H98" s="14"/>
      <c r="I98" s="14"/>
      <c r="J98" s="14"/>
      <c r="K98" s="14"/>
      <c r="L98" s="14"/>
      <c r="M98" s="14"/>
      <c r="N98" s="68"/>
      <c r="O98" s="68"/>
      <c r="P98" s="68"/>
      <c r="Q98" s="14"/>
      <c r="R98" s="14"/>
      <c r="S98" s="14"/>
      <c r="T98" s="2"/>
      <c r="U98" s="2"/>
      <c r="V98" s="2"/>
      <c r="W98" s="155"/>
      <c r="X98" s="2"/>
      <c r="Y98" s="155"/>
      <c r="Z98" s="14"/>
      <c r="AA98" s="183"/>
      <c r="AB98" s="14"/>
      <c r="AC98" s="183"/>
      <c r="AD98" s="14"/>
      <c r="AE98" s="14"/>
      <c r="AF98" s="183"/>
      <c r="AG98" s="14"/>
      <c r="AH98" s="183"/>
      <c r="AI98" s="14"/>
      <c r="AJ98" s="183"/>
      <c r="AK98" s="14"/>
      <c r="AL98" s="183"/>
      <c r="AM98" s="14"/>
      <c r="AN98" s="183"/>
      <c r="AO98" s="14"/>
      <c r="AP98" s="183"/>
      <c r="AQ98" s="14"/>
      <c r="AR98" s="183"/>
      <c r="AS98" s="14"/>
      <c r="AT98" s="183"/>
      <c r="AU98" s="14"/>
      <c r="AV98" s="183"/>
      <c r="AW98" s="14"/>
      <c r="AX98" s="183"/>
      <c r="AY98" s="14"/>
      <c r="AZ98" s="183"/>
      <c r="BA98" s="14"/>
      <c r="BB98" s="183"/>
      <c r="BC98" s="68"/>
      <c r="BD98" s="92"/>
      <c r="BE98" s="68"/>
      <c r="BF98" s="68"/>
      <c r="BG98" s="68"/>
      <c r="BH98" s="68"/>
      <c r="BI98" s="68"/>
      <c r="BJ98" s="68"/>
      <c r="BK98" s="68"/>
      <c r="BL98" s="68"/>
      <c r="BM98" s="68"/>
      <c r="BN98" s="68"/>
      <c r="BO98" s="68"/>
      <c r="BP98" s="68"/>
      <c r="BQ98" s="68"/>
      <c r="BR98" s="68"/>
      <c r="BS98" s="68"/>
      <c r="BT98" s="68"/>
      <c r="BU98" s="68"/>
      <c r="BV98" s="68"/>
      <c r="BW98" s="68"/>
      <c r="BX98" s="68"/>
      <c r="BY98" s="68"/>
      <c r="BZ98" s="68"/>
      <c r="CA98" s="68"/>
      <c r="CB98" s="68"/>
    </row>
    <row r="99" spans="1:80" s="13" customFormat="1" ht="15" x14ac:dyDescent="0.2">
      <c r="A99" s="1"/>
      <c r="B99"/>
      <c r="C99"/>
      <c r="D99"/>
      <c r="E99"/>
      <c r="F99"/>
      <c r="G99" s="14"/>
      <c r="H99" s="14"/>
      <c r="I99" s="14"/>
      <c r="J99" s="14"/>
      <c r="K99" s="14"/>
      <c r="L99" s="14"/>
      <c r="M99" s="14"/>
      <c r="N99" s="68"/>
      <c r="O99" s="68"/>
      <c r="P99" s="68"/>
      <c r="Q99" s="14"/>
      <c r="R99" s="14"/>
      <c r="S99" s="14"/>
      <c r="T99" s="2"/>
      <c r="U99" s="2"/>
      <c r="V99" s="2"/>
      <c r="W99" s="155"/>
      <c r="X99" s="2"/>
      <c r="Y99" s="155"/>
      <c r="Z99" s="14"/>
      <c r="AA99" s="183"/>
      <c r="AB99" s="14"/>
      <c r="AC99" s="183"/>
      <c r="AD99" s="14"/>
      <c r="AE99" s="14"/>
      <c r="AF99" s="183"/>
      <c r="AG99" s="14"/>
      <c r="AH99" s="183"/>
      <c r="AI99" s="14"/>
      <c r="AJ99" s="183"/>
      <c r="AK99" s="14"/>
      <c r="AL99" s="183"/>
      <c r="AM99" s="14"/>
      <c r="AN99" s="183"/>
      <c r="AO99" s="14"/>
      <c r="AP99" s="183"/>
      <c r="AQ99" s="14"/>
      <c r="AR99" s="183"/>
      <c r="AS99" s="14"/>
      <c r="AT99" s="183"/>
      <c r="AU99" s="14"/>
      <c r="AV99" s="183"/>
      <c r="AW99" s="14"/>
      <c r="AX99" s="183"/>
      <c r="AY99" s="14"/>
      <c r="AZ99" s="183"/>
      <c r="BA99" s="14"/>
      <c r="BB99" s="183"/>
      <c r="BC99" s="68"/>
      <c r="BD99" s="92"/>
      <c r="BE99" s="68"/>
      <c r="BF99" s="68"/>
      <c r="BG99" s="68"/>
      <c r="BH99" s="68"/>
      <c r="BI99" s="68"/>
      <c r="BJ99" s="68"/>
      <c r="BK99" s="68"/>
      <c r="BL99" s="68"/>
      <c r="BM99" s="68"/>
      <c r="BN99" s="68"/>
      <c r="BO99" s="68"/>
      <c r="BP99" s="68"/>
      <c r="BQ99" s="68"/>
      <c r="BR99" s="68"/>
      <c r="BS99" s="68"/>
      <c r="BT99" s="68"/>
      <c r="BU99" s="68"/>
      <c r="BV99" s="68"/>
      <c r="BW99" s="68"/>
      <c r="BX99" s="68"/>
      <c r="BY99" s="68"/>
      <c r="BZ99" s="68"/>
      <c r="CA99" s="68"/>
      <c r="CB99" s="68"/>
    </row>
    <row r="100" spans="1:80" s="13" customFormat="1" ht="15" x14ac:dyDescent="0.2">
      <c r="A100" s="1"/>
      <c r="B100"/>
      <c r="C100"/>
      <c r="D100"/>
      <c r="E100"/>
      <c r="F100"/>
      <c r="G100" s="14"/>
      <c r="H100" s="14"/>
      <c r="I100" s="14"/>
      <c r="J100" s="14"/>
      <c r="K100" s="14"/>
      <c r="L100" s="14"/>
      <c r="M100" s="14"/>
      <c r="N100" s="68"/>
      <c r="O100" s="68"/>
      <c r="P100" s="68"/>
      <c r="Q100" s="14"/>
      <c r="R100" s="14"/>
      <c r="S100" s="14"/>
      <c r="T100" s="2"/>
      <c r="U100" s="2"/>
      <c r="V100" s="2"/>
      <c r="W100" s="155"/>
      <c r="X100" s="2"/>
      <c r="Y100" s="155"/>
      <c r="Z100" s="14"/>
      <c r="AA100" s="183"/>
      <c r="AB100" s="14"/>
      <c r="AC100" s="183"/>
      <c r="AD100" s="14"/>
      <c r="AE100" s="14"/>
      <c r="AF100" s="183"/>
      <c r="AG100" s="14"/>
      <c r="AH100" s="183"/>
      <c r="AI100" s="14"/>
      <c r="AJ100" s="183"/>
      <c r="AK100" s="14"/>
      <c r="AL100" s="183"/>
      <c r="AM100" s="14"/>
      <c r="AN100" s="183"/>
      <c r="AO100" s="14"/>
      <c r="AP100" s="183"/>
      <c r="AQ100" s="14"/>
      <c r="AR100" s="183"/>
      <c r="AS100" s="14"/>
      <c r="AT100" s="183"/>
      <c r="AU100" s="14"/>
      <c r="AV100" s="183"/>
      <c r="AW100" s="14"/>
      <c r="AX100" s="183"/>
      <c r="AY100" s="14"/>
      <c r="AZ100" s="183"/>
      <c r="BA100" s="14"/>
      <c r="BB100" s="183"/>
      <c r="BC100" s="68"/>
      <c r="BD100" s="92"/>
      <c r="BE100" s="68"/>
      <c r="BF100" s="68"/>
      <c r="BG100" s="68"/>
      <c r="BH100" s="68"/>
      <c r="BI100" s="68"/>
      <c r="BJ100" s="68"/>
      <c r="BK100" s="68"/>
      <c r="BL100" s="68"/>
      <c r="BM100" s="68"/>
      <c r="BN100" s="68"/>
      <c r="BO100" s="68"/>
      <c r="BP100" s="68"/>
      <c r="BQ100" s="68"/>
      <c r="BR100" s="68"/>
      <c r="BS100" s="68"/>
      <c r="BT100" s="68"/>
      <c r="BU100" s="68"/>
      <c r="BV100" s="68"/>
      <c r="BW100" s="68"/>
      <c r="BX100" s="68"/>
      <c r="BY100" s="68"/>
      <c r="BZ100" s="68"/>
      <c r="CA100" s="68"/>
      <c r="CB100" s="68"/>
    </row>
    <row r="101" spans="1:80" s="13" customFormat="1" ht="15" x14ac:dyDescent="0.2">
      <c r="A101" s="1"/>
      <c r="B101"/>
      <c r="C101"/>
      <c r="D101"/>
      <c r="E101"/>
      <c r="F101"/>
      <c r="G101" s="14"/>
      <c r="H101" s="14"/>
      <c r="I101" s="14"/>
      <c r="J101" s="14"/>
      <c r="K101" s="14"/>
      <c r="L101" s="14"/>
      <c r="M101" s="14"/>
      <c r="N101" s="68"/>
      <c r="O101" s="68"/>
      <c r="P101" s="68"/>
      <c r="Q101" s="14"/>
      <c r="R101" s="14"/>
      <c r="S101" s="14"/>
      <c r="T101" s="2"/>
      <c r="U101" s="2"/>
      <c r="V101" s="2"/>
      <c r="W101" s="155"/>
      <c r="X101" s="2"/>
      <c r="Y101" s="155"/>
      <c r="Z101" s="14"/>
      <c r="AA101" s="183"/>
      <c r="AB101" s="14"/>
      <c r="AC101" s="183"/>
      <c r="AD101" s="14"/>
      <c r="AE101" s="14"/>
      <c r="AF101" s="183"/>
      <c r="AG101" s="14"/>
      <c r="AH101" s="183"/>
      <c r="AI101" s="14"/>
      <c r="AJ101" s="183"/>
      <c r="AK101" s="14"/>
      <c r="AL101" s="183"/>
      <c r="AM101" s="14"/>
      <c r="AN101" s="183"/>
      <c r="AO101" s="14"/>
      <c r="AP101" s="183"/>
      <c r="AQ101" s="14"/>
      <c r="AR101" s="183"/>
      <c r="AS101" s="14"/>
      <c r="AT101" s="183"/>
      <c r="AU101" s="14"/>
      <c r="AV101" s="183"/>
      <c r="AW101" s="14"/>
      <c r="AX101" s="183"/>
      <c r="AY101" s="14"/>
      <c r="AZ101" s="183"/>
      <c r="BA101" s="14"/>
      <c r="BB101" s="183"/>
      <c r="BC101" s="68"/>
      <c r="BD101" s="92"/>
      <c r="BE101" s="68"/>
      <c r="BF101" s="68"/>
      <c r="BG101" s="68"/>
      <c r="BH101" s="68"/>
      <c r="BI101" s="68"/>
      <c r="BJ101" s="68"/>
      <c r="BK101" s="68"/>
      <c r="BL101" s="68"/>
      <c r="BM101" s="68"/>
      <c r="BN101" s="68"/>
      <c r="BO101" s="68"/>
      <c r="BP101" s="68"/>
      <c r="BQ101" s="68"/>
      <c r="BR101" s="68"/>
      <c r="BS101" s="68"/>
      <c r="BT101" s="68"/>
      <c r="BU101" s="68"/>
      <c r="BV101" s="68"/>
      <c r="BW101" s="68"/>
      <c r="BX101" s="68"/>
      <c r="BY101" s="68"/>
      <c r="BZ101" s="68"/>
      <c r="CA101" s="68"/>
      <c r="CB101" s="68"/>
    </row>
    <row r="102" spans="1:80" ht="15" customHeight="1" x14ac:dyDescent="0.2"/>
    <row r="103" spans="1:80" ht="15" customHeight="1" x14ac:dyDescent="0.2"/>
    <row r="104" spans="1:80" ht="15" customHeight="1" x14ac:dyDescent="0.2"/>
  </sheetData>
  <sheetProtection sheet="1" objects="1" scenarios="1"/>
  <mergeCells count="29">
    <mergeCell ref="V6:W6"/>
    <mergeCell ref="X6:Y6"/>
    <mergeCell ref="Z6:AA6"/>
    <mergeCell ref="AB6:AC6"/>
    <mergeCell ref="AE6:AF6"/>
    <mergeCell ref="AG6:AH6"/>
    <mergeCell ref="AI6:AJ6"/>
    <mergeCell ref="BM6:BN6"/>
    <mergeCell ref="AQ6:AR6"/>
    <mergeCell ref="AS6:AT6"/>
    <mergeCell ref="AU6:AV6"/>
    <mergeCell ref="AW6:AX6"/>
    <mergeCell ref="AY6:AZ6"/>
    <mergeCell ref="BA6:BB6"/>
    <mergeCell ref="BC6:BD6"/>
    <mergeCell ref="AK6:AL6"/>
    <mergeCell ref="AM6:AN6"/>
    <mergeCell ref="BI6:BJ6"/>
    <mergeCell ref="BK6:BL6"/>
    <mergeCell ref="AO6:AP6"/>
    <mergeCell ref="BE6:BF6"/>
    <mergeCell ref="BG6:BH6"/>
    <mergeCell ref="CA6:CB6"/>
    <mergeCell ref="BO6:BP6"/>
    <mergeCell ref="BQ6:BR6"/>
    <mergeCell ref="BS6:BT6"/>
    <mergeCell ref="BU6:BV6"/>
    <mergeCell ref="BW6:BX6"/>
    <mergeCell ref="BY6:BZ6"/>
  </mergeCells>
  <conditionalFormatting sqref="K7:K36">
    <cfRule type="expression" dxfId="21" priority="6">
      <formula>$L7="Horas devidas"</formula>
    </cfRule>
  </conditionalFormatting>
  <conditionalFormatting sqref="C7:P36">
    <cfRule type="expression" dxfId="20" priority="3">
      <formula>$C7=""</formula>
    </cfRule>
  </conditionalFormatting>
  <conditionalFormatting sqref="I7:I36">
    <cfRule type="expression" dxfId="19" priority="2">
      <formula>$J7="Horas devidas"</formula>
    </cfRule>
  </conditionalFormatting>
  <printOptions verticalCentered="1"/>
  <pageMargins left="0.25" right="0.25" top="0.984251969" bottom="0.984251969" header="0.3" footer="0.3"/>
  <pageSetup paperSize="9" scale="77" orientation="landscape"/>
  <drawing r:id="rId1"/>
  <extLst>
    <ext xmlns:x14="http://schemas.microsoft.com/office/spreadsheetml/2009/9/main" uri="{78C0D931-6437-407d-A8EE-F0AAD7539E65}">
      <x14:conditionalFormattings>
        <x14:conditionalFormatting xmlns:xm="http://schemas.microsoft.com/office/excel/2006/main">
          <x14:cfRule type="expression" priority="1" id="{BCD12819-8A94-4A4B-AAA5-52D1845714BB}">
            <xm:f>'P Gerais'!$I$10:$M$10="Sistema de banco de horas"</xm:f>
            <x14:dxf>
              <font>
                <color theme="0"/>
              </font>
              <fill>
                <patternFill>
                  <bgColor theme="0"/>
                </patternFill>
              </fill>
              <border>
                <left/>
                <right/>
                <top/>
                <bottom/>
              </border>
            </x14:dxf>
          </x14:cfRule>
          <xm:sqref>N6:P36</xm:sqref>
        </x14:conditionalFormatting>
      </x14:conditionalFormattings>
    </ext>
  </extLs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33" enableFormatConditionsCalculation="0"/>
  <dimension ref="A1:CA104"/>
  <sheetViews>
    <sheetView showGridLines="0" zoomScale="90" zoomScaleNormal="90" zoomScalePageLayoutView="90" workbookViewId="0"/>
  </sheetViews>
  <sheetFormatPr baseColWidth="10" defaultColWidth="0" defaultRowHeight="0" customHeight="1" zeroHeight="1" x14ac:dyDescent="0.2"/>
  <cols>
    <col min="1" max="1" width="27.83203125" style="1" customWidth="1"/>
    <col min="2" max="2" width="3.83203125" customWidth="1"/>
    <col min="3" max="3" width="6.83203125" customWidth="1"/>
    <col min="4" max="4" width="14.1640625" customWidth="1"/>
    <col min="5" max="5" width="17.1640625" customWidth="1"/>
    <col min="6" max="6" width="14.1640625" customWidth="1"/>
    <col min="7" max="8" width="14.1640625" style="14" customWidth="1"/>
    <col min="9" max="10" width="16.83203125" style="14" customWidth="1"/>
    <col min="11" max="11" width="16.1640625" style="14" customWidth="1"/>
    <col min="12" max="12" width="16.1640625" style="68" customWidth="1"/>
    <col min="13" max="13" width="18.33203125" style="68" customWidth="1"/>
    <col min="14" max="14" width="18" style="68" customWidth="1"/>
    <col min="15" max="15" width="12.83203125" style="32" bestFit="1" customWidth="1"/>
    <col min="16" max="16" width="12.83203125" style="32" customWidth="1"/>
    <col min="17" max="17" width="12.83203125" style="32" bestFit="1" customWidth="1"/>
    <col min="18" max="19" width="12.83203125" style="2" customWidth="1"/>
    <col min="20" max="20" width="12.83203125" style="2" bestFit="1" customWidth="1"/>
    <col min="21" max="21" width="14.1640625" style="2" bestFit="1" customWidth="1"/>
    <col min="22" max="22" width="12.83203125" style="155" bestFit="1" customWidth="1"/>
    <col min="23" max="23" width="12.83203125" style="2" bestFit="1" customWidth="1"/>
    <col min="24" max="24" width="12.83203125" style="155" bestFit="1" customWidth="1"/>
    <col min="25" max="25" width="8.83203125" style="2" customWidth="1"/>
    <col min="26" max="26" width="8.83203125" style="155" customWidth="1"/>
    <col min="27" max="27" width="8.83203125" style="2" customWidth="1"/>
    <col min="28" max="28" width="8.83203125" style="155" customWidth="1"/>
    <col min="29" max="29" width="8.83203125" style="2" customWidth="1"/>
    <col min="30" max="30" width="16.1640625" style="2" bestFit="1" customWidth="1"/>
    <col min="31" max="31" width="7.33203125" style="155" bestFit="1" customWidth="1"/>
    <col min="32" max="32" width="16.1640625" style="2" bestFit="1" customWidth="1"/>
    <col min="33" max="33" width="7.33203125" style="155" bestFit="1" customWidth="1"/>
    <col min="34" max="34" width="16.1640625" style="2" bestFit="1" customWidth="1"/>
    <col min="35" max="35" width="7.33203125" style="155" bestFit="1" customWidth="1"/>
    <col min="36" max="36" width="16.1640625" style="2" bestFit="1" customWidth="1"/>
    <col min="37" max="37" width="7.33203125" style="155" bestFit="1" customWidth="1"/>
    <col min="38" max="38" width="16.1640625" style="2" bestFit="1" customWidth="1"/>
    <col min="39" max="39" width="7.33203125" style="155" bestFit="1" customWidth="1"/>
    <col min="40" max="40" width="16.1640625" style="2" bestFit="1" customWidth="1"/>
    <col min="41" max="41" width="7.33203125" style="155" bestFit="1" customWidth="1"/>
    <col min="42" max="42" width="16.1640625" style="2" bestFit="1" customWidth="1"/>
    <col min="43" max="43" width="8.83203125" style="155" bestFit="1" customWidth="1"/>
    <col min="44" max="44" width="16.1640625" style="2" bestFit="1" customWidth="1"/>
    <col min="45" max="45" width="7.33203125" style="155" bestFit="1" customWidth="1"/>
    <col min="46" max="46" width="16.1640625" style="2" bestFit="1" customWidth="1"/>
    <col min="47" max="47" width="7.33203125" style="155" bestFit="1" customWidth="1"/>
    <col min="48" max="48" width="16.1640625" style="2" bestFit="1" customWidth="1"/>
    <col min="49" max="49" width="7.33203125" style="155" bestFit="1" customWidth="1"/>
    <col min="50" max="50" width="16.1640625" style="2" bestFit="1" customWidth="1"/>
    <col min="51" max="51" width="7.33203125" style="155" bestFit="1" customWidth="1"/>
    <col min="52" max="52" width="16.1640625" style="2" bestFit="1" customWidth="1"/>
    <col min="53" max="53" width="8.83203125" style="155" bestFit="1" customWidth="1"/>
    <col min="54" max="54" width="16.1640625" style="2" bestFit="1" customWidth="1"/>
    <col min="55" max="55" width="7.33203125" style="155" bestFit="1" customWidth="1"/>
    <col min="56" max="56" width="16.1640625" style="2" bestFit="1" customWidth="1"/>
    <col min="57" max="57" width="12" style="2" bestFit="1" customWidth="1"/>
    <col min="58" max="58" width="16.1640625" style="2" bestFit="1" customWidth="1"/>
    <col min="59" max="59" width="11.33203125" style="2" bestFit="1" customWidth="1"/>
    <col min="60" max="64" width="8.83203125" style="2" customWidth="1"/>
    <col min="65" max="78" width="8.83203125" style="14" customWidth="1"/>
    <col min="79" max="79" width="8.83203125" style="68" customWidth="1"/>
    <col min="80" max="16384" width="8.83203125" style="68" hidden="1"/>
  </cols>
  <sheetData>
    <row r="1" spans="1:79" s="67" customFormat="1" ht="33.75" customHeight="1" x14ac:dyDescent="0.3">
      <c r="A1" s="56"/>
      <c r="B1" s="3"/>
      <c r="C1" s="4" t="s">
        <v>70</v>
      </c>
      <c r="D1" s="3"/>
      <c r="E1" s="3"/>
      <c r="F1" s="3"/>
      <c r="G1" s="50"/>
      <c r="H1" s="50"/>
      <c r="I1" s="50"/>
      <c r="J1" s="50"/>
      <c r="K1" s="50"/>
      <c r="O1" s="33"/>
      <c r="P1" s="33"/>
      <c r="Q1" s="33"/>
      <c r="R1" s="15"/>
      <c r="S1" s="15"/>
      <c r="T1" s="15"/>
      <c r="U1" s="15"/>
      <c r="V1" s="162"/>
      <c r="W1" s="15"/>
      <c r="X1" s="162"/>
      <c r="Y1" s="15"/>
      <c r="Z1" s="162"/>
      <c r="AA1" s="15"/>
      <c r="AB1" s="162"/>
      <c r="AC1" s="15"/>
      <c r="AD1" s="15"/>
      <c r="AE1" s="162"/>
      <c r="AF1" s="15"/>
      <c r="AG1" s="162"/>
      <c r="AH1" s="15"/>
      <c r="AI1" s="162"/>
      <c r="AJ1" s="15"/>
      <c r="AK1" s="162"/>
      <c r="AL1" s="15"/>
      <c r="AM1" s="162"/>
      <c r="AN1" s="15"/>
      <c r="AO1" s="162"/>
      <c r="AP1" s="15"/>
      <c r="AQ1" s="162"/>
      <c r="AR1" s="15"/>
      <c r="AS1" s="162"/>
      <c r="AT1" s="15"/>
      <c r="AU1" s="162"/>
      <c r="AV1" s="15"/>
      <c r="AW1" s="162"/>
      <c r="AX1" s="15"/>
      <c r="AY1" s="162"/>
      <c r="AZ1" s="15"/>
      <c r="BA1" s="162"/>
      <c r="BB1" s="15"/>
      <c r="BC1" s="162"/>
      <c r="BD1" s="15"/>
      <c r="BE1" s="15"/>
      <c r="BF1" s="15"/>
      <c r="BG1" s="15"/>
      <c r="BH1" s="15"/>
      <c r="BI1" s="15"/>
      <c r="BJ1" s="15"/>
      <c r="BK1" s="15"/>
      <c r="BL1" s="15"/>
      <c r="BM1" s="50"/>
      <c r="BN1" s="50"/>
      <c r="BO1" s="50"/>
      <c r="BP1" s="50"/>
      <c r="BQ1" s="50"/>
      <c r="BR1" s="50"/>
      <c r="BS1" s="50"/>
      <c r="BT1" s="50"/>
      <c r="BU1" s="50"/>
      <c r="BV1" s="50"/>
      <c r="BW1" s="50"/>
      <c r="BX1" s="50"/>
      <c r="BY1" s="50"/>
      <c r="BZ1" s="50"/>
    </row>
    <row r="2" spans="1:79" s="67" customFormat="1" ht="21.5" customHeight="1" x14ac:dyDescent="0.2">
      <c r="A2" s="1"/>
      <c r="B2" s="3"/>
      <c r="C2" s="3"/>
      <c r="D2" s="3"/>
      <c r="E2" s="3"/>
      <c r="F2" s="3"/>
      <c r="G2" s="50"/>
      <c r="H2" s="50"/>
      <c r="I2" s="50"/>
      <c r="J2" s="50"/>
      <c r="K2" s="50"/>
      <c r="O2" s="33"/>
      <c r="P2" s="33"/>
      <c r="Q2" s="33"/>
      <c r="R2" s="15"/>
      <c r="S2" s="15"/>
      <c r="T2" s="15"/>
      <c r="U2" s="15"/>
      <c r="V2" s="162"/>
      <c r="W2" s="15"/>
      <c r="X2" s="162"/>
      <c r="Y2" s="15"/>
      <c r="Z2" s="162"/>
      <c r="AA2" s="15"/>
      <c r="AB2" s="162"/>
      <c r="AC2" s="15"/>
      <c r="AD2" s="15"/>
      <c r="AE2" s="162"/>
      <c r="AF2" s="15"/>
      <c r="AG2" s="162"/>
      <c r="AH2" s="15"/>
      <c r="AI2" s="162"/>
      <c r="AJ2" s="15"/>
      <c r="AK2" s="162"/>
      <c r="AL2" s="15"/>
      <c r="AM2" s="162"/>
      <c r="AN2" s="15"/>
      <c r="AO2" s="162"/>
      <c r="AP2" s="15"/>
      <c r="AQ2" s="162"/>
      <c r="AR2" s="15"/>
      <c r="AS2" s="162"/>
      <c r="AT2" s="15"/>
      <c r="AU2" s="162"/>
      <c r="AV2" s="15"/>
      <c r="AW2" s="162"/>
      <c r="AX2" s="15"/>
      <c r="AY2" s="162"/>
      <c r="AZ2" s="15"/>
      <c r="BA2" s="162"/>
      <c r="BB2" s="15"/>
      <c r="BC2" s="162"/>
      <c r="BD2" s="15"/>
      <c r="BE2" s="15"/>
      <c r="BF2" s="15"/>
      <c r="BG2" s="15"/>
      <c r="BH2" s="15"/>
      <c r="BI2" s="15"/>
      <c r="BJ2" s="15"/>
      <c r="BK2" s="15"/>
      <c r="BL2" s="15"/>
      <c r="BM2" s="50"/>
      <c r="BN2" s="50"/>
      <c r="BO2" s="50"/>
      <c r="BP2" s="50"/>
      <c r="BQ2" s="50"/>
      <c r="BR2" s="50"/>
      <c r="BS2" s="50"/>
      <c r="BT2" s="50"/>
      <c r="BU2" s="50"/>
      <c r="BV2" s="50"/>
      <c r="BW2" s="50"/>
      <c r="BX2" s="50"/>
      <c r="BY2" s="50"/>
      <c r="BZ2" s="50"/>
    </row>
    <row r="3" spans="1:79" s="67" customFormat="1" ht="21.5" customHeight="1" x14ac:dyDescent="0.2">
      <c r="A3" s="1"/>
      <c r="B3" s="3"/>
      <c r="C3" s="3"/>
      <c r="D3" s="3"/>
      <c r="E3" s="3"/>
      <c r="F3" s="3"/>
      <c r="G3" s="50"/>
      <c r="H3" s="50"/>
      <c r="I3" s="50"/>
      <c r="J3" s="50"/>
      <c r="K3" s="50"/>
      <c r="O3" s="33"/>
      <c r="P3" s="33"/>
      <c r="Q3" s="33"/>
      <c r="R3" s="15"/>
      <c r="S3" s="15"/>
      <c r="T3" s="15"/>
      <c r="U3" s="15"/>
      <c r="V3" s="162"/>
      <c r="W3" s="15"/>
      <c r="X3" s="162"/>
      <c r="Y3" s="15"/>
      <c r="Z3" s="162"/>
      <c r="AA3" s="15"/>
      <c r="AB3" s="162"/>
      <c r="AC3" s="15"/>
      <c r="AD3" s="15"/>
      <c r="AE3" s="162"/>
      <c r="AF3" s="15"/>
      <c r="AG3" s="162"/>
      <c r="AH3" s="15"/>
      <c r="AI3" s="162"/>
      <c r="AJ3" s="15"/>
      <c r="AK3" s="162"/>
      <c r="AL3" s="15"/>
      <c r="AM3" s="162"/>
      <c r="AN3" s="15"/>
      <c r="AO3" s="162"/>
      <c r="AP3" s="15"/>
      <c r="AQ3" s="162"/>
      <c r="AR3" s="15"/>
      <c r="AS3" s="162"/>
      <c r="AT3" s="15"/>
      <c r="AU3" s="162"/>
      <c r="AV3" s="15"/>
      <c r="AW3" s="162"/>
      <c r="AX3" s="15"/>
      <c r="AY3" s="162"/>
      <c r="AZ3" s="15"/>
      <c r="BA3" s="162"/>
      <c r="BB3" s="15"/>
      <c r="BC3" s="162"/>
      <c r="BD3" s="15"/>
      <c r="BE3" s="15"/>
      <c r="BF3" s="15"/>
      <c r="BG3" s="15"/>
      <c r="BH3" s="15"/>
      <c r="BI3" s="15"/>
      <c r="BJ3" s="15"/>
      <c r="BK3" s="15"/>
      <c r="BL3" s="15"/>
      <c r="BM3" s="50"/>
      <c r="BN3" s="50"/>
      <c r="BO3" s="50"/>
      <c r="BP3" s="50"/>
      <c r="BQ3" s="50"/>
      <c r="BR3" s="50"/>
      <c r="BS3" s="50"/>
      <c r="BT3" s="50"/>
      <c r="BU3" s="50"/>
      <c r="BV3" s="50"/>
      <c r="BW3" s="50"/>
      <c r="BX3" s="50"/>
      <c r="BY3" s="50"/>
      <c r="BZ3" s="50"/>
    </row>
    <row r="4" spans="1:79" ht="9.75" customHeight="1" x14ac:dyDescent="0.2">
      <c r="C4" s="13"/>
    </row>
    <row r="5" spans="1:79" ht="9.75" customHeight="1" thickBot="1" x14ac:dyDescent="0.25"/>
    <row r="6" spans="1:79" ht="30" customHeight="1" thickTop="1" thickBot="1" x14ac:dyDescent="0.25">
      <c r="C6" s="307" t="s">
        <v>243</v>
      </c>
      <c r="D6" s="308"/>
      <c r="E6" s="309"/>
      <c r="F6" s="310" t="s">
        <v>289</v>
      </c>
      <c r="G6" s="310"/>
      <c r="H6" s="311"/>
      <c r="I6" s="32"/>
      <c r="J6" s="32"/>
      <c r="K6" s="32"/>
    </row>
    <row r="7" spans="1:79" ht="8" customHeight="1" thickTop="1" x14ac:dyDescent="0.2">
      <c r="H7" s="32"/>
      <c r="I7" s="32"/>
      <c r="J7" s="32"/>
      <c r="K7" s="32"/>
    </row>
    <row r="8" spans="1:79" ht="30" customHeight="1" thickBot="1" x14ac:dyDescent="0.25">
      <c r="C8" s="83" t="s">
        <v>71</v>
      </c>
      <c r="D8" s="35" t="s">
        <v>149</v>
      </c>
      <c r="E8" s="35" t="s">
        <v>150</v>
      </c>
      <c r="F8" s="35" t="s">
        <v>151</v>
      </c>
      <c r="G8" s="35" t="s">
        <v>63</v>
      </c>
      <c r="H8" s="35" t="s">
        <v>62</v>
      </c>
      <c r="I8" s="35" t="s">
        <v>74</v>
      </c>
      <c r="J8" s="35" t="s">
        <v>73</v>
      </c>
      <c r="K8" s="35" t="s">
        <v>72</v>
      </c>
      <c r="L8" s="54" t="s">
        <v>152</v>
      </c>
      <c r="M8" s="54" t="s">
        <v>153</v>
      </c>
      <c r="N8" s="54" t="s">
        <v>154</v>
      </c>
      <c r="Q8" s="208"/>
      <c r="R8" s="2" t="s">
        <v>183</v>
      </c>
      <c r="S8" s="2" t="s">
        <v>244</v>
      </c>
      <c r="U8" s="305" t="s">
        <v>215</v>
      </c>
      <c r="V8" s="306"/>
      <c r="W8" s="305" t="s">
        <v>164</v>
      </c>
      <c r="X8" s="306"/>
      <c r="Y8" s="305" t="s">
        <v>217</v>
      </c>
      <c r="Z8" s="306"/>
      <c r="AA8" s="305" t="s">
        <v>220</v>
      </c>
      <c r="AB8" s="306"/>
      <c r="AC8" s="204"/>
      <c r="AD8" s="305" t="s">
        <v>75</v>
      </c>
      <c r="AE8" s="306"/>
      <c r="AF8" s="305" t="s">
        <v>76</v>
      </c>
      <c r="AG8" s="306"/>
      <c r="AH8" s="305" t="s">
        <v>77</v>
      </c>
      <c r="AI8" s="306"/>
      <c r="AJ8" s="305" t="s">
        <v>78</v>
      </c>
      <c r="AK8" s="306"/>
      <c r="AL8" s="305" t="s">
        <v>79</v>
      </c>
      <c r="AM8" s="306"/>
      <c r="AN8" s="305" t="s">
        <v>82</v>
      </c>
      <c r="AO8" s="306"/>
      <c r="AP8" s="305" t="s">
        <v>81</v>
      </c>
      <c r="AQ8" s="306"/>
      <c r="AR8" s="305" t="s">
        <v>80</v>
      </c>
      <c r="AS8" s="306"/>
      <c r="AT8" s="305" t="s">
        <v>146</v>
      </c>
      <c r="AU8" s="306"/>
      <c r="AV8" s="305" t="s">
        <v>147</v>
      </c>
      <c r="AW8" s="306"/>
      <c r="AX8" s="305" t="s">
        <v>84</v>
      </c>
      <c r="AY8" s="306"/>
      <c r="AZ8" s="305" t="s">
        <v>86</v>
      </c>
      <c r="BA8" s="306"/>
      <c r="BB8" s="305" t="s">
        <v>87</v>
      </c>
      <c r="BC8" s="306"/>
      <c r="BD8" s="305" t="s">
        <v>88</v>
      </c>
      <c r="BE8" s="305"/>
      <c r="BF8" s="305" t="s">
        <v>236</v>
      </c>
      <c r="BG8" s="305"/>
      <c r="BH8" s="305"/>
      <c r="BI8" s="305"/>
      <c r="BJ8" s="305"/>
      <c r="BK8" s="305"/>
      <c r="BL8" s="314"/>
      <c r="BM8" s="314"/>
      <c r="BN8" s="314"/>
      <c r="BO8" s="314"/>
      <c r="BP8" s="314"/>
      <c r="BQ8" s="314"/>
      <c r="BR8" s="314"/>
      <c r="BS8" s="314"/>
      <c r="BT8" s="314"/>
      <c r="BU8" s="314"/>
      <c r="BV8" s="314"/>
      <c r="BW8" s="314"/>
      <c r="BX8" s="314"/>
      <c r="BY8" s="314"/>
      <c r="BZ8" s="313"/>
      <c r="CA8" s="313"/>
    </row>
    <row r="9" spans="1:79" ht="30" customHeight="1" thickTop="1" thickBot="1" x14ac:dyDescent="0.25">
      <c r="C9" s="83" t="str">
        <f>UPPER(LEFT('P Gerais'!J6,3))</f>
        <v/>
      </c>
      <c r="D9" s="36" t="str">
        <f>IF(OR(E9=0,F6=0),"",K9/E9)</f>
        <v/>
      </c>
      <c r="E9" s="102">
        <f>IF(F6=0,"",IF(F6="Todas",SUM(Jornada!AF8:AF37),SUMIF(Jornada!$AG$8:$AG$37,$F$6,Jornada!$AF$8:$AF$37)))</f>
        <v>0</v>
      </c>
      <c r="F9" s="97">
        <f>IF(F6=0,"",IF(F6="Todas",SUM(V9:V38),SUMIF($S$9:$S$38,$F$6,$V$9:$V$38)))</f>
        <v>0</v>
      </c>
      <c r="G9" s="51">
        <f>IF(F6=0,"",IF(F6="Todas",SUM(X9:X38),SUMIF($S$9:$S$38,$F$6,$X$9:$X$38)))</f>
        <v>0</v>
      </c>
      <c r="H9" s="97">
        <f>IF(F6=0,"",IF(F6="Todas",SUM(Z9:Z38),SUMIF($S$9:$S$38,$F$6,$Z$9:$Z$38)))</f>
        <v>0</v>
      </c>
      <c r="I9" s="97">
        <f>IF(F6=0,"",IF(F6="Todas",SUM(AB9:AB38),SUMIF($S$9:$S$38,$F$6,$AB$9:$AB$38)))</f>
        <v>0</v>
      </c>
      <c r="J9" s="51">
        <f>IF(F6=0,"",IF(I9+G9-H9&lt;0,0,I9+G9-H9))</f>
        <v>0</v>
      </c>
      <c r="K9" s="52">
        <f>IF(F6=0,"",IF(F6="Todas",SUM(Funcionários!$E$7:$E$36),SUMIF(Funcionários!$D$7:$D$36,$F$6,Funcionários!$E$7:$E$36)))</f>
        <v>0</v>
      </c>
      <c r="L9" s="84">
        <f>IF(F6=0,"",IF(F6="Todas",SUM(BE9:BE38),SUMIF($S$9:$S$38,$F$6,$BE$9:$BE$38)))</f>
        <v>0</v>
      </c>
      <c r="M9" s="84" t="str">
        <f>IF(OR(F6=0,D9=""),"",(H9*24)*D9)</f>
        <v/>
      </c>
      <c r="N9" s="84" t="str">
        <f>IF(OR(F6=0,D9=""),"",K9+L9-M9)</f>
        <v/>
      </c>
      <c r="R9" s="2" t="str">
        <f>IF(Funcionários!C7=0,"",Funcionários!C7)</f>
        <v/>
      </c>
      <c r="S9" s="2" t="str">
        <f>IF(R9="","",VLOOKUP(R9,Funcionários!$C$7:$D$36,2,0))</f>
        <v/>
      </c>
      <c r="T9" s="2">
        <v>1</v>
      </c>
      <c r="U9" s="2" t="s">
        <v>214</v>
      </c>
      <c r="V9" s="163">
        <f ca="1">INDIRECT(U9)</f>
        <v>0</v>
      </c>
      <c r="W9" s="2" t="s">
        <v>288</v>
      </c>
      <c r="X9" s="163">
        <f ca="1">INDIRECT(W9)</f>
        <v>0</v>
      </c>
      <c r="Y9" s="2" t="s">
        <v>218</v>
      </c>
      <c r="Z9" s="163">
        <f ca="1">INDIRECT(Y9)</f>
        <v>0</v>
      </c>
      <c r="AA9" s="2" t="s">
        <v>219</v>
      </c>
      <c r="AB9" s="163">
        <f ca="1">INDIRECT(AA9)</f>
        <v>0</v>
      </c>
      <c r="AD9" s="2" t="s">
        <v>221</v>
      </c>
      <c r="AE9" s="163">
        <f t="shared" ref="AE9:AG24" ca="1" si="0">INDIRECT(AD9)</f>
        <v>0</v>
      </c>
      <c r="AF9" s="2" t="s">
        <v>222</v>
      </c>
      <c r="AG9" s="163">
        <f t="shared" ca="1" si="0"/>
        <v>0</v>
      </c>
      <c r="AH9" s="2" t="s">
        <v>223</v>
      </c>
      <c r="AI9" s="163">
        <f t="shared" ref="AI9:AI38" ca="1" si="1">INDIRECT(AH9)</f>
        <v>0</v>
      </c>
      <c r="AJ9" s="2" t="s">
        <v>224</v>
      </c>
      <c r="AK9" s="163">
        <f t="shared" ref="AK9:AK38" ca="1" si="2">INDIRECT(AJ9)</f>
        <v>0</v>
      </c>
      <c r="AL9" s="2" t="s">
        <v>225</v>
      </c>
      <c r="AM9" s="163">
        <f t="shared" ref="AM9:AM38" ca="1" si="3">INDIRECT(AL9)</f>
        <v>0</v>
      </c>
      <c r="AN9" s="2" t="s">
        <v>226</v>
      </c>
      <c r="AO9" s="163">
        <f t="shared" ref="AO9:AO38" ca="1" si="4">INDIRECT(AN9)</f>
        <v>0</v>
      </c>
      <c r="AP9" s="2" t="s">
        <v>227</v>
      </c>
      <c r="AQ9" s="163">
        <f t="shared" ref="AQ9:AQ38" ca="1" si="5">INDIRECT(AP9)</f>
        <v>0</v>
      </c>
      <c r="AR9" s="2" t="s">
        <v>228</v>
      </c>
      <c r="AS9" s="163">
        <f t="shared" ref="AS9:AS38" ca="1" si="6">INDIRECT(AR9)</f>
        <v>0</v>
      </c>
      <c r="AT9" s="2" t="s">
        <v>229</v>
      </c>
      <c r="AU9" s="163">
        <f t="shared" ref="AU9:AU38" ca="1" si="7">INDIRECT(AT9)</f>
        <v>0</v>
      </c>
      <c r="AV9" s="2" t="s">
        <v>231</v>
      </c>
      <c r="AW9" s="163">
        <f t="shared" ref="AW9:AW38" ca="1" si="8">INDIRECT(AV9)</f>
        <v>0</v>
      </c>
      <c r="AX9" s="2" t="s">
        <v>230</v>
      </c>
      <c r="AY9" s="163">
        <f t="shared" ref="AY9:AY38" ca="1" si="9">INDIRECT(AX9)</f>
        <v>0</v>
      </c>
      <c r="AZ9" s="2" t="s">
        <v>232</v>
      </c>
      <c r="BA9" s="163">
        <f t="shared" ref="BA9:BA38" ca="1" si="10">INDIRECT(AZ9)</f>
        <v>0</v>
      </c>
      <c r="BB9" s="2" t="s">
        <v>233</v>
      </c>
      <c r="BC9" s="163">
        <f t="shared" ref="BC9:BC38" ca="1" si="11">INDIRECT(BB9)</f>
        <v>0</v>
      </c>
      <c r="BD9" s="2" t="s">
        <v>234</v>
      </c>
      <c r="BE9" s="164">
        <f t="shared" ref="BE9:BG24" ca="1" si="12">INDIRECT(BD9)</f>
        <v>0</v>
      </c>
      <c r="BF9" s="2" t="s">
        <v>235</v>
      </c>
      <c r="BG9" s="164">
        <f t="shared" ca="1" si="12"/>
        <v>0</v>
      </c>
    </row>
    <row r="10" spans="1:79" ht="30" customHeight="1" thickTop="1" thickBot="1" x14ac:dyDescent="0.25">
      <c r="F10" s="2">
        <v>5</v>
      </c>
      <c r="G10" s="2">
        <f>F10+2</f>
        <v>7</v>
      </c>
      <c r="H10" s="2">
        <f>G10+2</f>
        <v>9</v>
      </c>
      <c r="I10" s="2">
        <f>H10+2</f>
        <v>11</v>
      </c>
      <c r="R10" s="2" t="str">
        <f>IF(Funcionários!C8=0,"",Funcionários!C8)</f>
        <v/>
      </c>
      <c r="S10" s="2" t="str">
        <f>IF(R10="","",VLOOKUP(R10,Funcionários!$C$7:$D$36,2,0))</f>
        <v/>
      </c>
      <c r="T10" s="2">
        <v>2</v>
      </c>
      <c r="U10" s="2" t="str">
        <f>"'Lanç ("&amp;T10&amp;")'!$U$8"</f>
        <v>'Lanç (2)'!$U$8</v>
      </c>
      <c r="V10" s="163">
        <f t="shared" ref="V10:X38" ca="1" si="13">INDIRECT(U10)</f>
        <v>0</v>
      </c>
      <c r="W10" s="2" t="str">
        <f t="shared" ref="W10:W38" si="14">"'Lanç ("&amp;$T10&amp;")'!$F$58"</f>
        <v>'Lanç (2)'!$F$58</v>
      </c>
      <c r="X10" s="163">
        <f t="shared" ca="1" si="13"/>
        <v>0</v>
      </c>
      <c r="Y10" s="2" t="str">
        <f t="shared" ref="Y10:Y38" si="15">"'Lanç ("&amp;$T10&amp;")'!$U$14"</f>
        <v>'Lanç (2)'!$U$14</v>
      </c>
      <c r="Z10" s="163">
        <f t="shared" ref="Z10:AB25" ca="1" si="16">INDIRECT(Y10)</f>
        <v>0</v>
      </c>
      <c r="AA10" s="2" t="str">
        <f>"'Lanç ("&amp;$T10&amp;")'!$K$5"</f>
        <v>'Lanç (2)'!$K$5</v>
      </c>
      <c r="AB10" s="163">
        <f t="shared" ca="1" si="16"/>
        <v>0</v>
      </c>
      <c r="AD10" s="2" t="str">
        <f>"'Lanç ("&amp;$T10&amp;")'!$F$41"</f>
        <v>'Lanç (2)'!$F$41</v>
      </c>
      <c r="AE10" s="163">
        <f t="shared" ca="1" si="0"/>
        <v>0</v>
      </c>
      <c r="AF10" s="2" t="str">
        <f>"'Lanç ("&amp;$T10&amp;")'!$F$42"</f>
        <v>'Lanç (2)'!$F$42</v>
      </c>
      <c r="AG10" s="163">
        <f t="shared" ca="1" si="0"/>
        <v>0</v>
      </c>
      <c r="AH10" s="2" t="str">
        <f>"'Lanç ("&amp;$T10&amp;")'!$F$43"</f>
        <v>'Lanç (2)'!$F$43</v>
      </c>
      <c r="AI10" s="163">
        <f t="shared" ca="1" si="1"/>
        <v>0</v>
      </c>
      <c r="AJ10" s="2" t="str">
        <f>"'Lanç ("&amp;$T10&amp;")'!$F$44"</f>
        <v>'Lanç (2)'!$F$44</v>
      </c>
      <c r="AK10" s="163">
        <f t="shared" ca="1" si="2"/>
        <v>0</v>
      </c>
      <c r="AL10" s="2" t="str">
        <f>"'Lanç ("&amp;$T10&amp;")'!$F$45"</f>
        <v>'Lanç (2)'!$F$45</v>
      </c>
      <c r="AM10" s="163">
        <f t="shared" ca="1" si="3"/>
        <v>0</v>
      </c>
      <c r="AN10" s="2" t="str">
        <f>"'Lanç ("&amp;$T10&amp;")'!$F$46"</f>
        <v>'Lanç (2)'!$F$46</v>
      </c>
      <c r="AO10" s="163">
        <f t="shared" ca="1" si="4"/>
        <v>0</v>
      </c>
      <c r="AP10" s="2" t="str">
        <f>"'Lanç ("&amp;$T10&amp;")'!$F$47"</f>
        <v>'Lanç (2)'!$F$47</v>
      </c>
      <c r="AQ10" s="163">
        <f t="shared" ca="1" si="5"/>
        <v>0</v>
      </c>
      <c r="AR10" s="2" t="str">
        <f>"'Lanç ("&amp;$T10&amp;")'!$F$48"</f>
        <v>'Lanç (2)'!$F$48</v>
      </c>
      <c r="AS10" s="163">
        <f t="shared" ca="1" si="6"/>
        <v>0</v>
      </c>
      <c r="AT10" s="2" t="str">
        <f>"'Lanç ("&amp;$T10&amp;")'!$F$49"</f>
        <v>'Lanç (2)'!$F$49</v>
      </c>
      <c r="AU10" s="163">
        <f t="shared" ca="1" si="7"/>
        <v>0</v>
      </c>
      <c r="AV10" s="2" t="str">
        <f>"'Lanç ("&amp;$T10&amp;")'!$F$51"</f>
        <v>'Lanç (2)'!$F$51</v>
      </c>
      <c r="AW10" s="163">
        <f t="shared" ca="1" si="8"/>
        <v>0</v>
      </c>
      <c r="AX10" s="2" t="str">
        <f>"'Lanç ("&amp;$T10&amp;")'!$F$50"</f>
        <v>'Lanç (2)'!$F$50</v>
      </c>
      <c r="AY10" s="163">
        <f t="shared" ca="1" si="9"/>
        <v>0</v>
      </c>
      <c r="AZ10" s="2" t="str">
        <f>"'Lanç ("&amp;$T10&amp;")'!$F$52"</f>
        <v>'Lanç (2)'!$F$52</v>
      </c>
      <c r="BA10" s="163">
        <f t="shared" ca="1" si="10"/>
        <v>0</v>
      </c>
      <c r="BB10" s="2" t="str">
        <f>"'Lanç ("&amp;$T10&amp;")'!$F$53"</f>
        <v>'Lanç (2)'!$F$53</v>
      </c>
      <c r="BC10" s="163">
        <f t="shared" ca="1" si="11"/>
        <v>0</v>
      </c>
      <c r="BD10" s="2" t="str">
        <f>"'Lanç ("&amp;$T10&amp;")'!$F$54"</f>
        <v>'Lanç (2)'!$F$54</v>
      </c>
      <c r="BE10" s="164">
        <f t="shared" ca="1" si="12"/>
        <v>0</v>
      </c>
      <c r="BF10" s="2" t="str">
        <f>"'Lanç ("&amp;$T10&amp;")'!$F$55"</f>
        <v>'Lanç (2)'!$F$55</v>
      </c>
      <c r="BG10" s="164">
        <f t="shared" ca="1" si="12"/>
        <v>0</v>
      </c>
    </row>
    <row r="11" spans="1:79" ht="30" customHeight="1" thickTop="1" thickBot="1" x14ac:dyDescent="0.4">
      <c r="C11" s="103" t="s">
        <v>237</v>
      </c>
      <c r="G11" s="68"/>
      <c r="H11" s="68"/>
      <c r="I11" s="68"/>
      <c r="J11" s="68"/>
      <c r="K11" s="68"/>
      <c r="R11" s="2" t="str">
        <f>IF(Funcionários!C9=0,"",Funcionários!C9)</f>
        <v/>
      </c>
      <c r="S11" s="2" t="str">
        <f>IF(R11="","",VLOOKUP(R11,Funcionários!$C$7:$D$36,2,0))</f>
        <v/>
      </c>
      <c r="T11" s="2">
        <v>3</v>
      </c>
      <c r="U11" s="2" t="str">
        <f t="shared" ref="U11:U38" si="17">"'Lanç ("&amp;T11&amp;")'!$U$8"</f>
        <v>'Lanç (3)'!$U$8</v>
      </c>
      <c r="V11" s="163">
        <f t="shared" ca="1" si="13"/>
        <v>0</v>
      </c>
      <c r="W11" s="2" t="str">
        <f t="shared" si="14"/>
        <v>'Lanç (3)'!$F$58</v>
      </c>
      <c r="X11" s="163">
        <f t="shared" ca="1" si="13"/>
        <v>0</v>
      </c>
      <c r="Y11" s="2" t="str">
        <f t="shared" si="15"/>
        <v>'Lanç (3)'!$U$14</v>
      </c>
      <c r="Z11" s="163">
        <f t="shared" ca="1" si="16"/>
        <v>0</v>
      </c>
      <c r="AA11" s="2" t="str">
        <f t="shared" ref="AA11:AA38" si="18">"'Lanç ("&amp;$T11&amp;")'!$K$5"</f>
        <v>'Lanç (3)'!$K$5</v>
      </c>
      <c r="AB11" s="163">
        <f t="shared" ca="1" si="16"/>
        <v>0</v>
      </c>
      <c r="AD11" s="2" t="str">
        <f t="shared" ref="AD11:AD38" si="19">"'Lanç ("&amp;$T11&amp;")'!$F$41"</f>
        <v>'Lanç (3)'!$F$41</v>
      </c>
      <c r="AE11" s="163">
        <f t="shared" ca="1" si="0"/>
        <v>0</v>
      </c>
      <c r="AF11" s="2" t="str">
        <f t="shared" ref="AF11:AF38" si="20">"'Lanç ("&amp;$T11&amp;")'!$F$42"</f>
        <v>'Lanç (3)'!$F$42</v>
      </c>
      <c r="AG11" s="163">
        <f t="shared" ca="1" si="0"/>
        <v>0</v>
      </c>
      <c r="AH11" s="2" t="str">
        <f t="shared" ref="AH11:AH38" si="21">"'Lanç ("&amp;$T11&amp;")'!$F$43"</f>
        <v>'Lanç (3)'!$F$43</v>
      </c>
      <c r="AI11" s="163">
        <f t="shared" ca="1" si="1"/>
        <v>0</v>
      </c>
      <c r="AJ11" s="2" t="str">
        <f t="shared" ref="AJ11:AJ38" si="22">"'Lanç ("&amp;$T11&amp;")'!$F$44"</f>
        <v>'Lanç (3)'!$F$44</v>
      </c>
      <c r="AK11" s="163">
        <f t="shared" ca="1" si="2"/>
        <v>0</v>
      </c>
      <c r="AL11" s="2" t="str">
        <f t="shared" ref="AL11:AL38" si="23">"'Lanç ("&amp;$T11&amp;")'!$F$45"</f>
        <v>'Lanç (3)'!$F$45</v>
      </c>
      <c r="AM11" s="163">
        <f t="shared" ca="1" si="3"/>
        <v>0</v>
      </c>
      <c r="AN11" s="2" t="str">
        <f t="shared" ref="AN11:AN38" si="24">"'Lanç ("&amp;$T11&amp;")'!$F$46"</f>
        <v>'Lanç (3)'!$F$46</v>
      </c>
      <c r="AO11" s="163">
        <f t="shared" ca="1" si="4"/>
        <v>0</v>
      </c>
      <c r="AP11" s="2" t="str">
        <f t="shared" ref="AP11:AP38" si="25">"'Lanç ("&amp;$T11&amp;")'!$F$47"</f>
        <v>'Lanç (3)'!$F$47</v>
      </c>
      <c r="AQ11" s="163">
        <f t="shared" ca="1" si="5"/>
        <v>0</v>
      </c>
      <c r="AR11" s="2" t="str">
        <f t="shared" ref="AR11:AR38" si="26">"'Lanç ("&amp;$T11&amp;")'!$F$48"</f>
        <v>'Lanç (3)'!$F$48</v>
      </c>
      <c r="AS11" s="163">
        <f t="shared" ca="1" si="6"/>
        <v>0</v>
      </c>
      <c r="AT11" s="2" t="str">
        <f t="shared" ref="AT11:AT38" si="27">"'Lanç ("&amp;$T11&amp;")'!$F$49"</f>
        <v>'Lanç (3)'!$F$49</v>
      </c>
      <c r="AU11" s="163">
        <f t="shared" ca="1" si="7"/>
        <v>0</v>
      </c>
      <c r="AV11" s="2" t="str">
        <f t="shared" ref="AV11:AV38" si="28">"'Lanç ("&amp;$T11&amp;")'!$F$51"</f>
        <v>'Lanç (3)'!$F$51</v>
      </c>
      <c r="AW11" s="163">
        <f t="shared" ca="1" si="8"/>
        <v>0</v>
      </c>
      <c r="AX11" s="2" t="str">
        <f t="shared" ref="AX11:AX38" si="29">"'Lanç ("&amp;$T11&amp;")'!$F$50"</f>
        <v>'Lanç (3)'!$F$50</v>
      </c>
      <c r="AY11" s="163">
        <f t="shared" ca="1" si="9"/>
        <v>0</v>
      </c>
      <c r="AZ11" s="2" t="str">
        <f t="shared" ref="AZ11:AZ38" si="30">"'Lanç ("&amp;$T11&amp;")'!$F$52"</f>
        <v>'Lanç (3)'!$F$52</v>
      </c>
      <c r="BA11" s="163">
        <f t="shared" ca="1" si="10"/>
        <v>0</v>
      </c>
      <c r="BB11" s="2" t="str">
        <f t="shared" ref="BB11:BB38" si="31">"'Lanç ("&amp;$T11&amp;")'!$F$53"</f>
        <v>'Lanç (3)'!$F$53</v>
      </c>
      <c r="BC11" s="163">
        <f t="shared" ca="1" si="11"/>
        <v>0</v>
      </c>
      <c r="BD11" s="2" t="str">
        <f t="shared" ref="BD11:BD38" si="32">"'Lanç ("&amp;$T11&amp;")'!$F$54"</f>
        <v>'Lanç (3)'!$F$54</v>
      </c>
      <c r="BE11" s="164">
        <f t="shared" ca="1" si="12"/>
        <v>0</v>
      </c>
      <c r="BF11" s="2" t="str">
        <f t="shared" ref="BF11:BF38" si="33">"'Lanç ("&amp;$T11&amp;")'!$F$55"</f>
        <v>'Lanç (3)'!$F$55</v>
      </c>
      <c r="BG11" s="164">
        <f t="shared" ca="1" si="12"/>
        <v>0</v>
      </c>
    </row>
    <row r="12" spans="1:79" ht="30" customHeight="1" thickTop="1" thickBot="1" x14ac:dyDescent="0.25">
      <c r="C12" s="303" t="s">
        <v>75</v>
      </c>
      <c r="D12" s="303"/>
      <c r="E12" s="303"/>
      <c r="F12" s="98">
        <f>IF($F$6=0,"",IF($F$6="Todas",SUM(AE$9:AE$38),SUMIF($S$9:$S$38,$F$6,$AE$9:$AE$38)))</f>
        <v>0</v>
      </c>
      <c r="G12" s="68"/>
      <c r="H12" s="303" t="s">
        <v>80</v>
      </c>
      <c r="I12" s="303"/>
      <c r="J12" s="303"/>
      <c r="K12" s="98">
        <f>IF($F$6=0,"",IF($F$6="Todas",SUM(AS$9:AS$38),SUMIF($S$9:$S$38,$F$6,$AS$9:$AS$38)))</f>
        <v>0</v>
      </c>
      <c r="R12" s="2" t="str">
        <f>IF(Funcionários!C10=0,"",Funcionários!C10)</f>
        <v/>
      </c>
      <c r="S12" s="2" t="str">
        <f>IF(R12="","",VLOOKUP(R12,Funcionários!$C$7:$D$36,2,0))</f>
        <v/>
      </c>
      <c r="T12" s="2">
        <v>4</v>
      </c>
      <c r="U12" s="2" t="str">
        <f t="shared" si="17"/>
        <v>'Lanç (4)'!$U$8</v>
      </c>
      <c r="V12" s="163">
        <f t="shared" ca="1" si="13"/>
        <v>0</v>
      </c>
      <c r="W12" s="2" t="str">
        <f t="shared" si="14"/>
        <v>'Lanç (4)'!$F$58</v>
      </c>
      <c r="X12" s="163">
        <f t="shared" ca="1" si="13"/>
        <v>0</v>
      </c>
      <c r="Y12" s="2" t="str">
        <f t="shared" si="15"/>
        <v>'Lanç (4)'!$U$14</v>
      </c>
      <c r="Z12" s="163">
        <f t="shared" ca="1" si="16"/>
        <v>0</v>
      </c>
      <c r="AA12" s="2" t="str">
        <f t="shared" si="18"/>
        <v>'Lanç (4)'!$K$5</v>
      </c>
      <c r="AB12" s="163">
        <f t="shared" ca="1" si="16"/>
        <v>0</v>
      </c>
      <c r="AD12" s="2" t="str">
        <f t="shared" si="19"/>
        <v>'Lanç (4)'!$F$41</v>
      </c>
      <c r="AE12" s="163">
        <f t="shared" ca="1" si="0"/>
        <v>0</v>
      </c>
      <c r="AF12" s="2" t="str">
        <f t="shared" si="20"/>
        <v>'Lanç (4)'!$F$42</v>
      </c>
      <c r="AG12" s="163">
        <f t="shared" ca="1" si="0"/>
        <v>0</v>
      </c>
      <c r="AH12" s="2" t="str">
        <f t="shared" si="21"/>
        <v>'Lanç (4)'!$F$43</v>
      </c>
      <c r="AI12" s="163">
        <f t="shared" ca="1" si="1"/>
        <v>0</v>
      </c>
      <c r="AJ12" s="2" t="str">
        <f t="shared" si="22"/>
        <v>'Lanç (4)'!$F$44</v>
      </c>
      <c r="AK12" s="163">
        <f t="shared" ca="1" si="2"/>
        <v>0</v>
      </c>
      <c r="AL12" s="2" t="str">
        <f t="shared" si="23"/>
        <v>'Lanç (4)'!$F$45</v>
      </c>
      <c r="AM12" s="163">
        <f t="shared" ca="1" si="3"/>
        <v>0</v>
      </c>
      <c r="AN12" s="2" t="str">
        <f t="shared" si="24"/>
        <v>'Lanç (4)'!$F$46</v>
      </c>
      <c r="AO12" s="163">
        <f t="shared" ca="1" si="4"/>
        <v>0</v>
      </c>
      <c r="AP12" s="2" t="str">
        <f t="shared" si="25"/>
        <v>'Lanç (4)'!$F$47</v>
      </c>
      <c r="AQ12" s="163">
        <f t="shared" ca="1" si="5"/>
        <v>0</v>
      </c>
      <c r="AR12" s="2" t="str">
        <f t="shared" si="26"/>
        <v>'Lanç (4)'!$F$48</v>
      </c>
      <c r="AS12" s="163">
        <f t="shared" ca="1" si="6"/>
        <v>0</v>
      </c>
      <c r="AT12" s="2" t="str">
        <f t="shared" si="27"/>
        <v>'Lanç (4)'!$F$49</v>
      </c>
      <c r="AU12" s="163">
        <f t="shared" ca="1" si="7"/>
        <v>0</v>
      </c>
      <c r="AV12" s="2" t="str">
        <f t="shared" si="28"/>
        <v>'Lanç (4)'!$F$51</v>
      </c>
      <c r="AW12" s="163">
        <f t="shared" ca="1" si="8"/>
        <v>0</v>
      </c>
      <c r="AX12" s="2" t="str">
        <f t="shared" si="29"/>
        <v>'Lanç (4)'!$F$50</v>
      </c>
      <c r="AY12" s="163">
        <f t="shared" ca="1" si="9"/>
        <v>0</v>
      </c>
      <c r="AZ12" s="2" t="str">
        <f t="shared" si="30"/>
        <v>'Lanç (4)'!$F$52</v>
      </c>
      <c r="BA12" s="163">
        <f t="shared" ca="1" si="10"/>
        <v>0</v>
      </c>
      <c r="BB12" s="2" t="str">
        <f t="shared" si="31"/>
        <v>'Lanç (4)'!$F$53</v>
      </c>
      <c r="BC12" s="163">
        <f t="shared" ca="1" si="11"/>
        <v>0</v>
      </c>
      <c r="BD12" s="2" t="str">
        <f t="shared" si="32"/>
        <v>'Lanç (4)'!$F$54</v>
      </c>
      <c r="BE12" s="164">
        <f t="shared" ca="1" si="12"/>
        <v>0</v>
      </c>
      <c r="BF12" s="2" t="str">
        <f t="shared" si="33"/>
        <v>'Lanç (4)'!$F$55</v>
      </c>
      <c r="BG12" s="164">
        <f t="shared" ca="1" si="12"/>
        <v>0</v>
      </c>
    </row>
    <row r="13" spans="1:79" ht="5" customHeight="1" thickTop="1" thickBot="1" x14ac:dyDescent="0.25">
      <c r="F13" s="99"/>
      <c r="G13" s="68"/>
      <c r="H13"/>
      <c r="I13"/>
      <c r="J13"/>
      <c r="K13" s="99"/>
      <c r="R13" s="2" t="str">
        <f>IF(Funcionários!C11=0,"",Funcionários!C11)</f>
        <v/>
      </c>
      <c r="S13" s="2" t="str">
        <f>IF(R13="","",VLOOKUP(R13,Funcionários!$C$7:$D$36,2,0))</f>
        <v/>
      </c>
      <c r="T13" s="2">
        <v>5</v>
      </c>
      <c r="U13" s="2" t="str">
        <f t="shared" si="17"/>
        <v>'Lanç (5)'!$U$8</v>
      </c>
      <c r="V13" s="163">
        <f t="shared" ca="1" si="13"/>
        <v>5.9374999999999982</v>
      </c>
      <c r="W13" s="2" t="str">
        <f t="shared" si="14"/>
        <v>'Lanç (5)'!$F$58</v>
      </c>
      <c r="X13" s="163">
        <f t="shared" ca="1" si="13"/>
        <v>5.9374999999999982</v>
      </c>
      <c r="Y13" s="2" t="str">
        <f t="shared" si="15"/>
        <v>'Lanç (5)'!$U$14</v>
      </c>
      <c r="Z13" s="163">
        <f t="shared" ca="1" si="16"/>
        <v>0</v>
      </c>
      <c r="AA13" s="2" t="str">
        <f t="shared" si="18"/>
        <v>'Lanç (5)'!$K$5</v>
      </c>
      <c r="AB13" s="163">
        <f t="shared" ca="1" si="16"/>
        <v>0</v>
      </c>
      <c r="AD13" s="2" t="str">
        <f t="shared" si="19"/>
        <v>'Lanç (5)'!$F$41</v>
      </c>
      <c r="AE13" s="163">
        <f t="shared" ca="1" si="0"/>
        <v>1.3888888888888884</v>
      </c>
      <c r="AF13" s="2" t="str">
        <f t="shared" si="20"/>
        <v>'Lanç (5)'!$F$42</v>
      </c>
      <c r="AG13" s="163">
        <f t="shared" ca="1" si="0"/>
        <v>1.4513888888888884</v>
      </c>
      <c r="AH13" s="2" t="str">
        <f t="shared" si="21"/>
        <v>'Lanç (5)'!$F$43</v>
      </c>
      <c r="AI13" s="163">
        <f t="shared" ca="1" si="1"/>
        <v>0.87499999999999978</v>
      </c>
      <c r="AJ13" s="2" t="str">
        <f t="shared" si="22"/>
        <v>'Lanç (5)'!$F$44</v>
      </c>
      <c r="AK13" s="163">
        <f t="shared" ca="1" si="2"/>
        <v>0</v>
      </c>
      <c r="AL13" s="2" t="str">
        <f t="shared" si="23"/>
        <v>'Lanç (5)'!$F$45</v>
      </c>
      <c r="AM13" s="163">
        <f t="shared" ca="1" si="3"/>
        <v>0</v>
      </c>
      <c r="AN13" s="2" t="str">
        <f t="shared" si="24"/>
        <v>'Lanç (5)'!$F$46</v>
      </c>
      <c r="AO13" s="163">
        <f t="shared" ca="1" si="4"/>
        <v>0.83333333333333304</v>
      </c>
      <c r="AP13" s="2" t="str">
        <f t="shared" si="25"/>
        <v>'Lanç (5)'!$F$47</v>
      </c>
      <c r="AQ13" s="163">
        <f t="shared" ca="1" si="5"/>
        <v>1.3888888888888884</v>
      </c>
      <c r="AR13" s="2" t="str">
        <f t="shared" si="26"/>
        <v>'Lanç (5)'!$F$48</v>
      </c>
      <c r="AS13" s="163">
        <f t="shared" ca="1" si="6"/>
        <v>0</v>
      </c>
      <c r="AT13" s="2" t="str">
        <f t="shared" si="27"/>
        <v>'Lanç (5)'!$F$49</v>
      </c>
      <c r="AU13" s="163">
        <f t="shared" ca="1" si="7"/>
        <v>0</v>
      </c>
      <c r="AV13" s="2" t="str">
        <f t="shared" si="28"/>
        <v>'Lanç (5)'!$F$51</v>
      </c>
      <c r="AW13" s="163">
        <f t="shared" ca="1" si="8"/>
        <v>0</v>
      </c>
      <c r="AX13" s="2" t="str">
        <f t="shared" si="29"/>
        <v>'Lanç (5)'!$F$50</v>
      </c>
      <c r="AY13" s="163">
        <f t="shared" ca="1" si="9"/>
        <v>0</v>
      </c>
      <c r="AZ13" s="2" t="str">
        <f t="shared" si="30"/>
        <v>'Lanç (5)'!$F$52</v>
      </c>
      <c r="BA13" s="163">
        <f t="shared" ca="1" si="10"/>
        <v>5.9374999999999982</v>
      </c>
      <c r="BB13" s="2" t="str">
        <f t="shared" si="31"/>
        <v>'Lanç (5)'!$F$53</v>
      </c>
      <c r="BC13" s="163">
        <f t="shared" ca="1" si="11"/>
        <v>0</v>
      </c>
      <c r="BD13" s="2" t="str">
        <f t="shared" si="32"/>
        <v>'Lanç (5)'!$F$54</v>
      </c>
      <c r="BE13" s="164">
        <f t="shared" ca="1" si="12"/>
        <v>0</v>
      </c>
      <c r="BF13" s="2" t="str">
        <f t="shared" si="33"/>
        <v>'Lanç (5)'!$F$55</v>
      </c>
      <c r="BG13" s="164">
        <f t="shared" ca="1" si="12"/>
        <v>0</v>
      </c>
    </row>
    <row r="14" spans="1:79" ht="30" customHeight="1" thickTop="1" thickBot="1" x14ac:dyDescent="0.25">
      <c r="C14" s="303" t="s">
        <v>76</v>
      </c>
      <c r="D14" s="303"/>
      <c r="E14" s="303"/>
      <c r="F14" s="98">
        <f>IF($F$6=0,"",IF($F$6="Todas",SUM(AG$9:AG$38),SUMIF($S$9:$S$38,$F$6,$AG$9:$AG$38)))</f>
        <v>0</v>
      </c>
      <c r="G14" s="68"/>
      <c r="H14" s="304" t="s">
        <v>146</v>
      </c>
      <c r="I14" s="304"/>
      <c r="J14" s="304"/>
      <c r="K14" s="98">
        <f>IF($F$6=0,"",IF($F$6="Todas",SUM(AU$9:AU$38),SUMIF($S$9:$S$38,$F$6,$AU$9:$AU$38)))</f>
        <v>0</v>
      </c>
      <c r="R14" s="2" t="str">
        <f>IF(Funcionários!C12=0,"",Funcionários!C12)</f>
        <v/>
      </c>
      <c r="S14" s="2" t="str">
        <f>IF(R14="","",VLOOKUP(R14,Funcionários!$C$7:$D$36,2,0))</f>
        <v/>
      </c>
      <c r="T14" s="2">
        <v>6</v>
      </c>
      <c r="U14" s="2" t="str">
        <f t="shared" si="17"/>
        <v>'Lanç (6)'!$U$8</v>
      </c>
      <c r="V14" s="163">
        <f t="shared" ca="1" si="13"/>
        <v>0</v>
      </c>
      <c r="W14" s="2" t="str">
        <f t="shared" si="14"/>
        <v>'Lanç (6)'!$F$58</v>
      </c>
      <c r="X14" s="163">
        <f t="shared" ca="1" si="13"/>
        <v>0</v>
      </c>
      <c r="Y14" s="2" t="str">
        <f t="shared" si="15"/>
        <v>'Lanç (6)'!$U$14</v>
      </c>
      <c r="Z14" s="163">
        <f t="shared" ca="1" si="16"/>
        <v>0</v>
      </c>
      <c r="AA14" s="2" t="str">
        <f t="shared" si="18"/>
        <v>'Lanç (6)'!$K$5</v>
      </c>
      <c r="AB14" s="163">
        <f t="shared" ca="1" si="16"/>
        <v>0</v>
      </c>
      <c r="AD14" s="2" t="str">
        <f t="shared" si="19"/>
        <v>'Lanç (6)'!$F$41</v>
      </c>
      <c r="AE14" s="163">
        <f t="shared" ca="1" si="0"/>
        <v>0</v>
      </c>
      <c r="AF14" s="2" t="str">
        <f t="shared" si="20"/>
        <v>'Lanç (6)'!$F$42</v>
      </c>
      <c r="AG14" s="163">
        <f t="shared" ca="1" si="0"/>
        <v>0</v>
      </c>
      <c r="AH14" s="2" t="str">
        <f t="shared" si="21"/>
        <v>'Lanç (6)'!$F$43</v>
      </c>
      <c r="AI14" s="163">
        <f t="shared" ca="1" si="1"/>
        <v>0</v>
      </c>
      <c r="AJ14" s="2" t="str">
        <f t="shared" si="22"/>
        <v>'Lanç (6)'!$F$44</v>
      </c>
      <c r="AK14" s="163">
        <f t="shared" ca="1" si="2"/>
        <v>0</v>
      </c>
      <c r="AL14" s="2" t="str">
        <f t="shared" si="23"/>
        <v>'Lanç (6)'!$F$45</v>
      </c>
      <c r="AM14" s="163">
        <f t="shared" ca="1" si="3"/>
        <v>0</v>
      </c>
      <c r="AN14" s="2" t="str">
        <f t="shared" si="24"/>
        <v>'Lanç (6)'!$F$46</v>
      </c>
      <c r="AO14" s="163">
        <f t="shared" ca="1" si="4"/>
        <v>0</v>
      </c>
      <c r="AP14" s="2" t="str">
        <f t="shared" si="25"/>
        <v>'Lanç (6)'!$F$47</v>
      </c>
      <c r="AQ14" s="163">
        <f t="shared" ca="1" si="5"/>
        <v>0</v>
      </c>
      <c r="AR14" s="2" t="str">
        <f t="shared" si="26"/>
        <v>'Lanç (6)'!$F$48</v>
      </c>
      <c r="AS14" s="163">
        <f t="shared" ca="1" si="6"/>
        <v>0</v>
      </c>
      <c r="AT14" s="2" t="str">
        <f t="shared" si="27"/>
        <v>'Lanç (6)'!$F$49</v>
      </c>
      <c r="AU14" s="163">
        <f t="shared" ca="1" si="7"/>
        <v>0</v>
      </c>
      <c r="AV14" s="2" t="str">
        <f t="shared" si="28"/>
        <v>'Lanç (6)'!$F$51</v>
      </c>
      <c r="AW14" s="163">
        <f t="shared" ca="1" si="8"/>
        <v>0</v>
      </c>
      <c r="AX14" s="2" t="str">
        <f t="shared" si="29"/>
        <v>'Lanç (6)'!$F$50</v>
      </c>
      <c r="AY14" s="163">
        <f t="shared" ca="1" si="9"/>
        <v>0</v>
      </c>
      <c r="AZ14" s="2" t="str">
        <f t="shared" si="30"/>
        <v>'Lanç (6)'!$F$52</v>
      </c>
      <c r="BA14" s="163">
        <f t="shared" ca="1" si="10"/>
        <v>0</v>
      </c>
      <c r="BB14" s="2" t="str">
        <f t="shared" si="31"/>
        <v>'Lanç (6)'!$F$53</v>
      </c>
      <c r="BC14" s="163">
        <f t="shared" ca="1" si="11"/>
        <v>0</v>
      </c>
      <c r="BD14" s="2" t="str">
        <f t="shared" si="32"/>
        <v>'Lanç (6)'!$F$54</v>
      </c>
      <c r="BE14" s="164">
        <f t="shared" ca="1" si="12"/>
        <v>0</v>
      </c>
      <c r="BF14" s="2" t="str">
        <f t="shared" si="33"/>
        <v>'Lanç (6)'!$F$55</v>
      </c>
      <c r="BG14" s="164">
        <f t="shared" ca="1" si="12"/>
        <v>0</v>
      </c>
    </row>
    <row r="15" spans="1:79" ht="5" customHeight="1" thickTop="1" thickBot="1" x14ac:dyDescent="0.25">
      <c r="F15" s="99"/>
      <c r="G15" s="68"/>
      <c r="H15"/>
      <c r="I15"/>
      <c r="J15"/>
      <c r="K15" s="99"/>
      <c r="R15" s="2" t="str">
        <f>IF(Funcionários!C13=0,"",Funcionários!C13)</f>
        <v/>
      </c>
      <c r="S15" s="2" t="str">
        <f>IF(R15="","",VLOOKUP(R15,Funcionários!$C$7:$D$36,2,0))</f>
        <v/>
      </c>
      <c r="T15" s="2">
        <v>7</v>
      </c>
      <c r="U15" s="2" t="str">
        <f t="shared" si="17"/>
        <v>'Lanç (7)'!$U$8</v>
      </c>
      <c r="V15" s="163">
        <f t="shared" ca="1" si="13"/>
        <v>0</v>
      </c>
      <c r="W15" s="2" t="str">
        <f t="shared" si="14"/>
        <v>'Lanç (7)'!$F$58</v>
      </c>
      <c r="X15" s="163">
        <f t="shared" ca="1" si="13"/>
        <v>0</v>
      </c>
      <c r="Y15" s="2" t="str">
        <f t="shared" si="15"/>
        <v>'Lanç (7)'!$U$14</v>
      </c>
      <c r="Z15" s="163">
        <f t="shared" ca="1" si="16"/>
        <v>0</v>
      </c>
      <c r="AA15" s="2" t="str">
        <f t="shared" si="18"/>
        <v>'Lanç (7)'!$K$5</v>
      </c>
      <c r="AB15" s="163">
        <f t="shared" ca="1" si="16"/>
        <v>0</v>
      </c>
      <c r="AD15" s="2" t="str">
        <f t="shared" si="19"/>
        <v>'Lanç (7)'!$F$41</v>
      </c>
      <c r="AE15" s="163">
        <f t="shared" ca="1" si="0"/>
        <v>0</v>
      </c>
      <c r="AF15" s="2" t="str">
        <f t="shared" si="20"/>
        <v>'Lanç (7)'!$F$42</v>
      </c>
      <c r="AG15" s="163">
        <f t="shared" ca="1" si="0"/>
        <v>0</v>
      </c>
      <c r="AH15" s="2" t="str">
        <f t="shared" si="21"/>
        <v>'Lanç (7)'!$F$43</v>
      </c>
      <c r="AI15" s="163">
        <f t="shared" ca="1" si="1"/>
        <v>0</v>
      </c>
      <c r="AJ15" s="2" t="str">
        <f t="shared" si="22"/>
        <v>'Lanç (7)'!$F$44</v>
      </c>
      <c r="AK15" s="163">
        <f t="shared" ca="1" si="2"/>
        <v>0</v>
      </c>
      <c r="AL15" s="2" t="str">
        <f t="shared" si="23"/>
        <v>'Lanç (7)'!$F$45</v>
      </c>
      <c r="AM15" s="163">
        <f t="shared" ca="1" si="3"/>
        <v>0</v>
      </c>
      <c r="AN15" s="2" t="str">
        <f t="shared" si="24"/>
        <v>'Lanç (7)'!$F$46</v>
      </c>
      <c r="AO15" s="163">
        <f t="shared" ca="1" si="4"/>
        <v>0</v>
      </c>
      <c r="AP15" s="2" t="str">
        <f t="shared" si="25"/>
        <v>'Lanç (7)'!$F$47</v>
      </c>
      <c r="AQ15" s="163">
        <f t="shared" ca="1" si="5"/>
        <v>0</v>
      </c>
      <c r="AR15" s="2" t="str">
        <f t="shared" si="26"/>
        <v>'Lanç (7)'!$F$48</v>
      </c>
      <c r="AS15" s="163">
        <f t="shared" ca="1" si="6"/>
        <v>0</v>
      </c>
      <c r="AT15" s="2" t="str">
        <f t="shared" si="27"/>
        <v>'Lanç (7)'!$F$49</v>
      </c>
      <c r="AU15" s="163">
        <f t="shared" ca="1" si="7"/>
        <v>0</v>
      </c>
      <c r="AV15" s="2" t="str">
        <f t="shared" si="28"/>
        <v>'Lanç (7)'!$F$51</v>
      </c>
      <c r="AW15" s="163">
        <f t="shared" ca="1" si="8"/>
        <v>0</v>
      </c>
      <c r="AX15" s="2" t="str">
        <f t="shared" si="29"/>
        <v>'Lanç (7)'!$F$50</v>
      </c>
      <c r="AY15" s="163">
        <f t="shared" ca="1" si="9"/>
        <v>0</v>
      </c>
      <c r="AZ15" s="2" t="str">
        <f t="shared" si="30"/>
        <v>'Lanç (7)'!$F$52</v>
      </c>
      <c r="BA15" s="163">
        <f t="shared" ca="1" si="10"/>
        <v>0</v>
      </c>
      <c r="BB15" s="2" t="str">
        <f t="shared" si="31"/>
        <v>'Lanç (7)'!$F$53</v>
      </c>
      <c r="BC15" s="163">
        <f t="shared" ca="1" si="11"/>
        <v>0</v>
      </c>
      <c r="BD15" s="2" t="str">
        <f t="shared" si="32"/>
        <v>'Lanç (7)'!$F$54</v>
      </c>
      <c r="BE15" s="164">
        <f t="shared" ca="1" si="12"/>
        <v>0</v>
      </c>
      <c r="BF15" s="2" t="str">
        <f t="shared" si="33"/>
        <v>'Lanç (7)'!$F$55</v>
      </c>
      <c r="BG15" s="164">
        <f t="shared" ca="1" si="12"/>
        <v>0</v>
      </c>
    </row>
    <row r="16" spans="1:79" ht="30" customHeight="1" thickTop="1" thickBot="1" x14ac:dyDescent="0.25">
      <c r="C16" s="303" t="s">
        <v>77</v>
      </c>
      <c r="D16" s="303"/>
      <c r="E16" s="303"/>
      <c r="F16" s="98">
        <f>IF($F$6=0,"",IF($F$6="Todas",SUM(AI$9:AI$38),SUMIF($S$9:$S$38,$F$6,$AI$9:$AI$38)))</f>
        <v>0</v>
      </c>
      <c r="G16" s="68"/>
      <c r="H16" s="303" t="s">
        <v>147</v>
      </c>
      <c r="I16" s="303"/>
      <c r="J16" s="303"/>
      <c r="K16" s="98">
        <f>IF($F$6=0,"",IF($F$6="Todas",SUM(AW$9:AW$38),SUMIF($S$9:$S$38,$F$6,$AW$9:$AW$38)))</f>
        <v>0</v>
      </c>
      <c r="R16" s="2" t="str">
        <f>IF(Funcionários!C14=0,"",Funcionários!C14)</f>
        <v/>
      </c>
      <c r="S16" s="2" t="str">
        <f>IF(R16="","",VLOOKUP(R16,Funcionários!$C$7:$D$36,2,0))</f>
        <v/>
      </c>
      <c r="T16" s="2">
        <v>8</v>
      </c>
      <c r="U16" s="2" t="str">
        <f t="shared" si="17"/>
        <v>'Lanç (8)'!$U$8</v>
      </c>
      <c r="V16" s="163">
        <f t="shared" ca="1" si="13"/>
        <v>0</v>
      </c>
      <c r="W16" s="2" t="str">
        <f t="shared" si="14"/>
        <v>'Lanç (8)'!$F$58</v>
      </c>
      <c r="X16" s="163">
        <f t="shared" ca="1" si="13"/>
        <v>0</v>
      </c>
      <c r="Y16" s="2" t="str">
        <f t="shared" si="15"/>
        <v>'Lanç (8)'!$U$14</v>
      </c>
      <c r="Z16" s="163">
        <f t="shared" ca="1" si="16"/>
        <v>0</v>
      </c>
      <c r="AA16" s="2" t="str">
        <f t="shared" si="18"/>
        <v>'Lanç (8)'!$K$5</v>
      </c>
      <c r="AB16" s="163">
        <f t="shared" ca="1" si="16"/>
        <v>0</v>
      </c>
      <c r="AD16" s="2" t="str">
        <f t="shared" si="19"/>
        <v>'Lanç (8)'!$F$41</v>
      </c>
      <c r="AE16" s="163">
        <f t="shared" ca="1" si="0"/>
        <v>0</v>
      </c>
      <c r="AF16" s="2" t="str">
        <f t="shared" si="20"/>
        <v>'Lanç (8)'!$F$42</v>
      </c>
      <c r="AG16" s="163">
        <f t="shared" ca="1" si="0"/>
        <v>0</v>
      </c>
      <c r="AH16" s="2" t="str">
        <f t="shared" si="21"/>
        <v>'Lanç (8)'!$F$43</v>
      </c>
      <c r="AI16" s="163">
        <f t="shared" ca="1" si="1"/>
        <v>0</v>
      </c>
      <c r="AJ16" s="2" t="str">
        <f t="shared" si="22"/>
        <v>'Lanç (8)'!$F$44</v>
      </c>
      <c r="AK16" s="163">
        <f t="shared" ca="1" si="2"/>
        <v>0</v>
      </c>
      <c r="AL16" s="2" t="str">
        <f t="shared" si="23"/>
        <v>'Lanç (8)'!$F$45</v>
      </c>
      <c r="AM16" s="163">
        <f t="shared" ca="1" si="3"/>
        <v>0</v>
      </c>
      <c r="AN16" s="2" t="str">
        <f t="shared" si="24"/>
        <v>'Lanç (8)'!$F$46</v>
      </c>
      <c r="AO16" s="163">
        <f t="shared" ca="1" si="4"/>
        <v>0</v>
      </c>
      <c r="AP16" s="2" t="str">
        <f t="shared" si="25"/>
        <v>'Lanç (8)'!$F$47</v>
      </c>
      <c r="AQ16" s="163">
        <f t="shared" ca="1" si="5"/>
        <v>0</v>
      </c>
      <c r="AR16" s="2" t="str">
        <f t="shared" si="26"/>
        <v>'Lanç (8)'!$F$48</v>
      </c>
      <c r="AS16" s="163">
        <f t="shared" ca="1" si="6"/>
        <v>0</v>
      </c>
      <c r="AT16" s="2" t="str">
        <f t="shared" si="27"/>
        <v>'Lanç (8)'!$F$49</v>
      </c>
      <c r="AU16" s="163">
        <f t="shared" ca="1" si="7"/>
        <v>0</v>
      </c>
      <c r="AV16" s="2" t="str">
        <f t="shared" si="28"/>
        <v>'Lanç (8)'!$F$51</v>
      </c>
      <c r="AW16" s="163">
        <f t="shared" ca="1" si="8"/>
        <v>0</v>
      </c>
      <c r="AX16" s="2" t="str">
        <f t="shared" si="29"/>
        <v>'Lanç (8)'!$F$50</v>
      </c>
      <c r="AY16" s="163">
        <f t="shared" ca="1" si="9"/>
        <v>0</v>
      </c>
      <c r="AZ16" s="2" t="str">
        <f t="shared" si="30"/>
        <v>'Lanç (8)'!$F$52</v>
      </c>
      <c r="BA16" s="163">
        <f t="shared" ca="1" si="10"/>
        <v>0</v>
      </c>
      <c r="BB16" s="2" t="str">
        <f t="shared" si="31"/>
        <v>'Lanç (8)'!$F$53</v>
      </c>
      <c r="BC16" s="163">
        <f t="shared" ca="1" si="11"/>
        <v>0</v>
      </c>
      <c r="BD16" s="2" t="str">
        <f t="shared" si="32"/>
        <v>'Lanç (8)'!$F$54</v>
      </c>
      <c r="BE16" s="164">
        <f t="shared" ca="1" si="12"/>
        <v>0</v>
      </c>
      <c r="BF16" s="2" t="str">
        <f t="shared" si="33"/>
        <v>'Lanç (8)'!$F$55</v>
      </c>
      <c r="BG16" s="164">
        <f t="shared" ca="1" si="12"/>
        <v>0</v>
      </c>
    </row>
    <row r="17" spans="3:59" ht="5" customHeight="1" thickTop="1" thickBot="1" x14ac:dyDescent="0.25">
      <c r="F17" s="99"/>
      <c r="G17" s="68"/>
      <c r="H17"/>
      <c r="I17"/>
      <c r="J17"/>
      <c r="K17" s="99"/>
      <c r="R17" s="2" t="str">
        <f>IF(Funcionários!C15=0,"",Funcionários!C15)</f>
        <v/>
      </c>
      <c r="S17" s="2" t="str">
        <f>IF(R17="","",VLOOKUP(R17,Funcionários!$C$7:$D$36,2,0))</f>
        <v/>
      </c>
      <c r="T17" s="2">
        <v>9</v>
      </c>
      <c r="U17" s="2" t="str">
        <f t="shared" si="17"/>
        <v>'Lanç (9)'!$U$8</v>
      </c>
      <c r="V17" s="163">
        <f t="shared" ca="1" si="13"/>
        <v>0</v>
      </c>
      <c r="W17" s="2" t="str">
        <f t="shared" si="14"/>
        <v>'Lanç (9)'!$F$58</v>
      </c>
      <c r="X17" s="163">
        <f t="shared" ca="1" si="13"/>
        <v>0</v>
      </c>
      <c r="Y17" s="2" t="str">
        <f t="shared" si="15"/>
        <v>'Lanç (9)'!$U$14</v>
      </c>
      <c r="Z17" s="163">
        <f t="shared" ca="1" si="16"/>
        <v>0</v>
      </c>
      <c r="AA17" s="2" t="str">
        <f t="shared" si="18"/>
        <v>'Lanç (9)'!$K$5</v>
      </c>
      <c r="AB17" s="163">
        <f t="shared" ca="1" si="16"/>
        <v>0</v>
      </c>
      <c r="AD17" s="2" t="str">
        <f t="shared" si="19"/>
        <v>'Lanç (9)'!$F$41</v>
      </c>
      <c r="AE17" s="163">
        <f t="shared" ca="1" si="0"/>
        <v>0</v>
      </c>
      <c r="AF17" s="2" t="str">
        <f t="shared" si="20"/>
        <v>'Lanç (9)'!$F$42</v>
      </c>
      <c r="AG17" s="163">
        <f t="shared" ca="1" si="0"/>
        <v>0</v>
      </c>
      <c r="AH17" s="2" t="str">
        <f t="shared" si="21"/>
        <v>'Lanç (9)'!$F$43</v>
      </c>
      <c r="AI17" s="163">
        <f t="shared" ca="1" si="1"/>
        <v>0</v>
      </c>
      <c r="AJ17" s="2" t="str">
        <f t="shared" si="22"/>
        <v>'Lanç (9)'!$F$44</v>
      </c>
      <c r="AK17" s="163">
        <f t="shared" ca="1" si="2"/>
        <v>0</v>
      </c>
      <c r="AL17" s="2" t="str">
        <f t="shared" si="23"/>
        <v>'Lanç (9)'!$F$45</v>
      </c>
      <c r="AM17" s="163">
        <f t="shared" ca="1" si="3"/>
        <v>0</v>
      </c>
      <c r="AN17" s="2" t="str">
        <f t="shared" si="24"/>
        <v>'Lanç (9)'!$F$46</v>
      </c>
      <c r="AO17" s="163">
        <f t="shared" ca="1" si="4"/>
        <v>0</v>
      </c>
      <c r="AP17" s="2" t="str">
        <f t="shared" si="25"/>
        <v>'Lanç (9)'!$F$47</v>
      </c>
      <c r="AQ17" s="163">
        <f t="shared" ca="1" si="5"/>
        <v>0</v>
      </c>
      <c r="AR17" s="2" t="str">
        <f t="shared" si="26"/>
        <v>'Lanç (9)'!$F$48</v>
      </c>
      <c r="AS17" s="163">
        <f t="shared" ca="1" si="6"/>
        <v>0</v>
      </c>
      <c r="AT17" s="2" t="str">
        <f t="shared" si="27"/>
        <v>'Lanç (9)'!$F$49</v>
      </c>
      <c r="AU17" s="163">
        <f t="shared" ca="1" si="7"/>
        <v>0</v>
      </c>
      <c r="AV17" s="2" t="str">
        <f t="shared" si="28"/>
        <v>'Lanç (9)'!$F$51</v>
      </c>
      <c r="AW17" s="163">
        <f t="shared" ca="1" si="8"/>
        <v>0</v>
      </c>
      <c r="AX17" s="2" t="str">
        <f t="shared" si="29"/>
        <v>'Lanç (9)'!$F$50</v>
      </c>
      <c r="AY17" s="163">
        <f t="shared" ca="1" si="9"/>
        <v>0</v>
      </c>
      <c r="AZ17" s="2" t="str">
        <f t="shared" si="30"/>
        <v>'Lanç (9)'!$F$52</v>
      </c>
      <c r="BA17" s="163">
        <f t="shared" ca="1" si="10"/>
        <v>0</v>
      </c>
      <c r="BB17" s="2" t="str">
        <f t="shared" si="31"/>
        <v>'Lanç (9)'!$F$53</v>
      </c>
      <c r="BC17" s="163">
        <f t="shared" ca="1" si="11"/>
        <v>0</v>
      </c>
      <c r="BD17" s="2" t="str">
        <f t="shared" si="32"/>
        <v>'Lanç (9)'!$F$54</v>
      </c>
      <c r="BE17" s="164">
        <f t="shared" ca="1" si="12"/>
        <v>0</v>
      </c>
      <c r="BF17" s="2" t="str">
        <f t="shared" si="33"/>
        <v>'Lanç (9)'!$F$55</v>
      </c>
      <c r="BG17" s="164">
        <f t="shared" ca="1" si="12"/>
        <v>0</v>
      </c>
    </row>
    <row r="18" spans="3:59" ht="30" customHeight="1" thickTop="1" thickBot="1" x14ac:dyDescent="0.25">
      <c r="C18" s="303" t="s">
        <v>78</v>
      </c>
      <c r="D18" s="303"/>
      <c r="E18" s="303"/>
      <c r="F18" s="98">
        <f>IF($F$6=0,"",IF($F$6="Todas",SUM(AK$9:AK$38),SUMIF($S$9:$S$38,$F$6,$AK$9:$AK$38)))</f>
        <v>0</v>
      </c>
      <c r="G18" s="68"/>
      <c r="H18" s="303" t="s">
        <v>84</v>
      </c>
      <c r="I18" s="303"/>
      <c r="J18" s="303"/>
      <c r="K18" s="98">
        <f>IF($F$6=0,"",IF($F$6="Todas",SUM(AY$9:AY$38),SUMIF($S$9:$S$38,$F$6,$AY$9:$AY$38)))</f>
        <v>0</v>
      </c>
      <c r="R18" s="2" t="str">
        <f>IF(Funcionários!C16=0,"",Funcionários!C16)</f>
        <v/>
      </c>
      <c r="S18" s="2" t="str">
        <f>IF(R18="","",VLOOKUP(R18,Funcionários!$C$7:$D$36,2,0))</f>
        <v/>
      </c>
      <c r="T18" s="2">
        <v>10</v>
      </c>
      <c r="U18" s="2" t="str">
        <f t="shared" si="17"/>
        <v>'Lanç (10)'!$U$8</v>
      </c>
      <c r="V18" s="163">
        <f t="shared" ca="1" si="13"/>
        <v>0</v>
      </c>
      <c r="W18" s="2" t="str">
        <f t="shared" si="14"/>
        <v>'Lanç (10)'!$F$58</v>
      </c>
      <c r="X18" s="163">
        <f t="shared" ca="1" si="13"/>
        <v>0</v>
      </c>
      <c r="Y18" s="2" t="str">
        <f t="shared" si="15"/>
        <v>'Lanç (10)'!$U$14</v>
      </c>
      <c r="Z18" s="163">
        <f t="shared" ca="1" si="16"/>
        <v>0</v>
      </c>
      <c r="AA18" s="2" t="str">
        <f t="shared" si="18"/>
        <v>'Lanç (10)'!$K$5</v>
      </c>
      <c r="AB18" s="163">
        <f t="shared" ca="1" si="16"/>
        <v>0</v>
      </c>
      <c r="AD18" s="2" t="str">
        <f t="shared" si="19"/>
        <v>'Lanç (10)'!$F$41</v>
      </c>
      <c r="AE18" s="163">
        <f t="shared" ca="1" si="0"/>
        <v>0</v>
      </c>
      <c r="AF18" s="2" t="str">
        <f t="shared" si="20"/>
        <v>'Lanç (10)'!$F$42</v>
      </c>
      <c r="AG18" s="163">
        <f t="shared" ca="1" si="0"/>
        <v>0</v>
      </c>
      <c r="AH18" s="2" t="str">
        <f t="shared" si="21"/>
        <v>'Lanç (10)'!$F$43</v>
      </c>
      <c r="AI18" s="163">
        <f t="shared" ca="1" si="1"/>
        <v>0</v>
      </c>
      <c r="AJ18" s="2" t="str">
        <f t="shared" si="22"/>
        <v>'Lanç (10)'!$F$44</v>
      </c>
      <c r="AK18" s="163">
        <f t="shared" ca="1" si="2"/>
        <v>0</v>
      </c>
      <c r="AL18" s="2" t="str">
        <f t="shared" si="23"/>
        <v>'Lanç (10)'!$F$45</v>
      </c>
      <c r="AM18" s="163">
        <f t="shared" ca="1" si="3"/>
        <v>0</v>
      </c>
      <c r="AN18" s="2" t="str">
        <f t="shared" si="24"/>
        <v>'Lanç (10)'!$F$46</v>
      </c>
      <c r="AO18" s="163">
        <f t="shared" ca="1" si="4"/>
        <v>0</v>
      </c>
      <c r="AP18" s="2" t="str">
        <f t="shared" si="25"/>
        <v>'Lanç (10)'!$F$47</v>
      </c>
      <c r="AQ18" s="163">
        <f t="shared" ca="1" si="5"/>
        <v>0</v>
      </c>
      <c r="AR18" s="2" t="str">
        <f t="shared" si="26"/>
        <v>'Lanç (10)'!$F$48</v>
      </c>
      <c r="AS18" s="163">
        <f t="shared" ca="1" si="6"/>
        <v>0</v>
      </c>
      <c r="AT18" s="2" t="str">
        <f t="shared" si="27"/>
        <v>'Lanç (10)'!$F$49</v>
      </c>
      <c r="AU18" s="163">
        <f t="shared" ca="1" si="7"/>
        <v>0</v>
      </c>
      <c r="AV18" s="2" t="str">
        <f t="shared" si="28"/>
        <v>'Lanç (10)'!$F$51</v>
      </c>
      <c r="AW18" s="163">
        <f t="shared" ca="1" si="8"/>
        <v>0</v>
      </c>
      <c r="AX18" s="2" t="str">
        <f t="shared" si="29"/>
        <v>'Lanç (10)'!$F$50</v>
      </c>
      <c r="AY18" s="163">
        <f t="shared" ca="1" si="9"/>
        <v>0</v>
      </c>
      <c r="AZ18" s="2" t="str">
        <f t="shared" si="30"/>
        <v>'Lanç (10)'!$F$52</v>
      </c>
      <c r="BA18" s="163">
        <f t="shared" ca="1" si="10"/>
        <v>0</v>
      </c>
      <c r="BB18" s="2" t="str">
        <f t="shared" si="31"/>
        <v>'Lanç (10)'!$F$53</v>
      </c>
      <c r="BC18" s="163">
        <f t="shared" ca="1" si="11"/>
        <v>0</v>
      </c>
      <c r="BD18" s="2" t="str">
        <f t="shared" si="32"/>
        <v>'Lanç (10)'!$F$54</v>
      </c>
      <c r="BE18" s="164">
        <f t="shared" ca="1" si="12"/>
        <v>0</v>
      </c>
      <c r="BF18" s="2" t="str">
        <f t="shared" si="33"/>
        <v>'Lanç (10)'!$F$55</v>
      </c>
      <c r="BG18" s="164">
        <f t="shared" ca="1" si="12"/>
        <v>0</v>
      </c>
    </row>
    <row r="19" spans="3:59" ht="5" customHeight="1" thickTop="1" thickBot="1" x14ac:dyDescent="0.25">
      <c r="F19" s="99"/>
      <c r="G19" s="68"/>
      <c r="H19"/>
      <c r="I19"/>
      <c r="J19"/>
      <c r="K19" s="99"/>
      <c r="R19" s="2" t="str">
        <f>IF(Funcionários!C17=0,"",Funcionários!C17)</f>
        <v/>
      </c>
      <c r="S19" s="2" t="str">
        <f>IF(R19="","",VLOOKUP(R19,Funcionários!$C$7:$D$36,2,0))</f>
        <v/>
      </c>
      <c r="T19" s="2">
        <v>11</v>
      </c>
      <c r="U19" s="2" t="str">
        <f t="shared" si="17"/>
        <v>'Lanç (11)'!$U$8</v>
      </c>
      <c r="V19" s="163">
        <f t="shared" ca="1" si="13"/>
        <v>0</v>
      </c>
      <c r="W19" s="2" t="str">
        <f t="shared" si="14"/>
        <v>'Lanç (11)'!$F$58</v>
      </c>
      <c r="X19" s="163">
        <f t="shared" ca="1" si="13"/>
        <v>0</v>
      </c>
      <c r="Y19" s="2" t="str">
        <f t="shared" si="15"/>
        <v>'Lanç (11)'!$U$14</v>
      </c>
      <c r="Z19" s="163">
        <f t="shared" ca="1" si="16"/>
        <v>0</v>
      </c>
      <c r="AA19" s="2" t="str">
        <f t="shared" si="18"/>
        <v>'Lanç (11)'!$K$5</v>
      </c>
      <c r="AB19" s="163">
        <f t="shared" ca="1" si="16"/>
        <v>0</v>
      </c>
      <c r="AD19" s="2" t="str">
        <f t="shared" si="19"/>
        <v>'Lanç (11)'!$F$41</v>
      </c>
      <c r="AE19" s="163">
        <f t="shared" ca="1" si="0"/>
        <v>0</v>
      </c>
      <c r="AF19" s="2" t="str">
        <f t="shared" si="20"/>
        <v>'Lanç (11)'!$F$42</v>
      </c>
      <c r="AG19" s="163">
        <f t="shared" ca="1" si="0"/>
        <v>0</v>
      </c>
      <c r="AH19" s="2" t="str">
        <f t="shared" si="21"/>
        <v>'Lanç (11)'!$F$43</v>
      </c>
      <c r="AI19" s="163">
        <f t="shared" ca="1" si="1"/>
        <v>0</v>
      </c>
      <c r="AJ19" s="2" t="str">
        <f t="shared" si="22"/>
        <v>'Lanç (11)'!$F$44</v>
      </c>
      <c r="AK19" s="163">
        <f t="shared" ca="1" si="2"/>
        <v>0</v>
      </c>
      <c r="AL19" s="2" t="str">
        <f t="shared" si="23"/>
        <v>'Lanç (11)'!$F$45</v>
      </c>
      <c r="AM19" s="163">
        <f t="shared" ca="1" si="3"/>
        <v>0</v>
      </c>
      <c r="AN19" s="2" t="str">
        <f t="shared" si="24"/>
        <v>'Lanç (11)'!$F$46</v>
      </c>
      <c r="AO19" s="163">
        <f t="shared" ca="1" si="4"/>
        <v>0</v>
      </c>
      <c r="AP19" s="2" t="str">
        <f t="shared" si="25"/>
        <v>'Lanç (11)'!$F$47</v>
      </c>
      <c r="AQ19" s="163">
        <f t="shared" ca="1" si="5"/>
        <v>0</v>
      </c>
      <c r="AR19" s="2" t="str">
        <f t="shared" si="26"/>
        <v>'Lanç (11)'!$F$48</v>
      </c>
      <c r="AS19" s="163">
        <f t="shared" ca="1" si="6"/>
        <v>0</v>
      </c>
      <c r="AT19" s="2" t="str">
        <f t="shared" si="27"/>
        <v>'Lanç (11)'!$F$49</v>
      </c>
      <c r="AU19" s="163">
        <f t="shared" ca="1" si="7"/>
        <v>0</v>
      </c>
      <c r="AV19" s="2" t="str">
        <f t="shared" si="28"/>
        <v>'Lanç (11)'!$F$51</v>
      </c>
      <c r="AW19" s="163">
        <f t="shared" ca="1" si="8"/>
        <v>0</v>
      </c>
      <c r="AX19" s="2" t="str">
        <f t="shared" si="29"/>
        <v>'Lanç (11)'!$F$50</v>
      </c>
      <c r="AY19" s="163">
        <f t="shared" ca="1" si="9"/>
        <v>0</v>
      </c>
      <c r="AZ19" s="2" t="str">
        <f t="shared" si="30"/>
        <v>'Lanç (11)'!$F$52</v>
      </c>
      <c r="BA19" s="163">
        <f t="shared" ca="1" si="10"/>
        <v>0</v>
      </c>
      <c r="BB19" s="2" t="str">
        <f t="shared" si="31"/>
        <v>'Lanç (11)'!$F$53</v>
      </c>
      <c r="BC19" s="163">
        <f t="shared" ca="1" si="11"/>
        <v>0</v>
      </c>
      <c r="BD19" s="2" t="str">
        <f t="shared" si="32"/>
        <v>'Lanç (11)'!$F$54</v>
      </c>
      <c r="BE19" s="164">
        <f t="shared" ca="1" si="12"/>
        <v>0</v>
      </c>
      <c r="BF19" s="2" t="str">
        <f t="shared" si="33"/>
        <v>'Lanç (11)'!$F$55</v>
      </c>
      <c r="BG19" s="164">
        <f t="shared" ca="1" si="12"/>
        <v>0</v>
      </c>
    </row>
    <row r="20" spans="3:59" ht="30" customHeight="1" thickTop="1" thickBot="1" x14ac:dyDescent="0.25">
      <c r="C20" s="303" t="s">
        <v>79</v>
      </c>
      <c r="D20" s="303"/>
      <c r="E20" s="303"/>
      <c r="F20" s="98">
        <f>IF($F$6=0,"",IF($F$6="Todas",SUM(AM$9:AM$38),SUMIF($S$9:$S$38,$F$6,$AM$9:$AM$38)))</f>
        <v>0</v>
      </c>
      <c r="G20" s="68"/>
      <c r="H20" s="303" t="s">
        <v>87</v>
      </c>
      <c r="I20" s="303"/>
      <c r="J20" s="303"/>
      <c r="K20" s="98">
        <f>IF($F$6=0,"",IF($F$6="Todas",SUM(BC$9:BC$38),SUMIF($S$9:$S$38,$F$6,$BC$9:$BC$38)))</f>
        <v>0</v>
      </c>
      <c r="R20" s="2" t="str">
        <f>IF(Funcionários!C18=0,"",Funcionários!C18)</f>
        <v/>
      </c>
      <c r="S20" s="2" t="str">
        <f>IF(R20="","",VLOOKUP(R20,Funcionários!$C$7:$D$36,2,0))</f>
        <v/>
      </c>
      <c r="T20" s="2">
        <v>12</v>
      </c>
      <c r="U20" s="2" t="str">
        <f t="shared" si="17"/>
        <v>'Lanç (12)'!$U$8</v>
      </c>
      <c r="V20" s="163">
        <f t="shared" ca="1" si="13"/>
        <v>0</v>
      </c>
      <c r="W20" s="2" t="str">
        <f t="shared" si="14"/>
        <v>'Lanç (12)'!$F$58</v>
      </c>
      <c r="X20" s="163">
        <f t="shared" ca="1" si="13"/>
        <v>0</v>
      </c>
      <c r="Y20" s="2" t="str">
        <f t="shared" si="15"/>
        <v>'Lanç (12)'!$U$14</v>
      </c>
      <c r="Z20" s="163">
        <f t="shared" ca="1" si="16"/>
        <v>0</v>
      </c>
      <c r="AA20" s="2" t="str">
        <f t="shared" si="18"/>
        <v>'Lanç (12)'!$K$5</v>
      </c>
      <c r="AB20" s="163">
        <f t="shared" ca="1" si="16"/>
        <v>0</v>
      </c>
      <c r="AD20" s="2" t="str">
        <f t="shared" si="19"/>
        <v>'Lanç (12)'!$F$41</v>
      </c>
      <c r="AE20" s="163">
        <f t="shared" ca="1" si="0"/>
        <v>0</v>
      </c>
      <c r="AF20" s="2" t="str">
        <f t="shared" si="20"/>
        <v>'Lanç (12)'!$F$42</v>
      </c>
      <c r="AG20" s="163">
        <f t="shared" ca="1" si="0"/>
        <v>0</v>
      </c>
      <c r="AH20" s="2" t="str">
        <f t="shared" si="21"/>
        <v>'Lanç (12)'!$F$43</v>
      </c>
      <c r="AI20" s="163">
        <f t="shared" ca="1" si="1"/>
        <v>0</v>
      </c>
      <c r="AJ20" s="2" t="str">
        <f t="shared" si="22"/>
        <v>'Lanç (12)'!$F$44</v>
      </c>
      <c r="AK20" s="163">
        <f t="shared" ca="1" si="2"/>
        <v>0</v>
      </c>
      <c r="AL20" s="2" t="str">
        <f t="shared" si="23"/>
        <v>'Lanç (12)'!$F$45</v>
      </c>
      <c r="AM20" s="163">
        <f t="shared" ca="1" si="3"/>
        <v>0</v>
      </c>
      <c r="AN20" s="2" t="str">
        <f t="shared" si="24"/>
        <v>'Lanç (12)'!$F$46</v>
      </c>
      <c r="AO20" s="163">
        <f t="shared" ca="1" si="4"/>
        <v>0</v>
      </c>
      <c r="AP20" s="2" t="str">
        <f t="shared" si="25"/>
        <v>'Lanç (12)'!$F$47</v>
      </c>
      <c r="AQ20" s="163">
        <f t="shared" ca="1" si="5"/>
        <v>0</v>
      </c>
      <c r="AR20" s="2" t="str">
        <f t="shared" si="26"/>
        <v>'Lanç (12)'!$F$48</v>
      </c>
      <c r="AS20" s="163">
        <f t="shared" ca="1" si="6"/>
        <v>0</v>
      </c>
      <c r="AT20" s="2" t="str">
        <f t="shared" si="27"/>
        <v>'Lanç (12)'!$F$49</v>
      </c>
      <c r="AU20" s="163">
        <f t="shared" ca="1" si="7"/>
        <v>0</v>
      </c>
      <c r="AV20" s="2" t="str">
        <f t="shared" si="28"/>
        <v>'Lanç (12)'!$F$51</v>
      </c>
      <c r="AW20" s="163">
        <f t="shared" ca="1" si="8"/>
        <v>0</v>
      </c>
      <c r="AX20" s="2" t="str">
        <f t="shared" si="29"/>
        <v>'Lanç (12)'!$F$50</v>
      </c>
      <c r="AY20" s="163">
        <f t="shared" ca="1" si="9"/>
        <v>0</v>
      </c>
      <c r="AZ20" s="2" t="str">
        <f t="shared" si="30"/>
        <v>'Lanç (12)'!$F$52</v>
      </c>
      <c r="BA20" s="163">
        <f t="shared" ca="1" si="10"/>
        <v>0</v>
      </c>
      <c r="BB20" s="2" t="str">
        <f t="shared" si="31"/>
        <v>'Lanç (12)'!$F$53</v>
      </c>
      <c r="BC20" s="163">
        <f t="shared" ca="1" si="11"/>
        <v>0</v>
      </c>
      <c r="BD20" s="2" t="str">
        <f t="shared" si="32"/>
        <v>'Lanç (12)'!$F$54</v>
      </c>
      <c r="BE20" s="164">
        <f t="shared" ca="1" si="12"/>
        <v>0</v>
      </c>
      <c r="BF20" s="2" t="str">
        <f t="shared" si="33"/>
        <v>'Lanç (12)'!$F$55</v>
      </c>
      <c r="BG20" s="164">
        <f t="shared" ca="1" si="12"/>
        <v>0</v>
      </c>
    </row>
    <row r="21" spans="3:59" ht="5" customHeight="1" thickTop="1" thickBot="1" x14ac:dyDescent="0.25">
      <c r="F21" s="99"/>
      <c r="G21" s="68"/>
      <c r="H21" s="68"/>
      <c r="I21" s="68"/>
      <c r="J21" s="68"/>
      <c r="K21" s="68"/>
      <c r="R21" s="2" t="str">
        <f>IF(Funcionários!C19=0,"",Funcionários!C19)</f>
        <v/>
      </c>
      <c r="S21" s="2" t="str">
        <f>IF(R21="","",VLOOKUP(R21,Funcionários!$C$7:$D$36,2,0))</f>
        <v/>
      </c>
      <c r="T21" s="2">
        <v>13</v>
      </c>
      <c r="U21" s="2" t="str">
        <f t="shared" si="17"/>
        <v>'Lanç (13)'!$U$8</v>
      </c>
      <c r="V21" s="163">
        <f t="shared" ca="1" si="13"/>
        <v>0</v>
      </c>
      <c r="W21" s="2" t="str">
        <f t="shared" si="14"/>
        <v>'Lanç (13)'!$F$58</v>
      </c>
      <c r="X21" s="163">
        <f t="shared" ca="1" si="13"/>
        <v>0</v>
      </c>
      <c r="Y21" s="2" t="str">
        <f t="shared" si="15"/>
        <v>'Lanç (13)'!$U$14</v>
      </c>
      <c r="Z21" s="163">
        <f t="shared" ca="1" si="16"/>
        <v>0</v>
      </c>
      <c r="AA21" s="2" t="str">
        <f t="shared" si="18"/>
        <v>'Lanç (13)'!$K$5</v>
      </c>
      <c r="AB21" s="163">
        <f t="shared" ca="1" si="16"/>
        <v>0</v>
      </c>
      <c r="AD21" s="2" t="str">
        <f t="shared" si="19"/>
        <v>'Lanç (13)'!$F$41</v>
      </c>
      <c r="AE21" s="163">
        <f t="shared" ca="1" si="0"/>
        <v>0</v>
      </c>
      <c r="AF21" s="2" t="str">
        <f t="shared" si="20"/>
        <v>'Lanç (13)'!$F$42</v>
      </c>
      <c r="AG21" s="163">
        <f t="shared" ca="1" si="0"/>
        <v>0</v>
      </c>
      <c r="AH21" s="2" t="str">
        <f t="shared" si="21"/>
        <v>'Lanç (13)'!$F$43</v>
      </c>
      <c r="AI21" s="163">
        <f t="shared" ca="1" si="1"/>
        <v>0</v>
      </c>
      <c r="AJ21" s="2" t="str">
        <f t="shared" si="22"/>
        <v>'Lanç (13)'!$F$44</v>
      </c>
      <c r="AK21" s="163">
        <f t="shared" ca="1" si="2"/>
        <v>0</v>
      </c>
      <c r="AL21" s="2" t="str">
        <f t="shared" si="23"/>
        <v>'Lanç (13)'!$F$45</v>
      </c>
      <c r="AM21" s="163">
        <f t="shared" ca="1" si="3"/>
        <v>0</v>
      </c>
      <c r="AN21" s="2" t="str">
        <f t="shared" si="24"/>
        <v>'Lanç (13)'!$F$46</v>
      </c>
      <c r="AO21" s="163">
        <f t="shared" ca="1" si="4"/>
        <v>0</v>
      </c>
      <c r="AP21" s="2" t="str">
        <f t="shared" si="25"/>
        <v>'Lanç (13)'!$F$47</v>
      </c>
      <c r="AQ21" s="163">
        <f t="shared" ca="1" si="5"/>
        <v>0</v>
      </c>
      <c r="AR21" s="2" t="str">
        <f t="shared" si="26"/>
        <v>'Lanç (13)'!$F$48</v>
      </c>
      <c r="AS21" s="163">
        <f t="shared" ca="1" si="6"/>
        <v>0</v>
      </c>
      <c r="AT21" s="2" t="str">
        <f t="shared" si="27"/>
        <v>'Lanç (13)'!$F$49</v>
      </c>
      <c r="AU21" s="163">
        <f t="shared" ca="1" si="7"/>
        <v>0</v>
      </c>
      <c r="AV21" s="2" t="str">
        <f t="shared" si="28"/>
        <v>'Lanç (13)'!$F$51</v>
      </c>
      <c r="AW21" s="163">
        <f t="shared" ca="1" si="8"/>
        <v>0</v>
      </c>
      <c r="AX21" s="2" t="str">
        <f t="shared" si="29"/>
        <v>'Lanç (13)'!$F$50</v>
      </c>
      <c r="AY21" s="163">
        <f t="shared" ca="1" si="9"/>
        <v>0</v>
      </c>
      <c r="AZ21" s="2" t="str">
        <f t="shared" si="30"/>
        <v>'Lanç (13)'!$F$52</v>
      </c>
      <c r="BA21" s="163">
        <f t="shared" ca="1" si="10"/>
        <v>0</v>
      </c>
      <c r="BB21" s="2" t="str">
        <f t="shared" si="31"/>
        <v>'Lanç (13)'!$F$53</v>
      </c>
      <c r="BC21" s="163">
        <f t="shared" ca="1" si="11"/>
        <v>0</v>
      </c>
      <c r="BD21" s="2" t="str">
        <f t="shared" si="32"/>
        <v>'Lanç (13)'!$F$54</v>
      </c>
      <c r="BE21" s="164">
        <f t="shared" ca="1" si="12"/>
        <v>0</v>
      </c>
      <c r="BF21" s="2" t="str">
        <f t="shared" si="33"/>
        <v>'Lanç (13)'!$F$55</v>
      </c>
      <c r="BG21" s="164">
        <f t="shared" ca="1" si="12"/>
        <v>0</v>
      </c>
    </row>
    <row r="22" spans="3:59" ht="30" customHeight="1" thickTop="1" thickBot="1" x14ac:dyDescent="0.25">
      <c r="C22" s="303" t="s">
        <v>82</v>
      </c>
      <c r="D22" s="303"/>
      <c r="E22" s="303"/>
      <c r="F22" s="98">
        <f>IF($F$6=0,"",IF($F$6="Todas",SUM(AO$9:AO$38),SUMIF($S$9:$S$38,$F$6,$AO$9:$AO$38)))</f>
        <v>0</v>
      </c>
      <c r="G22" s="68"/>
      <c r="H22" s="303" t="s">
        <v>88</v>
      </c>
      <c r="I22" s="303"/>
      <c r="J22" s="303"/>
      <c r="K22" s="85">
        <f>IF($F$6=0,"",IF($F$6="Todas",SUM(BE$9:BE$38),SUMIF($S$9:$S$38,$F$6,$BE$9:$BE$38)))</f>
        <v>0</v>
      </c>
      <c r="R22" s="2" t="str">
        <f>IF(Funcionários!C20=0,"",Funcionários!C20)</f>
        <v/>
      </c>
      <c r="S22" s="2" t="str">
        <f>IF(R22="","",VLOOKUP(R22,Funcionários!$C$7:$D$36,2,0))</f>
        <v/>
      </c>
      <c r="T22" s="2">
        <v>14</v>
      </c>
      <c r="U22" s="2" t="str">
        <f t="shared" si="17"/>
        <v>'Lanç (14)'!$U$8</v>
      </c>
      <c r="V22" s="163">
        <f t="shared" ca="1" si="13"/>
        <v>0</v>
      </c>
      <c r="W22" s="2" t="str">
        <f t="shared" si="14"/>
        <v>'Lanç (14)'!$F$58</v>
      </c>
      <c r="X22" s="163">
        <f t="shared" ca="1" si="13"/>
        <v>0</v>
      </c>
      <c r="Y22" s="2" t="str">
        <f t="shared" si="15"/>
        <v>'Lanç (14)'!$U$14</v>
      </c>
      <c r="Z22" s="163">
        <f t="shared" ca="1" si="16"/>
        <v>0</v>
      </c>
      <c r="AA22" s="2" t="str">
        <f t="shared" si="18"/>
        <v>'Lanç (14)'!$K$5</v>
      </c>
      <c r="AB22" s="163">
        <f t="shared" ca="1" si="16"/>
        <v>0</v>
      </c>
      <c r="AD22" s="2" t="str">
        <f t="shared" si="19"/>
        <v>'Lanç (14)'!$F$41</v>
      </c>
      <c r="AE22" s="163">
        <f t="shared" ca="1" si="0"/>
        <v>0</v>
      </c>
      <c r="AF22" s="2" t="str">
        <f t="shared" si="20"/>
        <v>'Lanç (14)'!$F$42</v>
      </c>
      <c r="AG22" s="163">
        <f t="shared" ca="1" si="0"/>
        <v>0</v>
      </c>
      <c r="AH22" s="2" t="str">
        <f t="shared" si="21"/>
        <v>'Lanç (14)'!$F$43</v>
      </c>
      <c r="AI22" s="163">
        <f t="shared" ca="1" si="1"/>
        <v>0</v>
      </c>
      <c r="AJ22" s="2" t="str">
        <f t="shared" si="22"/>
        <v>'Lanç (14)'!$F$44</v>
      </c>
      <c r="AK22" s="163">
        <f t="shared" ca="1" si="2"/>
        <v>0</v>
      </c>
      <c r="AL22" s="2" t="str">
        <f t="shared" si="23"/>
        <v>'Lanç (14)'!$F$45</v>
      </c>
      <c r="AM22" s="163">
        <f t="shared" ca="1" si="3"/>
        <v>0</v>
      </c>
      <c r="AN22" s="2" t="str">
        <f t="shared" si="24"/>
        <v>'Lanç (14)'!$F$46</v>
      </c>
      <c r="AO22" s="163">
        <f t="shared" ca="1" si="4"/>
        <v>0</v>
      </c>
      <c r="AP22" s="2" t="str">
        <f t="shared" si="25"/>
        <v>'Lanç (14)'!$F$47</v>
      </c>
      <c r="AQ22" s="163">
        <f t="shared" ca="1" si="5"/>
        <v>0</v>
      </c>
      <c r="AR22" s="2" t="str">
        <f t="shared" si="26"/>
        <v>'Lanç (14)'!$F$48</v>
      </c>
      <c r="AS22" s="163">
        <f t="shared" ca="1" si="6"/>
        <v>0</v>
      </c>
      <c r="AT22" s="2" t="str">
        <f t="shared" si="27"/>
        <v>'Lanç (14)'!$F$49</v>
      </c>
      <c r="AU22" s="163">
        <f t="shared" ca="1" si="7"/>
        <v>0</v>
      </c>
      <c r="AV22" s="2" t="str">
        <f t="shared" si="28"/>
        <v>'Lanç (14)'!$F$51</v>
      </c>
      <c r="AW22" s="163">
        <f t="shared" ca="1" si="8"/>
        <v>0</v>
      </c>
      <c r="AX22" s="2" t="str">
        <f t="shared" si="29"/>
        <v>'Lanç (14)'!$F$50</v>
      </c>
      <c r="AY22" s="163">
        <f t="shared" ca="1" si="9"/>
        <v>0</v>
      </c>
      <c r="AZ22" s="2" t="str">
        <f t="shared" si="30"/>
        <v>'Lanç (14)'!$F$52</v>
      </c>
      <c r="BA22" s="163">
        <f t="shared" ca="1" si="10"/>
        <v>0</v>
      </c>
      <c r="BB22" s="2" t="str">
        <f t="shared" si="31"/>
        <v>'Lanç (14)'!$F$53</v>
      </c>
      <c r="BC22" s="163">
        <f t="shared" ca="1" si="11"/>
        <v>0</v>
      </c>
      <c r="BD22" s="2" t="str">
        <f t="shared" si="32"/>
        <v>'Lanç (14)'!$F$54</v>
      </c>
      <c r="BE22" s="164">
        <f t="shared" ca="1" si="12"/>
        <v>0</v>
      </c>
      <c r="BF22" s="2" t="str">
        <f t="shared" si="33"/>
        <v>'Lanç (14)'!$F$55</v>
      </c>
      <c r="BG22" s="164">
        <f t="shared" ca="1" si="12"/>
        <v>0</v>
      </c>
    </row>
    <row r="23" spans="3:59" ht="5" customHeight="1" thickTop="1" thickBot="1" x14ac:dyDescent="0.25">
      <c r="F23" s="99"/>
      <c r="G23" s="68"/>
      <c r="H23" s="68"/>
      <c r="I23" s="68"/>
      <c r="J23" s="68"/>
      <c r="K23" s="68"/>
      <c r="R23" s="2" t="str">
        <f>IF(Funcionários!C21=0,"",Funcionários!C21)</f>
        <v/>
      </c>
      <c r="S23" s="2" t="str">
        <f>IF(R23="","",VLOOKUP(R23,Funcionários!$C$7:$D$36,2,0))</f>
        <v/>
      </c>
      <c r="T23" s="2">
        <v>15</v>
      </c>
      <c r="U23" s="2" t="str">
        <f t="shared" si="17"/>
        <v>'Lanç (15)'!$U$8</v>
      </c>
      <c r="V23" s="163">
        <f t="shared" ca="1" si="13"/>
        <v>0</v>
      </c>
      <c r="W23" s="2" t="str">
        <f t="shared" si="14"/>
        <v>'Lanç (15)'!$F$58</v>
      </c>
      <c r="X23" s="163">
        <f t="shared" ca="1" si="13"/>
        <v>0</v>
      </c>
      <c r="Y23" s="2" t="str">
        <f t="shared" si="15"/>
        <v>'Lanç (15)'!$U$14</v>
      </c>
      <c r="Z23" s="163">
        <f t="shared" ca="1" si="16"/>
        <v>0</v>
      </c>
      <c r="AA23" s="2" t="str">
        <f t="shared" si="18"/>
        <v>'Lanç (15)'!$K$5</v>
      </c>
      <c r="AB23" s="163">
        <f t="shared" ca="1" si="16"/>
        <v>0</v>
      </c>
      <c r="AD23" s="2" t="str">
        <f t="shared" si="19"/>
        <v>'Lanç (15)'!$F$41</v>
      </c>
      <c r="AE23" s="163">
        <f t="shared" ca="1" si="0"/>
        <v>0</v>
      </c>
      <c r="AF23" s="2" t="str">
        <f t="shared" si="20"/>
        <v>'Lanç (15)'!$F$42</v>
      </c>
      <c r="AG23" s="163">
        <f t="shared" ca="1" si="0"/>
        <v>0</v>
      </c>
      <c r="AH23" s="2" t="str">
        <f t="shared" si="21"/>
        <v>'Lanç (15)'!$F$43</v>
      </c>
      <c r="AI23" s="163">
        <f t="shared" ca="1" si="1"/>
        <v>0</v>
      </c>
      <c r="AJ23" s="2" t="str">
        <f t="shared" si="22"/>
        <v>'Lanç (15)'!$F$44</v>
      </c>
      <c r="AK23" s="163">
        <f t="shared" ca="1" si="2"/>
        <v>0</v>
      </c>
      <c r="AL23" s="2" t="str">
        <f t="shared" si="23"/>
        <v>'Lanç (15)'!$F$45</v>
      </c>
      <c r="AM23" s="163">
        <f t="shared" ca="1" si="3"/>
        <v>0</v>
      </c>
      <c r="AN23" s="2" t="str">
        <f t="shared" si="24"/>
        <v>'Lanç (15)'!$F$46</v>
      </c>
      <c r="AO23" s="163">
        <f t="shared" ca="1" si="4"/>
        <v>0</v>
      </c>
      <c r="AP23" s="2" t="str">
        <f t="shared" si="25"/>
        <v>'Lanç (15)'!$F$47</v>
      </c>
      <c r="AQ23" s="163">
        <f t="shared" ca="1" si="5"/>
        <v>0</v>
      </c>
      <c r="AR23" s="2" t="str">
        <f t="shared" si="26"/>
        <v>'Lanç (15)'!$F$48</v>
      </c>
      <c r="AS23" s="163">
        <f t="shared" ca="1" si="6"/>
        <v>0</v>
      </c>
      <c r="AT23" s="2" t="str">
        <f t="shared" si="27"/>
        <v>'Lanç (15)'!$F$49</v>
      </c>
      <c r="AU23" s="163">
        <f t="shared" ca="1" si="7"/>
        <v>0</v>
      </c>
      <c r="AV23" s="2" t="str">
        <f t="shared" si="28"/>
        <v>'Lanç (15)'!$F$51</v>
      </c>
      <c r="AW23" s="163">
        <f t="shared" ca="1" si="8"/>
        <v>0</v>
      </c>
      <c r="AX23" s="2" t="str">
        <f t="shared" si="29"/>
        <v>'Lanç (15)'!$F$50</v>
      </c>
      <c r="AY23" s="163">
        <f t="shared" ca="1" si="9"/>
        <v>0</v>
      </c>
      <c r="AZ23" s="2" t="str">
        <f t="shared" si="30"/>
        <v>'Lanç (15)'!$F$52</v>
      </c>
      <c r="BA23" s="163">
        <f t="shared" ca="1" si="10"/>
        <v>0</v>
      </c>
      <c r="BB23" s="2" t="str">
        <f t="shared" si="31"/>
        <v>'Lanç (15)'!$F$53</v>
      </c>
      <c r="BC23" s="163">
        <f t="shared" ca="1" si="11"/>
        <v>0</v>
      </c>
      <c r="BD23" s="2" t="str">
        <f t="shared" si="32"/>
        <v>'Lanç (15)'!$F$54</v>
      </c>
      <c r="BE23" s="164">
        <f t="shared" ca="1" si="12"/>
        <v>0</v>
      </c>
      <c r="BF23" s="2" t="str">
        <f t="shared" si="33"/>
        <v>'Lanç (15)'!$F$55</v>
      </c>
      <c r="BG23" s="164">
        <f t="shared" ca="1" si="12"/>
        <v>0</v>
      </c>
    </row>
    <row r="24" spans="3:59" ht="30" customHeight="1" thickTop="1" thickBot="1" x14ac:dyDescent="0.25">
      <c r="C24" s="303" t="s">
        <v>81</v>
      </c>
      <c r="D24" s="303"/>
      <c r="E24" s="303"/>
      <c r="F24" s="98">
        <f>IF($F$6=0,"",IF($F$6="Todas",SUM(AQ$9:AQ$38),SUMIF($S$9:$S$38,$F$6,$AQ$9:$AQ$38)))</f>
        <v>0</v>
      </c>
      <c r="G24" s="68"/>
      <c r="H24" s="68"/>
      <c r="I24" s="68"/>
      <c r="J24" s="68"/>
      <c r="K24" s="68"/>
      <c r="R24" s="2" t="str">
        <f>IF(Funcionários!C22=0,"",Funcionários!C22)</f>
        <v/>
      </c>
      <c r="S24" s="2" t="str">
        <f>IF(R24="","",VLOOKUP(R24,Funcionários!$C$7:$D$36,2,0))</f>
        <v/>
      </c>
      <c r="T24" s="2">
        <v>16</v>
      </c>
      <c r="U24" s="2" t="str">
        <f t="shared" si="17"/>
        <v>'Lanç (16)'!$U$8</v>
      </c>
      <c r="V24" s="163">
        <f t="shared" ca="1" si="13"/>
        <v>0</v>
      </c>
      <c r="W24" s="2" t="str">
        <f t="shared" si="14"/>
        <v>'Lanç (16)'!$F$58</v>
      </c>
      <c r="X24" s="163">
        <f t="shared" ca="1" si="13"/>
        <v>0</v>
      </c>
      <c r="Y24" s="2" t="str">
        <f t="shared" si="15"/>
        <v>'Lanç (16)'!$U$14</v>
      </c>
      <c r="Z24" s="163">
        <f t="shared" ca="1" si="16"/>
        <v>0</v>
      </c>
      <c r="AA24" s="2" t="str">
        <f t="shared" si="18"/>
        <v>'Lanç (16)'!$K$5</v>
      </c>
      <c r="AB24" s="163">
        <f t="shared" ca="1" si="16"/>
        <v>0</v>
      </c>
      <c r="AD24" s="2" t="str">
        <f t="shared" si="19"/>
        <v>'Lanç (16)'!$F$41</v>
      </c>
      <c r="AE24" s="163">
        <f t="shared" ca="1" si="0"/>
        <v>0</v>
      </c>
      <c r="AF24" s="2" t="str">
        <f t="shared" si="20"/>
        <v>'Lanç (16)'!$F$42</v>
      </c>
      <c r="AG24" s="163">
        <f t="shared" ca="1" si="0"/>
        <v>0</v>
      </c>
      <c r="AH24" s="2" t="str">
        <f t="shared" si="21"/>
        <v>'Lanç (16)'!$F$43</v>
      </c>
      <c r="AI24" s="163">
        <f t="shared" ca="1" si="1"/>
        <v>0</v>
      </c>
      <c r="AJ24" s="2" t="str">
        <f t="shared" si="22"/>
        <v>'Lanç (16)'!$F$44</v>
      </c>
      <c r="AK24" s="163">
        <f t="shared" ca="1" si="2"/>
        <v>0</v>
      </c>
      <c r="AL24" s="2" t="str">
        <f t="shared" si="23"/>
        <v>'Lanç (16)'!$F$45</v>
      </c>
      <c r="AM24" s="163">
        <f t="shared" ca="1" si="3"/>
        <v>0</v>
      </c>
      <c r="AN24" s="2" t="str">
        <f t="shared" si="24"/>
        <v>'Lanç (16)'!$F$46</v>
      </c>
      <c r="AO24" s="163">
        <f t="shared" ca="1" si="4"/>
        <v>0</v>
      </c>
      <c r="AP24" s="2" t="str">
        <f t="shared" si="25"/>
        <v>'Lanç (16)'!$F$47</v>
      </c>
      <c r="AQ24" s="163">
        <f t="shared" ca="1" si="5"/>
        <v>0</v>
      </c>
      <c r="AR24" s="2" t="str">
        <f t="shared" si="26"/>
        <v>'Lanç (16)'!$F$48</v>
      </c>
      <c r="AS24" s="163">
        <f t="shared" ca="1" si="6"/>
        <v>0</v>
      </c>
      <c r="AT24" s="2" t="str">
        <f t="shared" si="27"/>
        <v>'Lanç (16)'!$F$49</v>
      </c>
      <c r="AU24" s="163">
        <f t="shared" ca="1" si="7"/>
        <v>0</v>
      </c>
      <c r="AV24" s="2" t="str">
        <f t="shared" si="28"/>
        <v>'Lanç (16)'!$F$51</v>
      </c>
      <c r="AW24" s="163">
        <f t="shared" ca="1" si="8"/>
        <v>0</v>
      </c>
      <c r="AX24" s="2" t="str">
        <f t="shared" si="29"/>
        <v>'Lanç (16)'!$F$50</v>
      </c>
      <c r="AY24" s="163">
        <f t="shared" ca="1" si="9"/>
        <v>0</v>
      </c>
      <c r="AZ24" s="2" t="str">
        <f t="shared" si="30"/>
        <v>'Lanç (16)'!$F$52</v>
      </c>
      <c r="BA24" s="163">
        <f t="shared" ca="1" si="10"/>
        <v>0</v>
      </c>
      <c r="BB24" s="2" t="str">
        <f t="shared" si="31"/>
        <v>'Lanç (16)'!$F$53</v>
      </c>
      <c r="BC24" s="163">
        <f t="shared" ca="1" si="11"/>
        <v>0</v>
      </c>
      <c r="BD24" s="2" t="str">
        <f t="shared" si="32"/>
        <v>'Lanç (16)'!$F$54</v>
      </c>
      <c r="BE24" s="164">
        <f t="shared" ca="1" si="12"/>
        <v>0</v>
      </c>
      <c r="BF24" s="2" t="str">
        <f t="shared" si="33"/>
        <v>'Lanç (16)'!$F$55</v>
      </c>
      <c r="BG24" s="164">
        <f t="shared" ca="1" si="12"/>
        <v>0</v>
      </c>
    </row>
    <row r="25" spans="3:59" ht="5" customHeight="1" thickTop="1" thickBot="1" x14ac:dyDescent="0.25">
      <c r="F25" s="99"/>
      <c r="G25" s="68"/>
      <c r="H25" s="68"/>
      <c r="I25" s="68"/>
      <c r="J25" s="68"/>
      <c r="K25" s="68"/>
      <c r="R25" s="2" t="str">
        <f>IF(Funcionários!C23=0,"",Funcionários!C23)</f>
        <v/>
      </c>
      <c r="S25" s="2" t="str">
        <f>IF(R25="","",VLOOKUP(R25,Funcionários!$C$7:$D$36,2,0))</f>
        <v/>
      </c>
      <c r="T25" s="2">
        <v>17</v>
      </c>
      <c r="U25" s="2" t="str">
        <f t="shared" si="17"/>
        <v>'Lanç (17)'!$U$8</v>
      </c>
      <c r="V25" s="163">
        <f t="shared" ca="1" si="13"/>
        <v>0</v>
      </c>
      <c r="W25" s="2" t="str">
        <f t="shared" si="14"/>
        <v>'Lanç (17)'!$F$58</v>
      </c>
      <c r="X25" s="163">
        <f t="shared" ca="1" si="13"/>
        <v>0</v>
      </c>
      <c r="Y25" s="2" t="str">
        <f t="shared" si="15"/>
        <v>'Lanç (17)'!$U$14</v>
      </c>
      <c r="Z25" s="163">
        <f t="shared" ca="1" si="16"/>
        <v>0</v>
      </c>
      <c r="AA25" s="2" t="str">
        <f t="shared" si="18"/>
        <v>'Lanç (17)'!$K$5</v>
      </c>
      <c r="AB25" s="163">
        <f t="shared" ca="1" si="16"/>
        <v>0</v>
      </c>
      <c r="AD25" s="2" t="str">
        <f t="shared" si="19"/>
        <v>'Lanç (17)'!$F$41</v>
      </c>
      <c r="AE25" s="163">
        <f t="shared" ref="AE25:AG38" ca="1" si="34">INDIRECT(AD25)</f>
        <v>0</v>
      </c>
      <c r="AF25" s="2" t="str">
        <f t="shared" si="20"/>
        <v>'Lanç (17)'!$F$42</v>
      </c>
      <c r="AG25" s="163">
        <f t="shared" ca="1" si="34"/>
        <v>0</v>
      </c>
      <c r="AH25" s="2" t="str">
        <f t="shared" si="21"/>
        <v>'Lanç (17)'!$F$43</v>
      </c>
      <c r="AI25" s="163">
        <f t="shared" ca="1" si="1"/>
        <v>0</v>
      </c>
      <c r="AJ25" s="2" t="str">
        <f t="shared" si="22"/>
        <v>'Lanç (17)'!$F$44</v>
      </c>
      <c r="AK25" s="163">
        <f t="shared" ca="1" si="2"/>
        <v>0</v>
      </c>
      <c r="AL25" s="2" t="str">
        <f t="shared" si="23"/>
        <v>'Lanç (17)'!$F$45</v>
      </c>
      <c r="AM25" s="163">
        <f t="shared" ca="1" si="3"/>
        <v>0</v>
      </c>
      <c r="AN25" s="2" t="str">
        <f t="shared" si="24"/>
        <v>'Lanç (17)'!$F$46</v>
      </c>
      <c r="AO25" s="163">
        <f t="shared" ca="1" si="4"/>
        <v>0</v>
      </c>
      <c r="AP25" s="2" t="str">
        <f t="shared" si="25"/>
        <v>'Lanç (17)'!$F$47</v>
      </c>
      <c r="AQ25" s="163">
        <f t="shared" ca="1" si="5"/>
        <v>0</v>
      </c>
      <c r="AR25" s="2" t="str">
        <f t="shared" si="26"/>
        <v>'Lanç (17)'!$F$48</v>
      </c>
      <c r="AS25" s="163">
        <f t="shared" ca="1" si="6"/>
        <v>0</v>
      </c>
      <c r="AT25" s="2" t="str">
        <f t="shared" si="27"/>
        <v>'Lanç (17)'!$F$49</v>
      </c>
      <c r="AU25" s="163">
        <f t="shared" ca="1" si="7"/>
        <v>0</v>
      </c>
      <c r="AV25" s="2" t="str">
        <f t="shared" si="28"/>
        <v>'Lanç (17)'!$F$51</v>
      </c>
      <c r="AW25" s="163">
        <f t="shared" ca="1" si="8"/>
        <v>0</v>
      </c>
      <c r="AX25" s="2" t="str">
        <f t="shared" si="29"/>
        <v>'Lanç (17)'!$F$50</v>
      </c>
      <c r="AY25" s="163">
        <f t="shared" ca="1" si="9"/>
        <v>0</v>
      </c>
      <c r="AZ25" s="2" t="str">
        <f t="shared" si="30"/>
        <v>'Lanç (17)'!$F$52</v>
      </c>
      <c r="BA25" s="163">
        <f t="shared" ca="1" si="10"/>
        <v>0</v>
      </c>
      <c r="BB25" s="2" t="str">
        <f t="shared" si="31"/>
        <v>'Lanç (17)'!$F$53</v>
      </c>
      <c r="BC25" s="163">
        <f t="shared" ca="1" si="11"/>
        <v>0</v>
      </c>
      <c r="BD25" s="2" t="str">
        <f t="shared" si="32"/>
        <v>'Lanç (17)'!$F$54</v>
      </c>
      <c r="BE25" s="164">
        <f t="shared" ref="BE25:BG38" ca="1" si="35">INDIRECT(BD25)</f>
        <v>0</v>
      </c>
      <c r="BF25" s="2" t="str">
        <f t="shared" si="33"/>
        <v>'Lanç (17)'!$F$55</v>
      </c>
      <c r="BG25" s="164">
        <f t="shared" ca="1" si="35"/>
        <v>0</v>
      </c>
    </row>
    <row r="26" spans="3:59" ht="7.5" customHeight="1" thickTop="1" thickBot="1" x14ac:dyDescent="0.25">
      <c r="H26" s="68"/>
      <c r="I26" s="68"/>
      <c r="J26" s="68"/>
      <c r="K26" s="68"/>
      <c r="R26" s="2" t="str">
        <f>IF(Funcionários!C24=0,"",Funcionários!C24)</f>
        <v/>
      </c>
      <c r="S26" s="2" t="str">
        <f>IF(R26="","",VLOOKUP(R26,Funcionários!$C$7:$D$36,2,0))</f>
        <v/>
      </c>
      <c r="T26" s="2">
        <v>18</v>
      </c>
      <c r="U26" s="2" t="str">
        <f t="shared" si="17"/>
        <v>'Lanç (18)'!$U$8</v>
      </c>
      <c r="V26" s="163">
        <f t="shared" ca="1" si="13"/>
        <v>0</v>
      </c>
      <c r="W26" s="2" t="str">
        <f t="shared" si="14"/>
        <v>'Lanç (18)'!$F$58</v>
      </c>
      <c r="X26" s="163">
        <f t="shared" ca="1" si="13"/>
        <v>0</v>
      </c>
      <c r="Y26" s="2" t="str">
        <f t="shared" si="15"/>
        <v>'Lanç (18)'!$U$14</v>
      </c>
      <c r="Z26" s="163">
        <f t="shared" ref="Z26:AB38" ca="1" si="36">INDIRECT(Y26)</f>
        <v>0</v>
      </c>
      <c r="AA26" s="2" t="str">
        <f t="shared" si="18"/>
        <v>'Lanç (18)'!$K$5</v>
      </c>
      <c r="AB26" s="163">
        <f t="shared" ca="1" si="36"/>
        <v>0</v>
      </c>
      <c r="AD26" s="2" t="str">
        <f t="shared" si="19"/>
        <v>'Lanç (18)'!$F$41</v>
      </c>
      <c r="AE26" s="163">
        <f t="shared" ca="1" si="34"/>
        <v>0</v>
      </c>
      <c r="AF26" s="2" t="str">
        <f t="shared" si="20"/>
        <v>'Lanç (18)'!$F$42</v>
      </c>
      <c r="AG26" s="163">
        <f t="shared" ca="1" si="34"/>
        <v>0</v>
      </c>
      <c r="AH26" s="2" t="str">
        <f t="shared" si="21"/>
        <v>'Lanç (18)'!$F$43</v>
      </c>
      <c r="AI26" s="163">
        <f t="shared" ca="1" si="1"/>
        <v>0</v>
      </c>
      <c r="AJ26" s="2" t="str">
        <f t="shared" si="22"/>
        <v>'Lanç (18)'!$F$44</v>
      </c>
      <c r="AK26" s="163">
        <f t="shared" ca="1" si="2"/>
        <v>0</v>
      </c>
      <c r="AL26" s="2" t="str">
        <f t="shared" si="23"/>
        <v>'Lanç (18)'!$F$45</v>
      </c>
      <c r="AM26" s="163">
        <f t="shared" ca="1" si="3"/>
        <v>0</v>
      </c>
      <c r="AN26" s="2" t="str">
        <f t="shared" si="24"/>
        <v>'Lanç (18)'!$F$46</v>
      </c>
      <c r="AO26" s="163">
        <f t="shared" ca="1" si="4"/>
        <v>0</v>
      </c>
      <c r="AP26" s="2" t="str">
        <f t="shared" si="25"/>
        <v>'Lanç (18)'!$F$47</v>
      </c>
      <c r="AQ26" s="163">
        <f t="shared" ca="1" si="5"/>
        <v>0</v>
      </c>
      <c r="AR26" s="2" t="str">
        <f t="shared" si="26"/>
        <v>'Lanç (18)'!$F$48</v>
      </c>
      <c r="AS26" s="163">
        <f t="shared" ca="1" si="6"/>
        <v>0</v>
      </c>
      <c r="AT26" s="2" t="str">
        <f t="shared" si="27"/>
        <v>'Lanç (18)'!$F$49</v>
      </c>
      <c r="AU26" s="163">
        <f t="shared" ca="1" si="7"/>
        <v>0</v>
      </c>
      <c r="AV26" s="2" t="str">
        <f t="shared" si="28"/>
        <v>'Lanç (18)'!$F$51</v>
      </c>
      <c r="AW26" s="163">
        <f t="shared" ca="1" si="8"/>
        <v>0</v>
      </c>
      <c r="AX26" s="2" t="str">
        <f t="shared" si="29"/>
        <v>'Lanç (18)'!$F$50</v>
      </c>
      <c r="AY26" s="163">
        <f t="shared" ca="1" si="9"/>
        <v>0</v>
      </c>
      <c r="AZ26" s="2" t="str">
        <f t="shared" si="30"/>
        <v>'Lanç (18)'!$F$52</v>
      </c>
      <c r="BA26" s="163">
        <f t="shared" ca="1" si="10"/>
        <v>0</v>
      </c>
      <c r="BB26" s="2" t="str">
        <f t="shared" si="31"/>
        <v>'Lanç (18)'!$F$53</v>
      </c>
      <c r="BC26" s="163">
        <f t="shared" ca="1" si="11"/>
        <v>0</v>
      </c>
      <c r="BD26" s="2" t="str">
        <f t="shared" si="32"/>
        <v>'Lanç (18)'!$F$54</v>
      </c>
      <c r="BE26" s="164">
        <f t="shared" ca="1" si="35"/>
        <v>0</v>
      </c>
      <c r="BF26" s="2" t="str">
        <f t="shared" si="33"/>
        <v>'Lanç (18)'!$F$55</v>
      </c>
      <c r="BG26" s="164">
        <f t="shared" ca="1" si="35"/>
        <v>0</v>
      </c>
    </row>
    <row r="27" spans="3:59" ht="30" customHeight="1" thickTop="1" thickBot="1" x14ac:dyDescent="0.4">
      <c r="C27" s="103" t="s">
        <v>284</v>
      </c>
      <c r="G27" s="68"/>
      <c r="H27" s="68"/>
      <c r="I27" s="68"/>
      <c r="J27" s="68"/>
      <c r="K27" s="68"/>
      <c r="R27" s="2" t="str">
        <f>IF(Funcionários!C25=0,"",Funcionários!C25)</f>
        <v/>
      </c>
      <c r="S27" s="2" t="str">
        <f>IF(R27="","",VLOOKUP(R27,Funcionários!$C$7:$D$36,2,0))</f>
        <v/>
      </c>
      <c r="T27" s="2">
        <v>19</v>
      </c>
      <c r="U27" s="2" t="str">
        <f t="shared" si="17"/>
        <v>'Lanç (19)'!$U$8</v>
      </c>
      <c r="V27" s="163">
        <f t="shared" ca="1" si="13"/>
        <v>0</v>
      </c>
      <c r="W27" s="2" t="str">
        <f t="shared" si="14"/>
        <v>'Lanç (19)'!$F$58</v>
      </c>
      <c r="X27" s="163">
        <f t="shared" ca="1" si="13"/>
        <v>0</v>
      </c>
      <c r="Y27" s="2" t="str">
        <f t="shared" si="15"/>
        <v>'Lanç (19)'!$U$14</v>
      </c>
      <c r="Z27" s="163">
        <f t="shared" ca="1" si="36"/>
        <v>0</v>
      </c>
      <c r="AA27" s="2" t="str">
        <f t="shared" si="18"/>
        <v>'Lanç (19)'!$K$5</v>
      </c>
      <c r="AB27" s="163">
        <f t="shared" ca="1" si="36"/>
        <v>0</v>
      </c>
      <c r="AD27" s="2" t="str">
        <f t="shared" si="19"/>
        <v>'Lanç (19)'!$F$41</v>
      </c>
      <c r="AE27" s="163">
        <f t="shared" ca="1" si="34"/>
        <v>0</v>
      </c>
      <c r="AF27" s="2" t="str">
        <f t="shared" si="20"/>
        <v>'Lanç (19)'!$F$42</v>
      </c>
      <c r="AG27" s="163">
        <f t="shared" ca="1" si="34"/>
        <v>0</v>
      </c>
      <c r="AH27" s="2" t="str">
        <f t="shared" si="21"/>
        <v>'Lanç (19)'!$F$43</v>
      </c>
      <c r="AI27" s="163">
        <f t="shared" ca="1" si="1"/>
        <v>0</v>
      </c>
      <c r="AJ27" s="2" t="str">
        <f t="shared" si="22"/>
        <v>'Lanç (19)'!$F$44</v>
      </c>
      <c r="AK27" s="163">
        <f t="shared" ca="1" si="2"/>
        <v>0</v>
      </c>
      <c r="AL27" s="2" t="str">
        <f t="shared" si="23"/>
        <v>'Lanç (19)'!$F$45</v>
      </c>
      <c r="AM27" s="163">
        <f t="shared" ca="1" si="3"/>
        <v>0</v>
      </c>
      <c r="AN27" s="2" t="str">
        <f t="shared" si="24"/>
        <v>'Lanç (19)'!$F$46</v>
      </c>
      <c r="AO27" s="163">
        <f t="shared" ca="1" si="4"/>
        <v>0</v>
      </c>
      <c r="AP27" s="2" t="str">
        <f t="shared" si="25"/>
        <v>'Lanç (19)'!$F$47</v>
      </c>
      <c r="AQ27" s="163">
        <f t="shared" ca="1" si="5"/>
        <v>0</v>
      </c>
      <c r="AR27" s="2" t="str">
        <f t="shared" si="26"/>
        <v>'Lanç (19)'!$F$48</v>
      </c>
      <c r="AS27" s="163">
        <f t="shared" ca="1" si="6"/>
        <v>0</v>
      </c>
      <c r="AT27" s="2" t="str">
        <f t="shared" si="27"/>
        <v>'Lanç (19)'!$F$49</v>
      </c>
      <c r="AU27" s="163">
        <f t="shared" ca="1" si="7"/>
        <v>0</v>
      </c>
      <c r="AV27" s="2" t="str">
        <f t="shared" si="28"/>
        <v>'Lanç (19)'!$F$51</v>
      </c>
      <c r="AW27" s="163">
        <f t="shared" ca="1" si="8"/>
        <v>0</v>
      </c>
      <c r="AX27" s="2" t="str">
        <f t="shared" si="29"/>
        <v>'Lanç (19)'!$F$50</v>
      </c>
      <c r="AY27" s="163">
        <f t="shared" ca="1" si="9"/>
        <v>0</v>
      </c>
      <c r="AZ27" s="2" t="str">
        <f t="shared" si="30"/>
        <v>'Lanç (19)'!$F$52</v>
      </c>
      <c r="BA27" s="163">
        <f t="shared" ca="1" si="10"/>
        <v>0</v>
      </c>
      <c r="BB27" s="2" t="str">
        <f t="shared" si="31"/>
        <v>'Lanç (19)'!$F$53</v>
      </c>
      <c r="BC27" s="163">
        <f t="shared" ca="1" si="11"/>
        <v>0</v>
      </c>
      <c r="BD27" s="2" t="str">
        <f t="shared" si="32"/>
        <v>'Lanç (19)'!$F$54</v>
      </c>
      <c r="BE27" s="164">
        <f t="shared" ca="1" si="35"/>
        <v>0</v>
      </c>
      <c r="BF27" s="2" t="str">
        <f t="shared" si="33"/>
        <v>'Lanç (19)'!$F$55</v>
      </c>
      <c r="BG27" s="164">
        <f t="shared" ca="1" si="35"/>
        <v>0</v>
      </c>
    </row>
    <row r="28" spans="3:59" ht="30" customHeight="1" thickTop="1" thickBot="1" x14ac:dyDescent="0.25">
      <c r="C28" s="303" t="s">
        <v>75</v>
      </c>
      <c r="D28" s="303"/>
      <c r="E28" s="303"/>
      <c r="F28" s="181" t="str">
        <f>IF($D$9="","",F12*24*$D$9*'P Gerais'!$C$14)</f>
        <v/>
      </c>
      <c r="G28" s="2">
        <v>13</v>
      </c>
      <c r="H28" s="303" t="s">
        <v>80</v>
      </c>
      <c r="I28" s="303"/>
      <c r="J28" s="303"/>
      <c r="K28" s="181" t="str">
        <f>IF($D$9="","",K12*24*$D$9*'P Gerais'!$I$14)</f>
        <v/>
      </c>
      <c r="R28" s="2" t="str">
        <f>IF(Funcionários!C26=0,"",Funcionários!C26)</f>
        <v/>
      </c>
      <c r="S28" s="2" t="str">
        <f>IF(R28="","",VLOOKUP(R28,Funcionários!$C$7:$D$36,2,0))</f>
        <v/>
      </c>
      <c r="T28" s="2">
        <v>20</v>
      </c>
      <c r="U28" s="2" t="str">
        <f t="shared" si="17"/>
        <v>'Lanç (20)'!$U$8</v>
      </c>
      <c r="V28" s="163">
        <f t="shared" ca="1" si="13"/>
        <v>0</v>
      </c>
      <c r="W28" s="2" t="str">
        <f t="shared" si="14"/>
        <v>'Lanç (20)'!$F$58</v>
      </c>
      <c r="X28" s="163">
        <f t="shared" ca="1" si="13"/>
        <v>0</v>
      </c>
      <c r="Y28" s="2" t="str">
        <f t="shared" si="15"/>
        <v>'Lanç (20)'!$U$14</v>
      </c>
      <c r="Z28" s="163">
        <f t="shared" ca="1" si="36"/>
        <v>0</v>
      </c>
      <c r="AA28" s="2" t="str">
        <f t="shared" si="18"/>
        <v>'Lanç (20)'!$K$5</v>
      </c>
      <c r="AB28" s="163">
        <f t="shared" ca="1" si="36"/>
        <v>0</v>
      </c>
      <c r="AD28" s="2" t="str">
        <f t="shared" si="19"/>
        <v>'Lanç (20)'!$F$41</v>
      </c>
      <c r="AE28" s="163">
        <f t="shared" ca="1" si="34"/>
        <v>0</v>
      </c>
      <c r="AF28" s="2" t="str">
        <f t="shared" si="20"/>
        <v>'Lanç (20)'!$F$42</v>
      </c>
      <c r="AG28" s="163">
        <f t="shared" ca="1" si="34"/>
        <v>0</v>
      </c>
      <c r="AH28" s="2" t="str">
        <f t="shared" si="21"/>
        <v>'Lanç (20)'!$F$43</v>
      </c>
      <c r="AI28" s="163">
        <f t="shared" ca="1" si="1"/>
        <v>0</v>
      </c>
      <c r="AJ28" s="2" t="str">
        <f t="shared" si="22"/>
        <v>'Lanç (20)'!$F$44</v>
      </c>
      <c r="AK28" s="163">
        <f t="shared" ca="1" si="2"/>
        <v>0</v>
      </c>
      <c r="AL28" s="2" t="str">
        <f t="shared" si="23"/>
        <v>'Lanç (20)'!$F$45</v>
      </c>
      <c r="AM28" s="163">
        <f t="shared" ca="1" si="3"/>
        <v>0</v>
      </c>
      <c r="AN28" s="2" t="str">
        <f t="shared" si="24"/>
        <v>'Lanç (20)'!$F$46</v>
      </c>
      <c r="AO28" s="163">
        <f t="shared" ca="1" si="4"/>
        <v>0</v>
      </c>
      <c r="AP28" s="2" t="str">
        <f t="shared" si="25"/>
        <v>'Lanç (20)'!$F$47</v>
      </c>
      <c r="AQ28" s="163">
        <f t="shared" ca="1" si="5"/>
        <v>0</v>
      </c>
      <c r="AR28" s="2" t="str">
        <f t="shared" si="26"/>
        <v>'Lanç (20)'!$F$48</v>
      </c>
      <c r="AS28" s="163">
        <f t="shared" ca="1" si="6"/>
        <v>0</v>
      </c>
      <c r="AT28" s="2" t="str">
        <f t="shared" si="27"/>
        <v>'Lanç (20)'!$F$49</v>
      </c>
      <c r="AU28" s="163">
        <f t="shared" ca="1" si="7"/>
        <v>0</v>
      </c>
      <c r="AV28" s="2" t="str">
        <f t="shared" si="28"/>
        <v>'Lanç (20)'!$F$51</v>
      </c>
      <c r="AW28" s="163">
        <f t="shared" ca="1" si="8"/>
        <v>0</v>
      </c>
      <c r="AX28" s="2" t="str">
        <f t="shared" si="29"/>
        <v>'Lanç (20)'!$F$50</v>
      </c>
      <c r="AY28" s="163">
        <f t="shared" ca="1" si="9"/>
        <v>0</v>
      </c>
      <c r="AZ28" s="2" t="str">
        <f t="shared" si="30"/>
        <v>'Lanç (20)'!$F$52</v>
      </c>
      <c r="BA28" s="163">
        <f t="shared" ca="1" si="10"/>
        <v>0</v>
      </c>
      <c r="BB28" s="2" t="str">
        <f t="shared" si="31"/>
        <v>'Lanç (20)'!$F$53</v>
      </c>
      <c r="BC28" s="163">
        <f t="shared" ca="1" si="11"/>
        <v>0</v>
      </c>
      <c r="BD28" s="2" t="str">
        <f t="shared" si="32"/>
        <v>'Lanç (20)'!$F$54</v>
      </c>
      <c r="BE28" s="164">
        <f t="shared" ca="1" si="35"/>
        <v>0</v>
      </c>
      <c r="BF28" s="2" t="str">
        <f t="shared" si="33"/>
        <v>'Lanç (20)'!$F$55</v>
      </c>
      <c r="BG28" s="164">
        <f t="shared" ca="1" si="35"/>
        <v>0</v>
      </c>
    </row>
    <row r="29" spans="3:59" ht="5" customHeight="1" thickTop="1" thickBot="1" x14ac:dyDescent="0.25">
      <c r="F29" s="99"/>
      <c r="G29" s="2"/>
      <c r="H29"/>
      <c r="I29"/>
      <c r="J29"/>
      <c r="K29" s="99"/>
      <c r="L29" s="18"/>
      <c r="M29" s="18"/>
      <c r="N29" s="18"/>
      <c r="R29" s="2" t="str">
        <f>IF(Funcionários!C27=0,"",Funcionários!C27)</f>
        <v/>
      </c>
      <c r="S29" s="2" t="str">
        <f>IF(R29="","",VLOOKUP(R29,Funcionários!$C$7:$D$36,2,0))</f>
        <v/>
      </c>
      <c r="T29" s="2">
        <v>21</v>
      </c>
      <c r="U29" s="2" t="str">
        <f t="shared" si="17"/>
        <v>'Lanç (21)'!$U$8</v>
      </c>
      <c r="V29" s="163">
        <f t="shared" ca="1" si="13"/>
        <v>0</v>
      </c>
      <c r="W29" s="2" t="str">
        <f t="shared" si="14"/>
        <v>'Lanç (21)'!$F$58</v>
      </c>
      <c r="X29" s="163">
        <f t="shared" ca="1" si="13"/>
        <v>0</v>
      </c>
      <c r="Y29" s="2" t="str">
        <f t="shared" si="15"/>
        <v>'Lanç (21)'!$U$14</v>
      </c>
      <c r="Z29" s="163">
        <f t="shared" ca="1" si="36"/>
        <v>0</v>
      </c>
      <c r="AA29" s="2" t="str">
        <f t="shared" si="18"/>
        <v>'Lanç (21)'!$K$5</v>
      </c>
      <c r="AB29" s="163">
        <f t="shared" ca="1" si="36"/>
        <v>0</v>
      </c>
      <c r="AD29" s="2" t="str">
        <f t="shared" si="19"/>
        <v>'Lanç (21)'!$F$41</v>
      </c>
      <c r="AE29" s="163">
        <f t="shared" ca="1" si="34"/>
        <v>0</v>
      </c>
      <c r="AF29" s="2" t="str">
        <f t="shared" si="20"/>
        <v>'Lanç (21)'!$F$42</v>
      </c>
      <c r="AG29" s="163">
        <f t="shared" ca="1" si="34"/>
        <v>0</v>
      </c>
      <c r="AH29" s="2" t="str">
        <f t="shared" si="21"/>
        <v>'Lanç (21)'!$F$43</v>
      </c>
      <c r="AI29" s="163">
        <f t="shared" ca="1" si="1"/>
        <v>0</v>
      </c>
      <c r="AJ29" s="2" t="str">
        <f t="shared" si="22"/>
        <v>'Lanç (21)'!$F$44</v>
      </c>
      <c r="AK29" s="163">
        <f t="shared" ca="1" si="2"/>
        <v>0</v>
      </c>
      <c r="AL29" s="2" t="str">
        <f t="shared" si="23"/>
        <v>'Lanç (21)'!$F$45</v>
      </c>
      <c r="AM29" s="163">
        <f t="shared" ca="1" si="3"/>
        <v>0</v>
      </c>
      <c r="AN29" s="2" t="str">
        <f t="shared" si="24"/>
        <v>'Lanç (21)'!$F$46</v>
      </c>
      <c r="AO29" s="163">
        <f t="shared" ca="1" si="4"/>
        <v>0</v>
      </c>
      <c r="AP29" s="2" t="str">
        <f t="shared" si="25"/>
        <v>'Lanç (21)'!$F$47</v>
      </c>
      <c r="AQ29" s="163">
        <f t="shared" ca="1" si="5"/>
        <v>0</v>
      </c>
      <c r="AR29" s="2" t="str">
        <f t="shared" si="26"/>
        <v>'Lanç (21)'!$F$48</v>
      </c>
      <c r="AS29" s="163">
        <f t="shared" ca="1" si="6"/>
        <v>0</v>
      </c>
      <c r="AT29" s="2" t="str">
        <f t="shared" si="27"/>
        <v>'Lanç (21)'!$F$49</v>
      </c>
      <c r="AU29" s="163">
        <f t="shared" ca="1" si="7"/>
        <v>0</v>
      </c>
      <c r="AV29" s="2" t="str">
        <f t="shared" si="28"/>
        <v>'Lanç (21)'!$F$51</v>
      </c>
      <c r="AW29" s="163">
        <f t="shared" ca="1" si="8"/>
        <v>0</v>
      </c>
      <c r="AX29" s="2" t="str">
        <f t="shared" si="29"/>
        <v>'Lanç (21)'!$F$50</v>
      </c>
      <c r="AY29" s="163">
        <f t="shared" ca="1" si="9"/>
        <v>0</v>
      </c>
      <c r="AZ29" s="2" t="str">
        <f t="shared" si="30"/>
        <v>'Lanç (21)'!$F$52</v>
      </c>
      <c r="BA29" s="163">
        <f t="shared" ca="1" si="10"/>
        <v>0</v>
      </c>
      <c r="BB29" s="2" t="str">
        <f t="shared" si="31"/>
        <v>'Lanç (21)'!$F$53</v>
      </c>
      <c r="BC29" s="163">
        <f t="shared" ca="1" si="11"/>
        <v>0</v>
      </c>
      <c r="BD29" s="2" t="str">
        <f t="shared" si="32"/>
        <v>'Lanç (21)'!$F$54</v>
      </c>
      <c r="BE29" s="164">
        <f t="shared" ca="1" si="35"/>
        <v>0</v>
      </c>
      <c r="BF29" s="2" t="str">
        <f t="shared" si="33"/>
        <v>'Lanç (21)'!$F$55</v>
      </c>
      <c r="BG29" s="164">
        <f t="shared" ca="1" si="35"/>
        <v>0</v>
      </c>
    </row>
    <row r="30" spans="3:59" ht="30" customHeight="1" thickTop="1" thickBot="1" x14ac:dyDescent="0.25">
      <c r="C30" s="303" t="s">
        <v>76</v>
      </c>
      <c r="D30" s="303"/>
      <c r="E30" s="303"/>
      <c r="F30" s="181" t="str">
        <f>IF($D$9="","",F14*24*$D$9*'P Gerais'!$C$14)</f>
        <v/>
      </c>
      <c r="G30" s="2">
        <v>15</v>
      </c>
      <c r="H30" s="304" t="s">
        <v>146</v>
      </c>
      <c r="I30" s="304"/>
      <c r="J30" s="304"/>
      <c r="K30" s="181" t="str">
        <f>IF($D$9="","",K14*24*$D$9*'P Gerais'!$H$14)</f>
        <v/>
      </c>
      <c r="R30" s="2" t="str">
        <f>IF(Funcionários!C28=0,"",Funcionários!C28)</f>
        <v/>
      </c>
      <c r="S30" s="2" t="str">
        <f>IF(R30="","",VLOOKUP(R30,Funcionários!$C$7:$D$36,2,0))</f>
        <v/>
      </c>
      <c r="T30" s="2">
        <v>22</v>
      </c>
      <c r="U30" s="2" t="str">
        <f t="shared" si="17"/>
        <v>'Lanç (22)'!$U$8</v>
      </c>
      <c r="V30" s="163">
        <f t="shared" ca="1" si="13"/>
        <v>0</v>
      </c>
      <c r="W30" s="2" t="str">
        <f t="shared" si="14"/>
        <v>'Lanç (22)'!$F$58</v>
      </c>
      <c r="X30" s="163">
        <f t="shared" ca="1" si="13"/>
        <v>0</v>
      </c>
      <c r="Y30" s="2" t="str">
        <f t="shared" si="15"/>
        <v>'Lanç (22)'!$U$14</v>
      </c>
      <c r="Z30" s="163">
        <f t="shared" ca="1" si="36"/>
        <v>0</v>
      </c>
      <c r="AA30" s="2" t="str">
        <f t="shared" si="18"/>
        <v>'Lanç (22)'!$K$5</v>
      </c>
      <c r="AB30" s="163">
        <f t="shared" ca="1" si="36"/>
        <v>0</v>
      </c>
      <c r="AD30" s="2" t="str">
        <f t="shared" si="19"/>
        <v>'Lanç (22)'!$F$41</v>
      </c>
      <c r="AE30" s="163">
        <f t="shared" ca="1" si="34"/>
        <v>0</v>
      </c>
      <c r="AF30" s="2" t="str">
        <f t="shared" si="20"/>
        <v>'Lanç (22)'!$F$42</v>
      </c>
      <c r="AG30" s="163">
        <f t="shared" ca="1" si="34"/>
        <v>0</v>
      </c>
      <c r="AH30" s="2" t="str">
        <f t="shared" si="21"/>
        <v>'Lanç (22)'!$F$43</v>
      </c>
      <c r="AI30" s="163">
        <f t="shared" ca="1" si="1"/>
        <v>0</v>
      </c>
      <c r="AJ30" s="2" t="str">
        <f t="shared" si="22"/>
        <v>'Lanç (22)'!$F$44</v>
      </c>
      <c r="AK30" s="163">
        <f t="shared" ca="1" si="2"/>
        <v>0</v>
      </c>
      <c r="AL30" s="2" t="str">
        <f t="shared" si="23"/>
        <v>'Lanç (22)'!$F$45</v>
      </c>
      <c r="AM30" s="163">
        <f t="shared" ca="1" si="3"/>
        <v>0</v>
      </c>
      <c r="AN30" s="2" t="str">
        <f t="shared" si="24"/>
        <v>'Lanç (22)'!$F$46</v>
      </c>
      <c r="AO30" s="163">
        <f t="shared" ca="1" si="4"/>
        <v>0</v>
      </c>
      <c r="AP30" s="2" t="str">
        <f t="shared" si="25"/>
        <v>'Lanç (22)'!$F$47</v>
      </c>
      <c r="AQ30" s="163">
        <f t="shared" ca="1" si="5"/>
        <v>0</v>
      </c>
      <c r="AR30" s="2" t="str">
        <f t="shared" si="26"/>
        <v>'Lanç (22)'!$F$48</v>
      </c>
      <c r="AS30" s="163">
        <f t="shared" ca="1" si="6"/>
        <v>0</v>
      </c>
      <c r="AT30" s="2" t="str">
        <f t="shared" si="27"/>
        <v>'Lanç (22)'!$F$49</v>
      </c>
      <c r="AU30" s="163">
        <f t="shared" ca="1" si="7"/>
        <v>0</v>
      </c>
      <c r="AV30" s="2" t="str">
        <f t="shared" si="28"/>
        <v>'Lanç (22)'!$F$51</v>
      </c>
      <c r="AW30" s="163">
        <f t="shared" ca="1" si="8"/>
        <v>0</v>
      </c>
      <c r="AX30" s="2" t="str">
        <f t="shared" si="29"/>
        <v>'Lanç (22)'!$F$50</v>
      </c>
      <c r="AY30" s="163">
        <f t="shared" ca="1" si="9"/>
        <v>0</v>
      </c>
      <c r="AZ30" s="2" t="str">
        <f t="shared" si="30"/>
        <v>'Lanç (22)'!$F$52</v>
      </c>
      <c r="BA30" s="163">
        <f t="shared" ca="1" si="10"/>
        <v>0</v>
      </c>
      <c r="BB30" s="2" t="str">
        <f t="shared" si="31"/>
        <v>'Lanç (22)'!$F$53</v>
      </c>
      <c r="BC30" s="163">
        <f t="shared" ca="1" si="11"/>
        <v>0</v>
      </c>
      <c r="BD30" s="2" t="str">
        <f t="shared" si="32"/>
        <v>'Lanç (22)'!$F$54</v>
      </c>
      <c r="BE30" s="164">
        <f t="shared" ca="1" si="35"/>
        <v>0</v>
      </c>
      <c r="BF30" s="2" t="str">
        <f t="shared" si="33"/>
        <v>'Lanç (22)'!$F$55</v>
      </c>
      <c r="BG30" s="164">
        <f t="shared" ca="1" si="35"/>
        <v>0</v>
      </c>
    </row>
    <row r="31" spans="3:59" ht="5" customHeight="1" thickTop="1" thickBot="1" x14ac:dyDescent="0.25">
      <c r="F31" s="99"/>
      <c r="G31" s="2"/>
      <c r="H31"/>
      <c r="I31"/>
      <c r="J31"/>
      <c r="K31" s="99"/>
      <c r="R31" s="2" t="str">
        <f>IF(Funcionários!C29=0,"",Funcionários!C29)</f>
        <v/>
      </c>
      <c r="S31" s="2" t="str">
        <f>IF(R31="","",VLOOKUP(R31,Funcionários!$C$7:$D$36,2,0))</f>
        <v/>
      </c>
      <c r="T31" s="2">
        <v>23</v>
      </c>
      <c r="U31" s="2" t="str">
        <f t="shared" si="17"/>
        <v>'Lanç (23)'!$U$8</v>
      </c>
      <c r="V31" s="163">
        <f t="shared" ca="1" si="13"/>
        <v>0</v>
      </c>
      <c r="W31" s="2" t="str">
        <f t="shared" si="14"/>
        <v>'Lanç (23)'!$F$58</v>
      </c>
      <c r="X31" s="163">
        <f t="shared" ca="1" si="13"/>
        <v>0</v>
      </c>
      <c r="Y31" s="2" t="str">
        <f t="shared" si="15"/>
        <v>'Lanç (23)'!$U$14</v>
      </c>
      <c r="Z31" s="163">
        <f t="shared" ca="1" si="36"/>
        <v>0</v>
      </c>
      <c r="AA31" s="2" t="str">
        <f t="shared" si="18"/>
        <v>'Lanç (23)'!$K$5</v>
      </c>
      <c r="AB31" s="163">
        <f t="shared" ca="1" si="36"/>
        <v>0</v>
      </c>
      <c r="AD31" s="2" t="str">
        <f t="shared" si="19"/>
        <v>'Lanç (23)'!$F$41</v>
      </c>
      <c r="AE31" s="163">
        <f t="shared" ca="1" si="34"/>
        <v>0</v>
      </c>
      <c r="AF31" s="2" t="str">
        <f t="shared" si="20"/>
        <v>'Lanç (23)'!$F$42</v>
      </c>
      <c r="AG31" s="163">
        <f t="shared" ca="1" si="34"/>
        <v>0</v>
      </c>
      <c r="AH31" s="2" t="str">
        <f t="shared" si="21"/>
        <v>'Lanç (23)'!$F$43</v>
      </c>
      <c r="AI31" s="163">
        <f t="shared" ca="1" si="1"/>
        <v>0</v>
      </c>
      <c r="AJ31" s="2" t="str">
        <f t="shared" si="22"/>
        <v>'Lanç (23)'!$F$44</v>
      </c>
      <c r="AK31" s="163">
        <f t="shared" ca="1" si="2"/>
        <v>0</v>
      </c>
      <c r="AL31" s="2" t="str">
        <f t="shared" si="23"/>
        <v>'Lanç (23)'!$F$45</v>
      </c>
      <c r="AM31" s="163">
        <f t="shared" ca="1" si="3"/>
        <v>0</v>
      </c>
      <c r="AN31" s="2" t="str">
        <f t="shared" si="24"/>
        <v>'Lanç (23)'!$F$46</v>
      </c>
      <c r="AO31" s="163">
        <f t="shared" ca="1" si="4"/>
        <v>0</v>
      </c>
      <c r="AP31" s="2" t="str">
        <f t="shared" si="25"/>
        <v>'Lanç (23)'!$F$47</v>
      </c>
      <c r="AQ31" s="163">
        <f t="shared" ca="1" si="5"/>
        <v>0</v>
      </c>
      <c r="AR31" s="2" t="str">
        <f t="shared" si="26"/>
        <v>'Lanç (23)'!$F$48</v>
      </c>
      <c r="AS31" s="163">
        <f t="shared" ca="1" si="6"/>
        <v>0</v>
      </c>
      <c r="AT31" s="2" t="str">
        <f t="shared" si="27"/>
        <v>'Lanç (23)'!$F$49</v>
      </c>
      <c r="AU31" s="163">
        <f t="shared" ca="1" si="7"/>
        <v>0</v>
      </c>
      <c r="AV31" s="2" t="str">
        <f t="shared" si="28"/>
        <v>'Lanç (23)'!$F$51</v>
      </c>
      <c r="AW31" s="163">
        <f t="shared" ca="1" si="8"/>
        <v>0</v>
      </c>
      <c r="AX31" s="2" t="str">
        <f t="shared" si="29"/>
        <v>'Lanç (23)'!$F$50</v>
      </c>
      <c r="AY31" s="163">
        <f t="shared" ca="1" si="9"/>
        <v>0</v>
      </c>
      <c r="AZ31" s="2" t="str">
        <f t="shared" si="30"/>
        <v>'Lanç (23)'!$F$52</v>
      </c>
      <c r="BA31" s="163">
        <f t="shared" ca="1" si="10"/>
        <v>0</v>
      </c>
      <c r="BB31" s="2" t="str">
        <f t="shared" si="31"/>
        <v>'Lanç (23)'!$F$53</v>
      </c>
      <c r="BC31" s="163">
        <f t="shared" ca="1" si="11"/>
        <v>0</v>
      </c>
      <c r="BD31" s="2" t="str">
        <f t="shared" si="32"/>
        <v>'Lanç (23)'!$F$54</v>
      </c>
      <c r="BE31" s="164">
        <f t="shared" ca="1" si="35"/>
        <v>0</v>
      </c>
      <c r="BF31" s="2" t="str">
        <f t="shared" si="33"/>
        <v>'Lanç (23)'!$F$55</v>
      </c>
      <c r="BG31" s="164">
        <f t="shared" ca="1" si="35"/>
        <v>0</v>
      </c>
    </row>
    <row r="32" spans="3:59" ht="30" customHeight="1" thickTop="1" thickBot="1" x14ac:dyDescent="0.25">
      <c r="C32" s="303" t="s">
        <v>77</v>
      </c>
      <c r="D32" s="303"/>
      <c r="E32" s="303"/>
      <c r="F32" s="181" t="str">
        <f>IF($D$9="","",F16*24*$D$9*'P Gerais'!$C$14)</f>
        <v/>
      </c>
      <c r="G32" s="2">
        <v>17</v>
      </c>
      <c r="H32" s="303" t="s">
        <v>147</v>
      </c>
      <c r="I32" s="303"/>
      <c r="J32" s="303"/>
      <c r="K32" s="181" t="str">
        <f>IF($D$9="","",K16*24*$D$9*'P Gerais'!$C$17)</f>
        <v/>
      </c>
      <c r="R32" s="2" t="str">
        <f>IF(Funcionários!C30=0,"",Funcionários!C30)</f>
        <v/>
      </c>
      <c r="S32" s="2" t="str">
        <f>IF(R32="","",VLOOKUP(R32,Funcionários!$C$7:$D$36,2,0))</f>
        <v/>
      </c>
      <c r="T32" s="2">
        <v>24</v>
      </c>
      <c r="U32" s="2" t="str">
        <f t="shared" si="17"/>
        <v>'Lanç (24)'!$U$8</v>
      </c>
      <c r="V32" s="163">
        <f t="shared" ca="1" si="13"/>
        <v>0</v>
      </c>
      <c r="W32" s="2" t="str">
        <f t="shared" si="14"/>
        <v>'Lanç (24)'!$F$58</v>
      </c>
      <c r="X32" s="163">
        <f t="shared" ca="1" si="13"/>
        <v>0</v>
      </c>
      <c r="Y32" s="2" t="str">
        <f t="shared" si="15"/>
        <v>'Lanç (24)'!$U$14</v>
      </c>
      <c r="Z32" s="163">
        <f t="shared" ca="1" si="36"/>
        <v>0</v>
      </c>
      <c r="AA32" s="2" t="str">
        <f t="shared" si="18"/>
        <v>'Lanç (24)'!$K$5</v>
      </c>
      <c r="AB32" s="163">
        <f t="shared" ca="1" si="36"/>
        <v>0</v>
      </c>
      <c r="AD32" s="2" t="str">
        <f t="shared" si="19"/>
        <v>'Lanç (24)'!$F$41</v>
      </c>
      <c r="AE32" s="163">
        <f t="shared" ca="1" si="34"/>
        <v>0</v>
      </c>
      <c r="AF32" s="2" t="str">
        <f t="shared" si="20"/>
        <v>'Lanç (24)'!$F$42</v>
      </c>
      <c r="AG32" s="163">
        <f t="shared" ca="1" si="34"/>
        <v>0</v>
      </c>
      <c r="AH32" s="2" t="str">
        <f t="shared" si="21"/>
        <v>'Lanç (24)'!$F$43</v>
      </c>
      <c r="AI32" s="163">
        <f t="shared" ca="1" si="1"/>
        <v>0</v>
      </c>
      <c r="AJ32" s="2" t="str">
        <f t="shared" si="22"/>
        <v>'Lanç (24)'!$F$44</v>
      </c>
      <c r="AK32" s="163">
        <f t="shared" ca="1" si="2"/>
        <v>0</v>
      </c>
      <c r="AL32" s="2" t="str">
        <f t="shared" si="23"/>
        <v>'Lanç (24)'!$F$45</v>
      </c>
      <c r="AM32" s="163">
        <f t="shared" ca="1" si="3"/>
        <v>0</v>
      </c>
      <c r="AN32" s="2" t="str">
        <f t="shared" si="24"/>
        <v>'Lanç (24)'!$F$46</v>
      </c>
      <c r="AO32" s="163">
        <f t="shared" ca="1" si="4"/>
        <v>0</v>
      </c>
      <c r="AP32" s="2" t="str">
        <f t="shared" si="25"/>
        <v>'Lanç (24)'!$F$47</v>
      </c>
      <c r="AQ32" s="163">
        <f t="shared" ca="1" si="5"/>
        <v>0</v>
      </c>
      <c r="AR32" s="2" t="str">
        <f t="shared" si="26"/>
        <v>'Lanç (24)'!$F$48</v>
      </c>
      <c r="AS32" s="163">
        <f t="shared" ca="1" si="6"/>
        <v>0</v>
      </c>
      <c r="AT32" s="2" t="str">
        <f t="shared" si="27"/>
        <v>'Lanç (24)'!$F$49</v>
      </c>
      <c r="AU32" s="163">
        <f t="shared" ca="1" si="7"/>
        <v>0</v>
      </c>
      <c r="AV32" s="2" t="str">
        <f t="shared" si="28"/>
        <v>'Lanç (24)'!$F$51</v>
      </c>
      <c r="AW32" s="163">
        <f t="shared" ca="1" si="8"/>
        <v>0</v>
      </c>
      <c r="AX32" s="2" t="str">
        <f t="shared" si="29"/>
        <v>'Lanç (24)'!$F$50</v>
      </c>
      <c r="AY32" s="163">
        <f t="shared" ca="1" si="9"/>
        <v>0</v>
      </c>
      <c r="AZ32" s="2" t="str">
        <f t="shared" si="30"/>
        <v>'Lanç (24)'!$F$52</v>
      </c>
      <c r="BA32" s="163">
        <f t="shared" ca="1" si="10"/>
        <v>0</v>
      </c>
      <c r="BB32" s="2" t="str">
        <f t="shared" si="31"/>
        <v>'Lanç (24)'!$F$53</v>
      </c>
      <c r="BC32" s="163">
        <f t="shared" ca="1" si="11"/>
        <v>0</v>
      </c>
      <c r="BD32" s="2" t="str">
        <f t="shared" si="32"/>
        <v>'Lanç (24)'!$F$54</v>
      </c>
      <c r="BE32" s="164">
        <f t="shared" ca="1" si="35"/>
        <v>0</v>
      </c>
      <c r="BF32" s="2" t="str">
        <f t="shared" si="33"/>
        <v>'Lanç (24)'!$F$55</v>
      </c>
      <c r="BG32" s="164">
        <f t="shared" ca="1" si="35"/>
        <v>0</v>
      </c>
    </row>
    <row r="33" spans="1:59" ht="5" customHeight="1" thickTop="1" thickBot="1" x14ac:dyDescent="0.25">
      <c r="F33" s="99"/>
      <c r="G33" s="2"/>
      <c r="H33"/>
      <c r="I33"/>
      <c r="J33"/>
      <c r="K33" s="99"/>
      <c r="R33" s="2" t="str">
        <f>IF(Funcionários!C31=0,"",Funcionários!C31)</f>
        <v/>
      </c>
      <c r="S33" s="2" t="str">
        <f>IF(R33="","",VLOOKUP(R33,Funcionários!$C$7:$D$36,2,0))</f>
        <v/>
      </c>
      <c r="T33" s="2">
        <v>25</v>
      </c>
      <c r="U33" s="2" t="str">
        <f t="shared" si="17"/>
        <v>'Lanç (25)'!$U$8</v>
      </c>
      <c r="V33" s="163">
        <f t="shared" ca="1" si="13"/>
        <v>0</v>
      </c>
      <c r="W33" s="2" t="str">
        <f t="shared" si="14"/>
        <v>'Lanç (25)'!$F$58</v>
      </c>
      <c r="X33" s="163">
        <f t="shared" ca="1" si="13"/>
        <v>0</v>
      </c>
      <c r="Y33" s="2" t="str">
        <f t="shared" si="15"/>
        <v>'Lanç (25)'!$U$14</v>
      </c>
      <c r="Z33" s="163">
        <f t="shared" ca="1" si="36"/>
        <v>0</v>
      </c>
      <c r="AA33" s="2" t="str">
        <f t="shared" si="18"/>
        <v>'Lanç (25)'!$K$5</v>
      </c>
      <c r="AB33" s="163">
        <f t="shared" ca="1" si="36"/>
        <v>0</v>
      </c>
      <c r="AD33" s="2" t="str">
        <f t="shared" si="19"/>
        <v>'Lanç (25)'!$F$41</v>
      </c>
      <c r="AE33" s="163">
        <f t="shared" ca="1" si="34"/>
        <v>0</v>
      </c>
      <c r="AF33" s="2" t="str">
        <f t="shared" si="20"/>
        <v>'Lanç (25)'!$F$42</v>
      </c>
      <c r="AG33" s="163">
        <f t="shared" ca="1" si="34"/>
        <v>0</v>
      </c>
      <c r="AH33" s="2" t="str">
        <f t="shared" si="21"/>
        <v>'Lanç (25)'!$F$43</v>
      </c>
      <c r="AI33" s="163">
        <f t="shared" ca="1" si="1"/>
        <v>0</v>
      </c>
      <c r="AJ33" s="2" t="str">
        <f t="shared" si="22"/>
        <v>'Lanç (25)'!$F$44</v>
      </c>
      <c r="AK33" s="163">
        <f t="shared" ca="1" si="2"/>
        <v>0</v>
      </c>
      <c r="AL33" s="2" t="str">
        <f t="shared" si="23"/>
        <v>'Lanç (25)'!$F$45</v>
      </c>
      <c r="AM33" s="163">
        <f t="shared" ca="1" si="3"/>
        <v>0</v>
      </c>
      <c r="AN33" s="2" t="str">
        <f t="shared" si="24"/>
        <v>'Lanç (25)'!$F$46</v>
      </c>
      <c r="AO33" s="163">
        <f t="shared" ca="1" si="4"/>
        <v>0</v>
      </c>
      <c r="AP33" s="2" t="str">
        <f t="shared" si="25"/>
        <v>'Lanç (25)'!$F$47</v>
      </c>
      <c r="AQ33" s="163">
        <f t="shared" ca="1" si="5"/>
        <v>0</v>
      </c>
      <c r="AR33" s="2" t="str">
        <f t="shared" si="26"/>
        <v>'Lanç (25)'!$F$48</v>
      </c>
      <c r="AS33" s="163">
        <f t="shared" ca="1" si="6"/>
        <v>0</v>
      </c>
      <c r="AT33" s="2" t="str">
        <f t="shared" si="27"/>
        <v>'Lanç (25)'!$F$49</v>
      </c>
      <c r="AU33" s="163">
        <f t="shared" ca="1" si="7"/>
        <v>0</v>
      </c>
      <c r="AV33" s="2" t="str">
        <f t="shared" si="28"/>
        <v>'Lanç (25)'!$F$51</v>
      </c>
      <c r="AW33" s="163">
        <f t="shared" ca="1" si="8"/>
        <v>0</v>
      </c>
      <c r="AX33" s="2" t="str">
        <f t="shared" si="29"/>
        <v>'Lanç (25)'!$F$50</v>
      </c>
      <c r="AY33" s="163">
        <f t="shared" ca="1" si="9"/>
        <v>0</v>
      </c>
      <c r="AZ33" s="2" t="str">
        <f t="shared" si="30"/>
        <v>'Lanç (25)'!$F$52</v>
      </c>
      <c r="BA33" s="163">
        <f t="shared" ca="1" si="10"/>
        <v>0</v>
      </c>
      <c r="BB33" s="2" t="str">
        <f t="shared" si="31"/>
        <v>'Lanç (25)'!$F$53</v>
      </c>
      <c r="BC33" s="163">
        <f t="shared" ca="1" si="11"/>
        <v>0</v>
      </c>
      <c r="BD33" s="2" t="str">
        <f t="shared" si="32"/>
        <v>'Lanç (25)'!$F$54</v>
      </c>
      <c r="BE33" s="164">
        <f t="shared" ca="1" si="35"/>
        <v>0</v>
      </c>
      <c r="BF33" s="2" t="str">
        <f t="shared" si="33"/>
        <v>'Lanç (25)'!$F$55</v>
      </c>
      <c r="BG33" s="164">
        <f t="shared" ca="1" si="35"/>
        <v>0</v>
      </c>
    </row>
    <row r="34" spans="1:59" ht="30" customHeight="1" thickTop="1" thickBot="1" x14ac:dyDescent="0.25">
      <c r="C34" s="303" t="s">
        <v>78</v>
      </c>
      <c r="D34" s="303"/>
      <c r="E34" s="303"/>
      <c r="F34" s="181" t="str">
        <f>IF($D$9="","",F18*24*$D$9*'P Gerais'!$C$14)</f>
        <v/>
      </c>
      <c r="G34" s="2">
        <v>19</v>
      </c>
      <c r="H34" s="303" t="s">
        <v>84</v>
      </c>
      <c r="I34" s="303"/>
      <c r="J34" s="303"/>
      <c r="K34" s="181" t="str">
        <f>IF($D$9="","",K18*24*$D$9*'P Gerais'!$I$17)</f>
        <v/>
      </c>
      <c r="R34" s="2" t="str">
        <f>IF(Funcionários!C32=0,"",Funcionários!C32)</f>
        <v/>
      </c>
      <c r="S34" s="2" t="str">
        <f>IF(R34="","",VLOOKUP(R34,Funcionários!$C$7:$D$36,2,0))</f>
        <v/>
      </c>
      <c r="T34" s="2">
        <v>26</v>
      </c>
      <c r="U34" s="2" t="str">
        <f t="shared" si="17"/>
        <v>'Lanç (26)'!$U$8</v>
      </c>
      <c r="V34" s="163">
        <f t="shared" ca="1" si="13"/>
        <v>0</v>
      </c>
      <c r="W34" s="2" t="str">
        <f t="shared" si="14"/>
        <v>'Lanç (26)'!$F$58</v>
      </c>
      <c r="X34" s="163">
        <f t="shared" ca="1" si="13"/>
        <v>0</v>
      </c>
      <c r="Y34" s="2" t="str">
        <f t="shared" si="15"/>
        <v>'Lanç (26)'!$U$14</v>
      </c>
      <c r="Z34" s="163">
        <f t="shared" ca="1" si="36"/>
        <v>0</v>
      </c>
      <c r="AA34" s="2" t="str">
        <f t="shared" si="18"/>
        <v>'Lanç (26)'!$K$5</v>
      </c>
      <c r="AB34" s="163">
        <f t="shared" ca="1" si="36"/>
        <v>0</v>
      </c>
      <c r="AD34" s="2" t="str">
        <f t="shared" si="19"/>
        <v>'Lanç (26)'!$F$41</v>
      </c>
      <c r="AE34" s="163">
        <f t="shared" ca="1" si="34"/>
        <v>0</v>
      </c>
      <c r="AF34" s="2" t="str">
        <f t="shared" si="20"/>
        <v>'Lanç (26)'!$F$42</v>
      </c>
      <c r="AG34" s="163">
        <f t="shared" ca="1" si="34"/>
        <v>0</v>
      </c>
      <c r="AH34" s="2" t="str">
        <f t="shared" si="21"/>
        <v>'Lanç (26)'!$F$43</v>
      </c>
      <c r="AI34" s="163">
        <f t="shared" ca="1" si="1"/>
        <v>0</v>
      </c>
      <c r="AJ34" s="2" t="str">
        <f t="shared" si="22"/>
        <v>'Lanç (26)'!$F$44</v>
      </c>
      <c r="AK34" s="163">
        <f t="shared" ca="1" si="2"/>
        <v>0</v>
      </c>
      <c r="AL34" s="2" t="str">
        <f t="shared" si="23"/>
        <v>'Lanç (26)'!$F$45</v>
      </c>
      <c r="AM34" s="163">
        <f t="shared" ca="1" si="3"/>
        <v>0</v>
      </c>
      <c r="AN34" s="2" t="str">
        <f t="shared" si="24"/>
        <v>'Lanç (26)'!$F$46</v>
      </c>
      <c r="AO34" s="163">
        <f t="shared" ca="1" si="4"/>
        <v>0</v>
      </c>
      <c r="AP34" s="2" t="str">
        <f t="shared" si="25"/>
        <v>'Lanç (26)'!$F$47</v>
      </c>
      <c r="AQ34" s="163">
        <f t="shared" ca="1" si="5"/>
        <v>0</v>
      </c>
      <c r="AR34" s="2" t="str">
        <f t="shared" si="26"/>
        <v>'Lanç (26)'!$F$48</v>
      </c>
      <c r="AS34" s="163">
        <f t="shared" ca="1" si="6"/>
        <v>0</v>
      </c>
      <c r="AT34" s="2" t="str">
        <f t="shared" si="27"/>
        <v>'Lanç (26)'!$F$49</v>
      </c>
      <c r="AU34" s="163">
        <f t="shared" ca="1" si="7"/>
        <v>0</v>
      </c>
      <c r="AV34" s="2" t="str">
        <f t="shared" si="28"/>
        <v>'Lanç (26)'!$F$51</v>
      </c>
      <c r="AW34" s="163">
        <f t="shared" ca="1" si="8"/>
        <v>0</v>
      </c>
      <c r="AX34" s="2" t="str">
        <f t="shared" si="29"/>
        <v>'Lanç (26)'!$F$50</v>
      </c>
      <c r="AY34" s="163">
        <f t="shared" ca="1" si="9"/>
        <v>0</v>
      </c>
      <c r="AZ34" s="2" t="str">
        <f t="shared" si="30"/>
        <v>'Lanç (26)'!$F$52</v>
      </c>
      <c r="BA34" s="163">
        <f t="shared" ca="1" si="10"/>
        <v>0</v>
      </c>
      <c r="BB34" s="2" t="str">
        <f t="shared" si="31"/>
        <v>'Lanç (26)'!$F$53</v>
      </c>
      <c r="BC34" s="163">
        <f t="shared" ca="1" si="11"/>
        <v>0</v>
      </c>
      <c r="BD34" s="2" t="str">
        <f t="shared" si="32"/>
        <v>'Lanç (26)'!$F$54</v>
      </c>
      <c r="BE34" s="164">
        <f t="shared" ca="1" si="35"/>
        <v>0</v>
      </c>
      <c r="BF34" s="2" t="str">
        <f t="shared" si="33"/>
        <v>'Lanç (26)'!$F$55</v>
      </c>
      <c r="BG34" s="164">
        <f t="shared" ca="1" si="35"/>
        <v>0</v>
      </c>
    </row>
    <row r="35" spans="1:59" ht="5" customHeight="1" thickTop="1" thickBot="1" x14ac:dyDescent="0.25">
      <c r="F35" s="99"/>
      <c r="G35" s="2"/>
      <c r="H35"/>
      <c r="I35"/>
      <c r="J35"/>
      <c r="K35" s="99"/>
      <c r="R35" s="2" t="str">
        <f>IF(Funcionários!C33=0,"",Funcionários!C33)</f>
        <v/>
      </c>
      <c r="S35" s="2" t="str">
        <f>IF(R35="","",VLOOKUP(R35,Funcionários!$C$7:$D$36,2,0))</f>
        <v/>
      </c>
      <c r="T35" s="2">
        <v>27</v>
      </c>
      <c r="U35" s="2" t="str">
        <f t="shared" si="17"/>
        <v>'Lanç (27)'!$U$8</v>
      </c>
      <c r="V35" s="163">
        <f t="shared" ca="1" si="13"/>
        <v>0</v>
      </c>
      <c r="W35" s="2" t="str">
        <f t="shared" si="14"/>
        <v>'Lanç (27)'!$F$58</v>
      </c>
      <c r="X35" s="163">
        <f t="shared" ca="1" si="13"/>
        <v>0</v>
      </c>
      <c r="Y35" s="2" t="str">
        <f t="shared" si="15"/>
        <v>'Lanç (27)'!$U$14</v>
      </c>
      <c r="Z35" s="163">
        <f t="shared" ca="1" si="36"/>
        <v>0</v>
      </c>
      <c r="AA35" s="2" t="str">
        <f t="shared" si="18"/>
        <v>'Lanç (27)'!$K$5</v>
      </c>
      <c r="AB35" s="163">
        <f t="shared" ca="1" si="36"/>
        <v>0</v>
      </c>
      <c r="AD35" s="2" t="str">
        <f t="shared" si="19"/>
        <v>'Lanç (27)'!$F$41</v>
      </c>
      <c r="AE35" s="163">
        <f t="shared" ca="1" si="34"/>
        <v>0</v>
      </c>
      <c r="AF35" s="2" t="str">
        <f t="shared" si="20"/>
        <v>'Lanç (27)'!$F$42</v>
      </c>
      <c r="AG35" s="163">
        <f t="shared" ca="1" si="34"/>
        <v>0</v>
      </c>
      <c r="AH35" s="2" t="str">
        <f t="shared" si="21"/>
        <v>'Lanç (27)'!$F$43</v>
      </c>
      <c r="AI35" s="163">
        <f t="shared" ca="1" si="1"/>
        <v>0</v>
      </c>
      <c r="AJ35" s="2" t="str">
        <f t="shared" si="22"/>
        <v>'Lanç (27)'!$F$44</v>
      </c>
      <c r="AK35" s="163">
        <f t="shared" ca="1" si="2"/>
        <v>0</v>
      </c>
      <c r="AL35" s="2" t="str">
        <f t="shared" si="23"/>
        <v>'Lanç (27)'!$F$45</v>
      </c>
      <c r="AM35" s="163">
        <f t="shared" ca="1" si="3"/>
        <v>0</v>
      </c>
      <c r="AN35" s="2" t="str">
        <f t="shared" si="24"/>
        <v>'Lanç (27)'!$F$46</v>
      </c>
      <c r="AO35" s="163">
        <f t="shared" ca="1" si="4"/>
        <v>0</v>
      </c>
      <c r="AP35" s="2" t="str">
        <f t="shared" si="25"/>
        <v>'Lanç (27)'!$F$47</v>
      </c>
      <c r="AQ35" s="163">
        <f t="shared" ca="1" si="5"/>
        <v>0</v>
      </c>
      <c r="AR35" s="2" t="str">
        <f t="shared" si="26"/>
        <v>'Lanç (27)'!$F$48</v>
      </c>
      <c r="AS35" s="163">
        <f t="shared" ca="1" si="6"/>
        <v>0</v>
      </c>
      <c r="AT35" s="2" t="str">
        <f t="shared" si="27"/>
        <v>'Lanç (27)'!$F$49</v>
      </c>
      <c r="AU35" s="163">
        <f t="shared" ca="1" si="7"/>
        <v>0</v>
      </c>
      <c r="AV35" s="2" t="str">
        <f t="shared" si="28"/>
        <v>'Lanç (27)'!$F$51</v>
      </c>
      <c r="AW35" s="163">
        <f t="shared" ca="1" si="8"/>
        <v>0</v>
      </c>
      <c r="AX35" s="2" t="str">
        <f t="shared" si="29"/>
        <v>'Lanç (27)'!$F$50</v>
      </c>
      <c r="AY35" s="163">
        <f t="shared" ca="1" si="9"/>
        <v>0</v>
      </c>
      <c r="AZ35" s="2" t="str">
        <f t="shared" si="30"/>
        <v>'Lanç (27)'!$F$52</v>
      </c>
      <c r="BA35" s="163">
        <f t="shared" ca="1" si="10"/>
        <v>0</v>
      </c>
      <c r="BB35" s="2" t="str">
        <f t="shared" si="31"/>
        <v>'Lanç (27)'!$F$53</v>
      </c>
      <c r="BC35" s="163">
        <f t="shared" ca="1" si="11"/>
        <v>0</v>
      </c>
      <c r="BD35" s="2" t="str">
        <f t="shared" si="32"/>
        <v>'Lanç (27)'!$F$54</v>
      </c>
      <c r="BE35" s="164">
        <f t="shared" ca="1" si="35"/>
        <v>0</v>
      </c>
      <c r="BF35" s="2" t="str">
        <f t="shared" si="33"/>
        <v>'Lanç (27)'!$F$55</v>
      </c>
      <c r="BG35" s="164">
        <f t="shared" ca="1" si="35"/>
        <v>0</v>
      </c>
    </row>
    <row r="36" spans="1:59" ht="30" customHeight="1" thickTop="1" thickBot="1" x14ac:dyDescent="0.25">
      <c r="C36" s="303" t="s">
        <v>79</v>
      </c>
      <c r="D36" s="303"/>
      <c r="E36" s="303"/>
      <c r="F36" s="181" t="str">
        <f>IF($D$9="","",F20*24*$D$9*'P Gerais'!$C$14)</f>
        <v/>
      </c>
      <c r="G36" s="2">
        <v>21</v>
      </c>
      <c r="H36"/>
      <c r="I36"/>
      <c r="J36"/>
      <c r="K36"/>
      <c r="R36" s="2" t="str">
        <f>IF(Funcionários!C34=0,"",Funcionários!C34)</f>
        <v/>
      </c>
      <c r="S36" s="2" t="str">
        <f>IF(R36="","",VLOOKUP(R36,Funcionários!$C$7:$D$36,2,0))</f>
        <v/>
      </c>
      <c r="T36" s="2">
        <v>28</v>
      </c>
      <c r="U36" s="2" t="str">
        <f t="shared" si="17"/>
        <v>'Lanç (28)'!$U$8</v>
      </c>
      <c r="V36" s="163">
        <f t="shared" ca="1" si="13"/>
        <v>0</v>
      </c>
      <c r="W36" s="2" t="str">
        <f t="shared" si="14"/>
        <v>'Lanç (28)'!$F$58</v>
      </c>
      <c r="X36" s="163">
        <f t="shared" ca="1" si="13"/>
        <v>0</v>
      </c>
      <c r="Y36" s="2" t="str">
        <f t="shared" si="15"/>
        <v>'Lanç (28)'!$U$14</v>
      </c>
      <c r="Z36" s="163">
        <f t="shared" ca="1" si="36"/>
        <v>0</v>
      </c>
      <c r="AA36" s="2" t="str">
        <f t="shared" si="18"/>
        <v>'Lanç (28)'!$K$5</v>
      </c>
      <c r="AB36" s="163">
        <f t="shared" ca="1" si="36"/>
        <v>0</v>
      </c>
      <c r="AD36" s="2" t="str">
        <f t="shared" si="19"/>
        <v>'Lanç (28)'!$F$41</v>
      </c>
      <c r="AE36" s="163">
        <f t="shared" ca="1" si="34"/>
        <v>0</v>
      </c>
      <c r="AF36" s="2" t="str">
        <f t="shared" si="20"/>
        <v>'Lanç (28)'!$F$42</v>
      </c>
      <c r="AG36" s="163">
        <f t="shared" ca="1" si="34"/>
        <v>0</v>
      </c>
      <c r="AH36" s="2" t="str">
        <f t="shared" si="21"/>
        <v>'Lanç (28)'!$F$43</v>
      </c>
      <c r="AI36" s="163">
        <f t="shared" ca="1" si="1"/>
        <v>0</v>
      </c>
      <c r="AJ36" s="2" t="str">
        <f t="shared" si="22"/>
        <v>'Lanç (28)'!$F$44</v>
      </c>
      <c r="AK36" s="163">
        <f t="shared" ca="1" si="2"/>
        <v>0</v>
      </c>
      <c r="AL36" s="2" t="str">
        <f t="shared" si="23"/>
        <v>'Lanç (28)'!$F$45</v>
      </c>
      <c r="AM36" s="163">
        <f t="shared" ca="1" si="3"/>
        <v>0</v>
      </c>
      <c r="AN36" s="2" t="str">
        <f t="shared" si="24"/>
        <v>'Lanç (28)'!$F$46</v>
      </c>
      <c r="AO36" s="163">
        <f t="shared" ca="1" si="4"/>
        <v>0</v>
      </c>
      <c r="AP36" s="2" t="str">
        <f t="shared" si="25"/>
        <v>'Lanç (28)'!$F$47</v>
      </c>
      <c r="AQ36" s="163">
        <f t="shared" ca="1" si="5"/>
        <v>0</v>
      </c>
      <c r="AR36" s="2" t="str">
        <f t="shared" si="26"/>
        <v>'Lanç (28)'!$F$48</v>
      </c>
      <c r="AS36" s="163">
        <f t="shared" ca="1" si="6"/>
        <v>0</v>
      </c>
      <c r="AT36" s="2" t="str">
        <f t="shared" si="27"/>
        <v>'Lanç (28)'!$F$49</v>
      </c>
      <c r="AU36" s="163">
        <f t="shared" ca="1" si="7"/>
        <v>0</v>
      </c>
      <c r="AV36" s="2" t="str">
        <f t="shared" si="28"/>
        <v>'Lanç (28)'!$F$51</v>
      </c>
      <c r="AW36" s="163">
        <f t="shared" ca="1" si="8"/>
        <v>0</v>
      </c>
      <c r="AX36" s="2" t="str">
        <f t="shared" si="29"/>
        <v>'Lanç (28)'!$F$50</v>
      </c>
      <c r="AY36" s="163">
        <f t="shared" ca="1" si="9"/>
        <v>0</v>
      </c>
      <c r="AZ36" s="2" t="str">
        <f t="shared" si="30"/>
        <v>'Lanç (28)'!$F$52</v>
      </c>
      <c r="BA36" s="163">
        <f t="shared" ca="1" si="10"/>
        <v>0</v>
      </c>
      <c r="BB36" s="2" t="str">
        <f t="shared" si="31"/>
        <v>'Lanç (28)'!$F$53</v>
      </c>
      <c r="BC36" s="163">
        <f t="shared" ca="1" si="11"/>
        <v>0</v>
      </c>
      <c r="BD36" s="2" t="str">
        <f t="shared" si="32"/>
        <v>'Lanç (28)'!$F$54</v>
      </c>
      <c r="BE36" s="164">
        <f t="shared" ca="1" si="35"/>
        <v>0</v>
      </c>
      <c r="BF36" s="2" t="str">
        <f t="shared" si="33"/>
        <v>'Lanç (28)'!$F$55</v>
      </c>
      <c r="BG36" s="164">
        <f t="shared" ca="1" si="35"/>
        <v>0</v>
      </c>
    </row>
    <row r="37" spans="1:59" ht="5" customHeight="1" thickTop="1" thickBot="1" x14ac:dyDescent="0.25">
      <c r="A37" s="70"/>
      <c r="B37" s="68"/>
      <c r="F37" s="99"/>
      <c r="G37" s="2"/>
      <c r="H37"/>
      <c r="I37"/>
      <c r="J37"/>
      <c r="K37" s="99"/>
      <c r="R37" s="2" t="str">
        <f>IF(Funcionários!C35=0,"",Funcionários!C35)</f>
        <v/>
      </c>
      <c r="S37" s="2" t="str">
        <f>IF(R37="","",VLOOKUP(R37,Funcionários!$C$7:$D$36,2,0))</f>
        <v/>
      </c>
      <c r="T37" s="2">
        <v>29</v>
      </c>
      <c r="U37" s="2" t="str">
        <f t="shared" si="17"/>
        <v>'Lanç (29)'!$U$8</v>
      </c>
      <c r="V37" s="163">
        <f t="shared" ca="1" si="13"/>
        <v>0</v>
      </c>
      <c r="W37" s="2" t="str">
        <f t="shared" si="14"/>
        <v>'Lanç (29)'!$F$58</v>
      </c>
      <c r="X37" s="163">
        <f t="shared" ca="1" si="13"/>
        <v>0</v>
      </c>
      <c r="Y37" s="2" t="str">
        <f t="shared" si="15"/>
        <v>'Lanç (29)'!$U$14</v>
      </c>
      <c r="Z37" s="163">
        <f t="shared" ca="1" si="36"/>
        <v>0</v>
      </c>
      <c r="AA37" s="2" t="str">
        <f t="shared" si="18"/>
        <v>'Lanç (29)'!$K$5</v>
      </c>
      <c r="AB37" s="163">
        <f t="shared" ca="1" si="36"/>
        <v>0</v>
      </c>
      <c r="AD37" s="2" t="str">
        <f t="shared" si="19"/>
        <v>'Lanç (29)'!$F$41</v>
      </c>
      <c r="AE37" s="163">
        <f t="shared" ca="1" si="34"/>
        <v>0</v>
      </c>
      <c r="AF37" s="2" t="str">
        <f t="shared" si="20"/>
        <v>'Lanç (29)'!$F$42</v>
      </c>
      <c r="AG37" s="163">
        <f t="shared" ca="1" si="34"/>
        <v>0</v>
      </c>
      <c r="AH37" s="2" t="str">
        <f t="shared" si="21"/>
        <v>'Lanç (29)'!$F$43</v>
      </c>
      <c r="AI37" s="163">
        <f t="shared" ca="1" si="1"/>
        <v>0</v>
      </c>
      <c r="AJ37" s="2" t="str">
        <f t="shared" si="22"/>
        <v>'Lanç (29)'!$F$44</v>
      </c>
      <c r="AK37" s="163">
        <f t="shared" ca="1" si="2"/>
        <v>0</v>
      </c>
      <c r="AL37" s="2" t="str">
        <f t="shared" si="23"/>
        <v>'Lanç (29)'!$F$45</v>
      </c>
      <c r="AM37" s="163">
        <f t="shared" ca="1" si="3"/>
        <v>0</v>
      </c>
      <c r="AN37" s="2" t="str">
        <f t="shared" si="24"/>
        <v>'Lanç (29)'!$F$46</v>
      </c>
      <c r="AO37" s="163">
        <f t="shared" ca="1" si="4"/>
        <v>0</v>
      </c>
      <c r="AP37" s="2" t="str">
        <f t="shared" si="25"/>
        <v>'Lanç (29)'!$F$47</v>
      </c>
      <c r="AQ37" s="163">
        <f t="shared" ca="1" si="5"/>
        <v>0</v>
      </c>
      <c r="AR37" s="2" t="str">
        <f t="shared" si="26"/>
        <v>'Lanç (29)'!$F$48</v>
      </c>
      <c r="AS37" s="163">
        <f t="shared" ca="1" si="6"/>
        <v>0</v>
      </c>
      <c r="AT37" s="2" t="str">
        <f t="shared" si="27"/>
        <v>'Lanç (29)'!$F$49</v>
      </c>
      <c r="AU37" s="163">
        <f t="shared" ca="1" si="7"/>
        <v>0</v>
      </c>
      <c r="AV37" s="2" t="str">
        <f t="shared" si="28"/>
        <v>'Lanç (29)'!$F$51</v>
      </c>
      <c r="AW37" s="163">
        <f t="shared" ca="1" si="8"/>
        <v>0</v>
      </c>
      <c r="AX37" s="2" t="str">
        <f t="shared" si="29"/>
        <v>'Lanç (29)'!$F$50</v>
      </c>
      <c r="AY37" s="163">
        <f t="shared" ca="1" si="9"/>
        <v>0</v>
      </c>
      <c r="AZ37" s="2" t="str">
        <f t="shared" si="30"/>
        <v>'Lanç (29)'!$F$52</v>
      </c>
      <c r="BA37" s="163">
        <f t="shared" ca="1" si="10"/>
        <v>0</v>
      </c>
      <c r="BB37" s="2" t="str">
        <f t="shared" si="31"/>
        <v>'Lanç (29)'!$F$53</v>
      </c>
      <c r="BC37" s="163">
        <f t="shared" ca="1" si="11"/>
        <v>0</v>
      </c>
      <c r="BD37" s="2" t="str">
        <f t="shared" si="32"/>
        <v>'Lanç (29)'!$F$54</v>
      </c>
      <c r="BE37" s="164">
        <f t="shared" ca="1" si="35"/>
        <v>0</v>
      </c>
      <c r="BF37" s="2" t="str">
        <f t="shared" si="33"/>
        <v>'Lanç (29)'!$F$55</v>
      </c>
      <c r="BG37" s="164">
        <f t="shared" ca="1" si="35"/>
        <v>0</v>
      </c>
    </row>
    <row r="38" spans="1:59" ht="30" customHeight="1" thickTop="1" thickBot="1" x14ac:dyDescent="0.25">
      <c r="A38" s="70"/>
      <c r="B38" s="68"/>
      <c r="C38" s="303" t="s">
        <v>82</v>
      </c>
      <c r="D38" s="303"/>
      <c r="E38" s="303"/>
      <c r="F38" s="181" t="str">
        <f>IF($D$9="","",F22*24*$D$9*'P Gerais'!$E$14)</f>
        <v/>
      </c>
      <c r="G38" s="2">
        <v>23</v>
      </c>
      <c r="H38"/>
      <c r="I38"/>
      <c r="J38"/>
      <c r="K38"/>
      <c r="R38" s="2" t="str">
        <f>IF(Funcionários!C36=0,"",Funcionários!C36)</f>
        <v/>
      </c>
      <c r="S38" s="2" t="str">
        <f>IF(R38="","",VLOOKUP(R38,Funcionários!$C$7:$D$36,2,0))</f>
        <v/>
      </c>
      <c r="T38" s="2">
        <v>30</v>
      </c>
      <c r="U38" s="2" t="str">
        <f t="shared" si="17"/>
        <v>'Lanç (30)'!$U$8</v>
      </c>
      <c r="V38" s="163">
        <f t="shared" ca="1" si="13"/>
        <v>0</v>
      </c>
      <c r="W38" s="2" t="str">
        <f t="shared" si="14"/>
        <v>'Lanç (30)'!$F$58</v>
      </c>
      <c r="X38" s="163">
        <f t="shared" ca="1" si="13"/>
        <v>0</v>
      </c>
      <c r="Y38" s="2" t="str">
        <f t="shared" si="15"/>
        <v>'Lanç (30)'!$U$14</v>
      </c>
      <c r="Z38" s="163">
        <f t="shared" ca="1" si="36"/>
        <v>0</v>
      </c>
      <c r="AA38" s="2" t="str">
        <f t="shared" si="18"/>
        <v>'Lanç (30)'!$K$5</v>
      </c>
      <c r="AB38" s="163">
        <f t="shared" ca="1" si="36"/>
        <v>0</v>
      </c>
      <c r="AD38" s="2" t="str">
        <f t="shared" si="19"/>
        <v>'Lanç (30)'!$F$41</v>
      </c>
      <c r="AE38" s="163">
        <f t="shared" ca="1" si="34"/>
        <v>0</v>
      </c>
      <c r="AF38" s="2" t="str">
        <f t="shared" si="20"/>
        <v>'Lanç (30)'!$F$42</v>
      </c>
      <c r="AG38" s="163">
        <f t="shared" ca="1" si="34"/>
        <v>0</v>
      </c>
      <c r="AH38" s="2" t="str">
        <f t="shared" si="21"/>
        <v>'Lanç (30)'!$F$43</v>
      </c>
      <c r="AI38" s="163">
        <f t="shared" ca="1" si="1"/>
        <v>0</v>
      </c>
      <c r="AJ38" s="2" t="str">
        <f t="shared" si="22"/>
        <v>'Lanç (30)'!$F$44</v>
      </c>
      <c r="AK38" s="163">
        <f t="shared" ca="1" si="2"/>
        <v>0</v>
      </c>
      <c r="AL38" s="2" t="str">
        <f t="shared" si="23"/>
        <v>'Lanç (30)'!$F$45</v>
      </c>
      <c r="AM38" s="163">
        <f t="shared" ca="1" si="3"/>
        <v>0</v>
      </c>
      <c r="AN38" s="2" t="str">
        <f t="shared" si="24"/>
        <v>'Lanç (30)'!$F$46</v>
      </c>
      <c r="AO38" s="163">
        <f t="shared" ca="1" si="4"/>
        <v>0</v>
      </c>
      <c r="AP38" s="2" t="str">
        <f t="shared" si="25"/>
        <v>'Lanç (30)'!$F$47</v>
      </c>
      <c r="AQ38" s="163">
        <f t="shared" ca="1" si="5"/>
        <v>0</v>
      </c>
      <c r="AR38" s="2" t="str">
        <f t="shared" si="26"/>
        <v>'Lanç (30)'!$F$48</v>
      </c>
      <c r="AS38" s="163">
        <f t="shared" ca="1" si="6"/>
        <v>0</v>
      </c>
      <c r="AT38" s="2" t="str">
        <f t="shared" si="27"/>
        <v>'Lanç (30)'!$F$49</v>
      </c>
      <c r="AU38" s="163">
        <f t="shared" ca="1" si="7"/>
        <v>0</v>
      </c>
      <c r="AV38" s="2" t="str">
        <f t="shared" si="28"/>
        <v>'Lanç (30)'!$F$51</v>
      </c>
      <c r="AW38" s="163">
        <f t="shared" ca="1" si="8"/>
        <v>0</v>
      </c>
      <c r="AX38" s="2" t="str">
        <f t="shared" si="29"/>
        <v>'Lanç (30)'!$F$50</v>
      </c>
      <c r="AY38" s="163">
        <f t="shared" ca="1" si="9"/>
        <v>0</v>
      </c>
      <c r="AZ38" s="2" t="str">
        <f t="shared" si="30"/>
        <v>'Lanç (30)'!$F$52</v>
      </c>
      <c r="BA38" s="163">
        <f t="shared" ca="1" si="10"/>
        <v>0</v>
      </c>
      <c r="BB38" s="2" t="str">
        <f t="shared" si="31"/>
        <v>'Lanç (30)'!$F$53</v>
      </c>
      <c r="BC38" s="163">
        <f t="shared" ca="1" si="11"/>
        <v>0</v>
      </c>
      <c r="BD38" s="2" t="str">
        <f t="shared" si="32"/>
        <v>'Lanç (30)'!$F$54</v>
      </c>
      <c r="BE38" s="164">
        <f t="shared" ca="1" si="35"/>
        <v>0</v>
      </c>
      <c r="BF38" s="2" t="str">
        <f t="shared" si="33"/>
        <v>'Lanç (30)'!$F$55</v>
      </c>
      <c r="BG38" s="164">
        <f t="shared" ca="1" si="35"/>
        <v>0</v>
      </c>
    </row>
    <row r="39" spans="1:59" ht="5" customHeight="1" thickTop="1" x14ac:dyDescent="0.2">
      <c r="F39" s="99"/>
      <c r="G39" s="2"/>
      <c r="H39" s="68"/>
      <c r="I39" s="68"/>
      <c r="J39" s="68"/>
      <c r="K39" s="68"/>
    </row>
    <row r="40" spans="1:59" ht="30" customHeight="1" x14ac:dyDescent="0.2">
      <c r="C40" s="303" t="s">
        <v>81</v>
      </c>
      <c r="D40" s="303"/>
      <c r="E40" s="303"/>
      <c r="F40" s="181" t="str">
        <f>IF($D$9="","",F24*24*$D$9*'P Gerais'!$F$14)</f>
        <v/>
      </c>
      <c r="G40" s="2">
        <v>25</v>
      </c>
      <c r="H40"/>
      <c r="I40"/>
      <c r="J40"/>
      <c r="K40"/>
    </row>
    <row r="41" spans="1:59" ht="15" x14ac:dyDescent="0.2"/>
    <row r="42" spans="1:59" ht="15" x14ac:dyDescent="0.2"/>
    <row r="43" spans="1:59" ht="15" x14ac:dyDescent="0.2"/>
    <row r="44" spans="1:59" ht="15" x14ac:dyDescent="0.2"/>
    <row r="45" spans="1:59" ht="15" x14ac:dyDescent="0.2"/>
    <row r="46" spans="1:59" ht="15" x14ac:dyDescent="0.2"/>
    <row r="47" spans="1:59" ht="15" x14ac:dyDescent="0.2"/>
    <row r="48" spans="1:59" ht="15" x14ac:dyDescent="0.2"/>
    <row r="49" ht="15" x14ac:dyDescent="0.2"/>
    <row r="50" ht="15" x14ac:dyDescent="0.2"/>
    <row r="51" ht="15" x14ac:dyDescent="0.2"/>
    <row r="52" ht="15" x14ac:dyDescent="0.2"/>
    <row r="53" ht="15" x14ac:dyDescent="0.2"/>
    <row r="54" ht="15" x14ac:dyDescent="0.2"/>
    <row r="55" ht="15" x14ac:dyDescent="0.2"/>
    <row r="56" ht="15" x14ac:dyDescent="0.2"/>
    <row r="57" ht="15" x14ac:dyDescent="0.2"/>
    <row r="58" ht="15" x14ac:dyDescent="0.2"/>
    <row r="59" ht="15" x14ac:dyDescent="0.2"/>
    <row r="60" ht="15" x14ac:dyDescent="0.2"/>
    <row r="61" ht="15" x14ac:dyDescent="0.2"/>
    <row r="62" ht="15" x14ac:dyDescent="0.2"/>
    <row r="63" ht="15" x14ac:dyDescent="0.2"/>
    <row r="64" ht="15" x14ac:dyDescent="0.2"/>
    <row r="65" ht="15" x14ac:dyDescent="0.2"/>
    <row r="66" ht="15" x14ac:dyDescent="0.2"/>
    <row r="67" ht="15" x14ac:dyDescent="0.2"/>
    <row r="68" ht="15" x14ac:dyDescent="0.2"/>
    <row r="69" ht="15" x14ac:dyDescent="0.2"/>
    <row r="70" ht="15" x14ac:dyDescent="0.2"/>
    <row r="71" ht="15" x14ac:dyDescent="0.2"/>
    <row r="72" ht="15" x14ac:dyDescent="0.2"/>
    <row r="73" ht="15" x14ac:dyDescent="0.2"/>
    <row r="74" ht="15" x14ac:dyDescent="0.2"/>
    <row r="75" ht="15" x14ac:dyDescent="0.2"/>
    <row r="76" ht="15" x14ac:dyDescent="0.2"/>
    <row r="77" ht="15" x14ac:dyDescent="0.2"/>
    <row r="78" ht="15" x14ac:dyDescent="0.2"/>
    <row r="79" ht="15" x14ac:dyDescent="0.2"/>
    <row r="80" ht="15" x14ac:dyDescent="0.2"/>
    <row r="81" ht="15" x14ac:dyDescent="0.2"/>
    <row r="82" ht="15" x14ac:dyDescent="0.2"/>
    <row r="83" ht="15" x14ac:dyDescent="0.2"/>
    <row r="84" ht="15" x14ac:dyDescent="0.2"/>
    <row r="85" ht="15" x14ac:dyDescent="0.2"/>
    <row r="86" ht="15" x14ac:dyDescent="0.2"/>
    <row r="87" ht="15" x14ac:dyDescent="0.2"/>
    <row r="88" ht="15" x14ac:dyDescent="0.2"/>
    <row r="89" ht="15" x14ac:dyDescent="0.2"/>
    <row r="90" ht="15" x14ac:dyDescent="0.2"/>
    <row r="91" ht="15" x14ac:dyDescent="0.2"/>
    <row r="92" ht="15" x14ac:dyDescent="0.2"/>
    <row r="93" ht="15" x14ac:dyDescent="0.2"/>
    <row r="94" ht="15" x14ac:dyDescent="0.2"/>
    <row r="95" ht="15" x14ac:dyDescent="0.2"/>
    <row r="96" ht="15" x14ac:dyDescent="0.2"/>
    <row r="97" ht="15" x14ac:dyDescent="0.2"/>
    <row r="98" ht="15" x14ac:dyDescent="0.2"/>
    <row r="99" ht="15" x14ac:dyDescent="0.2"/>
    <row r="100" ht="15" x14ac:dyDescent="0.2"/>
    <row r="101" ht="15" x14ac:dyDescent="0.2"/>
    <row r="102" ht="15" x14ac:dyDescent="0.2"/>
    <row r="103" ht="15" x14ac:dyDescent="0.2"/>
    <row r="104" ht="15" x14ac:dyDescent="0.2"/>
  </sheetData>
  <sheetProtection sheet="1" objects="1" scenarios="1" selectLockedCells="1"/>
  <mergeCells count="55">
    <mergeCell ref="C6:E6"/>
    <mergeCell ref="F6:H6"/>
    <mergeCell ref="U8:V8"/>
    <mergeCell ref="W8:X8"/>
    <mergeCell ref="Y8:Z8"/>
    <mergeCell ref="BZ8:CA8"/>
    <mergeCell ref="BX8:BY8"/>
    <mergeCell ref="C16:E16"/>
    <mergeCell ref="H16:J16"/>
    <mergeCell ref="BN8:BO8"/>
    <mergeCell ref="BP8:BQ8"/>
    <mergeCell ref="BR8:BS8"/>
    <mergeCell ref="BB8:BC8"/>
    <mergeCell ref="BD8:BE8"/>
    <mergeCell ref="BF8:BG8"/>
    <mergeCell ref="BH8:BI8"/>
    <mergeCell ref="AF8:AG8"/>
    <mergeCell ref="BL8:BM8"/>
    <mergeCell ref="AP8:AQ8"/>
    <mergeCell ref="AR8:AS8"/>
    <mergeCell ref="AT8:AU8"/>
    <mergeCell ref="BV8:BW8"/>
    <mergeCell ref="AZ8:BA8"/>
    <mergeCell ref="BJ8:BK8"/>
    <mergeCell ref="AD8:AE8"/>
    <mergeCell ref="AA8:AB8"/>
    <mergeCell ref="AH8:AI8"/>
    <mergeCell ref="AJ8:AK8"/>
    <mergeCell ref="AL8:AM8"/>
    <mergeCell ref="AN8:AO8"/>
    <mergeCell ref="AX8:AY8"/>
    <mergeCell ref="AV8:AW8"/>
    <mergeCell ref="C12:E12"/>
    <mergeCell ref="H12:J12"/>
    <mergeCell ref="C14:E14"/>
    <mergeCell ref="H14:J14"/>
    <mergeCell ref="BT8:BU8"/>
    <mergeCell ref="C24:E24"/>
    <mergeCell ref="C18:E18"/>
    <mergeCell ref="H18:J18"/>
    <mergeCell ref="C20:E20"/>
    <mergeCell ref="H20:J20"/>
    <mergeCell ref="C22:E22"/>
    <mergeCell ref="H22:J22"/>
    <mergeCell ref="C28:E28"/>
    <mergeCell ref="H28:J28"/>
    <mergeCell ref="C30:E30"/>
    <mergeCell ref="H30:J30"/>
    <mergeCell ref="C32:E32"/>
    <mergeCell ref="H32:J32"/>
    <mergeCell ref="C40:E40"/>
    <mergeCell ref="C34:E34"/>
    <mergeCell ref="H34:J34"/>
    <mergeCell ref="C36:E36"/>
    <mergeCell ref="C38:E38"/>
  </mergeCells>
  <conditionalFormatting sqref="J9">
    <cfRule type="expression" dxfId="17" priority="5">
      <formula>#REF!="Negativo"</formula>
    </cfRule>
  </conditionalFormatting>
  <dataValidations count="1">
    <dataValidation type="list" allowBlank="1" showInputMessage="1" showErrorMessage="1" sqref="F6:H6">
      <formula1>OFFSET($S$8,,,31-COUNTBLANK($S$8:$S$38))</formula1>
    </dataValidation>
  </dataValidations>
  <printOptions verticalCentered="1"/>
  <pageMargins left="0.25" right="0.25" top="0.984251969" bottom="0.984251969" header="0.3" footer="0.3"/>
  <pageSetup paperSize="9" scale="73" orientation="landscape"/>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1" id="{84FCFB9E-B5CF-D24E-A99A-1FD179D222B9}">
            <xm:f>'P Gerais'!$I$10:$M$10="Sistema de banco de horas"</xm:f>
            <x14:dxf>
              <font>
                <color theme="0"/>
              </font>
              <fill>
                <patternFill>
                  <bgColor theme="0"/>
                </patternFill>
              </fill>
              <border>
                <left/>
                <right/>
                <top/>
                <bottom/>
              </border>
            </x14:dxf>
          </x14:cfRule>
          <xm:sqref>L8:N9</xm:sqref>
        </x14:conditionalFormatting>
      </x14:conditionalFormatting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5" enableFormatConditionsCalculation="0"/>
  <dimension ref="A1:BS102"/>
  <sheetViews>
    <sheetView showGridLines="0" zoomScale="90" zoomScaleNormal="90" zoomScalePageLayoutView="90" workbookViewId="0">
      <selection activeCell="G5" sqref="G5:Q5"/>
    </sheetView>
  </sheetViews>
  <sheetFormatPr baseColWidth="10" defaultColWidth="0" defaultRowHeight="15" zeroHeight="1" x14ac:dyDescent="0.2"/>
  <cols>
    <col min="1" max="1" width="27.83203125" style="1" customWidth="1"/>
    <col min="2" max="2" width="3.83203125" customWidth="1"/>
    <col min="3" max="17" width="8.83203125" customWidth="1"/>
    <col min="18" max="22" width="8.83203125" style="2" customWidth="1"/>
    <col min="23" max="23" width="20.1640625" style="2" bestFit="1" customWidth="1"/>
    <col min="24" max="24" width="17.83203125" style="2" bestFit="1" customWidth="1"/>
    <col min="25" max="25" width="12.1640625" style="2" bestFit="1" customWidth="1"/>
    <col min="26" max="26" width="16.33203125" style="2" bestFit="1" customWidth="1"/>
    <col min="27" max="27" width="27.1640625" style="2" bestFit="1" customWidth="1"/>
    <col min="28" max="28" width="24.1640625" style="2" bestFit="1" customWidth="1"/>
    <col min="29" max="29" width="21.33203125" style="2" bestFit="1" customWidth="1"/>
    <col min="30" max="30" width="27.1640625" style="2" bestFit="1" customWidth="1"/>
    <col min="31" max="31" width="22.83203125" style="2" bestFit="1" customWidth="1"/>
    <col min="32" max="32" width="21.1640625" style="2" bestFit="1" customWidth="1"/>
    <col min="33" max="33" width="24.33203125" style="2" bestFit="1" customWidth="1"/>
    <col min="34" max="34" width="25.83203125" style="2" bestFit="1" customWidth="1"/>
    <col min="35" max="35" width="24.33203125" style="2" bestFit="1" customWidth="1"/>
    <col min="36" max="36" width="49.83203125" style="2" bestFit="1" customWidth="1"/>
    <col min="37" max="38" width="27.1640625" style="2" bestFit="1" customWidth="1"/>
    <col min="39" max="39" width="81.33203125" style="2" bestFit="1" customWidth="1"/>
    <col min="40" max="41" width="27.33203125" style="2" bestFit="1" customWidth="1"/>
    <col min="42" max="42" width="28.1640625" style="2" bestFit="1" customWidth="1"/>
    <col min="43" max="43" width="24.1640625" style="2" bestFit="1" customWidth="1"/>
    <col min="44" max="44" width="6.1640625" style="2" bestFit="1" customWidth="1"/>
    <col min="45" max="45" width="25.33203125" style="2" bestFit="1" customWidth="1"/>
    <col min="46" max="46" width="6.1640625" style="2" bestFit="1" customWidth="1"/>
    <col min="47" max="47" width="24.33203125" style="2" bestFit="1" customWidth="1"/>
    <col min="48" max="48" width="6.1640625" style="2" bestFit="1" customWidth="1"/>
    <col min="49" max="49" width="49.33203125" style="2" bestFit="1" customWidth="1"/>
    <col min="50" max="50" width="6.1640625" style="2" bestFit="1" customWidth="1"/>
    <col min="51" max="51" width="27" style="2" bestFit="1" customWidth="1"/>
    <col min="52" max="52" width="6.1640625" style="2" bestFit="1" customWidth="1"/>
    <col min="53" max="53" width="27.1640625" style="2" bestFit="1" customWidth="1"/>
    <col min="54" max="54" width="6.33203125" style="2" bestFit="1" customWidth="1"/>
    <col min="55" max="55" width="81.33203125" style="2" bestFit="1" customWidth="1"/>
    <col min="56" max="56" width="6.33203125" style="2" bestFit="1" customWidth="1"/>
    <col min="57" max="57" width="27.1640625" style="2" bestFit="1" customWidth="1"/>
    <col min="58" max="58" width="8.33203125" style="2" bestFit="1" customWidth="1"/>
    <col min="59" max="59" width="27.1640625" style="2" bestFit="1" customWidth="1"/>
    <col min="60" max="60" width="11.5" style="2" bestFit="1" customWidth="1"/>
    <col min="61" max="61" width="28.1640625" style="2" bestFit="1" customWidth="1"/>
    <col min="62" max="62" width="12.5" style="2" bestFit="1" customWidth="1"/>
    <col min="63" max="63" width="11.5" style="2" bestFit="1" customWidth="1"/>
    <col min="64" max="64" width="9.1640625" style="2" bestFit="1" customWidth="1"/>
    <col min="65" max="65" width="11.5" style="2" bestFit="1" customWidth="1"/>
    <col min="66" max="66" width="8.83203125" style="2" customWidth="1"/>
    <col min="67" max="68" width="9.1640625" style="2" bestFit="1" customWidth="1"/>
    <col min="69" max="71" width="8.83203125" style="2" customWidth="1"/>
    <col min="72" max="16384" width="8.83203125" style="2" hidden="1"/>
  </cols>
  <sheetData>
    <row r="1" spans="1:69" s="15" customFormat="1" ht="33.75" customHeight="1" x14ac:dyDescent="0.3">
      <c r="A1" s="56" t="s">
        <v>148</v>
      </c>
      <c r="B1" s="3"/>
      <c r="C1" s="4" t="s">
        <v>31</v>
      </c>
      <c r="D1" s="3"/>
      <c r="E1" s="3"/>
      <c r="F1" s="3"/>
      <c r="G1" s="3"/>
      <c r="H1" s="3"/>
      <c r="I1" s="3"/>
      <c r="J1" s="3"/>
      <c r="K1" s="3"/>
      <c r="L1" s="3"/>
      <c r="M1" s="3"/>
      <c r="N1" s="3"/>
      <c r="O1" s="3"/>
      <c r="P1" s="3"/>
      <c r="Q1" s="3"/>
    </row>
    <row r="2" spans="1:69" s="15" customFormat="1" ht="21.5" customHeight="1" x14ac:dyDescent="0.2">
      <c r="A2" s="1"/>
      <c r="B2" s="3"/>
      <c r="C2" s="3"/>
      <c r="D2" s="3"/>
      <c r="E2" s="3"/>
      <c r="F2" s="3"/>
      <c r="G2" s="3"/>
      <c r="H2" s="3"/>
      <c r="I2" s="3"/>
      <c r="J2" s="3"/>
      <c r="K2" s="3"/>
      <c r="L2" s="3"/>
      <c r="M2" s="3"/>
      <c r="N2" s="3"/>
      <c r="O2" s="3"/>
      <c r="P2" s="3"/>
      <c r="Q2" s="3"/>
    </row>
    <row r="3" spans="1:69" s="15" customFormat="1" ht="21.5" customHeight="1" x14ac:dyDescent="0.2">
      <c r="A3" s="1"/>
      <c r="B3" s="3"/>
      <c r="C3" s="3"/>
      <c r="D3" s="3"/>
      <c r="E3" s="3"/>
      <c r="F3" s="3"/>
      <c r="G3" s="3"/>
      <c r="H3" s="3"/>
      <c r="I3" s="3"/>
      <c r="J3" s="3"/>
      <c r="K3" s="3"/>
      <c r="L3" s="3"/>
      <c r="M3" s="3"/>
      <c r="N3" s="3"/>
      <c r="O3" s="3"/>
      <c r="P3" s="3"/>
      <c r="Q3" s="3"/>
    </row>
    <row r="4" spans="1:69" ht="15" customHeight="1" thickBot="1" x14ac:dyDescent="0.25"/>
    <row r="5" spans="1:69" ht="30" customHeight="1" thickTop="1" thickBot="1" x14ac:dyDescent="0.25">
      <c r="C5" s="317" t="s">
        <v>182</v>
      </c>
      <c r="D5" s="318"/>
      <c r="E5" s="318"/>
      <c r="F5" s="319"/>
      <c r="G5" s="320" t="s">
        <v>183</v>
      </c>
      <c r="H5" s="310"/>
      <c r="I5" s="310"/>
      <c r="J5" s="310"/>
      <c r="K5" s="310"/>
      <c r="L5" s="310"/>
      <c r="M5" s="310"/>
      <c r="N5" s="310"/>
      <c r="O5" s="310"/>
      <c r="P5" s="310"/>
      <c r="Q5" s="311"/>
      <c r="U5" s="2" t="s">
        <v>183</v>
      </c>
      <c r="X5" s="165" t="s">
        <v>215</v>
      </c>
      <c r="Y5" s="166">
        <f ca="1">SUM(Y6:Y35)</f>
        <v>5.9374999999999982</v>
      </c>
      <c r="Z5" s="165" t="s">
        <v>164</v>
      </c>
      <c r="AA5" s="166">
        <f ca="1">SUM(AA6:AA35)</f>
        <v>5.9374999999999982</v>
      </c>
      <c r="AB5" s="165" t="s">
        <v>217</v>
      </c>
      <c r="AC5" s="166">
        <f ca="1">SUM(AC6:AC35)</f>
        <v>0</v>
      </c>
      <c r="AD5" s="165" t="s">
        <v>220</v>
      </c>
      <c r="AE5" s="166">
        <f ca="1">SUM(AE6:AE35)</f>
        <v>0</v>
      </c>
      <c r="AF5" s="219"/>
      <c r="AG5" s="165" t="s">
        <v>75</v>
      </c>
      <c r="AH5" s="166">
        <f ca="1">SUM(AH6:AH35)</f>
        <v>1.3888888888888884</v>
      </c>
      <c r="AI5" s="165" t="s">
        <v>76</v>
      </c>
      <c r="AJ5" s="166">
        <f ca="1">SUM(AJ6:AJ35)</f>
        <v>1.4513888888888884</v>
      </c>
      <c r="AK5" s="165" t="s">
        <v>77</v>
      </c>
      <c r="AL5" s="166">
        <f ca="1">SUM(AL6:AL35)</f>
        <v>0.87499999999999978</v>
      </c>
      <c r="AM5" s="165" t="s">
        <v>78</v>
      </c>
      <c r="AN5" s="166">
        <f ca="1">SUM(AN6:AN35)</f>
        <v>0</v>
      </c>
      <c r="AO5" s="165" t="s">
        <v>79</v>
      </c>
      <c r="AP5" s="166">
        <f ca="1">SUM(AP6:AP35)</f>
        <v>0</v>
      </c>
      <c r="AQ5" s="165" t="s">
        <v>82</v>
      </c>
      <c r="AR5" s="166">
        <f ca="1">SUM(AR6:AR35)</f>
        <v>0.83333333333333304</v>
      </c>
      <c r="AS5" s="165" t="s">
        <v>81</v>
      </c>
      <c r="AT5" s="166">
        <f ca="1">SUM(AT6:AT35)</f>
        <v>1.3888888888888884</v>
      </c>
      <c r="AU5" s="165" t="s">
        <v>80</v>
      </c>
      <c r="AV5" s="166">
        <f ca="1">SUM(AV6:AV35)</f>
        <v>0</v>
      </c>
      <c r="AW5" s="165" t="s">
        <v>146</v>
      </c>
      <c r="AX5" s="166">
        <f ca="1">SUM(AX6:AX35)</f>
        <v>0</v>
      </c>
      <c r="AY5" s="165" t="s">
        <v>147</v>
      </c>
      <c r="AZ5" s="166">
        <f ca="1">SUM(AZ6:AZ35)</f>
        <v>0</v>
      </c>
      <c r="BA5" s="165" t="s">
        <v>84</v>
      </c>
      <c r="BB5" s="166">
        <f ca="1">SUM(BB6:BB35)</f>
        <v>0</v>
      </c>
      <c r="BC5" s="165" t="s">
        <v>86</v>
      </c>
      <c r="BD5" s="166">
        <f ca="1">SUM(BD6:BD35)</f>
        <v>5.9374999999999982</v>
      </c>
      <c r="BE5" s="165" t="s">
        <v>87</v>
      </c>
      <c r="BF5" s="166">
        <f ca="1">SUM(BF6:BF35)</f>
        <v>0</v>
      </c>
      <c r="BG5" s="165" t="s">
        <v>88</v>
      </c>
      <c r="BH5" s="164">
        <f ca="1">SUM(BH6:BH35)</f>
        <v>0</v>
      </c>
      <c r="BI5" s="165" t="s">
        <v>236</v>
      </c>
      <c r="BJ5" s="164">
        <f ca="1">SUM(BJ6:BJ35)</f>
        <v>0</v>
      </c>
      <c r="BN5" s="2" t="s">
        <v>240</v>
      </c>
    </row>
    <row r="6" spans="1:69" ht="15" customHeight="1" thickTop="1" thickBot="1" x14ac:dyDescent="0.25">
      <c r="U6" s="2" t="str">
        <f>Resul!R9</f>
        <v/>
      </c>
      <c r="W6" s="2">
        <v>1</v>
      </c>
      <c r="X6" s="2" t="s">
        <v>214</v>
      </c>
      <c r="Y6" s="163">
        <f ca="1">INDIRECT(X6)</f>
        <v>0</v>
      </c>
      <c r="Z6" s="2" t="s">
        <v>216</v>
      </c>
      <c r="AA6" s="163">
        <f ca="1">INDIRECT(Z6)</f>
        <v>0</v>
      </c>
      <c r="AB6" s="2" t="s">
        <v>218</v>
      </c>
      <c r="AC6" s="163">
        <f ca="1">INDIRECT(AB6)</f>
        <v>0</v>
      </c>
      <c r="AD6" s="2" t="s">
        <v>219</v>
      </c>
      <c r="AE6" s="163">
        <f ca="1">INDIRECT(AD6)</f>
        <v>0</v>
      </c>
      <c r="AG6" s="2" t="s">
        <v>221</v>
      </c>
      <c r="AH6" s="163">
        <f t="shared" ref="AH6:AJ21" ca="1" si="0">INDIRECT(AG6)</f>
        <v>0</v>
      </c>
      <c r="AI6" s="2" t="s">
        <v>222</v>
      </c>
      <c r="AJ6" s="163">
        <f t="shared" ca="1" si="0"/>
        <v>0</v>
      </c>
      <c r="AK6" s="2" t="s">
        <v>223</v>
      </c>
      <c r="AL6" s="163">
        <f t="shared" ref="AL6:AL21" ca="1" si="1">INDIRECT(AK6)</f>
        <v>0</v>
      </c>
      <c r="AM6" s="2" t="s">
        <v>224</v>
      </c>
      <c r="AN6" s="163">
        <f t="shared" ref="AN6:AN21" ca="1" si="2">INDIRECT(AM6)</f>
        <v>0</v>
      </c>
      <c r="AO6" s="2" t="s">
        <v>225</v>
      </c>
      <c r="AP6" s="163">
        <f t="shared" ref="AP6:AP21" ca="1" si="3">INDIRECT(AO6)</f>
        <v>0</v>
      </c>
      <c r="AQ6" s="2" t="s">
        <v>226</v>
      </c>
      <c r="AR6" s="163">
        <f t="shared" ref="AR6:AR21" ca="1" si="4">INDIRECT(AQ6)</f>
        <v>0</v>
      </c>
      <c r="AS6" s="2" t="s">
        <v>227</v>
      </c>
      <c r="AT6" s="163">
        <f t="shared" ref="AT6:AT21" ca="1" si="5">INDIRECT(AS6)</f>
        <v>0</v>
      </c>
      <c r="AU6" s="2" t="s">
        <v>228</v>
      </c>
      <c r="AV6" s="163">
        <f t="shared" ref="AV6:AV21" ca="1" si="6">INDIRECT(AU6)</f>
        <v>0</v>
      </c>
      <c r="AW6" s="2" t="s">
        <v>229</v>
      </c>
      <c r="AX6" s="163">
        <f t="shared" ref="AX6:AX21" ca="1" si="7">INDIRECT(AW6)</f>
        <v>0</v>
      </c>
      <c r="AY6" s="2" t="s">
        <v>231</v>
      </c>
      <c r="AZ6" s="163">
        <f t="shared" ref="AZ6:AZ21" ca="1" si="8">INDIRECT(AY6)</f>
        <v>0</v>
      </c>
      <c r="BA6" s="2" t="s">
        <v>230</v>
      </c>
      <c r="BB6" s="163">
        <f t="shared" ref="BB6:BB21" ca="1" si="9">INDIRECT(BA6)</f>
        <v>0</v>
      </c>
      <c r="BC6" s="2" t="s">
        <v>232</v>
      </c>
      <c r="BD6" s="163">
        <f t="shared" ref="BD6:BD21" ca="1" si="10">INDIRECT(BC6)</f>
        <v>0</v>
      </c>
      <c r="BE6" s="2" t="s">
        <v>233</v>
      </c>
      <c r="BF6" s="163">
        <f t="shared" ref="BF6:BF21" ca="1" si="11">INDIRECT(BE6)</f>
        <v>0</v>
      </c>
      <c r="BG6" s="2" t="s">
        <v>234</v>
      </c>
      <c r="BH6" s="164">
        <f t="shared" ref="BH6:BJ21" ca="1" si="12">INDIRECT(BG6)</f>
        <v>0</v>
      </c>
      <c r="BI6" s="2" t="s">
        <v>235</v>
      </c>
      <c r="BJ6" s="164">
        <f t="shared" ca="1" si="12"/>
        <v>0</v>
      </c>
      <c r="BK6" s="167">
        <f ca="1">BH6+BL6</f>
        <v>1.0000000000000001E-5</v>
      </c>
      <c r="BL6" s="2">
        <v>1.0000000000000001E-5</v>
      </c>
      <c r="BM6" s="167">
        <f ca="1">BK6-BL6</f>
        <v>0</v>
      </c>
      <c r="BN6" s="2" t="str">
        <f t="shared" ref="BN6:BN35" si="13">U6</f>
        <v/>
      </c>
      <c r="BO6" s="155">
        <f t="shared" ref="BO6:BO35" ca="1" si="14">AA6+BL6</f>
        <v>1.0000000000000001E-5</v>
      </c>
      <c r="BP6" s="155">
        <f t="shared" ref="BP6:BP35" ca="1" si="15">AA6</f>
        <v>0</v>
      </c>
      <c r="BQ6" s="2" t="str">
        <f>BN6</f>
        <v/>
      </c>
    </row>
    <row r="7" spans="1:69" ht="30" customHeight="1" thickTop="1" thickBot="1" x14ac:dyDescent="0.3">
      <c r="C7" s="104" t="s">
        <v>239</v>
      </c>
      <c r="U7" s="2" t="str">
        <f>Resul!R10</f>
        <v/>
      </c>
      <c r="W7" s="2">
        <v>2</v>
      </c>
      <c r="X7" s="2" t="str">
        <f>"'Lanç ("&amp;W7&amp;")'!$U$8"</f>
        <v>'Lanç (2)'!$U$8</v>
      </c>
      <c r="Y7" s="163">
        <f t="shared" ref="Y7:AA22" ca="1" si="16">INDIRECT(X7)</f>
        <v>0</v>
      </c>
      <c r="Z7" s="2" t="str">
        <f>"'Lanç ("&amp;$W7&amp;")'!$U$16"</f>
        <v>'Lanç (2)'!$U$16</v>
      </c>
      <c r="AA7" s="163">
        <f t="shared" ca="1" si="16"/>
        <v>0</v>
      </c>
      <c r="AB7" s="2" t="str">
        <f>"'Lanç ("&amp;$W7&amp;")'!$U$14"</f>
        <v>'Lanç (2)'!$U$14</v>
      </c>
      <c r="AC7" s="163">
        <f t="shared" ref="AC7:AE22" ca="1" si="17">INDIRECT(AB7)</f>
        <v>0</v>
      </c>
      <c r="AD7" s="2" t="str">
        <f>"'Lanç ("&amp;$W7&amp;")'!$K$5"</f>
        <v>'Lanç (2)'!$K$5</v>
      </c>
      <c r="AE7" s="163">
        <f t="shared" ca="1" si="17"/>
        <v>0</v>
      </c>
      <c r="AG7" s="2" t="str">
        <f>"'Lanç ("&amp;$W7&amp;")'!$F$41"</f>
        <v>'Lanç (2)'!$F$41</v>
      </c>
      <c r="AH7" s="163">
        <f t="shared" ca="1" si="0"/>
        <v>0</v>
      </c>
      <c r="AI7" s="2" t="str">
        <f>"'Lanç ("&amp;$W7&amp;")'!$F$42"</f>
        <v>'Lanç (2)'!$F$42</v>
      </c>
      <c r="AJ7" s="163">
        <f t="shared" ca="1" si="0"/>
        <v>0</v>
      </c>
      <c r="AK7" s="2" t="str">
        <f>"'Lanç ("&amp;$W7&amp;")'!$F$43"</f>
        <v>'Lanç (2)'!$F$43</v>
      </c>
      <c r="AL7" s="163">
        <f t="shared" ca="1" si="1"/>
        <v>0</v>
      </c>
      <c r="AM7" s="2" t="str">
        <f>"'Lanç ("&amp;$W7&amp;")'!$F$44"</f>
        <v>'Lanç (2)'!$F$44</v>
      </c>
      <c r="AN7" s="163">
        <f t="shared" ca="1" si="2"/>
        <v>0</v>
      </c>
      <c r="AO7" s="2" t="str">
        <f>"'Lanç ("&amp;$W7&amp;")'!$F$45"</f>
        <v>'Lanç (2)'!$F$45</v>
      </c>
      <c r="AP7" s="163">
        <f t="shared" ca="1" si="3"/>
        <v>0</v>
      </c>
      <c r="AQ7" s="2" t="str">
        <f>"'Lanç ("&amp;$W7&amp;")'!$F$46"</f>
        <v>'Lanç (2)'!$F$46</v>
      </c>
      <c r="AR7" s="163">
        <f t="shared" ca="1" si="4"/>
        <v>0</v>
      </c>
      <c r="AS7" s="2" t="str">
        <f>"'Lanç ("&amp;$W7&amp;")'!$F$47"</f>
        <v>'Lanç (2)'!$F$47</v>
      </c>
      <c r="AT7" s="163">
        <f t="shared" ca="1" si="5"/>
        <v>0</v>
      </c>
      <c r="AU7" s="2" t="str">
        <f>"'Lanç ("&amp;$W7&amp;")'!$F$48"</f>
        <v>'Lanç (2)'!$F$48</v>
      </c>
      <c r="AV7" s="163">
        <f t="shared" ca="1" si="6"/>
        <v>0</v>
      </c>
      <c r="AW7" s="2" t="str">
        <f>"'Lanç ("&amp;$W7&amp;")'!$F$49"</f>
        <v>'Lanç (2)'!$F$49</v>
      </c>
      <c r="AX7" s="163">
        <f t="shared" ca="1" si="7"/>
        <v>0</v>
      </c>
      <c r="AY7" s="2" t="str">
        <f>"'Lanç ("&amp;$W7&amp;")'!$F$51"</f>
        <v>'Lanç (2)'!$F$51</v>
      </c>
      <c r="AZ7" s="163">
        <f t="shared" ca="1" si="8"/>
        <v>0</v>
      </c>
      <c r="BA7" s="2" t="str">
        <f>"'Lanç ("&amp;$W7&amp;")'!$F$50"</f>
        <v>'Lanç (2)'!$F$50</v>
      </c>
      <c r="BB7" s="163">
        <f t="shared" ca="1" si="9"/>
        <v>0</v>
      </c>
      <c r="BC7" s="2" t="str">
        <f>"'Lanç ("&amp;$W7&amp;")'!$F$52"</f>
        <v>'Lanç (2)'!$F$52</v>
      </c>
      <c r="BD7" s="163">
        <f t="shared" ca="1" si="10"/>
        <v>0</v>
      </c>
      <c r="BE7" s="2" t="str">
        <f>"'Lanç ("&amp;$W7&amp;")'!$F$53"</f>
        <v>'Lanç (2)'!$F$53</v>
      </c>
      <c r="BF7" s="163">
        <f t="shared" ca="1" si="11"/>
        <v>0</v>
      </c>
      <c r="BG7" s="2" t="str">
        <f>"'Lanç ("&amp;$W7&amp;")'!$F$54"</f>
        <v>'Lanç (2)'!$F$54</v>
      </c>
      <c r="BH7" s="164">
        <f t="shared" ca="1" si="12"/>
        <v>0</v>
      </c>
      <c r="BI7" s="2" t="str">
        <f>"'Lanç ("&amp;$W7&amp;")'!$F$55"</f>
        <v>'Lanç (2)'!$F$55</v>
      </c>
      <c r="BJ7" s="164">
        <f t="shared" ca="1" si="12"/>
        <v>0</v>
      </c>
      <c r="BK7" s="167">
        <f t="shared" ref="BK7:BK35" ca="1" si="18">BH7+BL7</f>
        <v>2.0000000000000002E-5</v>
      </c>
      <c r="BL7" s="2">
        <v>2.0000000000000002E-5</v>
      </c>
      <c r="BM7" s="167">
        <f t="shared" ref="BM7:BM35" ca="1" si="19">BK7-BL7</f>
        <v>0</v>
      </c>
      <c r="BN7" s="2" t="str">
        <f t="shared" si="13"/>
        <v/>
      </c>
      <c r="BO7" s="155">
        <f t="shared" ca="1" si="14"/>
        <v>2.0000000000000002E-5</v>
      </c>
      <c r="BP7" s="155">
        <f t="shared" ca="1" si="15"/>
        <v>0</v>
      </c>
      <c r="BQ7" s="2" t="str">
        <f t="shared" ref="BQ7:BQ35" si="20">BN7</f>
        <v/>
      </c>
    </row>
    <row r="8" spans="1:69" ht="30" customHeight="1" thickTop="1" thickBot="1" x14ac:dyDescent="0.25">
      <c r="U8" s="2" t="str">
        <f>Resul!R11</f>
        <v/>
      </c>
      <c r="W8" s="2">
        <v>3</v>
      </c>
      <c r="X8" s="2" t="str">
        <f t="shared" ref="X8:X35" si="21">"'Lanç ("&amp;W8&amp;")'!$U$8"</f>
        <v>'Lanç (3)'!$U$8</v>
      </c>
      <c r="Y8" s="163">
        <f t="shared" ca="1" si="16"/>
        <v>0</v>
      </c>
      <c r="Z8" s="2" t="str">
        <f t="shared" ref="Z8:Z35" si="22">"'Lanç ("&amp;$W8&amp;")'!$U$16"</f>
        <v>'Lanç (3)'!$U$16</v>
      </c>
      <c r="AA8" s="163">
        <f t="shared" ca="1" si="16"/>
        <v>0</v>
      </c>
      <c r="AB8" s="2" t="str">
        <f t="shared" ref="AB8:AB35" si="23">"'Lanç ("&amp;$W8&amp;")'!$U$14"</f>
        <v>'Lanç (3)'!$U$14</v>
      </c>
      <c r="AC8" s="163">
        <f t="shared" ca="1" si="17"/>
        <v>0</v>
      </c>
      <c r="AD8" s="2" t="str">
        <f t="shared" ref="AD8:AD35" si="24">"'Lanç ("&amp;$W8&amp;")'!$K$5"</f>
        <v>'Lanç (3)'!$K$5</v>
      </c>
      <c r="AE8" s="163">
        <f t="shared" ca="1" si="17"/>
        <v>0</v>
      </c>
      <c r="AG8" s="2" t="str">
        <f t="shared" ref="AG8:AG35" si="25">"'Lanç ("&amp;$W8&amp;")'!$F$41"</f>
        <v>'Lanç (3)'!$F$41</v>
      </c>
      <c r="AH8" s="163">
        <f t="shared" ca="1" si="0"/>
        <v>0</v>
      </c>
      <c r="AI8" s="2" t="str">
        <f t="shared" ref="AI8:AI35" si="26">"'Lanç ("&amp;$W8&amp;")'!$F$42"</f>
        <v>'Lanç (3)'!$F$42</v>
      </c>
      <c r="AJ8" s="163">
        <f t="shared" ca="1" si="0"/>
        <v>0</v>
      </c>
      <c r="AK8" s="2" t="str">
        <f t="shared" ref="AK8:AK35" si="27">"'Lanç ("&amp;$W8&amp;")'!$F$43"</f>
        <v>'Lanç (3)'!$F$43</v>
      </c>
      <c r="AL8" s="163">
        <f t="shared" ca="1" si="1"/>
        <v>0</v>
      </c>
      <c r="AM8" s="2" t="str">
        <f t="shared" ref="AM8:AM35" si="28">"'Lanç ("&amp;$W8&amp;")'!$F$44"</f>
        <v>'Lanç (3)'!$F$44</v>
      </c>
      <c r="AN8" s="163">
        <f t="shared" ca="1" si="2"/>
        <v>0</v>
      </c>
      <c r="AO8" s="2" t="str">
        <f t="shared" ref="AO8:AO35" si="29">"'Lanç ("&amp;$W8&amp;")'!$F$45"</f>
        <v>'Lanç (3)'!$F$45</v>
      </c>
      <c r="AP8" s="163">
        <f t="shared" ca="1" si="3"/>
        <v>0</v>
      </c>
      <c r="AQ8" s="2" t="str">
        <f t="shared" ref="AQ8:AQ35" si="30">"'Lanç ("&amp;$W8&amp;")'!$F$46"</f>
        <v>'Lanç (3)'!$F$46</v>
      </c>
      <c r="AR8" s="163">
        <f t="shared" ca="1" si="4"/>
        <v>0</v>
      </c>
      <c r="AS8" s="2" t="str">
        <f t="shared" ref="AS8:AS35" si="31">"'Lanç ("&amp;$W8&amp;")'!$F$47"</f>
        <v>'Lanç (3)'!$F$47</v>
      </c>
      <c r="AT8" s="163">
        <f t="shared" ca="1" si="5"/>
        <v>0</v>
      </c>
      <c r="AU8" s="2" t="str">
        <f t="shared" ref="AU8:AU35" si="32">"'Lanç ("&amp;$W8&amp;")'!$F$48"</f>
        <v>'Lanç (3)'!$F$48</v>
      </c>
      <c r="AV8" s="163">
        <f t="shared" ca="1" si="6"/>
        <v>0</v>
      </c>
      <c r="AW8" s="2" t="str">
        <f t="shared" ref="AW8:AW35" si="33">"'Lanç ("&amp;$W8&amp;")'!$F$49"</f>
        <v>'Lanç (3)'!$F$49</v>
      </c>
      <c r="AX8" s="163">
        <f t="shared" ca="1" si="7"/>
        <v>0</v>
      </c>
      <c r="AY8" s="2" t="str">
        <f t="shared" ref="AY8:AY35" si="34">"'Lanç ("&amp;$W8&amp;")'!$F$51"</f>
        <v>'Lanç (3)'!$F$51</v>
      </c>
      <c r="AZ8" s="163">
        <f t="shared" ca="1" si="8"/>
        <v>0</v>
      </c>
      <c r="BA8" s="2" t="str">
        <f t="shared" ref="BA8:BA35" si="35">"'Lanç ("&amp;$W8&amp;")'!$F$50"</f>
        <v>'Lanç (3)'!$F$50</v>
      </c>
      <c r="BB8" s="163">
        <f t="shared" ca="1" si="9"/>
        <v>0</v>
      </c>
      <c r="BC8" s="2" t="str">
        <f t="shared" ref="BC8:BC35" si="36">"'Lanç ("&amp;$W8&amp;")'!$F$52"</f>
        <v>'Lanç (3)'!$F$52</v>
      </c>
      <c r="BD8" s="163">
        <f t="shared" ca="1" si="10"/>
        <v>0</v>
      </c>
      <c r="BE8" s="2" t="str">
        <f t="shared" ref="BE8:BE35" si="37">"'Lanç ("&amp;$W8&amp;")'!$F$53"</f>
        <v>'Lanç (3)'!$F$53</v>
      </c>
      <c r="BF8" s="163">
        <f t="shared" ca="1" si="11"/>
        <v>0</v>
      </c>
      <c r="BG8" s="2" t="str">
        <f t="shared" ref="BG8:BG35" si="38">"'Lanç ("&amp;$W8&amp;")'!$F$54"</f>
        <v>'Lanç (3)'!$F$54</v>
      </c>
      <c r="BH8" s="164">
        <f t="shared" ca="1" si="12"/>
        <v>0</v>
      </c>
      <c r="BI8" s="2" t="str">
        <f t="shared" ref="BI8:BI35" si="39">"'Lanç ("&amp;$W8&amp;")'!$F$55"</f>
        <v>'Lanç (3)'!$F$55</v>
      </c>
      <c r="BJ8" s="164">
        <f t="shared" ca="1" si="12"/>
        <v>0</v>
      </c>
      <c r="BK8" s="167">
        <f t="shared" ca="1" si="18"/>
        <v>3.0000000000000001E-5</v>
      </c>
      <c r="BL8" s="2">
        <v>3.0000000000000001E-5</v>
      </c>
      <c r="BM8" s="167">
        <f t="shared" ca="1" si="19"/>
        <v>0</v>
      </c>
      <c r="BN8" s="2" t="str">
        <f t="shared" si="13"/>
        <v/>
      </c>
      <c r="BO8" s="155">
        <f t="shared" ca="1" si="14"/>
        <v>3.0000000000000001E-5</v>
      </c>
      <c r="BP8" s="155">
        <f t="shared" ca="1" si="15"/>
        <v>0</v>
      </c>
      <c r="BQ8" s="2" t="str">
        <f t="shared" si="20"/>
        <v/>
      </c>
    </row>
    <row r="9" spans="1:69" ht="30" customHeight="1" thickTop="1" thickBot="1" x14ac:dyDescent="0.25">
      <c r="U9" s="2" t="str">
        <f>Resul!R12</f>
        <v/>
      </c>
      <c r="W9" s="2">
        <v>4</v>
      </c>
      <c r="X9" s="2" t="str">
        <f t="shared" si="21"/>
        <v>'Lanç (4)'!$U$8</v>
      </c>
      <c r="Y9" s="163">
        <f t="shared" ca="1" si="16"/>
        <v>0</v>
      </c>
      <c r="Z9" s="2" t="str">
        <f t="shared" si="22"/>
        <v>'Lanç (4)'!$U$16</v>
      </c>
      <c r="AA9" s="163">
        <f t="shared" ca="1" si="16"/>
        <v>0</v>
      </c>
      <c r="AB9" s="2" t="str">
        <f t="shared" si="23"/>
        <v>'Lanç (4)'!$U$14</v>
      </c>
      <c r="AC9" s="163">
        <f t="shared" ca="1" si="17"/>
        <v>0</v>
      </c>
      <c r="AD9" s="2" t="str">
        <f t="shared" si="24"/>
        <v>'Lanç (4)'!$K$5</v>
      </c>
      <c r="AE9" s="163">
        <f t="shared" ca="1" si="17"/>
        <v>0</v>
      </c>
      <c r="AG9" s="2" t="str">
        <f t="shared" si="25"/>
        <v>'Lanç (4)'!$F$41</v>
      </c>
      <c r="AH9" s="163">
        <f t="shared" ca="1" si="0"/>
        <v>0</v>
      </c>
      <c r="AI9" s="2" t="str">
        <f t="shared" si="26"/>
        <v>'Lanç (4)'!$F$42</v>
      </c>
      <c r="AJ9" s="163">
        <f t="shared" ca="1" si="0"/>
        <v>0</v>
      </c>
      <c r="AK9" s="2" t="str">
        <f t="shared" si="27"/>
        <v>'Lanç (4)'!$F$43</v>
      </c>
      <c r="AL9" s="163">
        <f t="shared" ca="1" si="1"/>
        <v>0</v>
      </c>
      <c r="AM9" s="2" t="str">
        <f t="shared" si="28"/>
        <v>'Lanç (4)'!$F$44</v>
      </c>
      <c r="AN9" s="163">
        <f t="shared" ca="1" si="2"/>
        <v>0</v>
      </c>
      <c r="AO9" s="2" t="str">
        <f t="shared" si="29"/>
        <v>'Lanç (4)'!$F$45</v>
      </c>
      <c r="AP9" s="163">
        <f t="shared" ca="1" si="3"/>
        <v>0</v>
      </c>
      <c r="AQ9" s="2" t="str">
        <f t="shared" si="30"/>
        <v>'Lanç (4)'!$F$46</v>
      </c>
      <c r="AR9" s="163">
        <f t="shared" ca="1" si="4"/>
        <v>0</v>
      </c>
      <c r="AS9" s="2" t="str">
        <f t="shared" si="31"/>
        <v>'Lanç (4)'!$F$47</v>
      </c>
      <c r="AT9" s="163">
        <f t="shared" ca="1" si="5"/>
        <v>0</v>
      </c>
      <c r="AU9" s="2" t="str">
        <f t="shared" si="32"/>
        <v>'Lanç (4)'!$F$48</v>
      </c>
      <c r="AV9" s="163">
        <f t="shared" ca="1" si="6"/>
        <v>0</v>
      </c>
      <c r="AW9" s="2" t="str">
        <f t="shared" si="33"/>
        <v>'Lanç (4)'!$F$49</v>
      </c>
      <c r="AX9" s="163">
        <f t="shared" ca="1" si="7"/>
        <v>0</v>
      </c>
      <c r="AY9" s="2" t="str">
        <f t="shared" si="34"/>
        <v>'Lanç (4)'!$F$51</v>
      </c>
      <c r="AZ9" s="163">
        <f t="shared" ca="1" si="8"/>
        <v>0</v>
      </c>
      <c r="BA9" s="2" t="str">
        <f t="shared" si="35"/>
        <v>'Lanç (4)'!$F$50</v>
      </c>
      <c r="BB9" s="163">
        <f t="shared" ca="1" si="9"/>
        <v>0</v>
      </c>
      <c r="BC9" s="2" t="str">
        <f t="shared" si="36"/>
        <v>'Lanç (4)'!$F$52</v>
      </c>
      <c r="BD9" s="163">
        <f t="shared" ca="1" si="10"/>
        <v>0</v>
      </c>
      <c r="BE9" s="2" t="str">
        <f t="shared" si="37"/>
        <v>'Lanç (4)'!$F$53</v>
      </c>
      <c r="BF9" s="163">
        <f t="shared" ca="1" si="11"/>
        <v>0</v>
      </c>
      <c r="BG9" s="2" t="str">
        <f t="shared" si="38"/>
        <v>'Lanç (4)'!$F$54</v>
      </c>
      <c r="BH9" s="164">
        <f t="shared" ca="1" si="12"/>
        <v>0</v>
      </c>
      <c r="BI9" s="2" t="str">
        <f t="shared" si="39"/>
        <v>'Lanç (4)'!$F$55</v>
      </c>
      <c r="BJ9" s="164">
        <f t="shared" ca="1" si="12"/>
        <v>0</v>
      </c>
      <c r="BK9" s="167">
        <f t="shared" ca="1" si="18"/>
        <v>4.0000000000000003E-5</v>
      </c>
      <c r="BL9" s="2">
        <v>4.0000000000000003E-5</v>
      </c>
      <c r="BM9" s="167">
        <f t="shared" ca="1" si="19"/>
        <v>0</v>
      </c>
      <c r="BN9" s="2" t="str">
        <f t="shared" si="13"/>
        <v/>
      </c>
      <c r="BO9" s="155">
        <f t="shared" ca="1" si="14"/>
        <v>4.0000000000000003E-5</v>
      </c>
      <c r="BP9" s="155">
        <f t="shared" ca="1" si="15"/>
        <v>0</v>
      </c>
      <c r="BQ9" s="2" t="str">
        <f t="shared" si="20"/>
        <v/>
      </c>
    </row>
    <row r="10" spans="1:69" ht="30" customHeight="1" thickTop="1" thickBot="1" x14ac:dyDescent="0.25">
      <c r="U10" s="2" t="str">
        <f>Resul!R13</f>
        <v/>
      </c>
      <c r="W10" s="2">
        <v>5</v>
      </c>
      <c r="X10" s="2" t="str">
        <f t="shared" si="21"/>
        <v>'Lanç (5)'!$U$8</v>
      </c>
      <c r="Y10" s="163">
        <f t="shared" ca="1" si="16"/>
        <v>5.9374999999999982</v>
      </c>
      <c r="Z10" s="2" t="str">
        <f t="shared" si="22"/>
        <v>'Lanç (5)'!$U$16</v>
      </c>
      <c r="AA10" s="163">
        <f t="shared" ca="1" si="16"/>
        <v>5.9374999999999982</v>
      </c>
      <c r="AB10" s="2" t="str">
        <f t="shared" si="23"/>
        <v>'Lanç (5)'!$U$14</v>
      </c>
      <c r="AC10" s="163">
        <f t="shared" ca="1" si="17"/>
        <v>0</v>
      </c>
      <c r="AD10" s="2" t="str">
        <f t="shared" si="24"/>
        <v>'Lanç (5)'!$K$5</v>
      </c>
      <c r="AE10" s="163">
        <f t="shared" ca="1" si="17"/>
        <v>0</v>
      </c>
      <c r="AG10" s="2" t="str">
        <f t="shared" si="25"/>
        <v>'Lanç (5)'!$F$41</v>
      </c>
      <c r="AH10" s="163">
        <f t="shared" ca="1" si="0"/>
        <v>1.3888888888888884</v>
      </c>
      <c r="AI10" s="2" t="str">
        <f t="shared" si="26"/>
        <v>'Lanç (5)'!$F$42</v>
      </c>
      <c r="AJ10" s="163">
        <f t="shared" ca="1" si="0"/>
        <v>1.4513888888888884</v>
      </c>
      <c r="AK10" s="2" t="str">
        <f t="shared" si="27"/>
        <v>'Lanç (5)'!$F$43</v>
      </c>
      <c r="AL10" s="163">
        <f t="shared" ca="1" si="1"/>
        <v>0.87499999999999978</v>
      </c>
      <c r="AM10" s="2" t="str">
        <f t="shared" si="28"/>
        <v>'Lanç (5)'!$F$44</v>
      </c>
      <c r="AN10" s="163">
        <f t="shared" ca="1" si="2"/>
        <v>0</v>
      </c>
      <c r="AO10" s="2" t="str">
        <f t="shared" si="29"/>
        <v>'Lanç (5)'!$F$45</v>
      </c>
      <c r="AP10" s="163">
        <f t="shared" ca="1" si="3"/>
        <v>0</v>
      </c>
      <c r="AQ10" s="2" t="str">
        <f t="shared" si="30"/>
        <v>'Lanç (5)'!$F$46</v>
      </c>
      <c r="AR10" s="163">
        <f t="shared" ca="1" si="4"/>
        <v>0.83333333333333304</v>
      </c>
      <c r="AS10" s="2" t="str">
        <f t="shared" si="31"/>
        <v>'Lanç (5)'!$F$47</v>
      </c>
      <c r="AT10" s="163">
        <f t="shared" ca="1" si="5"/>
        <v>1.3888888888888884</v>
      </c>
      <c r="AU10" s="2" t="str">
        <f t="shared" si="32"/>
        <v>'Lanç (5)'!$F$48</v>
      </c>
      <c r="AV10" s="163">
        <f t="shared" ca="1" si="6"/>
        <v>0</v>
      </c>
      <c r="AW10" s="2" t="str">
        <f t="shared" si="33"/>
        <v>'Lanç (5)'!$F$49</v>
      </c>
      <c r="AX10" s="163">
        <f t="shared" ca="1" si="7"/>
        <v>0</v>
      </c>
      <c r="AY10" s="2" t="str">
        <f t="shared" si="34"/>
        <v>'Lanç (5)'!$F$51</v>
      </c>
      <c r="AZ10" s="163">
        <f t="shared" ca="1" si="8"/>
        <v>0</v>
      </c>
      <c r="BA10" s="2" t="str">
        <f t="shared" si="35"/>
        <v>'Lanç (5)'!$F$50</v>
      </c>
      <c r="BB10" s="163">
        <f t="shared" ca="1" si="9"/>
        <v>0</v>
      </c>
      <c r="BC10" s="2" t="str">
        <f t="shared" si="36"/>
        <v>'Lanç (5)'!$F$52</v>
      </c>
      <c r="BD10" s="163">
        <f t="shared" ca="1" si="10"/>
        <v>5.9374999999999982</v>
      </c>
      <c r="BE10" s="2" t="str">
        <f t="shared" si="37"/>
        <v>'Lanç (5)'!$F$53</v>
      </c>
      <c r="BF10" s="163">
        <f t="shared" ca="1" si="11"/>
        <v>0</v>
      </c>
      <c r="BG10" s="2" t="str">
        <f t="shared" si="38"/>
        <v>'Lanç (5)'!$F$54</v>
      </c>
      <c r="BH10" s="164">
        <f t="shared" ca="1" si="12"/>
        <v>0</v>
      </c>
      <c r="BI10" s="2" t="str">
        <f t="shared" si="39"/>
        <v>'Lanç (5)'!$F$55</v>
      </c>
      <c r="BJ10" s="164">
        <f t="shared" ca="1" si="12"/>
        <v>0</v>
      </c>
      <c r="BK10" s="167">
        <f t="shared" ca="1" si="18"/>
        <v>5.0000000000000002E-5</v>
      </c>
      <c r="BL10" s="2">
        <v>5.0000000000000002E-5</v>
      </c>
      <c r="BM10" s="167">
        <f t="shared" ca="1" si="19"/>
        <v>0</v>
      </c>
      <c r="BN10" s="2" t="str">
        <f t="shared" si="13"/>
        <v/>
      </c>
      <c r="BO10" s="155">
        <f t="shared" ca="1" si="14"/>
        <v>5.9375499999999981</v>
      </c>
      <c r="BP10" s="155">
        <f t="shared" ca="1" si="15"/>
        <v>5.9374999999999982</v>
      </c>
      <c r="BQ10" s="2" t="str">
        <f t="shared" si="20"/>
        <v/>
      </c>
    </row>
    <row r="11" spans="1:69" ht="30" customHeight="1" thickTop="1" thickBot="1" x14ac:dyDescent="0.25">
      <c r="U11" s="2" t="str">
        <f>Resul!R14</f>
        <v/>
      </c>
      <c r="W11" s="2">
        <v>6</v>
      </c>
      <c r="X11" s="2" t="str">
        <f t="shared" si="21"/>
        <v>'Lanç (6)'!$U$8</v>
      </c>
      <c r="Y11" s="163">
        <f t="shared" ca="1" si="16"/>
        <v>0</v>
      </c>
      <c r="Z11" s="2" t="str">
        <f t="shared" si="22"/>
        <v>'Lanç (6)'!$U$16</v>
      </c>
      <c r="AA11" s="163">
        <f t="shared" ca="1" si="16"/>
        <v>0</v>
      </c>
      <c r="AB11" s="2" t="str">
        <f t="shared" si="23"/>
        <v>'Lanç (6)'!$U$14</v>
      </c>
      <c r="AC11" s="163">
        <f t="shared" ca="1" si="17"/>
        <v>0</v>
      </c>
      <c r="AD11" s="2" t="str">
        <f t="shared" si="24"/>
        <v>'Lanç (6)'!$K$5</v>
      </c>
      <c r="AE11" s="163">
        <f t="shared" ca="1" si="17"/>
        <v>0</v>
      </c>
      <c r="AG11" s="2" t="str">
        <f t="shared" si="25"/>
        <v>'Lanç (6)'!$F$41</v>
      </c>
      <c r="AH11" s="163">
        <f t="shared" ca="1" si="0"/>
        <v>0</v>
      </c>
      <c r="AI11" s="2" t="str">
        <f t="shared" si="26"/>
        <v>'Lanç (6)'!$F$42</v>
      </c>
      <c r="AJ11" s="163">
        <f t="shared" ca="1" si="0"/>
        <v>0</v>
      </c>
      <c r="AK11" s="2" t="str">
        <f t="shared" si="27"/>
        <v>'Lanç (6)'!$F$43</v>
      </c>
      <c r="AL11" s="163">
        <f t="shared" ca="1" si="1"/>
        <v>0</v>
      </c>
      <c r="AM11" s="2" t="str">
        <f t="shared" si="28"/>
        <v>'Lanç (6)'!$F$44</v>
      </c>
      <c r="AN11" s="163">
        <f t="shared" ca="1" si="2"/>
        <v>0</v>
      </c>
      <c r="AO11" s="2" t="str">
        <f t="shared" si="29"/>
        <v>'Lanç (6)'!$F$45</v>
      </c>
      <c r="AP11" s="163">
        <f t="shared" ca="1" si="3"/>
        <v>0</v>
      </c>
      <c r="AQ11" s="2" t="str">
        <f t="shared" si="30"/>
        <v>'Lanç (6)'!$F$46</v>
      </c>
      <c r="AR11" s="163">
        <f t="shared" ca="1" si="4"/>
        <v>0</v>
      </c>
      <c r="AS11" s="2" t="str">
        <f t="shared" si="31"/>
        <v>'Lanç (6)'!$F$47</v>
      </c>
      <c r="AT11" s="163">
        <f t="shared" ca="1" si="5"/>
        <v>0</v>
      </c>
      <c r="AU11" s="2" t="str">
        <f t="shared" si="32"/>
        <v>'Lanç (6)'!$F$48</v>
      </c>
      <c r="AV11" s="163">
        <f t="shared" ca="1" si="6"/>
        <v>0</v>
      </c>
      <c r="AW11" s="2" t="str">
        <f t="shared" si="33"/>
        <v>'Lanç (6)'!$F$49</v>
      </c>
      <c r="AX11" s="163">
        <f t="shared" ca="1" si="7"/>
        <v>0</v>
      </c>
      <c r="AY11" s="2" t="str">
        <f t="shared" si="34"/>
        <v>'Lanç (6)'!$F$51</v>
      </c>
      <c r="AZ11" s="163">
        <f t="shared" ca="1" si="8"/>
        <v>0</v>
      </c>
      <c r="BA11" s="2" t="str">
        <f t="shared" si="35"/>
        <v>'Lanç (6)'!$F$50</v>
      </c>
      <c r="BB11" s="163">
        <f t="shared" ca="1" si="9"/>
        <v>0</v>
      </c>
      <c r="BC11" s="2" t="str">
        <f t="shared" si="36"/>
        <v>'Lanç (6)'!$F$52</v>
      </c>
      <c r="BD11" s="163">
        <f t="shared" ca="1" si="10"/>
        <v>0</v>
      </c>
      <c r="BE11" s="2" t="str">
        <f t="shared" si="37"/>
        <v>'Lanç (6)'!$F$53</v>
      </c>
      <c r="BF11" s="163">
        <f t="shared" ca="1" si="11"/>
        <v>0</v>
      </c>
      <c r="BG11" s="2" t="str">
        <f t="shared" si="38"/>
        <v>'Lanç (6)'!$F$54</v>
      </c>
      <c r="BH11" s="164">
        <f t="shared" ca="1" si="12"/>
        <v>0</v>
      </c>
      <c r="BI11" s="2" t="str">
        <f t="shared" si="39"/>
        <v>'Lanç (6)'!$F$55</v>
      </c>
      <c r="BJ11" s="164">
        <f t="shared" ca="1" si="12"/>
        <v>0</v>
      </c>
      <c r="BK11" s="167">
        <f t="shared" ca="1" si="18"/>
        <v>6.0000000000000002E-5</v>
      </c>
      <c r="BL11" s="2">
        <v>6.0000000000000002E-5</v>
      </c>
      <c r="BM11" s="167">
        <f t="shared" ca="1" si="19"/>
        <v>0</v>
      </c>
      <c r="BN11" s="2" t="str">
        <f t="shared" si="13"/>
        <v/>
      </c>
      <c r="BO11" s="155">
        <f t="shared" ca="1" si="14"/>
        <v>6.0000000000000002E-5</v>
      </c>
      <c r="BP11" s="155">
        <f t="shared" ca="1" si="15"/>
        <v>0</v>
      </c>
      <c r="BQ11" s="2" t="str">
        <f t="shared" si="20"/>
        <v/>
      </c>
    </row>
    <row r="12" spans="1:69" ht="30" customHeight="1" thickTop="1" thickBot="1" x14ac:dyDescent="0.25">
      <c r="U12" s="2" t="str">
        <f>Resul!R15</f>
        <v/>
      </c>
      <c r="W12" s="2">
        <v>7</v>
      </c>
      <c r="X12" s="2" t="str">
        <f t="shared" si="21"/>
        <v>'Lanç (7)'!$U$8</v>
      </c>
      <c r="Y12" s="163">
        <f t="shared" ca="1" si="16"/>
        <v>0</v>
      </c>
      <c r="Z12" s="2" t="str">
        <f t="shared" si="22"/>
        <v>'Lanç (7)'!$U$16</v>
      </c>
      <c r="AA12" s="163">
        <f t="shared" ca="1" si="16"/>
        <v>0</v>
      </c>
      <c r="AB12" s="2" t="str">
        <f t="shared" si="23"/>
        <v>'Lanç (7)'!$U$14</v>
      </c>
      <c r="AC12" s="163">
        <f t="shared" ca="1" si="17"/>
        <v>0</v>
      </c>
      <c r="AD12" s="2" t="str">
        <f t="shared" si="24"/>
        <v>'Lanç (7)'!$K$5</v>
      </c>
      <c r="AE12" s="163">
        <f t="shared" ca="1" si="17"/>
        <v>0</v>
      </c>
      <c r="AG12" s="2" t="str">
        <f t="shared" si="25"/>
        <v>'Lanç (7)'!$F$41</v>
      </c>
      <c r="AH12" s="163">
        <f t="shared" ca="1" si="0"/>
        <v>0</v>
      </c>
      <c r="AI12" s="2" t="str">
        <f t="shared" si="26"/>
        <v>'Lanç (7)'!$F$42</v>
      </c>
      <c r="AJ12" s="163">
        <f t="shared" ca="1" si="0"/>
        <v>0</v>
      </c>
      <c r="AK12" s="2" t="str">
        <f t="shared" si="27"/>
        <v>'Lanç (7)'!$F$43</v>
      </c>
      <c r="AL12" s="163">
        <f t="shared" ca="1" si="1"/>
        <v>0</v>
      </c>
      <c r="AM12" s="2" t="str">
        <f t="shared" si="28"/>
        <v>'Lanç (7)'!$F$44</v>
      </c>
      <c r="AN12" s="163">
        <f t="shared" ca="1" si="2"/>
        <v>0</v>
      </c>
      <c r="AO12" s="2" t="str">
        <f t="shared" si="29"/>
        <v>'Lanç (7)'!$F$45</v>
      </c>
      <c r="AP12" s="163">
        <f t="shared" ca="1" si="3"/>
        <v>0</v>
      </c>
      <c r="AQ12" s="2" t="str">
        <f t="shared" si="30"/>
        <v>'Lanç (7)'!$F$46</v>
      </c>
      <c r="AR12" s="163">
        <f t="shared" ca="1" si="4"/>
        <v>0</v>
      </c>
      <c r="AS12" s="2" t="str">
        <f t="shared" si="31"/>
        <v>'Lanç (7)'!$F$47</v>
      </c>
      <c r="AT12" s="163">
        <f t="shared" ca="1" si="5"/>
        <v>0</v>
      </c>
      <c r="AU12" s="2" t="str">
        <f t="shared" si="32"/>
        <v>'Lanç (7)'!$F$48</v>
      </c>
      <c r="AV12" s="163">
        <f t="shared" ca="1" si="6"/>
        <v>0</v>
      </c>
      <c r="AW12" s="2" t="str">
        <f t="shared" si="33"/>
        <v>'Lanç (7)'!$F$49</v>
      </c>
      <c r="AX12" s="163">
        <f t="shared" ca="1" si="7"/>
        <v>0</v>
      </c>
      <c r="AY12" s="2" t="str">
        <f t="shared" si="34"/>
        <v>'Lanç (7)'!$F$51</v>
      </c>
      <c r="AZ12" s="163">
        <f t="shared" ca="1" si="8"/>
        <v>0</v>
      </c>
      <c r="BA12" s="2" t="str">
        <f t="shared" si="35"/>
        <v>'Lanç (7)'!$F$50</v>
      </c>
      <c r="BB12" s="163">
        <f t="shared" ca="1" si="9"/>
        <v>0</v>
      </c>
      <c r="BC12" s="2" t="str">
        <f t="shared" si="36"/>
        <v>'Lanç (7)'!$F$52</v>
      </c>
      <c r="BD12" s="163">
        <f t="shared" ca="1" si="10"/>
        <v>0</v>
      </c>
      <c r="BE12" s="2" t="str">
        <f t="shared" si="37"/>
        <v>'Lanç (7)'!$F$53</v>
      </c>
      <c r="BF12" s="163">
        <f t="shared" ca="1" si="11"/>
        <v>0</v>
      </c>
      <c r="BG12" s="2" t="str">
        <f t="shared" si="38"/>
        <v>'Lanç (7)'!$F$54</v>
      </c>
      <c r="BH12" s="164">
        <f t="shared" ca="1" si="12"/>
        <v>0</v>
      </c>
      <c r="BI12" s="2" t="str">
        <f t="shared" si="39"/>
        <v>'Lanç (7)'!$F$55</v>
      </c>
      <c r="BJ12" s="164">
        <f t="shared" ca="1" si="12"/>
        <v>0</v>
      </c>
      <c r="BK12" s="167">
        <f t="shared" ca="1" si="18"/>
        <v>6.9999999999999994E-5</v>
      </c>
      <c r="BL12" s="2">
        <v>6.9999999999999994E-5</v>
      </c>
      <c r="BM12" s="167">
        <f t="shared" ca="1" si="19"/>
        <v>0</v>
      </c>
      <c r="BN12" s="2" t="str">
        <f t="shared" si="13"/>
        <v/>
      </c>
      <c r="BO12" s="155">
        <f t="shared" ca="1" si="14"/>
        <v>6.9999999999999994E-5</v>
      </c>
      <c r="BP12" s="155">
        <f t="shared" ca="1" si="15"/>
        <v>0</v>
      </c>
      <c r="BQ12" s="2" t="str">
        <f t="shared" si="20"/>
        <v/>
      </c>
    </row>
    <row r="13" spans="1:69" ht="30" customHeight="1" thickTop="1" thickBot="1" x14ac:dyDescent="0.25">
      <c r="U13" s="2" t="str">
        <f>Resul!R16</f>
        <v/>
      </c>
      <c r="W13" s="2">
        <v>8</v>
      </c>
      <c r="X13" s="2" t="str">
        <f t="shared" si="21"/>
        <v>'Lanç (8)'!$U$8</v>
      </c>
      <c r="Y13" s="163">
        <f t="shared" ca="1" si="16"/>
        <v>0</v>
      </c>
      <c r="Z13" s="2" t="str">
        <f t="shared" si="22"/>
        <v>'Lanç (8)'!$U$16</v>
      </c>
      <c r="AA13" s="163">
        <f t="shared" ca="1" si="16"/>
        <v>0</v>
      </c>
      <c r="AB13" s="2" t="str">
        <f t="shared" si="23"/>
        <v>'Lanç (8)'!$U$14</v>
      </c>
      <c r="AC13" s="163">
        <f t="shared" ca="1" si="17"/>
        <v>0</v>
      </c>
      <c r="AD13" s="2" t="str">
        <f t="shared" si="24"/>
        <v>'Lanç (8)'!$K$5</v>
      </c>
      <c r="AE13" s="163">
        <f t="shared" ca="1" si="17"/>
        <v>0</v>
      </c>
      <c r="AG13" s="2" t="str">
        <f t="shared" si="25"/>
        <v>'Lanç (8)'!$F$41</v>
      </c>
      <c r="AH13" s="163">
        <f t="shared" ca="1" si="0"/>
        <v>0</v>
      </c>
      <c r="AI13" s="2" t="str">
        <f t="shared" si="26"/>
        <v>'Lanç (8)'!$F$42</v>
      </c>
      <c r="AJ13" s="163">
        <f t="shared" ca="1" si="0"/>
        <v>0</v>
      </c>
      <c r="AK13" s="2" t="str">
        <f t="shared" si="27"/>
        <v>'Lanç (8)'!$F$43</v>
      </c>
      <c r="AL13" s="163">
        <f t="shared" ca="1" si="1"/>
        <v>0</v>
      </c>
      <c r="AM13" s="2" t="str">
        <f t="shared" si="28"/>
        <v>'Lanç (8)'!$F$44</v>
      </c>
      <c r="AN13" s="163">
        <f t="shared" ca="1" si="2"/>
        <v>0</v>
      </c>
      <c r="AO13" s="2" t="str">
        <f t="shared" si="29"/>
        <v>'Lanç (8)'!$F$45</v>
      </c>
      <c r="AP13" s="163">
        <f t="shared" ca="1" si="3"/>
        <v>0</v>
      </c>
      <c r="AQ13" s="2" t="str">
        <f t="shared" si="30"/>
        <v>'Lanç (8)'!$F$46</v>
      </c>
      <c r="AR13" s="163">
        <f t="shared" ca="1" si="4"/>
        <v>0</v>
      </c>
      <c r="AS13" s="2" t="str">
        <f t="shared" si="31"/>
        <v>'Lanç (8)'!$F$47</v>
      </c>
      <c r="AT13" s="163">
        <f t="shared" ca="1" si="5"/>
        <v>0</v>
      </c>
      <c r="AU13" s="2" t="str">
        <f t="shared" si="32"/>
        <v>'Lanç (8)'!$F$48</v>
      </c>
      <c r="AV13" s="163">
        <f t="shared" ca="1" si="6"/>
        <v>0</v>
      </c>
      <c r="AW13" s="2" t="str">
        <f t="shared" si="33"/>
        <v>'Lanç (8)'!$F$49</v>
      </c>
      <c r="AX13" s="163">
        <f t="shared" ca="1" si="7"/>
        <v>0</v>
      </c>
      <c r="AY13" s="2" t="str">
        <f t="shared" si="34"/>
        <v>'Lanç (8)'!$F$51</v>
      </c>
      <c r="AZ13" s="163">
        <f t="shared" ca="1" si="8"/>
        <v>0</v>
      </c>
      <c r="BA13" s="2" t="str">
        <f t="shared" si="35"/>
        <v>'Lanç (8)'!$F$50</v>
      </c>
      <c r="BB13" s="163">
        <f t="shared" ca="1" si="9"/>
        <v>0</v>
      </c>
      <c r="BC13" s="2" t="str">
        <f t="shared" si="36"/>
        <v>'Lanç (8)'!$F$52</v>
      </c>
      <c r="BD13" s="163">
        <f t="shared" ca="1" si="10"/>
        <v>0</v>
      </c>
      <c r="BE13" s="2" t="str">
        <f t="shared" si="37"/>
        <v>'Lanç (8)'!$F$53</v>
      </c>
      <c r="BF13" s="163">
        <f t="shared" ca="1" si="11"/>
        <v>0</v>
      </c>
      <c r="BG13" s="2" t="str">
        <f t="shared" si="38"/>
        <v>'Lanç (8)'!$F$54</v>
      </c>
      <c r="BH13" s="164">
        <f t="shared" ca="1" si="12"/>
        <v>0</v>
      </c>
      <c r="BI13" s="2" t="str">
        <f t="shared" si="39"/>
        <v>'Lanç (8)'!$F$55</v>
      </c>
      <c r="BJ13" s="164">
        <f t="shared" ca="1" si="12"/>
        <v>0</v>
      </c>
      <c r="BK13" s="167">
        <f t="shared" ca="1" si="18"/>
        <v>8.0000000000000007E-5</v>
      </c>
      <c r="BL13" s="2">
        <v>8.0000000000000007E-5</v>
      </c>
      <c r="BM13" s="167">
        <f t="shared" ca="1" si="19"/>
        <v>0</v>
      </c>
      <c r="BN13" s="2" t="str">
        <f t="shared" si="13"/>
        <v/>
      </c>
      <c r="BO13" s="155">
        <f t="shared" ca="1" si="14"/>
        <v>8.0000000000000007E-5</v>
      </c>
      <c r="BP13" s="155">
        <f t="shared" ca="1" si="15"/>
        <v>0</v>
      </c>
      <c r="BQ13" s="2" t="str">
        <f t="shared" si="20"/>
        <v/>
      </c>
    </row>
    <row r="14" spans="1:69" ht="30" customHeight="1" thickTop="1" thickBot="1" x14ac:dyDescent="0.25">
      <c r="U14" s="2" t="str">
        <f>Resul!R17</f>
        <v/>
      </c>
      <c r="W14" s="2">
        <v>9</v>
      </c>
      <c r="X14" s="2" t="str">
        <f t="shared" si="21"/>
        <v>'Lanç (9)'!$U$8</v>
      </c>
      <c r="Y14" s="163">
        <f t="shared" ca="1" si="16"/>
        <v>0</v>
      </c>
      <c r="Z14" s="2" t="str">
        <f t="shared" si="22"/>
        <v>'Lanç (9)'!$U$16</v>
      </c>
      <c r="AA14" s="163">
        <f t="shared" ca="1" si="16"/>
        <v>0</v>
      </c>
      <c r="AB14" s="2" t="str">
        <f t="shared" si="23"/>
        <v>'Lanç (9)'!$U$14</v>
      </c>
      <c r="AC14" s="163">
        <f t="shared" ca="1" si="17"/>
        <v>0</v>
      </c>
      <c r="AD14" s="2" t="str">
        <f t="shared" si="24"/>
        <v>'Lanç (9)'!$K$5</v>
      </c>
      <c r="AE14" s="163">
        <f t="shared" ca="1" si="17"/>
        <v>0</v>
      </c>
      <c r="AG14" s="2" t="str">
        <f t="shared" si="25"/>
        <v>'Lanç (9)'!$F$41</v>
      </c>
      <c r="AH14" s="163">
        <f t="shared" ca="1" si="0"/>
        <v>0</v>
      </c>
      <c r="AI14" s="2" t="str">
        <f t="shared" si="26"/>
        <v>'Lanç (9)'!$F$42</v>
      </c>
      <c r="AJ14" s="163">
        <f t="shared" ca="1" si="0"/>
        <v>0</v>
      </c>
      <c r="AK14" s="2" t="str">
        <f t="shared" si="27"/>
        <v>'Lanç (9)'!$F$43</v>
      </c>
      <c r="AL14" s="163">
        <f t="shared" ca="1" si="1"/>
        <v>0</v>
      </c>
      <c r="AM14" s="2" t="str">
        <f t="shared" si="28"/>
        <v>'Lanç (9)'!$F$44</v>
      </c>
      <c r="AN14" s="163">
        <f t="shared" ca="1" si="2"/>
        <v>0</v>
      </c>
      <c r="AO14" s="2" t="str">
        <f t="shared" si="29"/>
        <v>'Lanç (9)'!$F$45</v>
      </c>
      <c r="AP14" s="163">
        <f t="shared" ca="1" si="3"/>
        <v>0</v>
      </c>
      <c r="AQ14" s="2" t="str">
        <f t="shared" si="30"/>
        <v>'Lanç (9)'!$F$46</v>
      </c>
      <c r="AR14" s="163">
        <f t="shared" ca="1" si="4"/>
        <v>0</v>
      </c>
      <c r="AS14" s="2" t="str">
        <f t="shared" si="31"/>
        <v>'Lanç (9)'!$F$47</v>
      </c>
      <c r="AT14" s="163">
        <f t="shared" ca="1" si="5"/>
        <v>0</v>
      </c>
      <c r="AU14" s="2" t="str">
        <f t="shared" si="32"/>
        <v>'Lanç (9)'!$F$48</v>
      </c>
      <c r="AV14" s="163">
        <f t="shared" ca="1" si="6"/>
        <v>0</v>
      </c>
      <c r="AW14" s="2" t="str">
        <f t="shared" si="33"/>
        <v>'Lanç (9)'!$F$49</v>
      </c>
      <c r="AX14" s="163">
        <f t="shared" ca="1" si="7"/>
        <v>0</v>
      </c>
      <c r="AY14" s="2" t="str">
        <f t="shared" si="34"/>
        <v>'Lanç (9)'!$F$51</v>
      </c>
      <c r="AZ14" s="163">
        <f t="shared" ca="1" si="8"/>
        <v>0</v>
      </c>
      <c r="BA14" s="2" t="str">
        <f t="shared" si="35"/>
        <v>'Lanç (9)'!$F$50</v>
      </c>
      <c r="BB14" s="163">
        <f t="shared" ca="1" si="9"/>
        <v>0</v>
      </c>
      <c r="BC14" s="2" t="str">
        <f t="shared" si="36"/>
        <v>'Lanç (9)'!$F$52</v>
      </c>
      <c r="BD14" s="163">
        <f t="shared" ca="1" si="10"/>
        <v>0</v>
      </c>
      <c r="BE14" s="2" t="str">
        <f t="shared" si="37"/>
        <v>'Lanç (9)'!$F$53</v>
      </c>
      <c r="BF14" s="163">
        <f t="shared" ca="1" si="11"/>
        <v>0</v>
      </c>
      <c r="BG14" s="2" t="str">
        <f t="shared" si="38"/>
        <v>'Lanç (9)'!$F$54</v>
      </c>
      <c r="BH14" s="164">
        <f t="shared" ca="1" si="12"/>
        <v>0</v>
      </c>
      <c r="BI14" s="2" t="str">
        <f t="shared" si="39"/>
        <v>'Lanç (9)'!$F$55</v>
      </c>
      <c r="BJ14" s="164">
        <f t="shared" ca="1" si="12"/>
        <v>0</v>
      </c>
      <c r="BK14" s="167">
        <f t="shared" ca="1" si="18"/>
        <v>9.0000000000000006E-5</v>
      </c>
      <c r="BL14" s="2">
        <v>9.0000000000000006E-5</v>
      </c>
      <c r="BM14" s="167">
        <f t="shared" ca="1" si="19"/>
        <v>0</v>
      </c>
      <c r="BN14" s="2" t="str">
        <f t="shared" si="13"/>
        <v/>
      </c>
      <c r="BO14" s="155">
        <f t="shared" ca="1" si="14"/>
        <v>9.0000000000000006E-5</v>
      </c>
      <c r="BP14" s="155">
        <f t="shared" ca="1" si="15"/>
        <v>0</v>
      </c>
      <c r="BQ14" s="2" t="str">
        <f t="shared" si="20"/>
        <v/>
      </c>
    </row>
    <row r="15" spans="1:69" ht="30" customHeight="1" thickTop="1" thickBot="1" x14ac:dyDescent="0.25">
      <c r="U15" s="2" t="str">
        <f>Resul!R18</f>
        <v/>
      </c>
      <c r="W15" s="2">
        <v>10</v>
      </c>
      <c r="X15" s="2" t="str">
        <f t="shared" si="21"/>
        <v>'Lanç (10)'!$U$8</v>
      </c>
      <c r="Y15" s="163">
        <f t="shared" ca="1" si="16"/>
        <v>0</v>
      </c>
      <c r="Z15" s="2" t="str">
        <f t="shared" si="22"/>
        <v>'Lanç (10)'!$U$16</v>
      </c>
      <c r="AA15" s="163">
        <f t="shared" ca="1" si="16"/>
        <v>0</v>
      </c>
      <c r="AB15" s="2" t="str">
        <f t="shared" si="23"/>
        <v>'Lanç (10)'!$U$14</v>
      </c>
      <c r="AC15" s="163">
        <f t="shared" ca="1" si="17"/>
        <v>0</v>
      </c>
      <c r="AD15" s="2" t="str">
        <f t="shared" si="24"/>
        <v>'Lanç (10)'!$K$5</v>
      </c>
      <c r="AE15" s="163">
        <f t="shared" ca="1" si="17"/>
        <v>0</v>
      </c>
      <c r="AG15" s="2" t="str">
        <f t="shared" si="25"/>
        <v>'Lanç (10)'!$F$41</v>
      </c>
      <c r="AH15" s="163">
        <f t="shared" ca="1" si="0"/>
        <v>0</v>
      </c>
      <c r="AI15" s="2" t="str">
        <f t="shared" si="26"/>
        <v>'Lanç (10)'!$F$42</v>
      </c>
      <c r="AJ15" s="163">
        <f t="shared" ca="1" si="0"/>
        <v>0</v>
      </c>
      <c r="AK15" s="2" t="str">
        <f t="shared" si="27"/>
        <v>'Lanç (10)'!$F$43</v>
      </c>
      <c r="AL15" s="163">
        <f t="shared" ca="1" si="1"/>
        <v>0</v>
      </c>
      <c r="AM15" s="2" t="str">
        <f t="shared" si="28"/>
        <v>'Lanç (10)'!$F$44</v>
      </c>
      <c r="AN15" s="163">
        <f t="shared" ca="1" si="2"/>
        <v>0</v>
      </c>
      <c r="AO15" s="2" t="str">
        <f t="shared" si="29"/>
        <v>'Lanç (10)'!$F$45</v>
      </c>
      <c r="AP15" s="163">
        <f t="shared" ca="1" si="3"/>
        <v>0</v>
      </c>
      <c r="AQ15" s="2" t="str">
        <f t="shared" si="30"/>
        <v>'Lanç (10)'!$F$46</v>
      </c>
      <c r="AR15" s="163">
        <f t="shared" ca="1" si="4"/>
        <v>0</v>
      </c>
      <c r="AS15" s="2" t="str">
        <f t="shared" si="31"/>
        <v>'Lanç (10)'!$F$47</v>
      </c>
      <c r="AT15" s="163">
        <f t="shared" ca="1" si="5"/>
        <v>0</v>
      </c>
      <c r="AU15" s="2" t="str">
        <f t="shared" si="32"/>
        <v>'Lanç (10)'!$F$48</v>
      </c>
      <c r="AV15" s="163">
        <f t="shared" ca="1" si="6"/>
        <v>0</v>
      </c>
      <c r="AW15" s="2" t="str">
        <f t="shared" si="33"/>
        <v>'Lanç (10)'!$F$49</v>
      </c>
      <c r="AX15" s="163">
        <f t="shared" ca="1" si="7"/>
        <v>0</v>
      </c>
      <c r="AY15" s="2" t="str">
        <f t="shared" si="34"/>
        <v>'Lanç (10)'!$F$51</v>
      </c>
      <c r="AZ15" s="163">
        <f t="shared" ca="1" si="8"/>
        <v>0</v>
      </c>
      <c r="BA15" s="2" t="str">
        <f t="shared" si="35"/>
        <v>'Lanç (10)'!$F$50</v>
      </c>
      <c r="BB15" s="163">
        <f t="shared" ca="1" si="9"/>
        <v>0</v>
      </c>
      <c r="BC15" s="2" t="str">
        <f t="shared" si="36"/>
        <v>'Lanç (10)'!$F$52</v>
      </c>
      <c r="BD15" s="163">
        <f t="shared" ca="1" si="10"/>
        <v>0</v>
      </c>
      <c r="BE15" s="2" t="str">
        <f t="shared" si="37"/>
        <v>'Lanç (10)'!$F$53</v>
      </c>
      <c r="BF15" s="163">
        <f t="shared" ca="1" si="11"/>
        <v>0</v>
      </c>
      <c r="BG15" s="2" t="str">
        <f t="shared" si="38"/>
        <v>'Lanç (10)'!$F$54</v>
      </c>
      <c r="BH15" s="164">
        <f t="shared" ca="1" si="12"/>
        <v>0</v>
      </c>
      <c r="BI15" s="2" t="str">
        <f t="shared" si="39"/>
        <v>'Lanç (10)'!$F$55</v>
      </c>
      <c r="BJ15" s="164">
        <f t="shared" ca="1" si="12"/>
        <v>0</v>
      </c>
      <c r="BK15" s="167">
        <f t="shared" ca="1" si="18"/>
        <v>1E-4</v>
      </c>
      <c r="BL15" s="2">
        <v>1E-4</v>
      </c>
      <c r="BM15" s="167">
        <f t="shared" ca="1" si="19"/>
        <v>0</v>
      </c>
      <c r="BN15" s="2" t="str">
        <f t="shared" si="13"/>
        <v/>
      </c>
      <c r="BO15" s="155">
        <f t="shared" ca="1" si="14"/>
        <v>1E-4</v>
      </c>
      <c r="BP15" s="155">
        <f t="shared" ca="1" si="15"/>
        <v>0</v>
      </c>
      <c r="BQ15" s="2" t="str">
        <f t="shared" si="20"/>
        <v/>
      </c>
    </row>
    <row r="16" spans="1:69" ht="30" customHeight="1" thickTop="1" thickBot="1" x14ac:dyDescent="0.25">
      <c r="C16" s="105" t="s">
        <v>242</v>
      </c>
      <c r="U16" s="2" t="str">
        <f>Resul!R19</f>
        <v/>
      </c>
      <c r="W16" s="2">
        <v>11</v>
      </c>
      <c r="X16" s="2" t="str">
        <f t="shared" si="21"/>
        <v>'Lanç (11)'!$U$8</v>
      </c>
      <c r="Y16" s="163">
        <f t="shared" ca="1" si="16"/>
        <v>0</v>
      </c>
      <c r="Z16" s="2" t="str">
        <f t="shared" si="22"/>
        <v>'Lanç (11)'!$U$16</v>
      </c>
      <c r="AA16" s="163">
        <f t="shared" ca="1" si="16"/>
        <v>0</v>
      </c>
      <c r="AB16" s="2" t="str">
        <f t="shared" si="23"/>
        <v>'Lanç (11)'!$U$14</v>
      </c>
      <c r="AC16" s="163">
        <f t="shared" ca="1" si="17"/>
        <v>0</v>
      </c>
      <c r="AD16" s="2" t="str">
        <f t="shared" si="24"/>
        <v>'Lanç (11)'!$K$5</v>
      </c>
      <c r="AE16" s="163">
        <f t="shared" ca="1" si="17"/>
        <v>0</v>
      </c>
      <c r="AG16" s="2" t="str">
        <f t="shared" si="25"/>
        <v>'Lanç (11)'!$F$41</v>
      </c>
      <c r="AH16" s="163">
        <f t="shared" ca="1" si="0"/>
        <v>0</v>
      </c>
      <c r="AI16" s="2" t="str">
        <f t="shared" si="26"/>
        <v>'Lanç (11)'!$F$42</v>
      </c>
      <c r="AJ16" s="163">
        <f t="shared" ca="1" si="0"/>
        <v>0</v>
      </c>
      <c r="AK16" s="2" t="str">
        <f t="shared" si="27"/>
        <v>'Lanç (11)'!$F$43</v>
      </c>
      <c r="AL16" s="163">
        <f t="shared" ca="1" si="1"/>
        <v>0</v>
      </c>
      <c r="AM16" s="2" t="str">
        <f t="shared" si="28"/>
        <v>'Lanç (11)'!$F$44</v>
      </c>
      <c r="AN16" s="163">
        <f t="shared" ca="1" si="2"/>
        <v>0</v>
      </c>
      <c r="AO16" s="2" t="str">
        <f t="shared" si="29"/>
        <v>'Lanç (11)'!$F$45</v>
      </c>
      <c r="AP16" s="163">
        <f t="shared" ca="1" si="3"/>
        <v>0</v>
      </c>
      <c r="AQ16" s="2" t="str">
        <f t="shared" si="30"/>
        <v>'Lanç (11)'!$F$46</v>
      </c>
      <c r="AR16" s="163">
        <f t="shared" ca="1" si="4"/>
        <v>0</v>
      </c>
      <c r="AS16" s="2" t="str">
        <f t="shared" si="31"/>
        <v>'Lanç (11)'!$F$47</v>
      </c>
      <c r="AT16" s="163">
        <f t="shared" ca="1" si="5"/>
        <v>0</v>
      </c>
      <c r="AU16" s="2" t="str">
        <f t="shared" si="32"/>
        <v>'Lanç (11)'!$F$48</v>
      </c>
      <c r="AV16" s="163">
        <f t="shared" ca="1" si="6"/>
        <v>0</v>
      </c>
      <c r="AW16" s="2" t="str">
        <f t="shared" si="33"/>
        <v>'Lanç (11)'!$F$49</v>
      </c>
      <c r="AX16" s="163">
        <f t="shared" ca="1" si="7"/>
        <v>0</v>
      </c>
      <c r="AY16" s="2" t="str">
        <f t="shared" si="34"/>
        <v>'Lanç (11)'!$F$51</v>
      </c>
      <c r="AZ16" s="163">
        <f t="shared" ca="1" si="8"/>
        <v>0</v>
      </c>
      <c r="BA16" s="2" t="str">
        <f t="shared" si="35"/>
        <v>'Lanç (11)'!$F$50</v>
      </c>
      <c r="BB16" s="163">
        <f t="shared" ca="1" si="9"/>
        <v>0</v>
      </c>
      <c r="BC16" s="2" t="str">
        <f t="shared" si="36"/>
        <v>'Lanç (11)'!$F$52</v>
      </c>
      <c r="BD16" s="163">
        <f t="shared" ca="1" si="10"/>
        <v>0</v>
      </c>
      <c r="BE16" s="2" t="str">
        <f t="shared" si="37"/>
        <v>'Lanç (11)'!$F$53</v>
      </c>
      <c r="BF16" s="163">
        <f t="shared" ca="1" si="11"/>
        <v>0</v>
      </c>
      <c r="BG16" s="2" t="str">
        <f t="shared" si="38"/>
        <v>'Lanç (11)'!$F$54</v>
      </c>
      <c r="BH16" s="164">
        <f t="shared" ca="1" si="12"/>
        <v>0</v>
      </c>
      <c r="BI16" s="2" t="str">
        <f t="shared" si="39"/>
        <v>'Lanç (11)'!$F$55</v>
      </c>
      <c r="BJ16" s="164">
        <f t="shared" ca="1" si="12"/>
        <v>0</v>
      </c>
      <c r="BK16" s="167">
        <f t="shared" ca="1" si="18"/>
        <v>1.1E-4</v>
      </c>
      <c r="BL16" s="2">
        <v>1.1E-4</v>
      </c>
      <c r="BM16" s="167">
        <f t="shared" ca="1" si="19"/>
        <v>0</v>
      </c>
      <c r="BN16" s="2" t="str">
        <f t="shared" si="13"/>
        <v/>
      </c>
      <c r="BO16" s="155">
        <f t="shared" ca="1" si="14"/>
        <v>1.1E-4</v>
      </c>
      <c r="BP16" s="155">
        <f t="shared" ca="1" si="15"/>
        <v>0</v>
      </c>
      <c r="BQ16" s="2" t="str">
        <f t="shared" si="20"/>
        <v/>
      </c>
    </row>
    <row r="17" spans="3:69" ht="30" customHeight="1" thickTop="1" thickBot="1" x14ac:dyDescent="0.25">
      <c r="U17" s="2" t="str">
        <f>Resul!R20</f>
        <v/>
      </c>
      <c r="W17" s="2">
        <v>12</v>
      </c>
      <c r="X17" s="2" t="str">
        <f t="shared" si="21"/>
        <v>'Lanç (12)'!$U$8</v>
      </c>
      <c r="Y17" s="163">
        <f t="shared" ca="1" si="16"/>
        <v>0</v>
      </c>
      <c r="Z17" s="2" t="str">
        <f t="shared" si="22"/>
        <v>'Lanç (12)'!$U$16</v>
      </c>
      <c r="AA17" s="163">
        <f t="shared" ca="1" si="16"/>
        <v>0</v>
      </c>
      <c r="AB17" s="2" t="str">
        <f t="shared" si="23"/>
        <v>'Lanç (12)'!$U$14</v>
      </c>
      <c r="AC17" s="163">
        <f t="shared" ca="1" si="17"/>
        <v>0</v>
      </c>
      <c r="AD17" s="2" t="str">
        <f t="shared" si="24"/>
        <v>'Lanç (12)'!$K$5</v>
      </c>
      <c r="AE17" s="163">
        <f t="shared" ca="1" si="17"/>
        <v>0</v>
      </c>
      <c r="AG17" s="2" t="str">
        <f t="shared" si="25"/>
        <v>'Lanç (12)'!$F$41</v>
      </c>
      <c r="AH17" s="163">
        <f t="shared" ca="1" si="0"/>
        <v>0</v>
      </c>
      <c r="AI17" s="2" t="str">
        <f t="shared" si="26"/>
        <v>'Lanç (12)'!$F$42</v>
      </c>
      <c r="AJ17" s="163">
        <f t="shared" ca="1" si="0"/>
        <v>0</v>
      </c>
      <c r="AK17" s="2" t="str">
        <f t="shared" si="27"/>
        <v>'Lanç (12)'!$F$43</v>
      </c>
      <c r="AL17" s="163">
        <f t="shared" ca="1" si="1"/>
        <v>0</v>
      </c>
      <c r="AM17" s="2" t="str">
        <f t="shared" si="28"/>
        <v>'Lanç (12)'!$F$44</v>
      </c>
      <c r="AN17" s="163">
        <f t="shared" ca="1" si="2"/>
        <v>0</v>
      </c>
      <c r="AO17" s="2" t="str">
        <f t="shared" si="29"/>
        <v>'Lanç (12)'!$F$45</v>
      </c>
      <c r="AP17" s="163">
        <f t="shared" ca="1" si="3"/>
        <v>0</v>
      </c>
      <c r="AQ17" s="2" t="str">
        <f t="shared" si="30"/>
        <v>'Lanç (12)'!$F$46</v>
      </c>
      <c r="AR17" s="163">
        <f t="shared" ca="1" si="4"/>
        <v>0</v>
      </c>
      <c r="AS17" s="2" t="str">
        <f t="shared" si="31"/>
        <v>'Lanç (12)'!$F$47</v>
      </c>
      <c r="AT17" s="163">
        <f t="shared" ca="1" si="5"/>
        <v>0</v>
      </c>
      <c r="AU17" s="2" t="str">
        <f t="shared" si="32"/>
        <v>'Lanç (12)'!$F$48</v>
      </c>
      <c r="AV17" s="163">
        <f t="shared" ca="1" si="6"/>
        <v>0</v>
      </c>
      <c r="AW17" s="2" t="str">
        <f t="shared" si="33"/>
        <v>'Lanç (12)'!$F$49</v>
      </c>
      <c r="AX17" s="163">
        <f t="shared" ca="1" si="7"/>
        <v>0</v>
      </c>
      <c r="AY17" s="2" t="str">
        <f t="shared" si="34"/>
        <v>'Lanç (12)'!$F$51</v>
      </c>
      <c r="AZ17" s="163">
        <f t="shared" ca="1" si="8"/>
        <v>0</v>
      </c>
      <c r="BA17" s="2" t="str">
        <f t="shared" si="35"/>
        <v>'Lanç (12)'!$F$50</v>
      </c>
      <c r="BB17" s="163">
        <f t="shared" ca="1" si="9"/>
        <v>0</v>
      </c>
      <c r="BC17" s="2" t="str">
        <f t="shared" si="36"/>
        <v>'Lanç (12)'!$F$52</v>
      </c>
      <c r="BD17" s="163">
        <f t="shared" ca="1" si="10"/>
        <v>0</v>
      </c>
      <c r="BE17" s="2" t="str">
        <f t="shared" si="37"/>
        <v>'Lanç (12)'!$F$53</v>
      </c>
      <c r="BF17" s="163">
        <f t="shared" ca="1" si="11"/>
        <v>0</v>
      </c>
      <c r="BG17" s="2" t="str">
        <f t="shared" si="38"/>
        <v>'Lanç (12)'!$F$54</v>
      </c>
      <c r="BH17" s="164">
        <f t="shared" ca="1" si="12"/>
        <v>0</v>
      </c>
      <c r="BI17" s="2" t="str">
        <f t="shared" si="39"/>
        <v>'Lanç (12)'!$F$55</v>
      </c>
      <c r="BJ17" s="164">
        <f t="shared" ca="1" si="12"/>
        <v>0</v>
      </c>
      <c r="BK17" s="167">
        <f t="shared" ca="1" si="18"/>
        <v>1.2E-4</v>
      </c>
      <c r="BL17" s="2">
        <v>1.2E-4</v>
      </c>
      <c r="BM17" s="167">
        <f t="shared" ca="1" si="19"/>
        <v>0</v>
      </c>
      <c r="BN17" s="2" t="str">
        <f t="shared" si="13"/>
        <v/>
      </c>
      <c r="BO17" s="155">
        <f t="shared" ca="1" si="14"/>
        <v>1.2E-4</v>
      </c>
      <c r="BP17" s="155">
        <f t="shared" ca="1" si="15"/>
        <v>0</v>
      </c>
      <c r="BQ17" s="2" t="str">
        <f t="shared" si="20"/>
        <v/>
      </c>
    </row>
    <row r="18" spans="3:69" ht="30" customHeight="1" thickTop="1" thickBot="1" x14ac:dyDescent="0.25">
      <c r="U18" s="2" t="str">
        <f>Resul!R21</f>
        <v/>
      </c>
      <c r="W18" s="2">
        <v>13</v>
      </c>
      <c r="X18" s="2" t="str">
        <f t="shared" si="21"/>
        <v>'Lanç (13)'!$U$8</v>
      </c>
      <c r="Y18" s="163">
        <f t="shared" ca="1" si="16"/>
        <v>0</v>
      </c>
      <c r="Z18" s="2" t="str">
        <f t="shared" si="22"/>
        <v>'Lanç (13)'!$U$16</v>
      </c>
      <c r="AA18" s="163">
        <f t="shared" ca="1" si="16"/>
        <v>0</v>
      </c>
      <c r="AB18" s="2" t="str">
        <f t="shared" si="23"/>
        <v>'Lanç (13)'!$U$14</v>
      </c>
      <c r="AC18" s="163">
        <f t="shared" ca="1" si="17"/>
        <v>0</v>
      </c>
      <c r="AD18" s="2" t="str">
        <f t="shared" si="24"/>
        <v>'Lanç (13)'!$K$5</v>
      </c>
      <c r="AE18" s="163">
        <f t="shared" ca="1" si="17"/>
        <v>0</v>
      </c>
      <c r="AG18" s="2" t="str">
        <f t="shared" si="25"/>
        <v>'Lanç (13)'!$F$41</v>
      </c>
      <c r="AH18" s="163">
        <f t="shared" ca="1" si="0"/>
        <v>0</v>
      </c>
      <c r="AI18" s="2" t="str">
        <f t="shared" si="26"/>
        <v>'Lanç (13)'!$F$42</v>
      </c>
      <c r="AJ18" s="163">
        <f t="shared" ca="1" si="0"/>
        <v>0</v>
      </c>
      <c r="AK18" s="2" t="str">
        <f t="shared" si="27"/>
        <v>'Lanç (13)'!$F$43</v>
      </c>
      <c r="AL18" s="163">
        <f t="shared" ca="1" si="1"/>
        <v>0</v>
      </c>
      <c r="AM18" s="2" t="str">
        <f t="shared" si="28"/>
        <v>'Lanç (13)'!$F$44</v>
      </c>
      <c r="AN18" s="163">
        <f t="shared" ca="1" si="2"/>
        <v>0</v>
      </c>
      <c r="AO18" s="2" t="str">
        <f t="shared" si="29"/>
        <v>'Lanç (13)'!$F$45</v>
      </c>
      <c r="AP18" s="163">
        <f t="shared" ca="1" si="3"/>
        <v>0</v>
      </c>
      <c r="AQ18" s="2" t="str">
        <f t="shared" si="30"/>
        <v>'Lanç (13)'!$F$46</v>
      </c>
      <c r="AR18" s="163">
        <f t="shared" ca="1" si="4"/>
        <v>0</v>
      </c>
      <c r="AS18" s="2" t="str">
        <f t="shared" si="31"/>
        <v>'Lanç (13)'!$F$47</v>
      </c>
      <c r="AT18" s="163">
        <f t="shared" ca="1" si="5"/>
        <v>0</v>
      </c>
      <c r="AU18" s="2" t="str">
        <f t="shared" si="32"/>
        <v>'Lanç (13)'!$F$48</v>
      </c>
      <c r="AV18" s="163">
        <f t="shared" ca="1" si="6"/>
        <v>0</v>
      </c>
      <c r="AW18" s="2" t="str">
        <f t="shared" si="33"/>
        <v>'Lanç (13)'!$F$49</v>
      </c>
      <c r="AX18" s="163">
        <f t="shared" ca="1" si="7"/>
        <v>0</v>
      </c>
      <c r="AY18" s="2" t="str">
        <f t="shared" si="34"/>
        <v>'Lanç (13)'!$F$51</v>
      </c>
      <c r="AZ18" s="163">
        <f t="shared" ca="1" si="8"/>
        <v>0</v>
      </c>
      <c r="BA18" s="2" t="str">
        <f t="shared" si="35"/>
        <v>'Lanç (13)'!$F$50</v>
      </c>
      <c r="BB18" s="163">
        <f t="shared" ca="1" si="9"/>
        <v>0</v>
      </c>
      <c r="BC18" s="2" t="str">
        <f t="shared" si="36"/>
        <v>'Lanç (13)'!$F$52</v>
      </c>
      <c r="BD18" s="163">
        <f t="shared" ca="1" si="10"/>
        <v>0</v>
      </c>
      <c r="BE18" s="2" t="str">
        <f t="shared" si="37"/>
        <v>'Lanç (13)'!$F$53</v>
      </c>
      <c r="BF18" s="163">
        <f t="shared" ca="1" si="11"/>
        <v>0</v>
      </c>
      <c r="BG18" s="2" t="str">
        <f t="shared" si="38"/>
        <v>'Lanç (13)'!$F$54</v>
      </c>
      <c r="BH18" s="164">
        <f t="shared" ca="1" si="12"/>
        <v>0</v>
      </c>
      <c r="BI18" s="2" t="str">
        <f t="shared" si="39"/>
        <v>'Lanç (13)'!$F$55</v>
      </c>
      <c r="BJ18" s="164">
        <f t="shared" ca="1" si="12"/>
        <v>0</v>
      </c>
      <c r="BK18" s="167">
        <f t="shared" ca="1" si="18"/>
        <v>1.2999999999999999E-4</v>
      </c>
      <c r="BL18" s="2">
        <v>1.2999999999999999E-4</v>
      </c>
      <c r="BM18" s="167">
        <f t="shared" ca="1" si="19"/>
        <v>0</v>
      </c>
      <c r="BN18" s="2" t="str">
        <f t="shared" si="13"/>
        <v/>
      </c>
      <c r="BO18" s="155">
        <f t="shared" ca="1" si="14"/>
        <v>1.2999999999999999E-4</v>
      </c>
      <c r="BP18" s="155">
        <f t="shared" ca="1" si="15"/>
        <v>0</v>
      </c>
      <c r="BQ18" s="2" t="str">
        <f t="shared" si="20"/>
        <v/>
      </c>
    </row>
    <row r="19" spans="3:69" ht="30" customHeight="1" thickTop="1" thickBot="1" x14ac:dyDescent="0.25">
      <c r="U19" s="2" t="str">
        <f>Resul!R22</f>
        <v/>
      </c>
      <c r="W19" s="2">
        <v>14</v>
      </c>
      <c r="X19" s="2" t="str">
        <f t="shared" si="21"/>
        <v>'Lanç (14)'!$U$8</v>
      </c>
      <c r="Y19" s="163">
        <f t="shared" ca="1" si="16"/>
        <v>0</v>
      </c>
      <c r="Z19" s="2" t="str">
        <f t="shared" si="22"/>
        <v>'Lanç (14)'!$U$16</v>
      </c>
      <c r="AA19" s="163">
        <f t="shared" ca="1" si="16"/>
        <v>0</v>
      </c>
      <c r="AB19" s="2" t="str">
        <f t="shared" si="23"/>
        <v>'Lanç (14)'!$U$14</v>
      </c>
      <c r="AC19" s="163">
        <f t="shared" ca="1" si="17"/>
        <v>0</v>
      </c>
      <c r="AD19" s="2" t="str">
        <f t="shared" si="24"/>
        <v>'Lanç (14)'!$K$5</v>
      </c>
      <c r="AE19" s="163">
        <f t="shared" ca="1" si="17"/>
        <v>0</v>
      </c>
      <c r="AG19" s="2" t="str">
        <f t="shared" si="25"/>
        <v>'Lanç (14)'!$F$41</v>
      </c>
      <c r="AH19" s="163">
        <f t="shared" ca="1" si="0"/>
        <v>0</v>
      </c>
      <c r="AI19" s="2" t="str">
        <f t="shared" si="26"/>
        <v>'Lanç (14)'!$F$42</v>
      </c>
      <c r="AJ19" s="163">
        <f t="shared" ca="1" si="0"/>
        <v>0</v>
      </c>
      <c r="AK19" s="2" t="str">
        <f t="shared" si="27"/>
        <v>'Lanç (14)'!$F$43</v>
      </c>
      <c r="AL19" s="163">
        <f t="shared" ca="1" si="1"/>
        <v>0</v>
      </c>
      <c r="AM19" s="2" t="str">
        <f t="shared" si="28"/>
        <v>'Lanç (14)'!$F$44</v>
      </c>
      <c r="AN19" s="163">
        <f t="shared" ca="1" si="2"/>
        <v>0</v>
      </c>
      <c r="AO19" s="2" t="str">
        <f t="shared" si="29"/>
        <v>'Lanç (14)'!$F$45</v>
      </c>
      <c r="AP19" s="163">
        <f t="shared" ca="1" si="3"/>
        <v>0</v>
      </c>
      <c r="AQ19" s="2" t="str">
        <f t="shared" si="30"/>
        <v>'Lanç (14)'!$F$46</v>
      </c>
      <c r="AR19" s="163">
        <f t="shared" ca="1" si="4"/>
        <v>0</v>
      </c>
      <c r="AS19" s="2" t="str">
        <f t="shared" si="31"/>
        <v>'Lanç (14)'!$F$47</v>
      </c>
      <c r="AT19" s="163">
        <f t="shared" ca="1" si="5"/>
        <v>0</v>
      </c>
      <c r="AU19" s="2" t="str">
        <f t="shared" si="32"/>
        <v>'Lanç (14)'!$F$48</v>
      </c>
      <c r="AV19" s="163">
        <f t="shared" ca="1" si="6"/>
        <v>0</v>
      </c>
      <c r="AW19" s="2" t="str">
        <f t="shared" si="33"/>
        <v>'Lanç (14)'!$F$49</v>
      </c>
      <c r="AX19" s="163">
        <f t="shared" ca="1" si="7"/>
        <v>0</v>
      </c>
      <c r="AY19" s="2" t="str">
        <f t="shared" si="34"/>
        <v>'Lanç (14)'!$F$51</v>
      </c>
      <c r="AZ19" s="163">
        <f t="shared" ca="1" si="8"/>
        <v>0</v>
      </c>
      <c r="BA19" s="2" t="str">
        <f t="shared" si="35"/>
        <v>'Lanç (14)'!$F$50</v>
      </c>
      <c r="BB19" s="163">
        <f t="shared" ca="1" si="9"/>
        <v>0</v>
      </c>
      <c r="BC19" s="2" t="str">
        <f t="shared" si="36"/>
        <v>'Lanç (14)'!$F$52</v>
      </c>
      <c r="BD19" s="163">
        <f t="shared" ca="1" si="10"/>
        <v>0</v>
      </c>
      <c r="BE19" s="2" t="str">
        <f t="shared" si="37"/>
        <v>'Lanç (14)'!$F$53</v>
      </c>
      <c r="BF19" s="163">
        <f t="shared" ca="1" si="11"/>
        <v>0</v>
      </c>
      <c r="BG19" s="2" t="str">
        <f t="shared" si="38"/>
        <v>'Lanç (14)'!$F$54</v>
      </c>
      <c r="BH19" s="164">
        <f t="shared" ca="1" si="12"/>
        <v>0</v>
      </c>
      <c r="BI19" s="2" t="str">
        <f t="shared" si="39"/>
        <v>'Lanç (14)'!$F$55</v>
      </c>
      <c r="BJ19" s="164">
        <f t="shared" ca="1" si="12"/>
        <v>0</v>
      </c>
      <c r="BK19" s="167">
        <f t="shared" ca="1" si="18"/>
        <v>1.3999999999999999E-4</v>
      </c>
      <c r="BL19" s="2">
        <v>1.3999999999999999E-4</v>
      </c>
      <c r="BM19" s="167">
        <f t="shared" ca="1" si="19"/>
        <v>0</v>
      </c>
      <c r="BN19" s="2" t="str">
        <f t="shared" si="13"/>
        <v/>
      </c>
      <c r="BO19" s="155">
        <f t="shared" ca="1" si="14"/>
        <v>1.3999999999999999E-4</v>
      </c>
      <c r="BP19" s="155">
        <f t="shared" ca="1" si="15"/>
        <v>0</v>
      </c>
      <c r="BQ19" s="2" t="str">
        <f t="shared" si="20"/>
        <v/>
      </c>
    </row>
    <row r="20" spans="3:69" ht="30" customHeight="1" thickTop="1" thickBot="1" x14ac:dyDescent="0.25">
      <c r="U20" s="2" t="str">
        <f>Resul!R23</f>
        <v/>
      </c>
      <c r="W20" s="2">
        <v>15</v>
      </c>
      <c r="X20" s="2" t="str">
        <f t="shared" si="21"/>
        <v>'Lanç (15)'!$U$8</v>
      </c>
      <c r="Y20" s="163">
        <f t="shared" ca="1" si="16"/>
        <v>0</v>
      </c>
      <c r="Z20" s="2" t="str">
        <f t="shared" si="22"/>
        <v>'Lanç (15)'!$U$16</v>
      </c>
      <c r="AA20" s="163">
        <f t="shared" ca="1" si="16"/>
        <v>0</v>
      </c>
      <c r="AB20" s="2" t="str">
        <f t="shared" si="23"/>
        <v>'Lanç (15)'!$U$14</v>
      </c>
      <c r="AC20" s="163">
        <f t="shared" ca="1" si="17"/>
        <v>0</v>
      </c>
      <c r="AD20" s="2" t="str">
        <f t="shared" si="24"/>
        <v>'Lanç (15)'!$K$5</v>
      </c>
      <c r="AE20" s="163">
        <f t="shared" ca="1" si="17"/>
        <v>0</v>
      </c>
      <c r="AG20" s="2" t="str">
        <f t="shared" si="25"/>
        <v>'Lanç (15)'!$F$41</v>
      </c>
      <c r="AH20" s="163">
        <f t="shared" ca="1" si="0"/>
        <v>0</v>
      </c>
      <c r="AI20" s="2" t="str">
        <f t="shared" si="26"/>
        <v>'Lanç (15)'!$F$42</v>
      </c>
      <c r="AJ20" s="163">
        <f t="shared" ca="1" si="0"/>
        <v>0</v>
      </c>
      <c r="AK20" s="2" t="str">
        <f t="shared" si="27"/>
        <v>'Lanç (15)'!$F$43</v>
      </c>
      <c r="AL20" s="163">
        <f t="shared" ca="1" si="1"/>
        <v>0</v>
      </c>
      <c r="AM20" s="2" t="str">
        <f t="shared" si="28"/>
        <v>'Lanç (15)'!$F$44</v>
      </c>
      <c r="AN20" s="163">
        <f t="shared" ca="1" si="2"/>
        <v>0</v>
      </c>
      <c r="AO20" s="2" t="str">
        <f t="shared" si="29"/>
        <v>'Lanç (15)'!$F$45</v>
      </c>
      <c r="AP20" s="163">
        <f t="shared" ca="1" si="3"/>
        <v>0</v>
      </c>
      <c r="AQ20" s="2" t="str">
        <f t="shared" si="30"/>
        <v>'Lanç (15)'!$F$46</v>
      </c>
      <c r="AR20" s="163">
        <f t="shared" ca="1" si="4"/>
        <v>0</v>
      </c>
      <c r="AS20" s="2" t="str">
        <f t="shared" si="31"/>
        <v>'Lanç (15)'!$F$47</v>
      </c>
      <c r="AT20" s="163">
        <f t="shared" ca="1" si="5"/>
        <v>0</v>
      </c>
      <c r="AU20" s="2" t="str">
        <f t="shared" si="32"/>
        <v>'Lanç (15)'!$F$48</v>
      </c>
      <c r="AV20" s="163">
        <f t="shared" ca="1" si="6"/>
        <v>0</v>
      </c>
      <c r="AW20" s="2" t="str">
        <f t="shared" si="33"/>
        <v>'Lanç (15)'!$F$49</v>
      </c>
      <c r="AX20" s="163">
        <f t="shared" ca="1" si="7"/>
        <v>0</v>
      </c>
      <c r="AY20" s="2" t="str">
        <f t="shared" si="34"/>
        <v>'Lanç (15)'!$F$51</v>
      </c>
      <c r="AZ20" s="163">
        <f t="shared" ca="1" si="8"/>
        <v>0</v>
      </c>
      <c r="BA20" s="2" t="str">
        <f t="shared" si="35"/>
        <v>'Lanç (15)'!$F$50</v>
      </c>
      <c r="BB20" s="163">
        <f t="shared" ca="1" si="9"/>
        <v>0</v>
      </c>
      <c r="BC20" s="2" t="str">
        <f t="shared" si="36"/>
        <v>'Lanç (15)'!$F$52</v>
      </c>
      <c r="BD20" s="163">
        <f t="shared" ca="1" si="10"/>
        <v>0</v>
      </c>
      <c r="BE20" s="2" t="str">
        <f t="shared" si="37"/>
        <v>'Lanç (15)'!$F$53</v>
      </c>
      <c r="BF20" s="163">
        <f t="shared" ca="1" si="11"/>
        <v>0</v>
      </c>
      <c r="BG20" s="2" t="str">
        <f t="shared" si="38"/>
        <v>'Lanç (15)'!$F$54</v>
      </c>
      <c r="BH20" s="164">
        <f t="shared" ca="1" si="12"/>
        <v>0</v>
      </c>
      <c r="BI20" s="2" t="str">
        <f t="shared" si="39"/>
        <v>'Lanç (15)'!$F$55</v>
      </c>
      <c r="BJ20" s="164">
        <f t="shared" ca="1" si="12"/>
        <v>0</v>
      </c>
      <c r="BK20" s="167">
        <f t="shared" ca="1" si="18"/>
        <v>1.4999999999999999E-4</v>
      </c>
      <c r="BL20" s="2">
        <v>1.4999999999999999E-4</v>
      </c>
      <c r="BM20" s="167">
        <f t="shared" ca="1" si="19"/>
        <v>0</v>
      </c>
      <c r="BN20" s="2" t="str">
        <f t="shared" si="13"/>
        <v/>
      </c>
      <c r="BO20" s="155">
        <f t="shared" ca="1" si="14"/>
        <v>1.4999999999999999E-4</v>
      </c>
      <c r="BP20" s="155">
        <f t="shared" ca="1" si="15"/>
        <v>0</v>
      </c>
      <c r="BQ20" s="2" t="str">
        <f t="shared" si="20"/>
        <v/>
      </c>
    </row>
    <row r="21" spans="3:69" ht="30" customHeight="1" thickTop="1" thickBot="1" x14ac:dyDescent="0.25">
      <c r="U21" s="2" t="str">
        <f>Resul!R24</f>
        <v/>
      </c>
      <c r="W21" s="2">
        <v>16</v>
      </c>
      <c r="X21" s="2" t="str">
        <f t="shared" si="21"/>
        <v>'Lanç (16)'!$U$8</v>
      </c>
      <c r="Y21" s="163">
        <f t="shared" ca="1" si="16"/>
        <v>0</v>
      </c>
      <c r="Z21" s="2" t="str">
        <f t="shared" si="22"/>
        <v>'Lanç (16)'!$U$16</v>
      </c>
      <c r="AA21" s="163">
        <f t="shared" ca="1" si="16"/>
        <v>0</v>
      </c>
      <c r="AB21" s="2" t="str">
        <f t="shared" si="23"/>
        <v>'Lanç (16)'!$U$14</v>
      </c>
      <c r="AC21" s="163">
        <f t="shared" ca="1" si="17"/>
        <v>0</v>
      </c>
      <c r="AD21" s="2" t="str">
        <f t="shared" si="24"/>
        <v>'Lanç (16)'!$K$5</v>
      </c>
      <c r="AE21" s="163">
        <f t="shared" ca="1" si="17"/>
        <v>0</v>
      </c>
      <c r="AG21" s="2" t="str">
        <f t="shared" si="25"/>
        <v>'Lanç (16)'!$F$41</v>
      </c>
      <c r="AH21" s="163">
        <f t="shared" ca="1" si="0"/>
        <v>0</v>
      </c>
      <c r="AI21" s="2" t="str">
        <f t="shared" si="26"/>
        <v>'Lanç (16)'!$F$42</v>
      </c>
      <c r="AJ21" s="163">
        <f t="shared" ca="1" si="0"/>
        <v>0</v>
      </c>
      <c r="AK21" s="2" t="str">
        <f t="shared" si="27"/>
        <v>'Lanç (16)'!$F$43</v>
      </c>
      <c r="AL21" s="163">
        <f t="shared" ca="1" si="1"/>
        <v>0</v>
      </c>
      <c r="AM21" s="2" t="str">
        <f t="shared" si="28"/>
        <v>'Lanç (16)'!$F$44</v>
      </c>
      <c r="AN21" s="163">
        <f t="shared" ca="1" si="2"/>
        <v>0</v>
      </c>
      <c r="AO21" s="2" t="str">
        <f t="shared" si="29"/>
        <v>'Lanç (16)'!$F$45</v>
      </c>
      <c r="AP21" s="163">
        <f t="shared" ca="1" si="3"/>
        <v>0</v>
      </c>
      <c r="AQ21" s="2" t="str">
        <f t="shared" si="30"/>
        <v>'Lanç (16)'!$F$46</v>
      </c>
      <c r="AR21" s="163">
        <f t="shared" ca="1" si="4"/>
        <v>0</v>
      </c>
      <c r="AS21" s="2" t="str">
        <f t="shared" si="31"/>
        <v>'Lanç (16)'!$F$47</v>
      </c>
      <c r="AT21" s="163">
        <f t="shared" ca="1" si="5"/>
        <v>0</v>
      </c>
      <c r="AU21" s="2" t="str">
        <f t="shared" si="32"/>
        <v>'Lanç (16)'!$F$48</v>
      </c>
      <c r="AV21" s="163">
        <f t="shared" ca="1" si="6"/>
        <v>0</v>
      </c>
      <c r="AW21" s="2" t="str">
        <f t="shared" si="33"/>
        <v>'Lanç (16)'!$F$49</v>
      </c>
      <c r="AX21" s="163">
        <f t="shared" ca="1" si="7"/>
        <v>0</v>
      </c>
      <c r="AY21" s="2" t="str">
        <f t="shared" si="34"/>
        <v>'Lanç (16)'!$F$51</v>
      </c>
      <c r="AZ21" s="163">
        <f t="shared" ca="1" si="8"/>
        <v>0</v>
      </c>
      <c r="BA21" s="2" t="str">
        <f t="shared" si="35"/>
        <v>'Lanç (16)'!$F$50</v>
      </c>
      <c r="BB21" s="163">
        <f t="shared" ca="1" si="9"/>
        <v>0</v>
      </c>
      <c r="BC21" s="2" t="str">
        <f t="shared" si="36"/>
        <v>'Lanç (16)'!$F$52</v>
      </c>
      <c r="BD21" s="163">
        <f t="shared" ca="1" si="10"/>
        <v>0</v>
      </c>
      <c r="BE21" s="2" t="str">
        <f t="shared" si="37"/>
        <v>'Lanç (16)'!$F$53</v>
      </c>
      <c r="BF21" s="163">
        <f t="shared" ca="1" si="11"/>
        <v>0</v>
      </c>
      <c r="BG21" s="2" t="str">
        <f t="shared" si="38"/>
        <v>'Lanç (16)'!$F$54</v>
      </c>
      <c r="BH21" s="164">
        <f t="shared" ca="1" si="12"/>
        <v>0</v>
      </c>
      <c r="BI21" s="2" t="str">
        <f t="shared" si="39"/>
        <v>'Lanç (16)'!$F$55</v>
      </c>
      <c r="BJ21" s="164">
        <f t="shared" ca="1" si="12"/>
        <v>0</v>
      </c>
      <c r="BK21" s="167">
        <f t="shared" ca="1" si="18"/>
        <v>1.6000000000000001E-4</v>
      </c>
      <c r="BL21" s="2">
        <v>1.6000000000000001E-4</v>
      </c>
      <c r="BM21" s="167">
        <f t="shared" ca="1" si="19"/>
        <v>0</v>
      </c>
      <c r="BN21" s="2" t="str">
        <f t="shared" si="13"/>
        <v/>
      </c>
      <c r="BO21" s="155">
        <f t="shared" ca="1" si="14"/>
        <v>1.6000000000000001E-4</v>
      </c>
      <c r="BP21" s="155">
        <f t="shared" ca="1" si="15"/>
        <v>0</v>
      </c>
      <c r="BQ21" s="2" t="str">
        <f t="shared" si="20"/>
        <v/>
      </c>
    </row>
    <row r="22" spans="3:69" ht="30" customHeight="1" thickTop="1" thickBot="1" x14ac:dyDescent="0.25">
      <c r="U22" s="2" t="str">
        <f>Resul!R25</f>
        <v/>
      </c>
      <c r="W22" s="2">
        <v>17</v>
      </c>
      <c r="X22" s="2" t="str">
        <f t="shared" si="21"/>
        <v>'Lanç (17)'!$U$8</v>
      </c>
      <c r="Y22" s="163">
        <f t="shared" ca="1" si="16"/>
        <v>0</v>
      </c>
      <c r="Z22" s="2" t="str">
        <f t="shared" si="22"/>
        <v>'Lanç (17)'!$U$16</v>
      </c>
      <c r="AA22" s="163">
        <f t="shared" ca="1" si="16"/>
        <v>0</v>
      </c>
      <c r="AB22" s="2" t="str">
        <f t="shared" si="23"/>
        <v>'Lanç (17)'!$U$14</v>
      </c>
      <c r="AC22" s="163">
        <f t="shared" ca="1" si="17"/>
        <v>0</v>
      </c>
      <c r="AD22" s="2" t="str">
        <f t="shared" si="24"/>
        <v>'Lanç (17)'!$K$5</v>
      </c>
      <c r="AE22" s="163">
        <f t="shared" ca="1" si="17"/>
        <v>0</v>
      </c>
      <c r="AG22" s="2" t="str">
        <f t="shared" si="25"/>
        <v>'Lanç (17)'!$F$41</v>
      </c>
      <c r="AH22" s="163">
        <f t="shared" ref="AH22:AJ35" ca="1" si="40">INDIRECT(AG22)</f>
        <v>0</v>
      </c>
      <c r="AI22" s="2" t="str">
        <f t="shared" si="26"/>
        <v>'Lanç (17)'!$F$42</v>
      </c>
      <c r="AJ22" s="163">
        <f t="shared" ca="1" si="40"/>
        <v>0</v>
      </c>
      <c r="AK22" s="2" t="str">
        <f t="shared" si="27"/>
        <v>'Lanç (17)'!$F$43</v>
      </c>
      <c r="AL22" s="163">
        <f t="shared" ref="AL22:AL35" ca="1" si="41">INDIRECT(AK22)</f>
        <v>0</v>
      </c>
      <c r="AM22" s="2" t="str">
        <f t="shared" si="28"/>
        <v>'Lanç (17)'!$F$44</v>
      </c>
      <c r="AN22" s="163">
        <f t="shared" ref="AN22:AN35" ca="1" si="42">INDIRECT(AM22)</f>
        <v>0</v>
      </c>
      <c r="AO22" s="2" t="str">
        <f t="shared" si="29"/>
        <v>'Lanç (17)'!$F$45</v>
      </c>
      <c r="AP22" s="163">
        <f t="shared" ref="AP22:AP35" ca="1" si="43">INDIRECT(AO22)</f>
        <v>0</v>
      </c>
      <c r="AQ22" s="2" t="str">
        <f t="shared" si="30"/>
        <v>'Lanç (17)'!$F$46</v>
      </c>
      <c r="AR22" s="163">
        <f t="shared" ref="AR22:AR35" ca="1" si="44">INDIRECT(AQ22)</f>
        <v>0</v>
      </c>
      <c r="AS22" s="2" t="str">
        <f t="shared" si="31"/>
        <v>'Lanç (17)'!$F$47</v>
      </c>
      <c r="AT22" s="163">
        <f t="shared" ref="AT22:AT35" ca="1" si="45">INDIRECT(AS22)</f>
        <v>0</v>
      </c>
      <c r="AU22" s="2" t="str">
        <f t="shared" si="32"/>
        <v>'Lanç (17)'!$F$48</v>
      </c>
      <c r="AV22" s="163">
        <f t="shared" ref="AV22:AV35" ca="1" si="46">INDIRECT(AU22)</f>
        <v>0</v>
      </c>
      <c r="AW22" s="2" t="str">
        <f t="shared" si="33"/>
        <v>'Lanç (17)'!$F$49</v>
      </c>
      <c r="AX22" s="163">
        <f t="shared" ref="AX22:AX35" ca="1" si="47">INDIRECT(AW22)</f>
        <v>0</v>
      </c>
      <c r="AY22" s="2" t="str">
        <f t="shared" si="34"/>
        <v>'Lanç (17)'!$F$51</v>
      </c>
      <c r="AZ22" s="163">
        <f t="shared" ref="AZ22:AZ35" ca="1" si="48">INDIRECT(AY22)</f>
        <v>0</v>
      </c>
      <c r="BA22" s="2" t="str">
        <f t="shared" si="35"/>
        <v>'Lanç (17)'!$F$50</v>
      </c>
      <c r="BB22" s="163">
        <f t="shared" ref="BB22:BB35" ca="1" si="49">INDIRECT(BA22)</f>
        <v>0</v>
      </c>
      <c r="BC22" s="2" t="str">
        <f t="shared" si="36"/>
        <v>'Lanç (17)'!$F$52</v>
      </c>
      <c r="BD22" s="163">
        <f t="shared" ref="BD22:BD35" ca="1" si="50">INDIRECT(BC22)</f>
        <v>0</v>
      </c>
      <c r="BE22" s="2" t="str">
        <f t="shared" si="37"/>
        <v>'Lanç (17)'!$F$53</v>
      </c>
      <c r="BF22" s="163">
        <f t="shared" ref="BF22:BF35" ca="1" si="51">INDIRECT(BE22)</f>
        <v>0</v>
      </c>
      <c r="BG22" s="2" t="str">
        <f t="shared" si="38"/>
        <v>'Lanç (17)'!$F$54</v>
      </c>
      <c r="BH22" s="164">
        <f t="shared" ref="BH22:BJ35" ca="1" si="52">INDIRECT(BG22)</f>
        <v>0</v>
      </c>
      <c r="BI22" s="2" t="str">
        <f t="shared" si="39"/>
        <v>'Lanç (17)'!$F$55</v>
      </c>
      <c r="BJ22" s="164">
        <f t="shared" ca="1" si="52"/>
        <v>0</v>
      </c>
      <c r="BK22" s="167">
        <f t="shared" ca="1" si="18"/>
        <v>1.7000000000000001E-4</v>
      </c>
      <c r="BL22" s="2">
        <v>1.7000000000000001E-4</v>
      </c>
      <c r="BM22" s="167">
        <f t="shared" ca="1" si="19"/>
        <v>0</v>
      </c>
      <c r="BN22" s="2" t="str">
        <f t="shared" si="13"/>
        <v/>
      </c>
      <c r="BO22" s="155">
        <f t="shared" ca="1" si="14"/>
        <v>1.7000000000000001E-4</v>
      </c>
      <c r="BP22" s="155">
        <f t="shared" ca="1" si="15"/>
        <v>0</v>
      </c>
      <c r="BQ22" s="2" t="str">
        <f t="shared" si="20"/>
        <v/>
      </c>
    </row>
    <row r="23" spans="3:69" ht="30" customHeight="1" thickTop="1" thickBot="1" x14ac:dyDescent="0.25">
      <c r="U23" s="2" t="str">
        <f>Resul!R26</f>
        <v/>
      </c>
      <c r="W23" s="2">
        <v>18</v>
      </c>
      <c r="X23" s="2" t="str">
        <f t="shared" si="21"/>
        <v>'Lanç (18)'!$U$8</v>
      </c>
      <c r="Y23" s="163">
        <f t="shared" ref="Y23:AA35" ca="1" si="53">INDIRECT(X23)</f>
        <v>0</v>
      </c>
      <c r="Z23" s="2" t="str">
        <f t="shared" si="22"/>
        <v>'Lanç (18)'!$U$16</v>
      </c>
      <c r="AA23" s="163">
        <f t="shared" ca="1" si="53"/>
        <v>0</v>
      </c>
      <c r="AB23" s="2" t="str">
        <f t="shared" si="23"/>
        <v>'Lanç (18)'!$U$14</v>
      </c>
      <c r="AC23" s="163">
        <f t="shared" ref="AC23:AE35" ca="1" si="54">INDIRECT(AB23)</f>
        <v>0</v>
      </c>
      <c r="AD23" s="2" t="str">
        <f t="shared" si="24"/>
        <v>'Lanç (18)'!$K$5</v>
      </c>
      <c r="AE23" s="163">
        <f t="shared" ca="1" si="54"/>
        <v>0</v>
      </c>
      <c r="AG23" s="2" t="str">
        <f t="shared" si="25"/>
        <v>'Lanç (18)'!$F$41</v>
      </c>
      <c r="AH23" s="163">
        <f t="shared" ca="1" si="40"/>
        <v>0</v>
      </c>
      <c r="AI23" s="2" t="str">
        <f t="shared" si="26"/>
        <v>'Lanç (18)'!$F$42</v>
      </c>
      <c r="AJ23" s="163">
        <f t="shared" ca="1" si="40"/>
        <v>0</v>
      </c>
      <c r="AK23" s="2" t="str">
        <f t="shared" si="27"/>
        <v>'Lanç (18)'!$F$43</v>
      </c>
      <c r="AL23" s="163">
        <f t="shared" ca="1" si="41"/>
        <v>0</v>
      </c>
      <c r="AM23" s="2" t="str">
        <f t="shared" si="28"/>
        <v>'Lanç (18)'!$F$44</v>
      </c>
      <c r="AN23" s="163">
        <f t="shared" ca="1" si="42"/>
        <v>0</v>
      </c>
      <c r="AO23" s="2" t="str">
        <f t="shared" si="29"/>
        <v>'Lanç (18)'!$F$45</v>
      </c>
      <c r="AP23" s="163">
        <f t="shared" ca="1" si="43"/>
        <v>0</v>
      </c>
      <c r="AQ23" s="2" t="str">
        <f t="shared" si="30"/>
        <v>'Lanç (18)'!$F$46</v>
      </c>
      <c r="AR23" s="163">
        <f t="shared" ca="1" si="44"/>
        <v>0</v>
      </c>
      <c r="AS23" s="2" t="str">
        <f t="shared" si="31"/>
        <v>'Lanç (18)'!$F$47</v>
      </c>
      <c r="AT23" s="163">
        <f t="shared" ca="1" si="45"/>
        <v>0</v>
      </c>
      <c r="AU23" s="2" t="str">
        <f t="shared" si="32"/>
        <v>'Lanç (18)'!$F$48</v>
      </c>
      <c r="AV23" s="163">
        <f t="shared" ca="1" si="46"/>
        <v>0</v>
      </c>
      <c r="AW23" s="2" t="str">
        <f t="shared" si="33"/>
        <v>'Lanç (18)'!$F$49</v>
      </c>
      <c r="AX23" s="163">
        <f t="shared" ca="1" si="47"/>
        <v>0</v>
      </c>
      <c r="AY23" s="2" t="str">
        <f t="shared" si="34"/>
        <v>'Lanç (18)'!$F$51</v>
      </c>
      <c r="AZ23" s="163">
        <f t="shared" ca="1" si="48"/>
        <v>0</v>
      </c>
      <c r="BA23" s="2" t="str">
        <f t="shared" si="35"/>
        <v>'Lanç (18)'!$F$50</v>
      </c>
      <c r="BB23" s="163">
        <f t="shared" ca="1" si="49"/>
        <v>0</v>
      </c>
      <c r="BC23" s="2" t="str">
        <f t="shared" si="36"/>
        <v>'Lanç (18)'!$F$52</v>
      </c>
      <c r="BD23" s="163">
        <f t="shared" ca="1" si="50"/>
        <v>0</v>
      </c>
      <c r="BE23" s="2" t="str">
        <f t="shared" si="37"/>
        <v>'Lanç (18)'!$F$53</v>
      </c>
      <c r="BF23" s="163">
        <f t="shared" ca="1" si="51"/>
        <v>0</v>
      </c>
      <c r="BG23" s="2" t="str">
        <f t="shared" si="38"/>
        <v>'Lanç (18)'!$F$54</v>
      </c>
      <c r="BH23" s="164">
        <f t="shared" ca="1" si="52"/>
        <v>0</v>
      </c>
      <c r="BI23" s="2" t="str">
        <f t="shared" si="39"/>
        <v>'Lanç (18)'!$F$55</v>
      </c>
      <c r="BJ23" s="164">
        <f t="shared" ca="1" si="52"/>
        <v>0</v>
      </c>
      <c r="BK23" s="167">
        <f t="shared" ca="1" si="18"/>
        <v>1.8000000000000001E-4</v>
      </c>
      <c r="BL23" s="2">
        <v>1.8000000000000001E-4</v>
      </c>
      <c r="BM23" s="167">
        <f t="shared" ca="1" si="19"/>
        <v>0</v>
      </c>
      <c r="BN23" s="2" t="str">
        <f t="shared" si="13"/>
        <v/>
      </c>
      <c r="BO23" s="155">
        <f t="shared" ca="1" si="14"/>
        <v>1.8000000000000001E-4</v>
      </c>
      <c r="BP23" s="155">
        <f t="shared" ca="1" si="15"/>
        <v>0</v>
      </c>
      <c r="BQ23" s="2" t="str">
        <f t="shared" si="20"/>
        <v/>
      </c>
    </row>
    <row r="24" spans="3:69" ht="30" customHeight="1" thickTop="1" thickBot="1" x14ac:dyDescent="0.25">
      <c r="U24" s="2" t="str">
        <f>Resul!R27</f>
        <v/>
      </c>
      <c r="W24" s="2">
        <v>19</v>
      </c>
      <c r="X24" s="2" t="str">
        <f t="shared" si="21"/>
        <v>'Lanç (19)'!$U$8</v>
      </c>
      <c r="Y24" s="163">
        <f t="shared" ca="1" si="53"/>
        <v>0</v>
      </c>
      <c r="Z24" s="2" t="str">
        <f t="shared" si="22"/>
        <v>'Lanç (19)'!$U$16</v>
      </c>
      <c r="AA24" s="163">
        <f t="shared" ca="1" si="53"/>
        <v>0</v>
      </c>
      <c r="AB24" s="2" t="str">
        <f t="shared" si="23"/>
        <v>'Lanç (19)'!$U$14</v>
      </c>
      <c r="AC24" s="163">
        <f t="shared" ca="1" si="54"/>
        <v>0</v>
      </c>
      <c r="AD24" s="2" t="str">
        <f t="shared" si="24"/>
        <v>'Lanç (19)'!$K$5</v>
      </c>
      <c r="AE24" s="163">
        <f t="shared" ca="1" si="54"/>
        <v>0</v>
      </c>
      <c r="AG24" s="2" t="str">
        <f t="shared" si="25"/>
        <v>'Lanç (19)'!$F$41</v>
      </c>
      <c r="AH24" s="163">
        <f t="shared" ca="1" si="40"/>
        <v>0</v>
      </c>
      <c r="AI24" s="2" t="str">
        <f t="shared" si="26"/>
        <v>'Lanç (19)'!$F$42</v>
      </c>
      <c r="AJ24" s="163">
        <f t="shared" ca="1" si="40"/>
        <v>0</v>
      </c>
      <c r="AK24" s="2" t="str">
        <f t="shared" si="27"/>
        <v>'Lanç (19)'!$F$43</v>
      </c>
      <c r="AL24" s="163">
        <f t="shared" ca="1" si="41"/>
        <v>0</v>
      </c>
      <c r="AM24" s="2" t="str">
        <f t="shared" si="28"/>
        <v>'Lanç (19)'!$F$44</v>
      </c>
      <c r="AN24" s="163">
        <f t="shared" ca="1" si="42"/>
        <v>0</v>
      </c>
      <c r="AO24" s="2" t="str">
        <f t="shared" si="29"/>
        <v>'Lanç (19)'!$F$45</v>
      </c>
      <c r="AP24" s="163">
        <f t="shared" ca="1" si="43"/>
        <v>0</v>
      </c>
      <c r="AQ24" s="2" t="str">
        <f t="shared" si="30"/>
        <v>'Lanç (19)'!$F$46</v>
      </c>
      <c r="AR24" s="163">
        <f t="shared" ca="1" si="44"/>
        <v>0</v>
      </c>
      <c r="AS24" s="2" t="str">
        <f t="shared" si="31"/>
        <v>'Lanç (19)'!$F$47</v>
      </c>
      <c r="AT24" s="163">
        <f t="shared" ca="1" si="45"/>
        <v>0</v>
      </c>
      <c r="AU24" s="2" t="str">
        <f t="shared" si="32"/>
        <v>'Lanç (19)'!$F$48</v>
      </c>
      <c r="AV24" s="163">
        <f t="shared" ca="1" si="46"/>
        <v>0</v>
      </c>
      <c r="AW24" s="2" t="str">
        <f t="shared" si="33"/>
        <v>'Lanç (19)'!$F$49</v>
      </c>
      <c r="AX24" s="163">
        <f t="shared" ca="1" si="47"/>
        <v>0</v>
      </c>
      <c r="AY24" s="2" t="str">
        <f t="shared" si="34"/>
        <v>'Lanç (19)'!$F$51</v>
      </c>
      <c r="AZ24" s="163">
        <f t="shared" ca="1" si="48"/>
        <v>0</v>
      </c>
      <c r="BA24" s="2" t="str">
        <f t="shared" si="35"/>
        <v>'Lanç (19)'!$F$50</v>
      </c>
      <c r="BB24" s="163">
        <f t="shared" ca="1" si="49"/>
        <v>0</v>
      </c>
      <c r="BC24" s="2" t="str">
        <f t="shared" si="36"/>
        <v>'Lanç (19)'!$F$52</v>
      </c>
      <c r="BD24" s="163">
        <f t="shared" ca="1" si="50"/>
        <v>0</v>
      </c>
      <c r="BE24" s="2" t="str">
        <f t="shared" si="37"/>
        <v>'Lanç (19)'!$F$53</v>
      </c>
      <c r="BF24" s="163">
        <f t="shared" ca="1" si="51"/>
        <v>0</v>
      </c>
      <c r="BG24" s="2" t="str">
        <f t="shared" si="38"/>
        <v>'Lanç (19)'!$F$54</v>
      </c>
      <c r="BH24" s="164">
        <f t="shared" ca="1" si="52"/>
        <v>0</v>
      </c>
      <c r="BI24" s="2" t="str">
        <f t="shared" si="39"/>
        <v>'Lanç (19)'!$F$55</v>
      </c>
      <c r="BJ24" s="164">
        <f t="shared" ca="1" si="52"/>
        <v>0</v>
      </c>
      <c r="BK24" s="167">
        <f t="shared" ca="1" si="18"/>
        <v>1.9000000000000001E-4</v>
      </c>
      <c r="BL24" s="2">
        <v>1.9000000000000001E-4</v>
      </c>
      <c r="BM24" s="167">
        <f t="shared" ca="1" si="19"/>
        <v>0</v>
      </c>
      <c r="BN24" s="2" t="str">
        <f t="shared" si="13"/>
        <v/>
      </c>
      <c r="BO24" s="155">
        <f t="shared" ca="1" si="14"/>
        <v>1.9000000000000001E-4</v>
      </c>
      <c r="BP24" s="155">
        <f t="shared" ca="1" si="15"/>
        <v>0</v>
      </c>
      <c r="BQ24" s="2" t="str">
        <f t="shared" si="20"/>
        <v/>
      </c>
    </row>
    <row r="25" spans="3:69" ht="30" customHeight="1" thickTop="1" thickBot="1" x14ac:dyDescent="0.25">
      <c r="C25" s="105" t="s">
        <v>245</v>
      </c>
      <c r="U25" s="2" t="str">
        <f>Resul!R28</f>
        <v/>
      </c>
      <c r="W25" s="2">
        <v>20</v>
      </c>
      <c r="X25" s="2" t="str">
        <f t="shared" si="21"/>
        <v>'Lanç (20)'!$U$8</v>
      </c>
      <c r="Y25" s="163">
        <f t="shared" ca="1" si="53"/>
        <v>0</v>
      </c>
      <c r="Z25" s="2" t="str">
        <f t="shared" si="22"/>
        <v>'Lanç (20)'!$U$16</v>
      </c>
      <c r="AA25" s="163">
        <f t="shared" ca="1" si="53"/>
        <v>0</v>
      </c>
      <c r="AB25" s="2" t="str">
        <f t="shared" si="23"/>
        <v>'Lanç (20)'!$U$14</v>
      </c>
      <c r="AC25" s="163">
        <f t="shared" ca="1" si="54"/>
        <v>0</v>
      </c>
      <c r="AD25" s="2" t="str">
        <f t="shared" si="24"/>
        <v>'Lanç (20)'!$K$5</v>
      </c>
      <c r="AE25" s="163">
        <f t="shared" ca="1" si="54"/>
        <v>0</v>
      </c>
      <c r="AG25" s="2" t="str">
        <f t="shared" si="25"/>
        <v>'Lanç (20)'!$F$41</v>
      </c>
      <c r="AH25" s="163">
        <f t="shared" ca="1" si="40"/>
        <v>0</v>
      </c>
      <c r="AI25" s="2" t="str">
        <f t="shared" si="26"/>
        <v>'Lanç (20)'!$F$42</v>
      </c>
      <c r="AJ25" s="163">
        <f t="shared" ca="1" si="40"/>
        <v>0</v>
      </c>
      <c r="AK25" s="2" t="str">
        <f t="shared" si="27"/>
        <v>'Lanç (20)'!$F$43</v>
      </c>
      <c r="AL25" s="163">
        <f t="shared" ca="1" si="41"/>
        <v>0</v>
      </c>
      <c r="AM25" s="2" t="str">
        <f t="shared" si="28"/>
        <v>'Lanç (20)'!$F$44</v>
      </c>
      <c r="AN25" s="163">
        <f t="shared" ca="1" si="42"/>
        <v>0</v>
      </c>
      <c r="AO25" s="2" t="str">
        <f t="shared" si="29"/>
        <v>'Lanç (20)'!$F$45</v>
      </c>
      <c r="AP25" s="163">
        <f t="shared" ca="1" si="43"/>
        <v>0</v>
      </c>
      <c r="AQ25" s="2" t="str">
        <f t="shared" si="30"/>
        <v>'Lanç (20)'!$F$46</v>
      </c>
      <c r="AR25" s="163">
        <f t="shared" ca="1" si="44"/>
        <v>0</v>
      </c>
      <c r="AS25" s="2" t="str">
        <f t="shared" si="31"/>
        <v>'Lanç (20)'!$F$47</v>
      </c>
      <c r="AT25" s="163">
        <f t="shared" ca="1" si="45"/>
        <v>0</v>
      </c>
      <c r="AU25" s="2" t="str">
        <f t="shared" si="32"/>
        <v>'Lanç (20)'!$F$48</v>
      </c>
      <c r="AV25" s="163">
        <f t="shared" ca="1" si="46"/>
        <v>0</v>
      </c>
      <c r="AW25" s="2" t="str">
        <f t="shared" si="33"/>
        <v>'Lanç (20)'!$F$49</v>
      </c>
      <c r="AX25" s="163">
        <f t="shared" ca="1" si="47"/>
        <v>0</v>
      </c>
      <c r="AY25" s="2" t="str">
        <f t="shared" si="34"/>
        <v>'Lanç (20)'!$F$51</v>
      </c>
      <c r="AZ25" s="163">
        <f t="shared" ca="1" si="48"/>
        <v>0</v>
      </c>
      <c r="BA25" s="2" t="str">
        <f t="shared" si="35"/>
        <v>'Lanç (20)'!$F$50</v>
      </c>
      <c r="BB25" s="163">
        <f t="shared" ca="1" si="49"/>
        <v>0</v>
      </c>
      <c r="BC25" s="2" t="str">
        <f t="shared" si="36"/>
        <v>'Lanç (20)'!$F$52</v>
      </c>
      <c r="BD25" s="163">
        <f t="shared" ca="1" si="50"/>
        <v>0</v>
      </c>
      <c r="BE25" s="2" t="str">
        <f t="shared" si="37"/>
        <v>'Lanç (20)'!$F$53</v>
      </c>
      <c r="BF25" s="163">
        <f t="shared" ca="1" si="51"/>
        <v>0</v>
      </c>
      <c r="BG25" s="2" t="str">
        <f t="shared" si="38"/>
        <v>'Lanç (20)'!$F$54</v>
      </c>
      <c r="BH25" s="164">
        <f t="shared" ca="1" si="52"/>
        <v>0</v>
      </c>
      <c r="BI25" s="2" t="str">
        <f t="shared" si="39"/>
        <v>'Lanç (20)'!$F$55</v>
      </c>
      <c r="BJ25" s="164">
        <f t="shared" ca="1" si="52"/>
        <v>0</v>
      </c>
      <c r="BK25" s="167">
        <f t="shared" ca="1" si="18"/>
        <v>2.0000000000000001E-4</v>
      </c>
      <c r="BL25" s="2">
        <v>2.0000000000000001E-4</v>
      </c>
      <c r="BM25" s="167">
        <f t="shared" ca="1" si="19"/>
        <v>0</v>
      </c>
      <c r="BN25" s="2" t="str">
        <f t="shared" si="13"/>
        <v/>
      </c>
      <c r="BO25" s="155">
        <f t="shared" ca="1" si="14"/>
        <v>2.0000000000000001E-4</v>
      </c>
      <c r="BP25" s="155">
        <f t="shared" ca="1" si="15"/>
        <v>0</v>
      </c>
      <c r="BQ25" s="2" t="str">
        <f t="shared" si="20"/>
        <v/>
      </c>
    </row>
    <row r="26" spans="3:69" ht="30" customHeight="1" thickTop="1" thickBot="1" x14ac:dyDescent="0.25">
      <c r="U26" s="2" t="str">
        <f>Resul!R29</f>
        <v/>
      </c>
      <c r="W26" s="2">
        <v>21</v>
      </c>
      <c r="X26" s="2" t="str">
        <f t="shared" si="21"/>
        <v>'Lanç (21)'!$U$8</v>
      </c>
      <c r="Y26" s="163">
        <f t="shared" ca="1" si="53"/>
        <v>0</v>
      </c>
      <c r="Z26" s="2" t="str">
        <f t="shared" si="22"/>
        <v>'Lanç (21)'!$U$16</v>
      </c>
      <c r="AA26" s="163">
        <f t="shared" ca="1" si="53"/>
        <v>0</v>
      </c>
      <c r="AB26" s="2" t="str">
        <f t="shared" si="23"/>
        <v>'Lanç (21)'!$U$14</v>
      </c>
      <c r="AC26" s="163">
        <f t="shared" ca="1" si="54"/>
        <v>0</v>
      </c>
      <c r="AD26" s="2" t="str">
        <f t="shared" si="24"/>
        <v>'Lanç (21)'!$K$5</v>
      </c>
      <c r="AE26" s="163">
        <f t="shared" ca="1" si="54"/>
        <v>0</v>
      </c>
      <c r="AG26" s="2" t="str">
        <f t="shared" si="25"/>
        <v>'Lanç (21)'!$F$41</v>
      </c>
      <c r="AH26" s="163">
        <f t="shared" ca="1" si="40"/>
        <v>0</v>
      </c>
      <c r="AI26" s="2" t="str">
        <f t="shared" si="26"/>
        <v>'Lanç (21)'!$F$42</v>
      </c>
      <c r="AJ26" s="163">
        <f t="shared" ca="1" si="40"/>
        <v>0</v>
      </c>
      <c r="AK26" s="2" t="str">
        <f t="shared" si="27"/>
        <v>'Lanç (21)'!$F$43</v>
      </c>
      <c r="AL26" s="163">
        <f t="shared" ca="1" si="41"/>
        <v>0</v>
      </c>
      <c r="AM26" s="2" t="str">
        <f t="shared" si="28"/>
        <v>'Lanç (21)'!$F$44</v>
      </c>
      <c r="AN26" s="163">
        <f t="shared" ca="1" si="42"/>
        <v>0</v>
      </c>
      <c r="AO26" s="2" t="str">
        <f t="shared" si="29"/>
        <v>'Lanç (21)'!$F$45</v>
      </c>
      <c r="AP26" s="163">
        <f t="shared" ca="1" si="43"/>
        <v>0</v>
      </c>
      <c r="AQ26" s="2" t="str">
        <f t="shared" si="30"/>
        <v>'Lanç (21)'!$F$46</v>
      </c>
      <c r="AR26" s="163">
        <f t="shared" ca="1" si="44"/>
        <v>0</v>
      </c>
      <c r="AS26" s="2" t="str">
        <f t="shared" si="31"/>
        <v>'Lanç (21)'!$F$47</v>
      </c>
      <c r="AT26" s="163">
        <f t="shared" ca="1" si="45"/>
        <v>0</v>
      </c>
      <c r="AU26" s="2" t="str">
        <f t="shared" si="32"/>
        <v>'Lanç (21)'!$F$48</v>
      </c>
      <c r="AV26" s="163">
        <f t="shared" ca="1" si="46"/>
        <v>0</v>
      </c>
      <c r="AW26" s="2" t="str">
        <f t="shared" si="33"/>
        <v>'Lanç (21)'!$F$49</v>
      </c>
      <c r="AX26" s="163">
        <f t="shared" ca="1" si="47"/>
        <v>0</v>
      </c>
      <c r="AY26" s="2" t="str">
        <f t="shared" si="34"/>
        <v>'Lanç (21)'!$F$51</v>
      </c>
      <c r="AZ26" s="163">
        <f t="shared" ca="1" si="48"/>
        <v>0</v>
      </c>
      <c r="BA26" s="2" t="str">
        <f t="shared" si="35"/>
        <v>'Lanç (21)'!$F$50</v>
      </c>
      <c r="BB26" s="163">
        <f t="shared" ca="1" si="49"/>
        <v>0</v>
      </c>
      <c r="BC26" s="2" t="str">
        <f t="shared" si="36"/>
        <v>'Lanç (21)'!$F$52</v>
      </c>
      <c r="BD26" s="163">
        <f t="shared" ca="1" si="50"/>
        <v>0</v>
      </c>
      <c r="BE26" s="2" t="str">
        <f t="shared" si="37"/>
        <v>'Lanç (21)'!$F$53</v>
      </c>
      <c r="BF26" s="163">
        <f t="shared" ca="1" si="51"/>
        <v>0</v>
      </c>
      <c r="BG26" s="2" t="str">
        <f t="shared" si="38"/>
        <v>'Lanç (21)'!$F$54</v>
      </c>
      <c r="BH26" s="164">
        <f t="shared" ca="1" si="52"/>
        <v>0</v>
      </c>
      <c r="BI26" s="2" t="str">
        <f t="shared" si="39"/>
        <v>'Lanç (21)'!$F$55</v>
      </c>
      <c r="BJ26" s="164">
        <f t="shared" ca="1" si="52"/>
        <v>0</v>
      </c>
      <c r="BK26" s="167">
        <f t="shared" ca="1" si="18"/>
        <v>2.1000000000000001E-4</v>
      </c>
      <c r="BL26" s="2">
        <v>2.1000000000000001E-4</v>
      </c>
      <c r="BM26" s="167">
        <f t="shared" ca="1" si="19"/>
        <v>0</v>
      </c>
      <c r="BN26" s="2" t="str">
        <f t="shared" si="13"/>
        <v/>
      </c>
      <c r="BO26" s="155">
        <f t="shared" ca="1" si="14"/>
        <v>2.1000000000000001E-4</v>
      </c>
      <c r="BP26" s="155">
        <f t="shared" ca="1" si="15"/>
        <v>0</v>
      </c>
      <c r="BQ26" s="2" t="str">
        <f t="shared" si="20"/>
        <v/>
      </c>
    </row>
    <row r="27" spans="3:69" ht="30" customHeight="1" thickTop="1" thickBot="1" x14ac:dyDescent="0.25">
      <c r="U27" s="2" t="str">
        <f>Resul!R30</f>
        <v/>
      </c>
      <c r="W27" s="2">
        <v>22</v>
      </c>
      <c r="X27" s="2" t="str">
        <f t="shared" si="21"/>
        <v>'Lanç (22)'!$U$8</v>
      </c>
      <c r="Y27" s="163">
        <f t="shared" ca="1" si="53"/>
        <v>0</v>
      </c>
      <c r="Z27" s="2" t="str">
        <f t="shared" si="22"/>
        <v>'Lanç (22)'!$U$16</v>
      </c>
      <c r="AA27" s="163">
        <f t="shared" ca="1" si="53"/>
        <v>0</v>
      </c>
      <c r="AB27" s="2" t="str">
        <f t="shared" si="23"/>
        <v>'Lanç (22)'!$U$14</v>
      </c>
      <c r="AC27" s="163">
        <f t="shared" ca="1" si="54"/>
        <v>0</v>
      </c>
      <c r="AD27" s="2" t="str">
        <f t="shared" si="24"/>
        <v>'Lanç (22)'!$K$5</v>
      </c>
      <c r="AE27" s="163">
        <f t="shared" ca="1" si="54"/>
        <v>0</v>
      </c>
      <c r="AG27" s="2" t="str">
        <f t="shared" si="25"/>
        <v>'Lanç (22)'!$F$41</v>
      </c>
      <c r="AH27" s="163">
        <f t="shared" ca="1" si="40"/>
        <v>0</v>
      </c>
      <c r="AI27" s="2" t="str">
        <f t="shared" si="26"/>
        <v>'Lanç (22)'!$F$42</v>
      </c>
      <c r="AJ27" s="163">
        <f t="shared" ca="1" si="40"/>
        <v>0</v>
      </c>
      <c r="AK27" s="2" t="str">
        <f t="shared" si="27"/>
        <v>'Lanç (22)'!$F$43</v>
      </c>
      <c r="AL27" s="163">
        <f t="shared" ca="1" si="41"/>
        <v>0</v>
      </c>
      <c r="AM27" s="2" t="str">
        <f t="shared" si="28"/>
        <v>'Lanç (22)'!$F$44</v>
      </c>
      <c r="AN27" s="163">
        <f t="shared" ca="1" si="42"/>
        <v>0</v>
      </c>
      <c r="AO27" s="2" t="str">
        <f t="shared" si="29"/>
        <v>'Lanç (22)'!$F$45</v>
      </c>
      <c r="AP27" s="163">
        <f t="shared" ca="1" si="43"/>
        <v>0</v>
      </c>
      <c r="AQ27" s="2" t="str">
        <f t="shared" si="30"/>
        <v>'Lanç (22)'!$F$46</v>
      </c>
      <c r="AR27" s="163">
        <f t="shared" ca="1" si="44"/>
        <v>0</v>
      </c>
      <c r="AS27" s="2" t="str">
        <f t="shared" si="31"/>
        <v>'Lanç (22)'!$F$47</v>
      </c>
      <c r="AT27" s="163">
        <f t="shared" ca="1" si="45"/>
        <v>0</v>
      </c>
      <c r="AU27" s="2" t="str">
        <f t="shared" si="32"/>
        <v>'Lanç (22)'!$F$48</v>
      </c>
      <c r="AV27" s="163">
        <f t="shared" ca="1" si="46"/>
        <v>0</v>
      </c>
      <c r="AW27" s="2" t="str">
        <f t="shared" si="33"/>
        <v>'Lanç (22)'!$F$49</v>
      </c>
      <c r="AX27" s="163">
        <f t="shared" ca="1" si="47"/>
        <v>0</v>
      </c>
      <c r="AY27" s="2" t="str">
        <f t="shared" si="34"/>
        <v>'Lanç (22)'!$F$51</v>
      </c>
      <c r="AZ27" s="163">
        <f t="shared" ca="1" si="48"/>
        <v>0</v>
      </c>
      <c r="BA27" s="2" t="str">
        <f t="shared" si="35"/>
        <v>'Lanç (22)'!$F$50</v>
      </c>
      <c r="BB27" s="163">
        <f t="shared" ca="1" si="49"/>
        <v>0</v>
      </c>
      <c r="BC27" s="2" t="str">
        <f t="shared" si="36"/>
        <v>'Lanç (22)'!$F$52</v>
      </c>
      <c r="BD27" s="163">
        <f t="shared" ca="1" si="50"/>
        <v>0</v>
      </c>
      <c r="BE27" s="2" t="str">
        <f t="shared" si="37"/>
        <v>'Lanç (22)'!$F$53</v>
      </c>
      <c r="BF27" s="163">
        <f t="shared" ca="1" si="51"/>
        <v>0</v>
      </c>
      <c r="BG27" s="2" t="str">
        <f t="shared" si="38"/>
        <v>'Lanç (22)'!$F$54</v>
      </c>
      <c r="BH27" s="164">
        <f t="shared" ca="1" si="52"/>
        <v>0</v>
      </c>
      <c r="BI27" s="2" t="str">
        <f t="shared" si="39"/>
        <v>'Lanç (22)'!$F$55</v>
      </c>
      <c r="BJ27" s="164">
        <f t="shared" ca="1" si="52"/>
        <v>0</v>
      </c>
      <c r="BK27" s="167">
        <f t="shared" ca="1" si="18"/>
        <v>2.2000000000000001E-4</v>
      </c>
      <c r="BL27" s="2">
        <v>2.2000000000000001E-4</v>
      </c>
      <c r="BM27" s="167">
        <f t="shared" ca="1" si="19"/>
        <v>0</v>
      </c>
      <c r="BN27" s="2" t="str">
        <f t="shared" si="13"/>
        <v/>
      </c>
      <c r="BO27" s="155">
        <f t="shared" ca="1" si="14"/>
        <v>2.2000000000000001E-4</v>
      </c>
      <c r="BP27" s="155">
        <f t="shared" ca="1" si="15"/>
        <v>0</v>
      </c>
      <c r="BQ27" s="2" t="str">
        <f t="shared" si="20"/>
        <v/>
      </c>
    </row>
    <row r="28" spans="3:69" ht="30" customHeight="1" thickTop="1" thickBot="1" x14ac:dyDescent="0.25">
      <c r="U28" s="2" t="str">
        <f>Resul!R31</f>
        <v/>
      </c>
      <c r="W28" s="2">
        <v>23</v>
      </c>
      <c r="X28" s="2" t="str">
        <f t="shared" si="21"/>
        <v>'Lanç (23)'!$U$8</v>
      </c>
      <c r="Y28" s="163">
        <f t="shared" ca="1" si="53"/>
        <v>0</v>
      </c>
      <c r="Z28" s="2" t="str">
        <f t="shared" si="22"/>
        <v>'Lanç (23)'!$U$16</v>
      </c>
      <c r="AA28" s="163">
        <f t="shared" ca="1" si="53"/>
        <v>0</v>
      </c>
      <c r="AB28" s="2" t="str">
        <f t="shared" si="23"/>
        <v>'Lanç (23)'!$U$14</v>
      </c>
      <c r="AC28" s="163">
        <f t="shared" ca="1" si="54"/>
        <v>0</v>
      </c>
      <c r="AD28" s="2" t="str">
        <f t="shared" si="24"/>
        <v>'Lanç (23)'!$K$5</v>
      </c>
      <c r="AE28" s="163">
        <f t="shared" ca="1" si="54"/>
        <v>0</v>
      </c>
      <c r="AG28" s="2" t="str">
        <f t="shared" si="25"/>
        <v>'Lanç (23)'!$F$41</v>
      </c>
      <c r="AH28" s="163">
        <f t="shared" ca="1" si="40"/>
        <v>0</v>
      </c>
      <c r="AI28" s="2" t="str">
        <f t="shared" si="26"/>
        <v>'Lanç (23)'!$F$42</v>
      </c>
      <c r="AJ28" s="163">
        <f t="shared" ca="1" si="40"/>
        <v>0</v>
      </c>
      <c r="AK28" s="2" t="str">
        <f t="shared" si="27"/>
        <v>'Lanç (23)'!$F$43</v>
      </c>
      <c r="AL28" s="163">
        <f t="shared" ca="1" si="41"/>
        <v>0</v>
      </c>
      <c r="AM28" s="2" t="str">
        <f t="shared" si="28"/>
        <v>'Lanç (23)'!$F$44</v>
      </c>
      <c r="AN28" s="163">
        <f t="shared" ca="1" si="42"/>
        <v>0</v>
      </c>
      <c r="AO28" s="2" t="str">
        <f t="shared" si="29"/>
        <v>'Lanç (23)'!$F$45</v>
      </c>
      <c r="AP28" s="163">
        <f t="shared" ca="1" si="43"/>
        <v>0</v>
      </c>
      <c r="AQ28" s="2" t="str">
        <f t="shared" si="30"/>
        <v>'Lanç (23)'!$F$46</v>
      </c>
      <c r="AR28" s="163">
        <f t="shared" ca="1" si="44"/>
        <v>0</v>
      </c>
      <c r="AS28" s="2" t="str">
        <f t="shared" si="31"/>
        <v>'Lanç (23)'!$F$47</v>
      </c>
      <c r="AT28" s="163">
        <f t="shared" ca="1" si="45"/>
        <v>0</v>
      </c>
      <c r="AU28" s="2" t="str">
        <f t="shared" si="32"/>
        <v>'Lanç (23)'!$F$48</v>
      </c>
      <c r="AV28" s="163">
        <f t="shared" ca="1" si="46"/>
        <v>0</v>
      </c>
      <c r="AW28" s="2" t="str">
        <f t="shared" si="33"/>
        <v>'Lanç (23)'!$F$49</v>
      </c>
      <c r="AX28" s="163">
        <f t="shared" ca="1" si="47"/>
        <v>0</v>
      </c>
      <c r="AY28" s="2" t="str">
        <f t="shared" si="34"/>
        <v>'Lanç (23)'!$F$51</v>
      </c>
      <c r="AZ28" s="163">
        <f t="shared" ca="1" si="48"/>
        <v>0</v>
      </c>
      <c r="BA28" s="2" t="str">
        <f t="shared" si="35"/>
        <v>'Lanç (23)'!$F$50</v>
      </c>
      <c r="BB28" s="163">
        <f t="shared" ca="1" si="49"/>
        <v>0</v>
      </c>
      <c r="BC28" s="2" t="str">
        <f t="shared" si="36"/>
        <v>'Lanç (23)'!$F$52</v>
      </c>
      <c r="BD28" s="163">
        <f t="shared" ca="1" si="50"/>
        <v>0</v>
      </c>
      <c r="BE28" s="2" t="str">
        <f t="shared" si="37"/>
        <v>'Lanç (23)'!$F$53</v>
      </c>
      <c r="BF28" s="163">
        <f t="shared" ca="1" si="51"/>
        <v>0</v>
      </c>
      <c r="BG28" s="2" t="str">
        <f t="shared" si="38"/>
        <v>'Lanç (23)'!$F$54</v>
      </c>
      <c r="BH28" s="164">
        <f t="shared" ca="1" si="52"/>
        <v>0</v>
      </c>
      <c r="BI28" s="2" t="str">
        <f t="shared" si="39"/>
        <v>'Lanç (23)'!$F$55</v>
      </c>
      <c r="BJ28" s="164">
        <f t="shared" ca="1" si="52"/>
        <v>0</v>
      </c>
      <c r="BK28" s="167">
        <f t="shared" ca="1" si="18"/>
        <v>2.3000000000000001E-4</v>
      </c>
      <c r="BL28" s="2">
        <v>2.3000000000000001E-4</v>
      </c>
      <c r="BM28" s="167">
        <f t="shared" ca="1" si="19"/>
        <v>0</v>
      </c>
      <c r="BN28" s="2" t="str">
        <f t="shared" si="13"/>
        <v/>
      </c>
      <c r="BO28" s="155">
        <f t="shared" ca="1" si="14"/>
        <v>2.3000000000000001E-4</v>
      </c>
      <c r="BP28" s="155">
        <f t="shared" ca="1" si="15"/>
        <v>0</v>
      </c>
      <c r="BQ28" s="2" t="str">
        <f t="shared" si="20"/>
        <v/>
      </c>
    </row>
    <row r="29" spans="3:69" ht="30" customHeight="1" thickTop="1" thickBot="1" x14ac:dyDescent="0.25">
      <c r="U29" s="2" t="str">
        <f>Resul!R32</f>
        <v/>
      </c>
      <c r="W29" s="2">
        <v>24</v>
      </c>
      <c r="X29" s="2" t="str">
        <f t="shared" si="21"/>
        <v>'Lanç (24)'!$U$8</v>
      </c>
      <c r="Y29" s="163">
        <f t="shared" ca="1" si="53"/>
        <v>0</v>
      </c>
      <c r="Z29" s="2" t="str">
        <f t="shared" si="22"/>
        <v>'Lanç (24)'!$U$16</v>
      </c>
      <c r="AA29" s="163">
        <f t="shared" ca="1" si="53"/>
        <v>0</v>
      </c>
      <c r="AB29" s="2" t="str">
        <f t="shared" si="23"/>
        <v>'Lanç (24)'!$U$14</v>
      </c>
      <c r="AC29" s="163">
        <f t="shared" ca="1" si="54"/>
        <v>0</v>
      </c>
      <c r="AD29" s="2" t="str">
        <f t="shared" si="24"/>
        <v>'Lanç (24)'!$K$5</v>
      </c>
      <c r="AE29" s="163">
        <f t="shared" ca="1" si="54"/>
        <v>0</v>
      </c>
      <c r="AG29" s="2" t="str">
        <f t="shared" si="25"/>
        <v>'Lanç (24)'!$F$41</v>
      </c>
      <c r="AH29" s="163">
        <f t="shared" ca="1" si="40"/>
        <v>0</v>
      </c>
      <c r="AI29" s="2" t="str">
        <f t="shared" si="26"/>
        <v>'Lanç (24)'!$F$42</v>
      </c>
      <c r="AJ29" s="163">
        <f t="shared" ca="1" si="40"/>
        <v>0</v>
      </c>
      <c r="AK29" s="2" t="str">
        <f t="shared" si="27"/>
        <v>'Lanç (24)'!$F$43</v>
      </c>
      <c r="AL29" s="163">
        <f t="shared" ca="1" si="41"/>
        <v>0</v>
      </c>
      <c r="AM29" s="2" t="str">
        <f t="shared" si="28"/>
        <v>'Lanç (24)'!$F$44</v>
      </c>
      <c r="AN29" s="163">
        <f t="shared" ca="1" si="42"/>
        <v>0</v>
      </c>
      <c r="AO29" s="2" t="str">
        <f t="shared" si="29"/>
        <v>'Lanç (24)'!$F$45</v>
      </c>
      <c r="AP29" s="163">
        <f t="shared" ca="1" si="43"/>
        <v>0</v>
      </c>
      <c r="AQ29" s="2" t="str">
        <f t="shared" si="30"/>
        <v>'Lanç (24)'!$F$46</v>
      </c>
      <c r="AR29" s="163">
        <f t="shared" ca="1" si="44"/>
        <v>0</v>
      </c>
      <c r="AS29" s="2" t="str">
        <f t="shared" si="31"/>
        <v>'Lanç (24)'!$F$47</v>
      </c>
      <c r="AT29" s="163">
        <f t="shared" ca="1" si="45"/>
        <v>0</v>
      </c>
      <c r="AU29" s="2" t="str">
        <f t="shared" si="32"/>
        <v>'Lanç (24)'!$F$48</v>
      </c>
      <c r="AV29" s="163">
        <f t="shared" ca="1" si="46"/>
        <v>0</v>
      </c>
      <c r="AW29" s="2" t="str">
        <f t="shared" si="33"/>
        <v>'Lanç (24)'!$F$49</v>
      </c>
      <c r="AX29" s="163">
        <f t="shared" ca="1" si="47"/>
        <v>0</v>
      </c>
      <c r="AY29" s="2" t="str">
        <f t="shared" si="34"/>
        <v>'Lanç (24)'!$F$51</v>
      </c>
      <c r="AZ29" s="163">
        <f t="shared" ca="1" si="48"/>
        <v>0</v>
      </c>
      <c r="BA29" s="2" t="str">
        <f t="shared" si="35"/>
        <v>'Lanç (24)'!$F$50</v>
      </c>
      <c r="BB29" s="163">
        <f t="shared" ca="1" si="49"/>
        <v>0</v>
      </c>
      <c r="BC29" s="2" t="str">
        <f t="shared" si="36"/>
        <v>'Lanç (24)'!$F$52</v>
      </c>
      <c r="BD29" s="163">
        <f t="shared" ca="1" si="50"/>
        <v>0</v>
      </c>
      <c r="BE29" s="2" t="str">
        <f t="shared" si="37"/>
        <v>'Lanç (24)'!$F$53</v>
      </c>
      <c r="BF29" s="163">
        <f t="shared" ca="1" si="51"/>
        <v>0</v>
      </c>
      <c r="BG29" s="2" t="str">
        <f t="shared" si="38"/>
        <v>'Lanç (24)'!$F$54</v>
      </c>
      <c r="BH29" s="164">
        <f t="shared" ca="1" si="52"/>
        <v>0</v>
      </c>
      <c r="BI29" s="2" t="str">
        <f t="shared" si="39"/>
        <v>'Lanç (24)'!$F$55</v>
      </c>
      <c r="BJ29" s="164">
        <f t="shared" ca="1" si="52"/>
        <v>0</v>
      </c>
      <c r="BK29" s="167">
        <f t="shared" ca="1" si="18"/>
        <v>2.4000000000000001E-4</v>
      </c>
      <c r="BL29" s="2">
        <v>2.4000000000000001E-4</v>
      </c>
      <c r="BM29" s="167">
        <f t="shared" ca="1" si="19"/>
        <v>0</v>
      </c>
      <c r="BN29" s="2" t="str">
        <f t="shared" si="13"/>
        <v/>
      </c>
      <c r="BO29" s="155">
        <f t="shared" ca="1" si="14"/>
        <v>2.4000000000000001E-4</v>
      </c>
      <c r="BP29" s="155">
        <f t="shared" ca="1" si="15"/>
        <v>0</v>
      </c>
      <c r="BQ29" s="2" t="str">
        <f t="shared" si="20"/>
        <v/>
      </c>
    </row>
    <row r="30" spans="3:69" ht="30" customHeight="1" thickTop="1" thickBot="1" x14ac:dyDescent="0.25">
      <c r="U30" s="2" t="str">
        <f>Resul!R33</f>
        <v/>
      </c>
      <c r="W30" s="2">
        <v>25</v>
      </c>
      <c r="X30" s="2" t="str">
        <f t="shared" si="21"/>
        <v>'Lanç (25)'!$U$8</v>
      </c>
      <c r="Y30" s="163">
        <f t="shared" ca="1" si="53"/>
        <v>0</v>
      </c>
      <c r="Z30" s="2" t="str">
        <f t="shared" si="22"/>
        <v>'Lanç (25)'!$U$16</v>
      </c>
      <c r="AA30" s="163">
        <f t="shared" ca="1" si="53"/>
        <v>0</v>
      </c>
      <c r="AB30" s="2" t="str">
        <f t="shared" si="23"/>
        <v>'Lanç (25)'!$U$14</v>
      </c>
      <c r="AC30" s="163">
        <f t="shared" ca="1" si="54"/>
        <v>0</v>
      </c>
      <c r="AD30" s="2" t="str">
        <f t="shared" si="24"/>
        <v>'Lanç (25)'!$K$5</v>
      </c>
      <c r="AE30" s="163">
        <f t="shared" ca="1" si="54"/>
        <v>0</v>
      </c>
      <c r="AG30" s="2" t="str">
        <f t="shared" si="25"/>
        <v>'Lanç (25)'!$F$41</v>
      </c>
      <c r="AH30" s="163">
        <f t="shared" ca="1" si="40"/>
        <v>0</v>
      </c>
      <c r="AI30" s="2" t="str">
        <f t="shared" si="26"/>
        <v>'Lanç (25)'!$F$42</v>
      </c>
      <c r="AJ30" s="163">
        <f t="shared" ca="1" si="40"/>
        <v>0</v>
      </c>
      <c r="AK30" s="2" t="str">
        <f t="shared" si="27"/>
        <v>'Lanç (25)'!$F$43</v>
      </c>
      <c r="AL30" s="163">
        <f t="shared" ca="1" si="41"/>
        <v>0</v>
      </c>
      <c r="AM30" s="2" t="str">
        <f t="shared" si="28"/>
        <v>'Lanç (25)'!$F$44</v>
      </c>
      <c r="AN30" s="163">
        <f t="shared" ca="1" si="42"/>
        <v>0</v>
      </c>
      <c r="AO30" s="2" t="str">
        <f t="shared" si="29"/>
        <v>'Lanç (25)'!$F$45</v>
      </c>
      <c r="AP30" s="163">
        <f t="shared" ca="1" si="43"/>
        <v>0</v>
      </c>
      <c r="AQ30" s="2" t="str">
        <f t="shared" si="30"/>
        <v>'Lanç (25)'!$F$46</v>
      </c>
      <c r="AR30" s="163">
        <f t="shared" ca="1" si="44"/>
        <v>0</v>
      </c>
      <c r="AS30" s="2" t="str">
        <f t="shared" si="31"/>
        <v>'Lanç (25)'!$F$47</v>
      </c>
      <c r="AT30" s="163">
        <f t="shared" ca="1" si="45"/>
        <v>0</v>
      </c>
      <c r="AU30" s="2" t="str">
        <f t="shared" si="32"/>
        <v>'Lanç (25)'!$F$48</v>
      </c>
      <c r="AV30" s="163">
        <f t="shared" ca="1" si="46"/>
        <v>0</v>
      </c>
      <c r="AW30" s="2" t="str">
        <f t="shared" si="33"/>
        <v>'Lanç (25)'!$F$49</v>
      </c>
      <c r="AX30" s="163">
        <f t="shared" ca="1" si="47"/>
        <v>0</v>
      </c>
      <c r="AY30" s="2" t="str">
        <f t="shared" si="34"/>
        <v>'Lanç (25)'!$F$51</v>
      </c>
      <c r="AZ30" s="163">
        <f t="shared" ca="1" si="48"/>
        <v>0</v>
      </c>
      <c r="BA30" s="2" t="str">
        <f t="shared" si="35"/>
        <v>'Lanç (25)'!$F$50</v>
      </c>
      <c r="BB30" s="163">
        <f t="shared" ca="1" si="49"/>
        <v>0</v>
      </c>
      <c r="BC30" s="2" t="str">
        <f t="shared" si="36"/>
        <v>'Lanç (25)'!$F$52</v>
      </c>
      <c r="BD30" s="163">
        <f t="shared" ca="1" si="50"/>
        <v>0</v>
      </c>
      <c r="BE30" s="2" t="str">
        <f t="shared" si="37"/>
        <v>'Lanç (25)'!$F$53</v>
      </c>
      <c r="BF30" s="163">
        <f t="shared" ca="1" si="51"/>
        <v>0</v>
      </c>
      <c r="BG30" s="2" t="str">
        <f t="shared" si="38"/>
        <v>'Lanç (25)'!$F$54</v>
      </c>
      <c r="BH30" s="164">
        <f t="shared" ca="1" si="52"/>
        <v>0</v>
      </c>
      <c r="BI30" s="2" t="str">
        <f t="shared" si="39"/>
        <v>'Lanç (25)'!$F$55</v>
      </c>
      <c r="BJ30" s="164">
        <f t="shared" ca="1" si="52"/>
        <v>0</v>
      </c>
      <c r="BK30" s="167">
        <f t="shared" ca="1" si="18"/>
        <v>2.5000000000000001E-4</v>
      </c>
      <c r="BL30" s="2">
        <v>2.5000000000000001E-4</v>
      </c>
      <c r="BM30" s="167">
        <f t="shared" ca="1" si="19"/>
        <v>0</v>
      </c>
      <c r="BN30" s="2" t="str">
        <f t="shared" si="13"/>
        <v/>
      </c>
      <c r="BO30" s="155">
        <f t="shared" ca="1" si="14"/>
        <v>2.5000000000000001E-4</v>
      </c>
      <c r="BP30" s="155">
        <f t="shared" ca="1" si="15"/>
        <v>0</v>
      </c>
      <c r="BQ30" s="2" t="str">
        <f t="shared" si="20"/>
        <v/>
      </c>
    </row>
    <row r="31" spans="3:69" ht="30" customHeight="1" thickTop="1" thickBot="1" x14ac:dyDescent="0.25">
      <c r="U31" s="2" t="str">
        <f>Resul!R34</f>
        <v/>
      </c>
      <c r="W31" s="2">
        <v>26</v>
      </c>
      <c r="X31" s="2" t="str">
        <f t="shared" si="21"/>
        <v>'Lanç (26)'!$U$8</v>
      </c>
      <c r="Y31" s="163">
        <f t="shared" ca="1" si="53"/>
        <v>0</v>
      </c>
      <c r="Z31" s="2" t="str">
        <f t="shared" si="22"/>
        <v>'Lanç (26)'!$U$16</v>
      </c>
      <c r="AA31" s="163">
        <f t="shared" ca="1" si="53"/>
        <v>0</v>
      </c>
      <c r="AB31" s="2" t="str">
        <f t="shared" si="23"/>
        <v>'Lanç (26)'!$U$14</v>
      </c>
      <c r="AC31" s="163">
        <f t="shared" ca="1" si="54"/>
        <v>0</v>
      </c>
      <c r="AD31" s="2" t="str">
        <f t="shared" si="24"/>
        <v>'Lanç (26)'!$K$5</v>
      </c>
      <c r="AE31" s="163">
        <f t="shared" ca="1" si="54"/>
        <v>0</v>
      </c>
      <c r="AG31" s="2" t="str">
        <f t="shared" si="25"/>
        <v>'Lanç (26)'!$F$41</v>
      </c>
      <c r="AH31" s="163">
        <f t="shared" ca="1" si="40"/>
        <v>0</v>
      </c>
      <c r="AI31" s="2" t="str">
        <f t="shared" si="26"/>
        <v>'Lanç (26)'!$F$42</v>
      </c>
      <c r="AJ31" s="163">
        <f t="shared" ca="1" si="40"/>
        <v>0</v>
      </c>
      <c r="AK31" s="2" t="str">
        <f t="shared" si="27"/>
        <v>'Lanç (26)'!$F$43</v>
      </c>
      <c r="AL31" s="163">
        <f t="shared" ca="1" si="41"/>
        <v>0</v>
      </c>
      <c r="AM31" s="2" t="str">
        <f t="shared" si="28"/>
        <v>'Lanç (26)'!$F$44</v>
      </c>
      <c r="AN31" s="163">
        <f t="shared" ca="1" si="42"/>
        <v>0</v>
      </c>
      <c r="AO31" s="2" t="str">
        <f t="shared" si="29"/>
        <v>'Lanç (26)'!$F$45</v>
      </c>
      <c r="AP31" s="163">
        <f t="shared" ca="1" si="43"/>
        <v>0</v>
      </c>
      <c r="AQ31" s="2" t="str">
        <f t="shared" si="30"/>
        <v>'Lanç (26)'!$F$46</v>
      </c>
      <c r="AR31" s="163">
        <f t="shared" ca="1" si="44"/>
        <v>0</v>
      </c>
      <c r="AS31" s="2" t="str">
        <f t="shared" si="31"/>
        <v>'Lanç (26)'!$F$47</v>
      </c>
      <c r="AT31" s="163">
        <f t="shared" ca="1" si="45"/>
        <v>0</v>
      </c>
      <c r="AU31" s="2" t="str">
        <f t="shared" si="32"/>
        <v>'Lanç (26)'!$F$48</v>
      </c>
      <c r="AV31" s="163">
        <f t="shared" ca="1" si="46"/>
        <v>0</v>
      </c>
      <c r="AW31" s="2" t="str">
        <f t="shared" si="33"/>
        <v>'Lanç (26)'!$F$49</v>
      </c>
      <c r="AX31" s="163">
        <f t="shared" ca="1" si="47"/>
        <v>0</v>
      </c>
      <c r="AY31" s="2" t="str">
        <f t="shared" si="34"/>
        <v>'Lanç (26)'!$F$51</v>
      </c>
      <c r="AZ31" s="163">
        <f t="shared" ca="1" si="48"/>
        <v>0</v>
      </c>
      <c r="BA31" s="2" t="str">
        <f t="shared" si="35"/>
        <v>'Lanç (26)'!$F$50</v>
      </c>
      <c r="BB31" s="163">
        <f t="shared" ca="1" si="49"/>
        <v>0</v>
      </c>
      <c r="BC31" s="2" t="str">
        <f t="shared" si="36"/>
        <v>'Lanç (26)'!$F$52</v>
      </c>
      <c r="BD31" s="163">
        <f t="shared" ca="1" si="50"/>
        <v>0</v>
      </c>
      <c r="BE31" s="2" t="str">
        <f t="shared" si="37"/>
        <v>'Lanç (26)'!$F$53</v>
      </c>
      <c r="BF31" s="163">
        <f t="shared" ca="1" si="51"/>
        <v>0</v>
      </c>
      <c r="BG31" s="2" t="str">
        <f t="shared" si="38"/>
        <v>'Lanç (26)'!$F$54</v>
      </c>
      <c r="BH31" s="164">
        <f t="shared" ca="1" si="52"/>
        <v>0</v>
      </c>
      <c r="BI31" s="2" t="str">
        <f t="shared" si="39"/>
        <v>'Lanç (26)'!$F$55</v>
      </c>
      <c r="BJ31" s="164">
        <f t="shared" ca="1" si="52"/>
        <v>0</v>
      </c>
      <c r="BK31" s="167">
        <f t="shared" ca="1" si="18"/>
        <v>2.5999999999999998E-4</v>
      </c>
      <c r="BL31" s="2">
        <v>2.5999999999999998E-4</v>
      </c>
      <c r="BM31" s="167">
        <f t="shared" ca="1" si="19"/>
        <v>0</v>
      </c>
      <c r="BN31" s="2" t="str">
        <f t="shared" si="13"/>
        <v/>
      </c>
      <c r="BO31" s="155">
        <f t="shared" ca="1" si="14"/>
        <v>2.5999999999999998E-4</v>
      </c>
      <c r="BP31" s="155">
        <f t="shared" ca="1" si="15"/>
        <v>0</v>
      </c>
      <c r="BQ31" s="2" t="str">
        <f t="shared" si="20"/>
        <v/>
      </c>
    </row>
    <row r="32" spans="3:69" ht="30" customHeight="1" thickTop="1" thickBot="1" x14ac:dyDescent="0.25">
      <c r="U32" s="2" t="str">
        <f>Resul!R35</f>
        <v/>
      </c>
      <c r="W32" s="2">
        <v>27</v>
      </c>
      <c r="X32" s="2" t="str">
        <f t="shared" si="21"/>
        <v>'Lanç (27)'!$U$8</v>
      </c>
      <c r="Y32" s="163">
        <f t="shared" ca="1" si="53"/>
        <v>0</v>
      </c>
      <c r="Z32" s="2" t="str">
        <f t="shared" si="22"/>
        <v>'Lanç (27)'!$U$16</v>
      </c>
      <c r="AA32" s="163">
        <f t="shared" ca="1" si="53"/>
        <v>0</v>
      </c>
      <c r="AB32" s="2" t="str">
        <f t="shared" si="23"/>
        <v>'Lanç (27)'!$U$14</v>
      </c>
      <c r="AC32" s="163">
        <f t="shared" ca="1" si="54"/>
        <v>0</v>
      </c>
      <c r="AD32" s="2" t="str">
        <f t="shared" si="24"/>
        <v>'Lanç (27)'!$K$5</v>
      </c>
      <c r="AE32" s="163">
        <f t="shared" ca="1" si="54"/>
        <v>0</v>
      </c>
      <c r="AG32" s="2" t="str">
        <f t="shared" si="25"/>
        <v>'Lanç (27)'!$F$41</v>
      </c>
      <c r="AH32" s="163">
        <f t="shared" ca="1" si="40"/>
        <v>0</v>
      </c>
      <c r="AI32" s="2" t="str">
        <f t="shared" si="26"/>
        <v>'Lanç (27)'!$F$42</v>
      </c>
      <c r="AJ32" s="163">
        <f t="shared" ca="1" si="40"/>
        <v>0</v>
      </c>
      <c r="AK32" s="2" t="str">
        <f t="shared" si="27"/>
        <v>'Lanç (27)'!$F$43</v>
      </c>
      <c r="AL32" s="163">
        <f t="shared" ca="1" si="41"/>
        <v>0</v>
      </c>
      <c r="AM32" s="2" t="str">
        <f t="shared" si="28"/>
        <v>'Lanç (27)'!$F$44</v>
      </c>
      <c r="AN32" s="163">
        <f t="shared" ca="1" si="42"/>
        <v>0</v>
      </c>
      <c r="AO32" s="2" t="str">
        <f t="shared" si="29"/>
        <v>'Lanç (27)'!$F$45</v>
      </c>
      <c r="AP32" s="163">
        <f t="shared" ca="1" si="43"/>
        <v>0</v>
      </c>
      <c r="AQ32" s="2" t="str">
        <f t="shared" si="30"/>
        <v>'Lanç (27)'!$F$46</v>
      </c>
      <c r="AR32" s="163">
        <f t="shared" ca="1" si="44"/>
        <v>0</v>
      </c>
      <c r="AS32" s="2" t="str">
        <f t="shared" si="31"/>
        <v>'Lanç (27)'!$F$47</v>
      </c>
      <c r="AT32" s="163">
        <f t="shared" ca="1" si="45"/>
        <v>0</v>
      </c>
      <c r="AU32" s="2" t="str">
        <f t="shared" si="32"/>
        <v>'Lanç (27)'!$F$48</v>
      </c>
      <c r="AV32" s="163">
        <f t="shared" ca="1" si="46"/>
        <v>0</v>
      </c>
      <c r="AW32" s="2" t="str">
        <f t="shared" si="33"/>
        <v>'Lanç (27)'!$F$49</v>
      </c>
      <c r="AX32" s="163">
        <f t="shared" ca="1" si="47"/>
        <v>0</v>
      </c>
      <c r="AY32" s="2" t="str">
        <f t="shared" si="34"/>
        <v>'Lanç (27)'!$F$51</v>
      </c>
      <c r="AZ32" s="163">
        <f t="shared" ca="1" si="48"/>
        <v>0</v>
      </c>
      <c r="BA32" s="2" t="str">
        <f t="shared" si="35"/>
        <v>'Lanç (27)'!$F$50</v>
      </c>
      <c r="BB32" s="163">
        <f t="shared" ca="1" si="49"/>
        <v>0</v>
      </c>
      <c r="BC32" s="2" t="str">
        <f t="shared" si="36"/>
        <v>'Lanç (27)'!$F$52</v>
      </c>
      <c r="BD32" s="163">
        <f t="shared" ca="1" si="50"/>
        <v>0</v>
      </c>
      <c r="BE32" s="2" t="str">
        <f t="shared" si="37"/>
        <v>'Lanç (27)'!$F$53</v>
      </c>
      <c r="BF32" s="163">
        <f t="shared" ca="1" si="51"/>
        <v>0</v>
      </c>
      <c r="BG32" s="2" t="str">
        <f t="shared" si="38"/>
        <v>'Lanç (27)'!$F$54</v>
      </c>
      <c r="BH32" s="164">
        <f t="shared" ca="1" si="52"/>
        <v>0</v>
      </c>
      <c r="BI32" s="2" t="str">
        <f t="shared" si="39"/>
        <v>'Lanç (27)'!$F$55</v>
      </c>
      <c r="BJ32" s="164">
        <f t="shared" ca="1" si="52"/>
        <v>0</v>
      </c>
      <c r="BK32" s="167">
        <f t="shared" ca="1" si="18"/>
        <v>2.7E-4</v>
      </c>
      <c r="BL32" s="2">
        <v>2.7E-4</v>
      </c>
      <c r="BM32" s="167">
        <f t="shared" ca="1" si="19"/>
        <v>0</v>
      </c>
      <c r="BN32" s="2" t="str">
        <f t="shared" si="13"/>
        <v/>
      </c>
      <c r="BO32" s="155">
        <f t="shared" ca="1" si="14"/>
        <v>2.7E-4</v>
      </c>
      <c r="BP32" s="155">
        <f t="shared" ca="1" si="15"/>
        <v>0</v>
      </c>
      <c r="BQ32" s="2" t="str">
        <f t="shared" si="20"/>
        <v/>
      </c>
    </row>
    <row r="33" spans="21:69" ht="30" customHeight="1" thickTop="1" thickBot="1" x14ac:dyDescent="0.25">
      <c r="U33" s="2" t="str">
        <f>Resul!R36</f>
        <v/>
      </c>
      <c r="W33" s="2">
        <v>28</v>
      </c>
      <c r="X33" s="2" t="str">
        <f t="shared" si="21"/>
        <v>'Lanç (28)'!$U$8</v>
      </c>
      <c r="Y33" s="163">
        <f t="shared" ca="1" si="53"/>
        <v>0</v>
      </c>
      <c r="Z33" s="2" t="str">
        <f t="shared" si="22"/>
        <v>'Lanç (28)'!$U$16</v>
      </c>
      <c r="AA33" s="163">
        <f t="shared" ca="1" si="53"/>
        <v>0</v>
      </c>
      <c r="AB33" s="2" t="str">
        <f t="shared" si="23"/>
        <v>'Lanç (28)'!$U$14</v>
      </c>
      <c r="AC33" s="163">
        <f t="shared" ca="1" si="54"/>
        <v>0</v>
      </c>
      <c r="AD33" s="2" t="str">
        <f t="shared" si="24"/>
        <v>'Lanç (28)'!$K$5</v>
      </c>
      <c r="AE33" s="163">
        <f t="shared" ca="1" si="54"/>
        <v>0</v>
      </c>
      <c r="AG33" s="2" t="str">
        <f t="shared" si="25"/>
        <v>'Lanç (28)'!$F$41</v>
      </c>
      <c r="AH33" s="163">
        <f t="shared" ca="1" si="40"/>
        <v>0</v>
      </c>
      <c r="AI33" s="2" t="str">
        <f t="shared" si="26"/>
        <v>'Lanç (28)'!$F$42</v>
      </c>
      <c r="AJ33" s="163">
        <f t="shared" ca="1" si="40"/>
        <v>0</v>
      </c>
      <c r="AK33" s="2" t="str">
        <f t="shared" si="27"/>
        <v>'Lanç (28)'!$F$43</v>
      </c>
      <c r="AL33" s="163">
        <f t="shared" ca="1" si="41"/>
        <v>0</v>
      </c>
      <c r="AM33" s="2" t="str">
        <f t="shared" si="28"/>
        <v>'Lanç (28)'!$F$44</v>
      </c>
      <c r="AN33" s="163">
        <f t="shared" ca="1" si="42"/>
        <v>0</v>
      </c>
      <c r="AO33" s="2" t="str">
        <f t="shared" si="29"/>
        <v>'Lanç (28)'!$F$45</v>
      </c>
      <c r="AP33" s="163">
        <f t="shared" ca="1" si="43"/>
        <v>0</v>
      </c>
      <c r="AQ33" s="2" t="str">
        <f t="shared" si="30"/>
        <v>'Lanç (28)'!$F$46</v>
      </c>
      <c r="AR33" s="163">
        <f t="shared" ca="1" si="44"/>
        <v>0</v>
      </c>
      <c r="AS33" s="2" t="str">
        <f t="shared" si="31"/>
        <v>'Lanç (28)'!$F$47</v>
      </c>
      <c r="AT33" s="163">
        <f t="shared" ca="1" si="45"/>
        <v>0</v>
      </c>
      <c r="AU33" s="2" t="str">
        <f t="shared" si="32"/>
        <v>'Lanç (28)'!$F$48</v>
      </c>
      <c r="AV33" s="163">
        <f t="shared" ca="1" si="46"/>
        <v>0</v>
      </c>
      <c r="AW33" s="2" t="str">
        <f t="shared" si="33"/>
        <v>'Lanç (28)'!$F$49</v>
      </c>
      <c r="AX33" s="163">
        <f t="shared" ca="1" si="47"/>
        <v>0</v>
      </c>
      <c r="AY33" s="2" t="str">
        <f t="shared" si="34"/>
        <v>'Lanç (28)'!$F$51</v>
      </c>
      <c r="AZ33" s="163">
        <f t="shared" ca="1" si="48"/>
        <v>0</v>
      </c>
      <c r="BA33" s="2" t="str">
        <f t="shared" si="35"/>
        <v>'Lanç (28)'!$F$50</v>
      </c>
      <c r="BB33" s="163">
        <f t="shared" ca="1" si="49"/>
        <v>0</v>
      </c>
      <c r="BC33" s="2" t="str">
        <f t="shared" si="36"/>
        <v>'Lanç (28)'!$F$52</v>
      </c>
      <c r="BD33" s="163">
        <f t="shared" ca="1" si="50"/>
        <v>0</v>
      </c>
      <c r="BE33" s="2" t="str">
        <f t="shared" si="37"/>
        <v>'Lanç (28)'!$F$53</v>
      </c>
      <c r="BF33" s="163">
        <f t="shared" ca="1" si="51"/>
        <v>0</v>
      </c>
      <c r="BG33" s="2" t="str">
        <f t="shared" si="38"/>
        <v>'Lanç (28)'!$F$54</v>
      </c>
      <c r="BH33" s="164">
        <f t="shared" ca="1" si="52"/>
        <v>0</v>
      </c>
      <c r="BI33" s="2" t="str">
        <f t="shared" si="39"/>
        <v>'Lanç (28)'!$F$55</v>
      </c>
      <c r="BJ33" s="164">
        <f t="shared" ca="1" si="52"/>
        <v>0</v>
      </c>
      <c r="BK33" s="167">
        <f t="shared" ca="1" si="18"/>
        <v>2.7999999999999998E-4</v>
      </c>
      <c r="BL33" s="2">
        <v>2.7999999999999998E-4</v>
      </c>
      <c r="BM33" s="167">
        <f t="shared" ca="1" si="19"/>
        <v>0</v>
      </c>
      <c r="BN33" s="2" t="str">
        <f t="shared" si="13"/>
        <v/>
      </c>
      <c r="BO33" s="155">
        <f t="shared" ca="1" si="14"/>
        <v>2.7999999999999998E-4</v>
      </c>
      <c r="BP33" s="155">
        <f t="shared" ca="1" si="15"/>
        <v>0</v>
      </c>
      <c r="BQ33" s="2" t="str">
        <f t="shared" si="20"/>
        <v/>
      </c>
    </row>
    <row r="34" spans="21:69" ht="30" customHeight="1" thickTop="1" thickBot="1" x14ac:dyDescent="0.25">
      <c r="U34" s="2" t="str">
        <f>Resul!R37</f>
        <v/>
      </c>
      <c r="W34" s="2">
        <v>29</v>
      </c>
      <c r="X34" s="2" t="str">
        <f t="shared" si="21"/>
        <v>'Lanç (29)'!$U$8</v>
      </c>
      <c r="Y34" s="163">
        <f t="shared" ca="1" si="53"/>
        <v>0</v>
      </c>
      <c r="Z34" s="2" t="str">
        <f t="shared" si="22"/>
        <v>'Lanç (29)'!$U$16</v>
      </c>
      <c r="AA34" s="163">
        <f t="shared" ca="1" si="53"/>
        <v>0</v>
      </c>
      <c r="AB34" s="2" t="str">
        <f t="shared" si="23"/>
        <v>'Lanç (29)'!$U$14</v>
      </c>
      <c r="AC34" s="163">
        <f t="shared" ca="1" si="54"/>
        <v>0</v>
      </c>
      <c r="AD34" s="2" t="str">
        <f t="shared" si="24"/>
        <v>'Lanç (29)'!$K$5</v>
      </c>
      <c r="AE34" s="163">
        <f t="shared" ca="1" si="54"/>
        <v>0</v>
      </c>
      <c r="AG34" s="2" t="str">
        <f t="shared" si="25"/>
        <v>'Lanç (29)'!$F$41</v>
      </c>
      <c r="AH34" s="163">
        <f t="shared" ca="1" si="40"/>
        <v>0</v>
      </c>
      <c r="AI34" s="2" t="str">
        <f t="shared" si="26"/>
        <v>'Lanç (29)'!$F$42</v>
      </c>
      <c r="AJ34" s="163">
        <f t="shared" ca="1" si="40"/>
        <v>0</v>
      </c>
      <c r="AK34" s="2" t="str">
        <f t="shared" si="27"/>
        <v>'Lanç (29)'!$F$43</v>
      </c>
      <c r="AL34" s="163">
        <f t="shared" ca="1" si="41"/>
        <v>0</v>
      </c>
      <c r="AM34" s="2" t="str">
        <f t="shared" si="28"/>
        <v>'Lanç (29)'!$F$44</v>
      </c>
      <c r="AN34" s="163">
        <f t="shared" ca="1" si="42"/>
        <v>0</v>
      </c>
      <c r="AO34" s="2" t="str">
        <f t="shared" si="29"/>
        <v>'Lanç (29)'!$F$45</v>
      </c>
      <c r="AP34" s="163">
        <f t="shared" ca="1" si="43"/>
        <v>0</v>
      </c>
      <c r="AQ34" s="2" t="str">
        <f t="shared" si="30"/>
        <v>'Lanç (29)'!$F$46</v>
      </c>
      <c r="AR34" s="163">
        <f t="shared" ca="1" si="44"/>
        <v>0</v>
      </c>
      <c r="AS34" s="2" t="str">
        <f t="shared" si="31"/>
        <v>'Lanç (29)'!$F$47</v>
      </c>
      <c r="AT34" s="163">
        <f t="shared" ca="1" si="45"/>
        <v>0</v>
      </c>
      <c r="AU34" s="2" t="str">
        <f t="shared" si="32"/>
        <v>'Lanç (29)'!$F$48</v>
      </c>
      <c r="AV34" s="163">
        <f t="shared" ca="1" si="46"/>
        <v>0</v>
      </c>
      <c r="AW34" s="2" t="str">
        <f t="shared" si="33"/>
        <v>'Lanç (29)'!$F$49</v>
      </c>
      <c r="AX34" s="163">
        <f t="shared" ca="1" si="47"/>
        <v>0</v>
      </c>
      <c r="AY34" s="2" t="str">
        <f t="shared" si="34"/>
        <v>'Lanç (29)'!$F$51</v>
      </c>
      <c r="AZ34" s="163">
        <f t="shared" ca="1" si="48"/>
        <v>0</v>
      </c>
      <c r="BA34" s="2" t="str">
        <f t="shared" si="35"/>
        <v>'Lanç (29)'!$F$50</v>
      </c>
      <c r="BB34" s="163">
        <f t="shared" ca="1" si="49"/>
        <v>0</v>
      </c>
      <c r="BC34" s="2" t="str">
        <f t="shared" si="36"/>
        <v>'Lanç (29)'!$F$52</v>
      </c>
      <c r="BD34" s="163">
        <f t="shared" ca="1" si="50"/>
        <v>0</v>
      </c>
      <c r="BE34" s="2" t="str">
        <f t="shared" si="37"/>
        <v>'Lanç (29)'!$F$53</v>
      </c>
      <c r="BF34" s="163">
        <f t="shared" ca="1" si="51"/>
        <v>0</v>
      </c>
      <c r="BG34" s="2" t="str">
        <f t="shared" si="38"/>
        <v>'Lanç (29)'!$F$54</v>
      </c>
      <c r="BH34" s="164">
        <f t="shared" ca="1" si="52"/>
        <v>0</v>
      </c>
      <c r="BI34" s="2" t="str">
        <f t="shared" si="39"/>
        <v>'Lanç (29)'!$F$55</v>
      </c>
      <c r="BJ34" s="164">
        <f t="shared" ca="1" si="52"/>
        <v>0</v>
      </c>
      <c r="BK34" s="167">
        <f t="shared" ca="1" si="18"/>
        <v>2.9E-4</v>
      </c>
      <c r="BL34" s="2">
        <v>2.9E-4</v>
      </c>
      <c r="BM34" s="167">
        <f t="shared" ca="1" si="19"/>
        <v>0</v>
      </c>
      <c r="BN34" s="2" t="str">
        <f t="shared" si="13"/>
        <v/>
      </c>
      <c r="BO34" s="155">
        <f t="shared" ca="1" si="14"/>
        <v>2.9E-4</v>
      </c>
      <c r="BP34" s="155">
        <f t="shared" ca="1" si="15"/>
        <v>0</v>
      </c>
      <c r="BQ34" s="2" t="str">
        <f t="shared" si="20"/>
        <v/>
      </c>
    </row>
    <row r="35" spans="21:69" ht="30" customHeight="1" thickTop="1" thickBot="1" x14ac:dyDescent="0.25">
      <c r="U35" s="2" t="str">
        <f>Resul!R38</f>
        <v/>
      </c>
      <c r="W35" s="2">
        <v>30</v>
      </c>
      <c r="X35" s="2" t="str">
        <f t="shared" si="21"/>
        <v>'Lanç (30)'!$U$8</v>
      </c>
      <c r="Y35" s="163">
        <f t="shared" ca="1" si="53"/>
        <v>0</v>
      </c>
      <c r="Z35" s="2" t="str">
        <f t="shared" si="22"/>
        <v>'Lanç (30)'!$U$16</v>
      </c>
      <c r="AA35" s="163">
        <f t="shared" ca="1" si="53"/>
        <v>0</v>
      </c>
      <c r="AB35" s="2" t="str">
        <f t="shared" si="23"/>
        <v>'Lanç (30)'!$U$14</v>
      </c>
      <c r="AC35" s="163">
        <f t="shared" ca="1" si="54"/>
        <v>0</v>
      </c>
      <c r="AD35" s="2" t="str">
        <f t="shared" si="24"/>
        <v>'Lanç (30)'!$K$5</v>
      </c>
      <c r="AE35" s="163">
        <f t="shared" ca="1" si="54"/>
        <v>0</v>
      </c>
      <c r="AG35" s="2" t="str">
        <f t="shared" si="25"/>
        <v>'Lanç (30)'!$F$41</v>
      </c>
      <c r="AH35" s="163">
        <f t="shared" ca="1" si="40"/>
        <v>0</v>
      </c>
      <c r="AI35" s="2" t="str">
        <f t="shared" si="26"/>
        <v>'Lanç (30)'!$F$42</v>
      </c>
      <c r="AJ35" s="163">
        <f t="shared" ca="1" si="40"/>
        <v>0</v>
      </c>
      <c r="AK35" s="2" t="str">
        <f t="shared" si="27"/>
        <v>'Lanç (30)'!$F$43</v>
      </c>
      <c r="AL35" s="163">
        <f t="shared" ca="1" si="41"/>
        <v>0</v>
      </c>
      <c r="AM35" s="2" t="str">
        <f t="shared" si="28"/>
        <v>'Lanç (30)'!$F$44</v>
      </c>
      <c r="AN35" s="163">
        <f t="shared" ca="1" si="42"/>
        <v>0</v>
      </c>
      <c r="AO35" s="2" t="str">
        <f t="shared" si="29"/>
        <v>'Lanç (30)'!$F$45</v>
      </c>
      <c r="AP35" s="163">
        <f t="shared" ca="1" si="43"/>
        <v>0</v>
      </c>
      <c r="AQ35" s="2" t="str">
        <f t="shared" si="30"/>
        <v>'Lanç (30)'!$F$46</v>
      </c>
      <c r="AR35" s="163">
        <f t="shared" ca="1" si="44"/>
        <v>0</v>
      </c>
      <c r="AS35" s="2" t="str">
        <f t="shared" si="31"/>
        <v>'Lanç (30)'!$F$47</v>
      </c>
      <c r="AT35" s="163">
        <f t="shared" ca="1" si="45"/>
        <v>0</v>
      </c>
      <c r="AU35" s="2" t="str">
        <f t="shared" si="32"/>
        <v>'Lanç (30)'!$F$48</v>
      </c>
      <c r="AV35" s="163">
        <f t="shared" ca="1" si="46"/>
        <v>0</v>
      </c>
      <c r="AW35" s="2" t="str">
        <f t="shared" si="33"/>
        <v>'Lanç (30)'!$F$49</v>
      </c>
      <c r="AX35" s="163">
        <f t="shared" ca="1" si="47"/>
        <v>0</v>
      </c>
      <c r="AY35" s="2" t="str">
        <f t="shared" si="34"/>
        <v>'Lanç (30)'!$F$51</v>
      </c>
      <c r="AZ35" s="163">
        <f t="shared" ca="1" si="48"/>
        <v>0</v>
      </c>
      <c r="BA35" s="2" t="str">
        <f t="shared" si="35"/>
        <v>'Lanç (30)'!$F$50</v>
      </c>
      <c r="BB35" s="163">
        <f t="shared" ca="1" si="49"/>
        <v>0</v>
      </c>
      <c r="BC35" s="2" t="str">
        <f t="shared" si="36"/>
        <v>'Lanç (30)'!$F$52</v>
      </c>
      <c r="BD35" s="163">
        <f t="shared" ca="1" si="50"/>
        <v>0</v>
      </c>
      <c r="BE35" s="2" t="str">
        <f t="shared" si="37"/>
        <v>'Lanç (30)'!$F$53</v>
      </c>
      <c r="BF35" s="163">
        <f t="shared" ca="1" si="51"/>
        <v>0</v>
      </c>
      <c r="BG35" s="2" t="str">
        <f t="shared" si="38"/>
        <v>'Lanç (30)'!$F$54</v>
      </c>
      <c r="BH35" s="164">
        <f t="shared" ca="1" si="52"/>
        <v>0</v>
      </c>
      <c r="BI35" s="2" t="str">
        <f t="shared" si="39"/>
        <v>'Lanç (30)'!$F$55</v>
      </c>
      <c r="BJ35" s="164">
        <f t="shared" ca="1" si="52"/>
        <v>0</v>
      </c>
      <c r="BK35" s="167">
        <f t="shared" ca="1" si="18"/>
        <v>2.9999999999999997E-4</v>
      </c>
      <c r="BL35" s="2">
        <v>2.9999999999999997E-4</v>
      </c>
      <c r="BM35" s="167">
        <f t="shared" ca="1" si="19"/>
        <v>0</v>
      </c>
      <c r="BN35" s="2" t="str">
        <f t="shared" si="13"/>
        <v/>
      </c>
      <c r="BO35" s="155">
        <f t="shared" ca="1" si="14"/>
        <v>2.9999999999999997E-4</v>
      </c>
      <c r="BP35" s="155">
        <f t="shared" ca="1" si="15"/>
        <v>0</v>
      </c>
      <c r="BQ35" s="2" t="str">
        <f t="shared" si="20"/>
        <v/>
      </c>
    </row>
    <row r="36" spans="21:69" ht="30" customHeight="1" thickTop="1" x14ac:dyDescent="0.2">
      <c r="X36" s="2">
        <v>0</v>
      </c>
      <c r="Y36" s="2">
        <f>X36+2</f>
        <v>2</v>
      </c>
      <c r="Z36" s="2">
        <f t="shared" ref="Z36:AP36" si="55">Y36+2</f>
        <v>4</v>
      </c>
      <c r="AA36" s="2">
        <f t="shared" si="55"/>
        <v>6</v>
      </c>
      <c r="AB36" s="2">
        <v>9</v>
      </c>
      <c r="AC36" s="2">
        <f t="shared" si="55"/>
        <v>11</v>
      </c>
      <c r="AD36" s="2">
        <f t="shared" si="55"/>
        <v>13</v>
      </c>
      <c r="AE36" s="2">
        <f t="shared" si="55"/>
        <v>15</v>
      </c>
      <c r="AF36" s="2">
        <f t="shared" si="55"/>
        <v>17</v>
      </c>
      <c r="AG36" s="2">
        <f t="shared" si="55"/>
        <v>19</v>
      </c>
      <c r="AH36" s="2">
        <f t="shared" si="55"/>
        <v>21</v>
      </c>
      <c r="AI36" s="2">
        <f t="shared" si="55"/>
        <v>23</v>
      </c>
      <c r="AJ36" s="2">
        <f t="shared" si="55"/>
        <v>25</v>
      </c>
      <c r="AK36" s="2">
        <f t="shared" si="55"/>
        <v>27</v>
      </c>
      <c r="AL36" s="2">
        <f t="shared" si="55"/>
        <v>29</v>
      </c>
      <c r="AM36" s="2">
        <f t="shared" si="55"/>
        <v>31</v>
      </c>
      <c r="AN36" s="2">
        <f t="shared" si="55"/>
        <v>33</v>
      </c>
      <c r="AO36" s="2">
        <f t="shared" si="55"/>
        <v>35</v>
      </c>
      <c r="AP36" s="2">
        <f t="shared" si="55"/>
        <v>37</v>
      </c>
      <c r="BK36" s="167"/>
      <c r="BM36" s="167"/>
      <c r="BO36" s="155"/>
      <c r="BP36" s="155"/>
    </row>
    <row r="37" spans="21:69" ht="30" customHeight="1" thickBot="1" x14ac:dyDescent="0.25">
      <c r="W37" s="168" t="s">
        <v>238</v>
      </c>
      <c r="X37" s="161" t="s">
        <v>215</v>
      </c>
      <c r="Y37" s="161" t="s">
        <v>164</v>
      </c>
      <c r="Z37" s="161" t="s">
        <v>217</v>
      </c>
      <c r="AA37" s="161" t="s">
        <v>220</v>
      </c>
      <c r="AB37" s="161" t="s">
        <v>75</v>
      </c>
      <c r="AC37" s="161" t="s">
        <v>76</v>
      </c>
      <c r="AD37" s="161" t="s">
        <v>77</v>
      </c>
      <c r="AE37" s="161" t="s">
        <v>78</v>
      </c>
      <c r="AF37" s="161" t="s">
        <v>79</v>
      </c>
      <c r="AG37" s="161" t="s">
        <v>82</v>
      </c>
      <c r="AH37" s="161" t="s">
        <v>81</v>
      </c>
      <c r="AI37" s="161" t="s">
        <v>80</v>
      </c>
      <c r="AJ37" s="161" t="s">
        <v>146</v>
      </c>
      <c r="AK37" s="161" t="s">
        <v>147</v>
      </c>
      <c r="AL37" s="161" t="s">
        <v>84</v>
      </c>
      <c r="AM37" s="161" t="s">
        <v>86</v>
      </c>
      <c r="AN37" s="161" t="s">
        <v>87</v>
      </c>
      <c r="AO37" s="161" t="s">
        <v>88</v>
      </c>
      <c r="AP37" s="161" t="s">
        <v>236</v>
      </c>
      <c r="BK37" s="167"/>
      <c r="BM37" s="167"/>
      <c r="BO37" s="155"/>
      <c r="BP37" s="155"/>
    </row>
    <row r="38" spans="21:69" ht="30" customHeight="1" thickTop="1" thickBot="1" x14ac:dyDescent="0.25">
      <c r="W38" s="2" t="str">
        <f>IF(OR($G$5=0,$G$5="Todos"),"Todos",$G$5)</f>
        <v>Todos</v>
      </c>
      <c r="X38" s="163">
        <f t="shared" ref="X38:AP38" ca="1" si="56">IF($W$38="todos",OFFSET($Y$5,,X$36),VLOOKUP($W$38,$U$6:$BJ$35,X$36+5,0))</f>
        <v>5.9374999999999982</v>
      </c>
      <c r="Y38" s="163">
        <f t="shared" ca="1" si="56"/>
        <v>5.9374999999999982</v>
      </c>
      <c r="Z38" s="163">
        <f t="shared" ca="1" si="56"/>
        <v>0</v>
      </c>
      <c r="AA38" s="163">
        <f t="shared" ca="1" si="56"/>
        <v>0</v>
      </c>
      <c r="AB38" s="163">
        <f t="shared" ca="1" si="56"/>
        <v>1.3888888888888884</v>
      </c>
      <c r="AC38" s="163">
        <f t="shared" ca="1" si="56"/>
        <v>1.4513888888888884</v>
      </c>
      <c r="AD38" s="163">
        <f t="shared" ca="1" si="56"/>
        <v>0.87499999999999978</v>
      </c>
      <c r="AE38" s="163">
        <f t="shared" ca="1" si="56"/>
        <v>0</v>
      </c>
      <c r="AF38" s="163">
        <f t="shared" ca="1" si="56"/>
        <v>0</v>
      </c>
      <c r="AG38" s="163">
        <f t="shared" ca="1" si="56"/>
        <v>0.83333333333333304</v>
      </c>
      <c r="AH38" s="163">
        <f t="shared" ca="1" si="56"/>
        <v>1.3888888888888884</v>
      </c>
      <c r="AI38" s="163">
        <f t="shared" ca="1" si="56"/>
        <v>0</v>
      </c>
      <c r="AJ38" s="163">
        <f t="shared" ca="1" si="56"/>
        <v>0</v>
      </c>
      <c r="AK38" s="163">
        <f t="shared" ca="1" si="56"/>
        <v>0</v>
      </c>
      <c r="AL38" s="163">
        <f t="shared" ca="1" si="56"/>
        <v>0</v>
      </c>
      <c r="AM38" s="163">
        <f t="shared" ca="1" si="56"/>
        <v>5.9374999999999982</v>
      </c>
      <c r="AN38" s="163">
        <f t="shared" ca="1" si="56"/>
        <v>0</v>
      </c>
      <c r="AO38" s="164">
        <f t="shared" ca="1" si="56"/>
        <v>0</v>
      </c>
      <c r="AP38" s="164">
        <f t="shared" ca="1" si="56"/>
        <v>0</v>
      </c>
      <c r="AQ38" s="163"/>
      <c r="BK38" s="167"/>
      <c r="BM38" s="167"/>
      <c r="BO38" s="155"/>
      <c r="BP38" s="155"/>
    </row>
    <row r="39" spans="21:69" ht="30" customHeight="1" thickTop="1" thickBot="1" x14ac:dyDescent="0.25">
      <c r="BK39" s="167"/>
      <c r="BM39" s="167"/>
      <c r="BO39" s="155"/>
      <c r="BP39" s="155"/>
    </row>
    <row r="40" spans="21:69" ht="30" customHeight="1" thickTop="1" thickBot="1" x14ac:dyDescent="0.25">
      <c r="W40" s="2">
        <v>1</v>
      </c>
      <c r="Y40" s="163">
        <f t="shared" ref="Y40:Y49" ca="1" si="57">VLOOKUP(LARGE($BO$6:$BO$35,$W40),$BO$6:$BQ$35,2,0)</f>
        <v>5.9374999999999982</v>
      </c>
      <c r="Z40" s="163" t="str">
        <f t="shared" ref="Z40:Z49" ca="1" si="58">VLOOKUP(LARGE($BO$6:$BO$35,$W40),$BO$6:$BQ$35,3,0)</f>
        <v/>
      </c>
      <c r="AO40" s="164">
        <f t="shared" ref="AO40:AO49" ca="1" si="59">VLOOKUP(LARGE($BK$6:$BK$35,$W40),$BK$6:$BN$35,3,0)</f>
        <v>0</v>
      </c>
      <c r="AP40" s="2" t="str">
        <f t="shared" ref="AP40:AP49" ca="1" si="60">VLOOKUP(LARGE($BK$6:$BK$35,$W40),$BK$6:$BN$35,4,0)</f>
        <v/>
      </c>
      <c r="BK40" s="167"/>
      <c r="BM40" s="167"/>
      <c r="BO40" s="155"/>
      <c r="BP40" s="155"/>
    </row>
    <row r="41" spans="21:69" ht="30" customHeight="1" thickTop="1" thickBot="1" x14ac:dyDescent="0.25">
      <c r="W41" s="2">
        <v>2</v>
      </c>
      <c r="Y41" s="163">
        <f t="shared" ca="1" si="57"/>
        <v>0</v>
      </c>
      <c r="Z41" s="163" t="str">
        <f t="shared" ca="1" si="58"/>
        <v/>
      </c>
      <c r="AO41" s="164">
        <f t="shared" ca="1" si="59"/>
        <v>0</v>
      </c>
      <c r="AP41" s="2" t="str">
        <f t="shared" ca="1" si="60"/>
        <v/>
      </c>
      <c r="BK41" s="167"/>
      <c r="BM41" s="167"/>
      <c r="BO41" s="155"/>
      <c r="BP41" s="155"/>
    </row>
    <row r="42" spans="21:69" ht="30" customHeight="1" thickTop="1" thickBot="1" x14ac:dyDescent="0.25">
      <c r="W42" s="2">
        <v>3</v>
      </c>
      <c r="Y42" s="163">
        <f t="shared" ca="1" si="57"/>
        <v>0</v>
      </c>
      <c r="Z42" s="163" t="str">
        <f t="shared" ca="1" si="58"/>
        <v/>
      </c>
      <c r="AO42" s="164">
        <f t="shared" ca="1" si="59"/>
        <v>0</v>
      </c>
      <c r="AP42" s="2" t="str">
        <f t="shared" ca="1" si="60"/>
        <v/>
      </c>
      <c r="BK42" s="167"/>
      <c r="BM42" s="167"/>
      <c r="BO42" s="155"/>
      <c r="BP42" s="155"/>
    </row>
    <row r="43" spans="21:69" ht="30" customHeight="1" thickTop="1" thickBot="1" x14ac:dyDescent="0.25">
      <c r="W43" s="2">
        <v>4</v>
      </c>
      <c r="Y43" s="163">
        <f t="shared" ca="1" si="57"/>
        <v>0</v>
      </c>
      <c r="Z43" s="163" t="str">
        <f t="shared" ca="1" si="58"/>
        <v/>
      </c>
      <c r="AO43" s="164">
        <f t="shared" ca="1" si="59"/>
        <v>0</v>
      </c>
      <c r="AP43" s="2" t="str">
        <f t="shared" ca="1" si="60"/>
        <v/>
      </c>
      <c r="BK43" s="167"/>
      <c r="BM43" s="167"/>
      <c r="BO43" s="155"/>
      <c r="BP43" s="155"/>
    </row>
    <row r="44" spans="21:69" ht="30" customHeight="1" thickTop="1" thickBot="1" x14ac:dyDescent="0.25">
      <c r="W44" s="2">
        <v>5</v>
      </c>
      <c r="Y44" s="163">
        <f t="shared" ca="1" si="57"/>
        <v>0</v>
      </c>
      <c r="Z44" s="163" t="str">
        <f t="shared" ca="1" si="58"/>
        <v/>
      </c>
      <c r="AO44" s="164">
        <f t="shared" ca="1" si="59"/>
        <v>0</v>
      </c>
      <c r="AP44" s="2" t="str">
        <f t="shared" ca="1" si="60"/>
        <v/>
      </c>
      <c r="BK44" s="167"/>
      <c r="BM44" s="167"/>
      <c r="BO44" s="155"/>
      <c r="BP44" s="155"/>
    </row>
    <row r="45" spans="21:69" ht="30" customHeight="1" thickTop="1" thickBot="1" x14ac:dyDescent="0.25">
      <c r="W45" s="2">
        <v>6</v>
      </c>
      <c r="Y45" s="163">
        <f t="shared" ca="1" si="57"/>
        <v>0</v>
      </c>
      <c r="Z45" s="163" t="str">
        <f t="shared" ca="1" si="58"/>
        <v/>
      </c>
      <c r="AO45" s="164">
        <f t="shared" ca="1" si="59"/>
        <v>0</v>
      </c>
      <c r="AP45" s="2" t="str">
        <f t="shared" ca="1" si="60"/>
        <v/>
      </c>
      <c r="BK45" s="167"/>
      <c r="BM45" s="167"/>
      <c r="BO45" s="155"/>
      <c r="BP45" s="155"/>
    </row>
    <row r="46" spans="21:69" ht="30" customHeight="1" thickTop="1" thickBot="1" x14ac:dyDescent="0.25">
      <c r="W46" s="2">
        <v>7</v>
      </c>
      <c r="Y46" s="163">
        <f t="shared" ca="1" si="57"/>
        <v>0</v>
      </c>
      <c r="Z46" s="163" t="str">
        <f t="shared" ca="1" si="58"/>
        <v/>
      </c>
      <c r="AO46" s="164">
        <f t="shared" ca="1" si="59"/>
        <v>0</v>
      </c>
      <c r="AP46" s="2" t="str">
        <f t="shared" ca="1" si="60"/>
        <v/>
      </c>
      <c r="BK46" s="167"/>
      <c r="BM46" s="167"/>
      <c r="BO46" s="155"/>
      <c r="BP46" s="155"/>
    </row>
    <row r="47" spans="21:69" ht="30" customHeight="1" thickTop="1" thickBot="1" x14ac:dyDescent="0.25">
      <c r="W47" s="2">
        <v>8</v>
      </c>
      <c r="Y47" s="163">
        <f t="shared" ca="1" si="57"/>
        <v>0</v>
      </c>
      <c r="Z47" s="163" t="str">
        <f t="shared" ca="1" si="58"/>
        <v/>
      </c>
      <c r="AO47" s="164">
        <f t="shared" ca="1" si="59"/>
        <v>0</v>
      </c>
      <c r="AP47" s="2" t="str">
        <f t="shared" ca="1" si="60"/>
        <v/>
      </c>
      <c r="BK47" s="167"/>
      <c r="BM47" s="167"/>
      <c r="BO47" s="155"/>
      <c r="BP47" s="155"/>
    </row>
    <row r="48" spans="21:69" ht="30" customHeight="1" thickTop="1" thickBot="1" x14ac:dyDescent="0.25">
      <c r="W48" s="2">
        <v>9</v>
      </c>
      <c r="Y48" s="163">
        <f t="shared" ca="1" si="57"/>
        <v>0</v>
      </c>
      <c r="Z48" s="163" t="str">
        <f t="shared" ca="1" si="58"/>
        <v/>
      </c>
      <c r="AO48" s="164">
        <f t="shared" ca="1" si="59"/>
        <v>0</v>
      </c>
      <c r="AP48" s="2" t="str">
        <f t="shared" ca="1" si="60"/>
        <v/>
      </c>
      <c r="BK48" s="167"/>
      <c r="BM48" s="167"/>
      <c r="BO48" s="155"/>
      <c r="BP48" s="155"/>
    </row>
    <row r="49" spans="23:42" ht="30" customHeight="1" thickTop="1" thickBot="1" x14ac:dyDescent="0.25">
      <c r="W49" s="2">
        <v>10</v>
      </c>
      <c r="Y49" s="163">
        <f t="shared" ca="1" si="57"/>
        <v>0</v>
      </c>
      <c r="Z49" s="163" t="str">
        <f t="shared" ca="1" si="58"/>
        <v/>
      </c>
      <c r="AO49" s="164">
        <f t="shared" ca="1" si="59"/>
        <v>0</v>
      </c>
      <c r="AP49" s="2" t="str">
        <f t="shared" ca="1" si="60"/>
        <v/>
      </c>
    </row>
    <row r="50" spans="23:42" ht="30" customHeight="1" thickTop="1" thickBot="1" x14ac:dyDescent="0.25">
      <c r="Y50" s="155">
        <f ca="1">AA5-SUM($Y$40:$Y$49)</f>
        <v>0</v>
      </c>
      <c r="Z50" s="2" t="s">
        <v>241</v>
      </c>
      <c r="AO50" s="164">
        <f ca="1">BH5-SUM(AO40:AO49)</f>
        <v>0</v>
      </c>
      <c r="AP50" s="2" t="s">
        <v>241</v>
      </c>
    </row>
    <row r="51" spans="23:42" ht="30" customHeight="1" thickTop="1" thickBot="1" x14ac:dyDescent="0.25">
      <c r="AO51" s="164"/>
    </row>
    <row r="52" spans="23:42" ht="30" customHeight="1" thickTop="1" thickBot="1" x14ac:dyDescent="0.25">
      <c r="AO52" s="164"/>
    </row>
    <row r="53" spans="23:42" ht="30" customHeight="1" thickTop="1" thickBot="1" x14ac:dyDescent="0.25">
      <c r="AO53" s="164"/>
    </row>
    <row r="54" spans="23:42" ht="30" customHeight="1" thickTop="1" thickBot="1" x14ac:dyDescent="0.25">
      <c r="AO54" s="164"/>
    </row>
    <row r="55" spans="23:42" ht="30" customHeight="1" thickTop="1" thickBot="1" x14ac:dyDescent="0.25">
      <c r="AO55" s="164"/>
    </row>
    <row r="56" spans="23:42" ht="30" customHeight="1" thickTop="1" thickBot="1" x14ac:dyDescent="0.25">
      <c r="AO56" s="164"/>
    </row>
    <row r="57" spans="23:42" ht="30" customHeight="1" thickTop="1" thickBot="1" x14ac:dyDescent="0.25">
      <c r="AO57" s="164"/>
    </row>
    <row r="58" spans="23:42" ht="30" customHeight="1" thickTop="1" thickBot="1" x14ac:dyDescent="0.25">
      <c r="AO58" s="164"/>
    </row>
    <row r="59" spans="23:42" ht="30" customHeight="1" thickTop="1" thickBot="1" x14ac:dyDescent="0.25">
      <c r="AO59" s="164"/>
    </row>
    <row r="60" spans="23:42" ht="30" customHeight="1" thickTop="1" thickBot="1" x14ac:dyDescent="0.25">
      <c r="AO60" s="164"/>
    </row>
    <row r="61" spans="23:42" ht="30" customHeight="1" thickTop="1" thickBot="1" x14ac:dyDescent="0.25">
      <c r="AO61" s="164"/>
    </row>
    <row r="62" spans="23:42" ht="30" customHeight="1" thickTop="1" thickBot="1" x14ac:dyDescent="0.25">
      <c r="AO62" s="164"/>
    </row>
    <row r="63" spans="23:42" ht="30" customHeight="1" thickTop="1" thickBot="1" x14ac:dyDescent="0.25">
      <c r="AO63" s="164"/>
    </row>
    <row r="64" spans="23:42" ht="30" customHeight="1" thickTop="1" thickBot="1" x14ac:dyDescent="0.25">
      <c r="AO64" s="164"/>
    </row>
    <row r="65" spans="41:41" ht="30" customHeight="1" thickTop="1" thickBot="1" x14ac:dyDescent="0.25">
      <c r="AO65" s="164"/>
    </row>
    <row r="66" spans="41:41" ht="30" customHeight="1" thickTop="1" thickBot="1" x14ac:dyDescent="0.25">
      <c r="AO66" s="164"/>
    </row>
    <row r="67" spans="41:41" ht="30" customHeight="1" thickTop="1" thickBot="1" x14ac:dyDescent="0.25">
      <c r="AO67" s="164"/>
    </row>
    <row r="68" spans="41:41" ht="30" customHeight="1" thickTop="1" thickBot="1" x14ac:dyDescent="0.25">
      <c r="AO68" s="164"/>
    </row>
    <row r="69" spans="41:41" ht="30" customHeight="1" thickTop="1" thickBot="1" x14ac:dyDescent="0.25">
      <c r="AO69" s="164"/>
    </row>
    <row r="70" spans="41:41" ht="30" customHeight="1" thickTop="1" x14ac:dyDescent="0.2"/>
    <row r="71" spans="41:41" ht="30" customHeight="1" x14ac:dyDescent="0.2"/>
    <row r="72" spans="41:41" ht="30" customHeight="1" x14ac:dyDescent="0.2"/>
    <row r="73" spans="41:41" ht="30" customHeight="1" x14ac:dyDescent="0.2"/>
    <row r="74" spans="41:41" ht="30" customHeight="1" x14ac:dyDescent="0.2"/>
    <row r="75" spans="41:41" ht="30" customHeight="1" x14ac:dyDescent="0.2"/>
    <row r="76" spans="41:41" ht="30" customHeight="1" x14ac:dyDescent="0.2"/>
    <row r="77" spans="41:41" ht="30" customHeight="1" x14ac:dyDescent="0.2"/>
    <row r="78" spans="41:41" ht="30" customHeight="1" x14ac:dyDescent="0.2"/>
    <row r="79" spans="41:41" ht="30" customHeight="1" x14ac:dyDescent="0.2"/>
    <row r="80" spans="41:41" ht="30" customHeight="1" x14ac:dyDescent="0.2"/>
    <row r="81" ht="30" customHeight="1" x14ac:dyDescent="0.2"/>
    <row r="82" ht="30" customHeight="1" x14ac:dyDescent="0.2"/>
    <row r="83" ht="30" customHeight="1" x14ac:dyDescent="0.2"/>
    <row r="84" ht="30" customHeight="1" x14ac:dyDescent="0.2"/>
    <row r="85" ht="30" customHeight="1" x14ac:dyDescent="0.2"/>
    <row r="86" ht="30" customHeight="1" x14ac:dyDescent="0.2"/>
    <row r="87" ht="30" customHeight="1" x14ac:dyDescent="0.2"/>
    <row r="88" ht="30" customHeight="1" x14ac:dyDescent="0.2"/>
    <row r="89" ht="30" customHeight="1" x14ac:dyDescent="0.2"/>
    <row r="90" ht="30" customHeight="1" x14ac:dyDescent="0.2"/>
    <row r="91" ht="30" customHeight="1" x14ac:dyDescent="0.2"/>
    <row r="92" ht="30" customHeight="1" x14ac:dyDescent="0.2"/>
    <row r="93" ht="30" customHeight="1" x14ac:dyDescent="0.2"/>
    <row r="94" ht="30" customHeight="1" x14ac:dyDescent="0.2"/>
    <row r="95" ht="30" customHeight="1" x14ac:dyDescent="0.2"/>
    <row r="96" ht="30" customHeight="1" x14ac:dyDescent="0.2"/>
    <row r="97" ht="30" customHeight="1" x14ac:dyDescent="0.2"/>
    <row r="98" ht="30" customHeight="1" x14ac:dyDescent="0.2"/>
    <row r="99" ht="30" customHeight="1" x14ac:dyDescent="0.2"/>
    <row r="100" ht="30" customHeight="1" x14ac:dyDescent="0.2"/>
    <row r="101" ht="30" customHeight="1" x14ac:dyDescent="0.2"/>
    <row r="102" ht="30" customHeight="1" x14ac:dyDescent="0.2"/>
  </sheetData>
  <sheetProtection sheet="1" objects="1" scenarios="1" selectLockedCells="1"/>
  <mergeCells count="2">
    <mergeCell ref="C5:F5"/>
    <mergeCell ref="G5:Q5"/>
  </mergeCells>
  <dataValidations count="1">
    <dataValidation type="list" allowBlank="1" showInputMessage="1" showErrorMessage="1" sqref="G5:Q5">
      <formula1>OFFSET($U$5,,,31-COUNTBLANK($U$5:$U$35))</formula1>
    </dataValidation>
  </dataValidations>
  <printOptions verticalCentered="1"/>
  <pageMargins left="0.25" right="0.25" top="0.984251969" bottom="0.984251969" header="0.3" footer="0.3"/>
  <pageSetup paperSize="9" scale="85" orientation="landscape" horizontalDpi="4294967293" verticalDpi="0"/>
  <rowBreaks count="1" manualBreakCount="1">
    <brk id="24" min="2" max="17" man="1"/>
  </rowBreaks>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34" enableFormatConditionsCalculation="0"/>
  <dimension ref="A1:BS102"/>
  <sheetViews>
    <sheetView showGridLines="0" zoomScale="90" zoomScaleNormal="90" zoomScalePageLayoutView="90" workbookViewId="0">
      <selection activeCell="G5" sqref="G5:Q5"/>
    </sheetView>
  </sheetViews>
  <sheetFormatPr baseColWidth="10" defaultColWidth="0" defaultRowHeight="0" customHeight="1" zeroHeight="1" x14ac:dyDescent="0.2"/>
  <cols>
    <col min="1" max="1" width="27.83203125" style="1" customWidth="1"/>
    <col min="2" max="2" width="3.83203125" customWidth="1"/>
    <col min="3" max="17" width="8.83203125" customWidth="1"/>
    <col min="18" max="22" width="8.83203125" style="2" customWidth="1"/>
    <col min="23" max="23" width="20.1640625" style="2" bestFit="1" customWidth="1"/>
    <col min="24" max="24" width="17.83203125" style="2" bestFit="1" customWidth="1"/>
    <col min="25" max="25" width="12.1640625" style="2" bestFit="1" customWidth="1"/>
    <col min="26" max="26" width="16.33203125" style="2" bestFit="1" customWidth="1"/>
    <col min="27" max="27" width="27.1640625" style="2" bestFit="1" customWidth="1"/>
    <col min="28" max="28" width="24.1640625" style="2" bestFit="1" customWidth="1"/>
    <col min="29" max="29" width="21.33203125" style="2" bestFit="1" customWidth="1"/>
    <col min="30" max="30" width="27.1640625" style="2" bestFit="1" customWidth="1"/>
    <col min="31" max="31" width="22.83203125" style="2" bestFit="1" customWidth="1"/>
    <col min="32" max="32" width="21.1640625" style="2" bestFit="1" customWidth="1"/>
    <col min="33" max="33" width="24.33203125" style="2" bestFit="1" customWidth="1"/>
    <col min="34" max="34" width="25.83203125" style="2" bestFit="1" customWidth="1"/>
    <col min="35" max="35" width="24.33203125" style="2" bestFit="1" customWidth="1"/>
    <col min="36" max="36" width="49.83203125" style="2" bestFit="1" customWidth="1"/>
    <col min="37" max="38" width="27.1640625" style="2" bestFit="1" customWidth="1"/>
    <col min="39" max="39" width="81.33203125" style="2" bestFit="1" customWidth="1"/>
    <col min="40" max="41" width="27.33203125" style="2" bestFit="1" customWidth="1"/>
    <col min="42" max="42" width="28.1640625" style="2" bestFit="1" customWidth="1"/>
    <col min="43" max="43" width="24.1640625" style="2" bestFit="1" customWidth="1"/>
    <col min="44" max="44" width="6.1640625" style="2" bestFit="1" customWidth="1"/>
    <col min="45" max="45" width="25.33203125" style="2" bestFit="1" customWidth="1"/>
    <col min="46" max="46" width="6.1640625" style="2" bestFit="1" customWidth="1"/>
    <col min="47" max="47" width="24.33203125" style="2" bestFit="1" customWidth="1"/>
    <col min="48" max="48" width="6.1640625" style="2" bestFit="1" customWidth="1"/>
    <col min="49" max="49" width="49.33203125" style="2" bestFit="1" customWidth="1"/>
    <col min="50" max="50" width="6.1640625" style="2" bestFit="1" customWidth="1"/>
    <col min="51" max="51" width="27" style="2" bestFit="1" customWidth="1"/>
    <col min="52" max="52" width="6.1640625" style="2" bestFit="1" customWidth="1"/>
    <col min="53" max="53" width="27.1640625" style="2" bestFit="1" customWidth="1"/>
    <col min="54" max="54" width="6.1640625" style="2" bestFit="1" customWidth="1"/>
    <col min="55" max="55" width="81.33203125" style="2" bestFit="1" customWidth="1"/>
    <col min="56" max="56" width="6.1640625" style="2" bestFit="1" customWidth="1"/>
    <col min="57" max="57" width="27.1640625" style="2" bestFit="1" customWidth="1"/>
    <col min="58" max="58" width="6.1640625" style="2" bestFit="1" customWidth="1"/>
    <col min="59" max="59" width="27.1640625" style="2" bestFit="1" customWidth="1"/>
    <col min="60" max="60" width="11.33203125" style="2" bestFit="1" customWidth="1"/>
    <col min="61" max="61" width="28.1640625" style="2" bestFit="1" customWidth="1"/>
    <col min="62" max="62" width="12.33203125" style="2" bestFit="1" customWidth="1"/>
    <col min="63" max="63" width="11.33203125" style="2" customWidth="1"/>
    <col min="64" max="64" width="11.33203125" style="2" bestFit="1" customWidth="1"/>
    <col min="65" max="65" width="9" style="2" bestFit="1" customWidth="1"/>
    <col min="66" max="66" width="9.83203125" style="2" bestFit="1" customWidth="1"/>
    <col min="67" max="67" width="8.83203125" style="2" customWidth="1"/>
    <col min="68" max="69" width="9" style="2" bestFit="1" customWidth="1"/>
    <col min="70" max="71" width="8.83203125" style="2" customWidth="1"/>
    <col min="72" max="16384" width="8.83203125" style="2" hidden="1"/>
  </cols>
  <sheetData>
    <row r="1" spans="1:70" s="15" customFormat="1" ht="33.75" customHeight="1" x14ac:dyDescent="0.3">
      <c r="A1" s="56" t="s">
        <v>148</v>
      </c>
      <c r="B1" s="3"/>
      <c r="C1" s="4" t="s">
        <v>31</v>
      </c>
      <c r="D1" s="3"/>
      <c r="E1" s="3"/>
      <c r="F1" s="3"/>
      <c r="G1" s="3"/>
      <c r="H1" s="3"/>
      <c r="I1" s="3"/>
      <c r="J1" s="3"/>
      <c r="K1" s="3"/>
      <c r="L1" s="3"/>
      <c r="M1" s="3"/>
      <c r="N1" s="3"/>
      <c r="O1" s="3"/>
      <c r="P1" s="3"/>
      <c r="Q1" s="3"/>
    </row>
    <row r="2" spans="1:70" s="15" customFormat="1" ht="21.5" customHeight="1" x14ac:dyDescent="0.2">
      <c r="A2" s="1"/>
      <c r="B2" s="3"/>
      <c r="C2" s="3"/>
      <c r="D2" s="3"/>
      <c r="E2" s="3"/>
      <c r="F2" s="3"/>
      <c r="G2" s="3"/>
      <c r="H2" s="3"/>
      <c r="I2" s="3"/>
      <c r="J2" s="3"/>
      <c r="K2" s="3"/>
      <c r="L2" s="3"/>
      <c r="M2" s="3"/>
      <c r="N2" s="3"/>
      <c r="O2" s="3"/>
      <c r="P2" s="3"/>
      <c r="Q2" s="3"/>
    </row>
    <row r="3" spans="1:70" s="15" customFormat="1" ht="21.5" customHeight="1" x14ac:dyDescent="0.2">
      <c r="A3" s="1"/>
      <c r="B3" s="3"/>
      <c r="C3" s="3"/>
      <c r="D3" s="3"/>
      <c r="E3" s="3"/>
      <c r="F3" s="3"/>
      <c r="G3" s="3"/>
      <c r="H3" s="3"/>
      <c r="I3" s="3"/>
      <c r="J3" s="3"/>
      <c r="K3" s="3"/>
      <c r="L3" s="3"/>
      <c r="M3" s="3"/>
      <c r="N3" s="3"/>
      <c r="O3" s="3"/>
      <c r="P3" s="3"/>
      <c r="Q3" s="3"/>
    </row>
    <row r="4" spans="1:70" ht="15" customHeight="1" thickBot="1" x14ac:dyDescent="0.25"/>
    <row r="5" spans="1:70" ht="30" customHeight="1" thickTop="1" thickBot="1" x14ac:dyDescent="0.25">
      <c r="C5" s="317" t="s">
        <v>273</v>
      </c>
      <c r="D5" s="318"/>
      <c r="E5" s="318"/>
      <c r="F5" s="319"/>
      <c r="G5" s="320" t="s">
        <v>244</v>
      </c>
      <c r="H5" s="310"/>
      <c r="I5" s="310"/>
      <c r="J5" s="310"/>
      <c r="K5" s="310"/>
      <c r="L5" s="310"/>
      <c r="M5" s="310"/>
      <c r="N5" s="310"/>
      <c r="O5" s="310"/>
      <c r="P5" s="310"/>
      <c r="Q5" s="311"/>
      <c r="U5" s="2" t="s">
        <v>183</v>
      </c>
      <c r="V5" s="2" t="s">
        <v>244</v>
      </c>
      <c r="X5" s="165" t="s">
        <v>215</v>
      </c>
      <c r="Y5" s="166">
        <f ca="1">SUM(Y6:Y35)</f>
        <v>5.9374999999999982</v>
      </c>
      <c r="Z5" s="165" t="s">
        <v>164</v>
      </c>
      <c r="AA5" s="166">
        <f ca="1">SUM(AA6:AA35)</f>
        <v>5.9374999999999982</v>
      </c>
      <c r="AB5" s="165" t="s">
        <v>217</v>
      </c>
      <c r="AC5" s="166">
        <f ca="1">SUM(AC6:AC35)</f>
        <v>0</v>
      </c>
      <c r="AD5" s="165" t="s">
        <v>220</v>
      </c>
      <c r="AE5" s="166">
        <f ca="1">SUM(AE6:AE35)</f>
        <v>0</v>
      </c>
      <c r="AF5" s="219"/>
      <c r="AG5" s="165" t="s">
        <v>75</v>
      </c>
      <c r="AH5" s="166">
        <f ca="1">SUM(AH6:AH35)</f>
        <v>1.3888888888888884</v>
      </c>
      <c r="AI5" s="165" t="s">
        <v>76</v>
      </c>
      <c r="AJ5" s="166">
        <f ca="1">SUM(AJ6:AJ35)</f>
        <v>1.4513888888888884</v>
      </c>
      <c r="AK5" s="165" t="s">
        <v>77</v>
      </c>
      <c r="AL5" s="166">
        <f ca="1">SUM(AL6:AL35)</f>
        <v>0.87499999999999978</v>
      </c>
      <c r="AM5" s="165" t="s">
        <v>78</v>
      </c>
      <c r="AN5" s="166">
        <f ca="1">SUM(AN6:AN35)</f>
        <v>0</v>
      </c>
      <c r="AO5" s="165" t="s">
        <v>79</v>
      </c>
      <c r="AP5" s="166">
        <f ca="1">SUM(AP6:AP35)</f>
        <v>0</v>
      </c>
      <c r="AQ5" s="165" t="s">
        <v>82</v>
      </c>
      <c r="AR5" s="166">
        <f ca="1">SUM(AR6:AR35)</f>
        <v>0.83333333333333304</v>
      </c>
      <c r="AS5" s="165" t="s">
        <v>81</v>
      </c>
      <c r="AT5" s="166">
        <f ca="1">SUM(AT6:AT35)</f>
        <v>1.3888888888888884</v>
      </c>
      <c r="AU5" s="165" t="s">
        <v>80</v>
      </c>
      <c r="AV5" s="166">
        <f ca="1">SUM(AV6:AV35)</f>
        <v>0</v>
      </c>
      <c r="AW5" s="165" t="s">
        <v>146</v>
      </c>
      <c r="AX5" s="166">
        <f ca="1">SUM(AX6:AX35)</f>
        <v>0</v>
      </c>
      <c r="AY5" s="165" t="s">
        <v>147</v>
      </c>
      <c r="AZ5" s="166">
        <f ca="1">SUM(AZ6:AZ35)</f>
        <v>0</v>
      </c>
      <c r="BA5" s="165" t="s">
        <v>84</v>
      </c>
      <c r="BB5" s="166">
        <f ca="1">SUM(BB6:BB35)</f>
        <v>0</v>
      </c>
      <c r="BC5" s="165" t="s">
        <v>86</v>
      </c>
      <c r="BD5" s="166">
        <f ca="1">SUM(BD6:BD35)</f>
        <v>5.9374999999999982</v>
      </c>
      <c r="BE5" s="165" t="s">
        <v>87</v>
      </c>
      <c r="BF5" s="166">
        <f ca="1">SUM(BF6:BF35)</f>
        <v>0</v>
      </c>
      <c r="BG5" s="165" t="s">
        <v>88</v>
      </c>
      <c r="BH5" s="164">
        <f ca="1">SUM(BH6:BH35)</f>
        <v>0</v>
      </c>
      <c r="BI5" s="165" t="s">
        <v>236</v>
      </c>
      <c r="BJ5" s="164">
        <f ca="1">SUM(BJ6:BJ35)</f>
        <v>0</v>
      </c>
      <c r="BK5" s="169"/>
      <c r="BN5" s="2" t="s">
        <v>246</v>
      </c>
    </row>
    <row r="6" spans="1:70" ht="15" customHeight="1" thickTop="1" thickBot="1" x14ac:dyDescent="0.25">
      <c r="U6" s="2" t="str">
        <f>Resul!R9</f>
        <v/>
      </c>
      <c r="V6" s="2" t="str">
        <f>IF(U6="","",VLOOKUP(U6,Funcionários!$C$7:$D$36,2,0))</f>
        <v/>
      </c>
      <c r="W6" s="2">
        <v>1</v>
      </c>
      <c r="X6" s="2" t="s">
        <v>214</v>
      </c>
      <c r="Y6" s="163">
        <f ca="1">INDIRECT(X6)</f>
        <v>0</v>
      </c>
      <c r="Z6" s="2" t="s">
        <v>216</v>
      </c>
      <c r="AA6" s="163">
        <f ca="1">INDIRECT(Z6)</f>
        <v>0</v>
      </c>
      <c r="AB6" s="2" t="s">
        <v>218</v>
      </c>
      <c r="AC6" s="163">
        <f ca="1">INDIRECT(AB6)</f>
        <v>0</v>
      </c>
      <c r="AD6" s="2" t="s">
        <v>219</v>
      </c>
      <c r="AE6" s="163">
        <f ca="1">INDIRECT(AD6)</f>
        <v>0</v>
      </c>
      <c r="AG6" s="2" t="s">
        <v>221</v>
      </c>
      <c r="AH6" s="163">
        <f t="shared" ref="AH6:AJ21" ca="1" si="0">INDIRECT(AG6)</f>
        <v>0</v>
      </c>
      <c r="AI6" s="2" t="s">
        <v>222</v>
      </c>
      <c r="AJ6" s="163">
        <f t="shared" ca="1" si="0"/>
        <v>0</v>
      </c>
      <c r="AK6" s="2" t="s">
        <v>223</v>
      </c>
      <c r="AL6" s="163">
        <f t="shared" ref="AL6:AL35" ca="1" si="1">INDIRECT(AK6)</f>
        <v>0</v>
      </c>
      <c r="AM6" s="2" t="s">
        <v>224</v>
      </c>
      <c r="AN6" s="163">
        <f t="shared" ref="AN6:AN35" ca="1" si="2">INDIRECT(AM6)</f>
        <v>0</v>
      </c>
      <c r="AO6" s="2" t="s">
        <v>225</v>
      </c>
      <c r="AP6" s="163">
        <f t="shared" ref="AP6:AP35" ca="1" si="3">INDIRECT(AO6)</f>
        <v>0</v>
      </c>
      <c r="AQ6" s="2" t="s">
        <v>226</v>
      </c>
      <c r="AR6" s="163">
        <f t="shared" ref="AR6:AR35" ca="1" si="4">INDIRECT(AQ6)</f>
        <v>0</v>
      </c>
      <c r="AS6" s="2" t="s">
        <v>227</v>
      </c>
      <c r="AT6" s="163">
        <f t="shared" ref="AT6:AT35" ca="1" si="5">INDIRECT(AS6)</f>
        <v>0</v>
      </c>
      <c r="AU6" s="2" t="s">
        <v>228</v>
      </c>
      <c r="AV6" s="163">
        <f t="shared" ref="AV6:AV35" ca="1" si="6">INDIRECT(AU6)</f>
        <v>0</v>
      </c>
      <c r="AW6" s="2" t="s">
        <v>229</v>
      </c>
      <c r="AX6" s="163">
        <f t="shared" ref="AX6:AX35" ca="1" si="7">INDIRECT(AW6)</f>
        <v>0</v>
      </c>
      <c r="AY6" s="2" t="s">
        <v>231</v>
      </c>
      <c r="AZ6" s="163">
        <f t="shared" ref="AZ6:AZ35" ca="1" si="8">INDIRECT(AY6)</f>
        <v>0</v>
      </c>
      <c r="BA6" s="2" t="s">
        <v>230</v>
      </c>
      <c r="BB6" s="163">
        <f t="shared" ref="BB6:BB35" ca="1" si="9">INDIRECT(BA6)</f>
        <v>0</v>
      </c>
      <c r="BC6" s="2" t="s">
        <v>232</v>
      </c>
      <c r="BD6" s="163">
        <f t="shared" ref="BD6:BD35" ca="1" si="10">INDIRECT(BC6)</f>
        <v>0</v>
      </c>
      <c r="BE6" s="2" t="s">
        <v>233</v>
      </c>
      <c r="BF6" s="163">
        <f t="shared" ref="BF6:BF35" ca="1" si="11">INDIRECT(BE6)</f>
        <v>0</v>
      </c>
      <c r="BG6" s="2" t="s">
        <v>234</v>
      </c>
      <c r="BH6" s="164">
        <f t="shared" ref="BH6:BJ21" ca="1" si="12">INDIRECT(BG6)</f>
        <v>0</v>
      </c>
      <c r="BI6" s="2" t="s">
        <v>235</v>
      </c>
      <c r="BJ6" s="164">
        <f t="shared" ca="1" si="12"/>
        <v>0</v>
      </c>
      <c r="BK6" s="167">
        <f t="shared" ref="BK6:BK14" ca="1" si="13">BL6-BM6</f>
        <v>-1.0000000000000001E-5</v>
      </c>
      <c r="BL6" s="167">
        <f t="shared" ref="BL6:BL14" ca="1" si="14">SUMIF($V$6:$V$35,$BN6,$BH$6:$BH$35)</f>
        <v>0</v>
      </c>
      <c r="BM6" s="2">
        <v>1.0000000000000001E-5</v>
      </c>
      <c r="BN6" s="169" t="str">
        <f>IF(Departamentos!C6=0,"",Departamentos!C6)</f>
        <v/>
      </c>
      <c r="BP6" s="155">
        <f ca="1">BQ6+BM6</f>
        <v>5.9375099999999978</v>
      </c>
      <c r="BQ6" s="155">
        <f ca="1">SUMIF($V$6:$V$35,$BN6,$AA$6:$AA$35)</f>
        <v>5.9374999999999982</v>
      </c>
      <c r="BR6" s="167" t="str">
        <f>BN6</f>
        <v/>
      </c>
    </row>
    <row r="7" spans="1:70" ht="30" customHeight="1" thickTop="1" thickBot="1" x14ac:dyDescent="0.3">
      <c r="C7" s="104" t="s">
        <v>239</v>
      </c>
      <c r="U7" s="2" t="str">
        <f>Resul!R10</f>
        <v/>
      </c>
      <c r="V7" s="2" t="str">
        <f>IF(U7="","",VLOOKUP(U7,Funcionários!$C$7:$D$36,2,0))</f>
        <v/>
      </c>
      <c r="W7" s="2">
        <v>2</v>
      </c>
      <c r="X7" s="2" t="str">
        <f>"'Lanç ("&amp;W7&amp;")'!$U$8"</f>
        <v>'Lanç (2)'!$U$8</v>
      </c>
      <c r="Y7" s="163">
        <f t="shared" ref="Y7:AA22" ca="1" si="15">INDIRECT(X7)</f>
        <v>0</v>
      </c>
      <c r="Z7" s="2" t="str">
        <f>"'Lanç ("&amp;$W7&amp;")'!$U$16"</f>
        <v>'Lanç (2)'!$U$16</v>
      </c>
      <c r="AA7" s="163">
        <f t="shared" ca="1" si="15"/>
        <v>0</v>
      </c>
      <c r="AB7" s="2" t="str">
        <f>"'Lanç ("&amp;$W7&amp;")'!$U$14"</f>
        <v>'Lanç (2)'!$U$14</v>
      </c>
      <c r="AC7" s="163">
        <f t="shared" ref="AC7:AE22" ca="1" si="16">INDIRECT(AB7)</f>
        <v>0</v>
      </c>
      <c r="AD7" s="2" t="str">
        <f>"'Lanç ("&amp;$W7&amp;")'!$K$5"</f>
        <v>'Lanç (2)'!$K$5</v>
      </c>
      <c r="AE7" s="163">
        <f t="shared" ca="1" si="16"/>
        <v>0</v>
      </c>
      <c r="AG7" s="2" t="str">
        <f>"'Lanç ("&amp;$W7&amp;")'!$F$41"</f>
        <v>'Lanç (2)'!$F$41</v>
      </c>
      <c r="AH7" s="163">
        <f t="shared" ca="1" si="0"/>
        <v>0</v>
      </c>
      <c r="AI7" s="2" t="str">
        <f>"'Lanç ("&amp;$W7&amp;")'!$F$42"</f>
        <v>'Lanç (2)'!$F$42</v>
      </c>
      <c r="AJ7" s="163">
        <f t="shared" ca="1" si="0"/>
        <v>0</v>
      </c>
      <c r="AK7" s="2" t="str">
        <f>"'Lanç ("&amp;$W7&amp;")'!$F$43"</f>
        <v>'Lanç (2)'!$F$43</v>
      </c>
      <c r="AL7" s="163">
        <f t="shared" ca="1" si="1"/>
        <v>0</v>
      </c>
      <c r="AM7" s="2" t="str">
        <f>"'Lanç ("&amp;$W7&amp;")'!$F$44"</f>
        <v>'Lanç (2)'!$F$44</v>
      </c>
      <c r="AN7" s="163">
        <f t="shared" ca="1" si="2"/>
        <v>0</v>
      </c>
      <c r="AO7" s="2" t="str">
        <f>"'Lanç ("&amp;$W7&amp;")'!$F$45"</f>
        <v>'Lanç (2)'!$F$45</v>
      </c>
      <c r="AP7" s="163">
        <f t="shared" ca="1" si="3"/>
        <v>0</v>
      </c>
      <c r="AQ7" s="2" t="str">
        <f>"'Lanç ("&amp;$W7&amp;")'!$F$46"</f>
        <v>'Lanç (2)'!$F$46</v>
      </c>
      <c r="AR7" s="163">
        <f t="shared" ca="1" si="4"/>
        <v>0</v>
      </c>
      <c r="AS7" s="2" t="str">
        <f>"'Lanç ("&amp;$W7&amp;")'!$F$47"</f>
        <v>'Lanç (2)'!$F$47</v>
      </c>
      <c r="AT7" s="163">
        <f t="shared" ca="1" si="5"/>
        <v>0</v>
      </c>
      <c r="AU7" s="2" t="str">
        <f>"'Lanç ("&amp;$W7&amp;")'!$F$48"</f>
        <v>'Lanç (2)'!$F$48</v>
      </c>
      <c r="AV7" s="163">
        <f t="shared" ca="1" si="6"/>
        <v>0</v>
      </c>
      <c r="AW7" s="2" t="str">
        <f>"'Lanç ("&amp;$W7&amp;")'!$F$49"</f>
        <v>'Lanç (2)'!$F$49</v>
      </c>
      <c r="AX7" s="163">
        <f t="shared" ca="1" si="7"/>
        <v>0</v>
      </c>
      <c r="AY7" s="2" t="str">
        <f>"'Lanç ("&amp;$W7&amp;")'!$F$51"</f>
        <v>'Lanç (2)'!$F$51</v>
      </c>
      <c r="AZ7" s="163">
        <f t="shared" ca="1" si="8"/>
        <v>0</v>
      </c>
      <c r="BA7" s="2" t="str">
        <f>"'Lanç ("&amp;$W7&amp;")'!$F$50"</f>
        <v>'Lanç (2)'!$F$50</v>
      </c>
      <c r="BB7" s="163">
        <f t="shared" ca="1" si="9"/>
        <v>0</v>
      </c>
      <c r="BC7" s="2" t="str">
        <f>"'Lanç ("&amp;$W7&amp;")'!$F$52"</f>
        <v>'Lanç (2)'!$F$52</v>
      </c>
      <c r="BD7" s="163">
        <f t="shared" ca="1" si="10"/>
        <v>0</v>
      </c>
      <c r="BE7" s="2" t="str">
        <f>"'Lanç ("&amp;$W7&amp;")'!$F$53"</f>
        <v>'Lanç (2)'!$F$53</v>
      </c>
      <c r="BF7" s="163">
        <f t="shared" ca="1" si="11"/>
        <v>0</v>
      </c>
      <c r="BG7" s="2" t="str">
        <f>"'Lanç ("&amp;$W7&amp;")'!$F$54"</f>
        <v>'Lanç (2)'!$F$54</v>
      </c>
      <c r="BH7" s="164">
        <f t="shared" ca="1" si="12"/>
        <v>0</v>
      </c>
      <c r="BI7" s="2" t="str">
        <f>"'Lanç ("&amp;$W7&amp;")'!$F$55"</f>
        <v>'Lanç (2)'!$F$55</v>
      </c>
      <c r="BJ7" s="164">
        <f t="shared" ca="1" si="12"/>
        <v>0</v>
      </c>
      <c r="BK7" s="167">
        <f t="shared" ca="1" si="13"/>
        <v>-2.0000000000000002E-5</v>
      </c>
      <c r="BL7" s="167">
        <f t="shared" ca="1" si="14"/>
        <v>0</v>
      </c>
      <c r="BM7" s="2">
        <v>2.0000000000000002E-5</v>
      </c>
      <c r="BN7" s="169" t="str">
        <f>IF(Departamentos!C7=0,"",Departamentos!C7)</f>
        <v/>
      </c>
      <c r="BP7" s="155">
        <f t="shared" ref="BP7:BP14" ca="1" si="17">BQ7+BM7</f>
        <v>5.9375199999999984</v>
      </c>
      <c r="BQ7" s="155">
        <f t="shared" ref="BQ7:BQ14" ca="1" si="18">SUMIF($V$6:$V$35,$BN7,$AA$6:$AA$35)</f>
        <v>5.9374999999999982</v>
      </c>
      <c r="BR7" s="167" t="str">
        <f t="shared" ref="BR7:BR14" si="19">BN7</f>
        <v/>
      </c>
    </row>
    <row r="8" spans="1:70" ht="30" customHeight="1" thickTop="1" thickBot="1" x14ac:dyDescent="0.25">
      <c r="U8" s="2" t="str">
        <f>Resul!R11</f>
        <v/>
      </c>
      <c r="V8" s="2" t="str">
        <f>IF(U8="","",VLOOKUP(U8,Funcionários!$C$7:$D$36,2,0))</f>
        <v/>
      </c>
      <c r="W8" s="2">
        <v>3</v>
      </c>
      <c r="X8" s="2" t="str">
        <f t="shared" ref="X8:X35" si="20">"'Lanç ("&amp;W8&amp;")'!$U$8"</f>
        <v>'Lanç (3)'!$U$8</v>
      </c>
      <c r="Y8" s="163">
        <f t="shared" ca="1" si="15"/>
        <v>0</v>
      </c>
      <c r="Z8" s="2" t="str">
        <f t="shared" ref="Z8:Z35" si="21">"'Lanç ("&amp;$W8&amp;")'!$U$16"</f>
        <v>'Lanç (3)'!$U$16</v>
      </c>
      <c r="AA8" s="163">
        <f t="shared" ca="1" si="15"/>
        <v>0</v>
      </c>
      <c r="AB8" s="2" t="str">
        <f t="shared" ref="AB8:AB35" si="22">"'Lanç ("&amp;$W8&amp;")'!$U$14"</f>
        <v>'Lanç (3)'!$U$14</v>
      </c>
      <c r="AC8" s="163">
        <f t="shared" ca="1" si="16"/>
        <v>0</v>
      </c>
      <c r="AD8" s="2" t="str">
        <f t="shared" ref="AD8:AD35" si="23">"'Lanç ("&amp;$W8&amp;")'!$K$5"</f>
        <v>'Lanç (3)'!$K$5</v>
      </c>
      <c r="AE8" s="163">
        <f t="shared" ca="1" si="16"/>
        <v>0</v>
      </c>
      <c r="AG8" s="2" t="str">
        <f t="shared" ref="AG8:AG35" si="24">"'Lanç ("&amp;$W8&amp;")'!$F$41"</f>
        <v>'Lanç (3)'!$F$41</v>
      </c>
      <c r="AH8" s="163">
        <f t="shared" ca="1" si="0"/>
        <v>0</v>
      </c>
      <c r="AI8" s="2" t="str">
        <f t="shared" ref="AI8:AI35" si="25">"'Lanç ("&amp;$W8&amp;")'!$F$42"</f>
        <v>'Lanç (3)'!$F$42</v>
      </c>
      <c r="AJ8" s="163">
        <f t="shared" ca="1" si="0"/>
        <v>0</v>
      </c>
      <c r="AK8" s="2" t="str">
        <f t="shared" ref="AK8:AK35" si="26">"'Lanç ("&amp;$W8&amp;")'!$F$43"</f>
        <v>'Lanç (3)'!$F$43</v>
      </c>
      <c r="AL8" s="163">
        <f t="shared" ca="1" si="1"/>
        <v>0</v>
      </c>
      <c r="AM8" s="2" t="str">
        <f t="shared" ref="AM8:AM35" si="27">"'Lanç ("&amp;$W8&amp;")'!$F$44"</f>
        <v>'Lanç (3)'!$F$44</v>
      </c>
      <c r="AN8" s="163">
        <f t="shared" ca="1" si="2"/>
        <v>0</v>
      </c>
      <c r="AO8" s="2" t="str">
        <f t="shared" ref="AO8:AO35" si="28">"'Lanç ("&amp;$W8&amp;")'!$F$45"</f>
        <v>'Lanç (3)'!$F$45</v>
      </c>
      <c r="AP8" s="163">
        <f t="shared" ca="1" si="3"/>
        <v>0</v>
      </c>
      <c r="AQ8" s="2" t="str">
        <f t="shared" ref="AQ8:AQ35" si="29">"'Lanç ("&amp;$W8&amp;")'!$F$46"</f>
        <v>'Lanç (3)'!$F$46</v>
      </c>
      <c r="AR8" s="163">
        <f t="shared" ca="1" si="4"/>
        <v>0</v>
      </c>
      <c r="AS8" s="2" t="str">
        <f t="shared" ref="AS8:AS35" si="30">"'Lanç ("&amp;$W8&amp;")'!$F$47"</f>
        <v>'Lanç (3)'!$F$47</v>
      </c>
      <c r="AT8" s="163">
        <f t="shared" ca="1" si="5"/>
        <v>0</v>
      </c>
      <c r="AU8" s="2" t="str">
        <f t="shared" ref="AU8:AU35" si="31">"'Lanç ("&amp;$W8&amp;")'!$F$48"</f>
        <v>'Lanç (3)'!$F$48</v>
      </c>
      <c r="AV8" s="163">
        <f t="shared" ca="1" si="6"/>
        <v>0</v>
      </c>
      <c r="AW8" s="2" t="str">
        <f t="shared" ref="AW8:AW35" si="32">"'Lanç ("&amp;$W8&amp;")'!$F$49"</f>
        <v>'Lanç (3)'!$F$49</v>
      </c>
      <c r="AX8" s="163">
        <f t="shared" ca="1" si="7"/>
        <v>0</v>
      </c>
      <c r="AY8" s="2" t="str">
        <f t="shared" ref="AY8:AY35" si="33">"'Lanç ("&amp;$W8&amp;")'!$F$51"</f>
        <v>'Lanç (3)'!$F$51</v>
      </c>
      <c r="AZ8" s="163">
        <f t="shared" ca="1" si="8"/>
        <v>0</v>
      </c>
      <c r="BA8" s="2" t="str">
        <f t="shared" ref="BA8:BA35" si="34">"'Lanç ("&amp;$W8&amp;")'!$F$50"</f>
        <v>'Lanç (3)'!$F$50</v>
      </c>
      <c r="BB8" s="163">
        <f t="shared" ca="1" si="9"/>
        <v>0</v>
      </c>
      <c r="BC8" s="2" t="str">
        <f t="shared" ref="BC8:BC35" si="35">"'Lanç ("&amp;$W8&amp;")'!$F$52"</f>
        <v>'Lanç (3)'!$F$52</v>
      </c>
      <c r="BD8" s="163">
        <f t="shared" ca="1" si="10"/>
        <v>0</v>
      </c>
      <c r="BE8" s="2" t="str">
        <f t="shared" ref="BE8:BE35" si="36">"'Lanç ("&amp;$W8&amp;")'!$F$53"</f>
        <v>'Lanç (3)'!$F$53</v>
      </c>
      <c r="BF8" s="163">
        <f t="shared" ca="1" si="11"/>
        <v>0</v>
      </c>
      <c r="BG8" s="2" t="str">
        <f t="shared" ref="BG8:BG35" si="37">"'Lanç ("&amp;$W8&amp;")'!$F$54"</f>
        <v>'Lanç (3)'!$F$54</v>
      </c>
      <c r="BH8" s="164">
        <f t="shared" ca="1" si="12"/>
        <v>0</v>
      </c>
      <c r="BI8" s="2" t="str">
        <f t="shared" ref="BI8:BI35" si="38">"'Lanç ("&amp;$W8&amp;")'!$F$55"</f>
        <v>'Lanç (3)'!$F$55</v>
      </c>
      <c r="BJ8" s="164">
        <f t="shared" ca="1" si="12"/>
        <v>0</v>
      </c>
      <c r="BK8" s="167">
        <f t="shared" ca="1" si="13"/>
        <v>-3.0000000000000001E-5</v>
      </c>
      <c r="BL8" s="167">
        <f t="shared" ca="1" si="14"/>
        <v>0</v>
      </c>
      <c r="BM8" s="2">
        <v>3.0000000000000001E-5</v>
      </c>
      <c r="BN8" s="169" t="str">
        <f>IF(Departamentos!C8=0,"",Departamentos!C8)</f>
        <v/>
      </c>
      <c r="BP8" s="155">
        <f t="shared" ca="1" si="17"/>
        <v>5.937529999999998</v>
      </c>
      <c r="BQ8" s="155">
        <f t="shared" ca="1" si="18"/>
        <v>5.9374999999999982</v>
      </c>
      <c r="BR8" s="167" t="str">
        <f t="shared" si="19"/>
        <v/>
      </c>
    </row>
    <row r="9" spans="1:70" ht="30" customHeight="1" thickTop="1" thickBot="1" x14ac:dyDescent="0.25">
      <c r="U9" s="2" t="str">
        <f>Resul!R12</f>
        <v/>
      </c>
      <c r="V9" s="2" t="str">
        <f>IF(U9="","",VLOOKUP(U9,Funcionários!$C$7:$D$36,2,0))</f>
        <v/>
      </c>
      <c r="W9" s="2">
        <v>4</v>
      </c>
      <c r="X9" s="2" t="str">
        <f t="shared" si="20"/>
        <v>'Lanç (4)'!$U$8</v>
      </c>
      <c r="Y9" s="163">
        <f t="shared" ca="1" si="15"/>
        <v>0</v>
      </c>
      <c r="Z9" s="2" t="str">
        <f t="shared" si="21"/>
        <v>'Lanç (4)'!$U$16</v>
      </c>
      <c r="AA9" s="163">
        <f t="shared" ca="1" si="15"/>
        <v>0</v>
      </c>
      <c r="AB9" s="2" t="str">
        <f t="shared" si="22"/>
        <v>'Lanç (4)'!$U$14</v>
      </c>
      <c r="AC9" s="163">
        <f t="shared" ca="1" si="16"/>
        <v>0</v>
      </c>
      <c r="AD9" s="2" t="str">
        <f t="shared" si="23"/>
        <v>'Lanç (4)'!$K$5</v>
      </c>
      <c r="AE9" s="163">
        <f t="shared" ca="1" si="16"/>
        <v>0</v>
      </c>
      <c r="AG9" s="2" t="str">
        <f t="shared" si="24"/>
        <v>'Lanç (4)'!$F$41</v>
      </c>
      <c r="AH9" s="163">
        <f t="shared" ca="1" si="0"/>
        <v>0</v>
      </c>
      <c r="AI9" s="2" t="str">
        <f t="shared" si="25"/>
        <v>'Lanç (4)'!$F$42</v>
      </c>
      <c r="AJ9" s="163">
        <f t="shared" ca="1" si="0"/>
        <v>0</v>
      </c>
      <c r="AK9" s="2" t="str">
        <f t="shared" si="26"/>
        <v>'Lanç (4)'!$F$43</v>
      </c>
      <c r="AL9" s="163">
        <f t="shared" ca="1" si="1"/>
        <v>0</v>
      </c>
      <c r="AM9" s="2" t="str">
        <f t="shared" si="27"/>
        <v>'Lanç (4)'!$F$44</v>
      </c>
      <c r="AN9" s="163">
        <f t="shared" ca="1" si="2"/>
        <v>0</v>
      </c>
      <c r="AO9" s="2" t="str">
        <f t="shared" si="28"/>
        <v>'Lanç (4)'!$F$45</v>
      </c>
      <c r="AP9" s="163">
        <f t="shared" ca="1" si="3"/>
        <v>0</v>
      </c>
      <c r="AQ9" s="2" t="str">
        <f t="shared" si="29"/>
        <v>'Lanç (4)'!$F$46</v>
      </c>
      <c r="AR9" s="163">
        <f t="shared" ca="1" si="4"/>
        <v>0</v>
      </c>
      <c r="AS9" s="2" t="str">
        <f t="shared" si="30"/>
        <v>'Lanç (4)'!$F$47</v>
      </c>
      <c r="AT9" s="163">
        <f t="shared" ca="1" si="5"/>
        <v>0</v>
      </c>
      <c r="AU9" s="2" t="str">
        <f t="shared" si="31"/>
        <v>'Lanç (4)'!$F$48</v>
      </c>
      <c r="AV9" s="163">
        <f t="shared" ca="1" si="6"/>
        <v>0</v>
      </c>
      <c r="AW9" s="2" t="str">
        <f t="shared" si="32"/>
        <v>'Lanç (4)'!$F$49</v>
      </c>
      <c r="AX9" s="163">
        <f t="shared" ca="1" si="7"/>
        <v>0</v>
      </c>
      <c r="AY9" s="2" t="str">
        <f t="shared" si="33"/>
        <v>'Lanç (4)'!$F$51</v>
      </c>
      <c r="AZ9" s="163">
        <f t="shared" ca="1" si="8"/>
        <v>0</v>
      </c>
      <c r="BA9" s="2" t="str">
        <f t="shared" si="34"/>
        <v>'Lanç (4)'!$F$50</v>
      </c>
      <c r="BB9" s="163">
        <f t="shared" ca="1" si="9"/>
        <v>0</v>
      </c>
      <c r="BC9" s="2" t="str">
        <f t="shared" si="35"/>
        <v>'Lanç (4)'!$F$52</v>
      </c>
      <c r="BD9" s="163">
        <f t="shared" ca="1" si="10"/>
        <v>0</v>
      </c>
      <c r="BE9" s="2" t="str">
        <f t="shared" si="36"/>
        <v>'Lanç (4)'!$F$53</v>
      </c>
      <c r="BF9" s="163">
        <f t="shared" ca="1" si="11"/>
        <v>0</v>
      </c>
      <c r="BG9" s="2" t="str">
        <f t="shared" si="37"/>
        <v>'Lanç (4)'!$F$54</v>
      </c>
      <c r="BH9" s="164">
        <f t="shared" ca="1" si="12"/>
        <v>0</v>
      </c>
      <c r="BI9" s="2" t="str">
        <f t="shared" si="38"/>
        <v>'Lanç (4)'!$F$55</v>
      </c>
      <c r="BJ9" s="164">
        <f t="shared" ca="1" si="12"/>
        <v>0</v>
      </c>
      <c r="BK9" s="167">
        <f t="shared" ca="1" si="13"/>
        <v>-4.0000000000000003E-5</v>
      </c>
      <c r="BL9" s="167">
        <f t="shared" ca="1" si="14"/>
        <v>0</v>
      </c>
      <c r="BM9" s="2">
        <v>4.0000000000000003E-5</v>
      </c>
      <c r="BN9" s="169" t="str">
        <f>IF(Departamentos!C9=0,"",Departamentos!C9)</f>
        <v/>
      </c>
      <c r="BP9" s="155">
        <f t="shared" ca="1" si="17"/>
        <v>5.9375399999999985</v>
      </c>
      <c r="BQ9" s="155">
        <f t="shared" ca="1" si="18"/>
        <v>5.9374999999999982</v>
      </c>
      <c r="BR9" s="167" t="str">
        <f t="shared" si="19"/>
        <v/>
      </c>
    </row>
    <row r="10" spans="1:70" ht="30" customHeight="1" thickTop="1" thickBot="1" x14ac:dyDescent="0.25">
      <c r="U10" s="2" t="str">
        <f>Resul!R13</f>
        <v/>
      </c>
      <c r="V10" s="2" t="str">
        <f>IF(U10="","",VLOOKUP(U10,Funcionários!$C$7:$D$36,2,0))</f>
        <v/>
      </c>
      <c r="W10" s="2">
        <v>5</v>
      </c>
      <c r="X10" s="2" t="str">
        <f t="shared" si="20"/>
        <v>'Lanç (5)'!$U$8</v>
      </c>
      <c r="Y10" s="163">
        <f t="shared" ca="1" si="15"/>
        <v>5.9374999999999982</v>
      </c>
      <c r="Z10" s="2" t="str">
        <f t="shared" si="21"/>
        <v>'Lanç (5)'!$U$16</v>
      </c>
      <c r="AA10" s="163">
        <f t="shared" ca="1" si="15"/>
        <v>5.9374999999999982</v>
      </c>
      <c r="AB10" s="2" t="str">
        <f t="shared" si="22"/>
        <v>'Lanç (5)'!$U$14</v>
      </c>
      <c r="AC10" s="163">
        <f t="shared" ca="1" si="16"/>
        <v>0</v>
      </c>
      <c r="AD10" s="2" t="str">
        <f t="shared" si="23"/>
        <v>'Lanç (5)'!$K$5</v>
      </c>
      <c r="AE10" s="163">
        <f t="shared" ca="1" si="16"/>
        <v>0</v>
      </c>
      <c r="AG10" s="2" t="str">
        <f t="shared" si="24"/>
        <v>'Lanç (5)'!$F$41</v>
      </c>
      <c r="AH10" s="163">
        <f t="shared" ca="1" si="0"/>
        <v>1.3888888888888884</v>
      </c>
      <c r="AI10" s="2" t="str">
        <f t="shared" si="25"/>
        <v>'Lanç (5)'!$F$42</v>
      </c>
      <c r="AJ10" s="163">
        <f t="shared" ca="1" si="0"/>
        <v>1.4513888888888884</v>
      </c>
      <c r="AK10" s="2" t="str">
        <f t="shared" si="26"/>
        <v>'Lanç (5)'!$F$43</v>
      </c>
      <c r="AL10" s="163">
        <f t="shared" ca="1" si="1"/>
        <v>0.87499999999999978</v>
      </c>
      <c r="AM10" s="2" t="str">
        <f t="shared" si="27"/>
        <v>'Lanç (5)'!$F$44</v>
      </c>
      <c r="AN10" s="163">
        <f t="shared" ca="1" si="2"/>
        <v>0</v>
      </c>
      <c r="AO10" s="2" t="str">
        <f t="shared" si="28"/>
        <v>'Lanç (5)'!$F$45</v>
      </c>
      <c r="AP10" s="163">
        <f t="shared" ca="1" si="3"/>
        <v>0</v>
      </c>
      <c r="AQ10" s="2" t="str">
        <f t="shared" si="29"/>
        <v>'Lanç (5)'!$F$46</v>
      </c>
      <c r="AR10" s="163">
        <f t="shared" ca="1" si="4"/>
        <v>0.83333333333333304</v>
      </c>
      <c r="AS10" s="2" t="str">
        <f t="shared" si="30"/>
        <v>'Lanç (5)'!$F$47</v>
      </c>
      <c r="AT10" s="163">
        <f t="shared" ca="1" si="5"/>
        <v>1.3888888888888884</v>
      </c>
      <c r="AU10" s="2" t="str">
        <f t="shared" si="31"/>
        <v>'Lanç (5)'!$F$48</v>
      </c>
      <c r="AV10" s="163">
        <f t="shared" ca="1" si="6"/>
        <v>0</v>
      </c>
      <c r="AW10" s="2" t="str">
        <f t="shared" si="32"/>
        <v>'Lanç (5)'!$F$49</v>
      </c>
      <c r="AX10" s="163">
        <f t="shared" ca="1" si="7"/>
        <v>0</v>
      </c>
      <c r="AY10" s="2" t="str">
        <f t="shared" si="33"/>
        <v>'Lanç (5)'!$F$51</v>
      </c>
      <c r="AZ10" s="163">
        <f t="shared" ca="1" si="8"/>
        <v>0</v>
      </c>
      <c r="BA10" s="2" t="str">
        <f t="shared" si="34"/>
        <v>'Lanç (5)'!$F$50</v>
      </c>
      <c r="BB10" s="163">
        <f t="shared" ca="1" si="9"/>
        <v>0</v>
      </c>
      <c r="BC10" s="2" t="str">
        <f t="shared" si="35"/>
        <v>'Lanç (5)'!$F$52</v>
      </c>
      <c r="BD10" s="163">
        <f t="shared" ca="1" si="10"/>
        <v>5.9374999999999982</v>
      </c>
      <c r="BE10" s="2" t="str">
        <f t="shared" si="36"/>
        <v>'Lanç (5)'!$F$53</v>
      </c>
      <c r="BF10" s="163">
        <f t="shared" ca="1" si="11"/>
        <v>0</v>
      </c>
      <c r="BG10" s="2" t="str">
        <f t="shared" si="37"/>
        <v>'Lanç (5)'!$F$54</v>
      </c>
      <c r="BH10" s="164">
        <f t="shared" ca="1" si="12"/>
        <v>0</v>
      </c>
      <c r="BI10" s="2" t="str">
        <f t="shared" si="38"/>
        <v>'Lanç (5)'!$F$55</v>
      </c>
      <c r="BJ10" s="164">
        <f t="shared" ca="1" si="12"/>
        <v>0</v>
      </c>
      <c r="BK10" s="167">
        <f t="shared" ca="1" si="13"/>
        <v>-5.0000000000000002E-5</v>
      </c>
      <c r="BL10" s="167">
        <f t="shared" ca="1" si="14"/>
        <v>0</v>
      </c>
      <c r="BM10" s="2">
        <v>5.0000000000000002E-5</v>
      </c>
      <c r="BN10" s="169" t="str">
        <f>IF(Departamentos!C10=0,"",Departamentos!C10)</f>
        <v/>
      </c>
      <c r="BP10" s="155">
        <f t="shared" ca="1" si="17"/>
        <v>5.9375499999999981</v>
      </c>
      <c r="BQ10" s="155">
        <f t="shared" ca="1" si="18"/>
        <v>5.9374999999999982</v>
      </c>
      <c r="BR10" s="167" t="str">
        <f t="shared" si="19"/>
        <v/>
      </c>
    </row>
    <row r="11" spans="1:70" ht="30" customHeight="1" thickTop="1" thickBot="1" x14ac:dyDescent="0.25">
      <c r="U11" s="2" t="str">
        <f>Resul!R14</f>
        <v/>
      </c>
      <c r="V11" s="2" t="str">
        <f>IF(U11="","",VLOOKUP(U11,Funcionários!$C$7:$D$36,2,0))</f>
        <v/>
      </c>
      <c r="W11" s="2">
        <v>6</v>
      </c>
      <c r="X11" s="2" t="str">
        <f t="shared" si="20"/>
        <v>'Lanç (6)'!$U$8</v>
      </c>
      <c r="Y11" s="163">
        <f t="shared" ca="1" si="15"/>
        <v>0</v>
      </c>
      <c r="Z11" s="2" t="str">
        <f t="shared" si="21"/>
        <v>'Lanç (6)'!$U$16</v>
      </c>
      <c r="AA11" s="163">
        <f t="shared" ca="1" si="15"/>
        <v>0</v>
      </c>
      <c r="AB11" s="2" t="str">
        <f t="shared" si="22"/>
        <v>'Lanç (6)'!$U$14</v>
      </c>
      <c r="AC11" s="163">
        <f t="shared" ca="1" si="16"/>
        <v>0</v>
      </c>
      <c r="AD11" s="2" t="str">
        <f t="shared" si="23"/>
        <v>'Lanç (6)'!$K$5</v>
      </c>
      <c r="AE11" s="163">
        <f t="shared" ca="1" si="16"/>
        <v>0</v>
      </c>
      <c r="AG11" s="2" t="str">
        <f t="shared" si="24"/>
        <v>'Lanç (6)'!$F$41</v>
      </c>
      <c r="AH11" s="163">
        <f t="shared" ca="1" si="0"/>
        <v>0</v>
      </c>
      <c r="AI11" s="2" t="str">
        <f t="shared" si="25"/>
        <v>'Lanç (6)'!$F$42</v>
      </c>
      <c r="AJ11" s="163">
        <f t="shared" ca="1" si="0"/>
        <v>0</v>
      </c>
      <c r="AK11" s="2" t="str">
        <f t="shared" si="26"/>
        <v>'Lanç (6)'!$F$43</v>
      </c>
      <c r="AL11" s="163">
        <f t="shared" ca="1" si="1"/>
        <v>0</v>
      </c>
      <c r="AM11" s="2" t="str">
        <f t="shared" si="27"/>
        <v>'Lanç (6)'!$F$44</v>
      </c>
      <c r="AN11" s="163">
        <f t="shared" ca="1" si="2"/>
        <v>0</v>
      </c>
      <c r="AO11" s="2" t="str">
        <f t="shared" si="28"/>
        <v>'Lanç (6)'!$F$45</v>
      </c>
      <c r="AP11" s="163">
        <f t="shared" ca="1" si="3"/>
        <v>0</v>
      </c>
      <c r="AQ11" s="2" t="str">
        <f t="shared" si="29"/>
        <v>'Lanç (6)'!$F$46</v>
      </c>
      <c r="AR11" s="163">
        <f t="shared" ca="1" si="4"/>
        <v>0</v>
      </c>
      <c r="AS11" s="2" t="str">
        <f t="shared" si="30"/>
        <v>'Lanç (6)'!$F$47</v>
      </c>
      <c r="AT11" s="163">
        <f t="shared" ca="1" si="5"/>
        <v>0</v>
      </c>
      <c r="AU11" s="2" t="str">
        <f t="shared" si="31"/>
        <v>'Lanç (6)'!$F$48</v>
      </c>
      <c r="AV11" s="163">
        <f t="shared" ca="1" si="6"/>
        <v>0</v>
      </c>
      <c r="AW11" s="2" t="str">
        <f t="shared" si="32"/>
        <v>'Lanç (6)'!$F$49</v>
      </c>
      <c r="AX11" s="163">
        <f t="shared" ca="1" si="7"/>
        <v>0</v>
      </c>
      <c r="AY11" s="2" t="str">
        <f t="shared" si="33"/>
        <v>'Lanç (6)'!$F$51</v>
      </c>
      <c r="AZ11" s="163">
        <f t="shared" ca="1" si="8"/>
        <v>0</v>
      </c>
      <c r="BA11" s="2" t="str">
        <f t="shared" si="34"/>
        <v>'Lanç (6)'!$F$50</v>
      </c>
      <c r="BB11" s="163">
        <f t="shared" ca="1" si="9"/>
        <v>0</v>
      </c>
      <c r="BC11" s="2" t="str">
        <f t="shared" si="35"/>
        <v>'Lanç (6)'!$F$52</v>
      </c>
      <c r="BD11" s="163">
        <f t="shared" ca="1" si="10"/>
        <v>0</v>
      </c>
      <c r="BE11" s="2" t="str">
        <f t="shared" si="36"/>
        <v>'Lanç (6)'!$F$53</v>
      </c>
      <c r="BF11" s="163">
        <f t="shared" ca="1" si="11"/>
        <v>0</v>
      </c>
      <c r="BG11" s="2" t="str">
        <f t="shared" si="37"/>
        <v>'Lanç (6)'!$F$54</v>
      </c>
      <c r="BH11" s="164">
        <f t="shared" ca="1" si="12"/>
        <v>0</v>
      </c>
      <c r="BI11" s="2" t="str">
        <f t="shared" si="38"/>
        <v>'Lanç (6)'!$F$55</v>
      </c>
      <c r="BJ11" s="164">
        <f t="shared" ca="1" si="12"/>
        <v>0</v>
      </c>
      <c r="BK11" s="167">
        <f t="shared" ca="1" si="13"/>
        <v>-6.0000000000000002E-5</v>
      </c>
      <c r="BL11" s="167">
        <f t="shared" ca="1" si="14"/>
        <v>0</v>
      </c>
      <c r="BM11" s="2">
        <v>6.0000000000000002E-5</v>
      </c>
      <c r="BN11" s="169" t="str">
        <f>IF(Departamentos!C11=0,"",Departamentos!C11)</f>
        <v/>
      </c>
      <c r="BP11" s="155">
        <f t="shared" ca="1" si="17"/>
        <v>5.9375599999999986</v>
      </c>
      <c r="BQ11" s="155">
        <f t="shared" ca="1" si="18"/>
        <v>5.9374999999999982</v>
      </c>
      <c r="BR11" s="167" t="str">
        <f t="shared" si="19"/>
        <v/>
      </c>
    </row>
    <row r="12" spans="1:70" ht="30" customHeight="1" thickTop="1" thickBot="1" x14ac:dyDescent="0.25">
      <c r="U12" s="2" t="str">
        <f>Resul!R15</f>
        <v/>
      </c>
      <c r="V12" s="2" t="str">
        <f>IF(U12="","",VLOOKUP(U12,Funcionários!$C$7:$D$36,2,0))</f>
        <v/>
      </c>
      <c r="W12" s="2">
        <v>7</v>
      </c>
      <c r="X12" s="2" t="str">
        <f t="shared" si="20"/>
        <v>'Lanç (7)'!$U$8</v>
      </c>
      <c r="Y12" s="163">
        <f t="shared" ca="1" si="15"/>
        <v>0</v>
      </c>
      <c r="Z12" s="2" t="str">
        <f t="shared" si="21"/>
        <v>'Lanç (7)'!$U$16</v>
      </c>
      <c r="AA12" s="163">
        <f t="shared" ca="1" si="15"/>
        <v>0</v>
      </c>
      <c r="AB12" s="2" t="str">
        <f t="shared" si="22"/>
        <v>'Lanç (7)'!$U$14</v>
      </c>
      <c r="AC12" s="163">
        <f t="shared" ca="1" si="16"/>
        <v>0</v>
      </c>
      <c r="AD12" s="2" t="str">
        <f t="shared" si="23"/>
        <v>'Lanç (7)'!$K$5</v>
      </c>
      <c r="AE12" s="163">
        <f t="shared" ca="1" si="16"/>
        <v>0</v>
      </c>
      <c r="AG12" s="2" t="str">
        <f t="shared" si="24"/>
        <v>'Lanç (7)'!$F$41</v>
      </c>
      <c r="AH12" s="163">
        <f t="shared" ca="1" si="0"/>
        <v>0</v>
      </c>
      <c r="AI12" s="2" t="str">
        <f t="shared" si="25"/>
        <v>'Lanç (7)'!$F$42</v>
      </c>
      <c r="AJ12" s="163">
        <f t="shared" ca="1" si="0"/>
        <v>0</v>
      </c>
      <c r="AK12" s="2" t="str">
        <f t="shared" si="26"/>
        <v>'Lanç (7)'!$F$43</v>
      </c>
      <c r="AL12" s="163">
        <f t="shared" ca="1" si="1"/>
        <v>0</v>
      </c>
      <c r="AM12" s="2" t="str">
        <f t="shared" si="27"/>
        <v>'Lanç (7)'!$F$44</v>
      </c>
      <c r="AN12" s="163">
        <f t="shared" ca="1" si="2"/>
        <v>0</v>
      </c>
      <c r="AO12" s="2" t="str">
        <f t="shared" si="28"/>
        <v>'Lanç (7)'!$F$45</v>
      </c>
      <c r="AP12" s="163">
        <f t="shared" ca="1" si="3"/>
        <v>0</v>
      </c>
      <c r="AQ12" s="2" t="str">
        <f t="shared" si="29"/>
        <v>'Lanç (7)'!$F$46</v>
      </c>
      <c r="AR12" s="163">
        <f t="shared" ca="1" si="4"/>
        <v>0</v>
      </c>
      <c r="AS12" s="2" t="str">
        <f t="shared" si="30"/>
        <v>'Lanç (7)'!$F$47</v>
      </c>
      <c r="AT12" s="163">
        <f t="shared" ca="1" si="5"/>
        <v>0</v>
      </c>
      <c r="AU12" s="2" t="str">
        <f t="shared" si="31"/>
        <v>'Lanç (7)'!$F$48</v>
      </c>
      <c r="AV12" s="163">
        <f t="shared" ca="1" si="6"/>
        <v>0</v>
      </c>
      <c r="AW12" s="2" t="str">
        <f t="shared" si="32"/>
        <v>'Lanç (7)'!$F$49</v>
      </c>
      <c r="AX12" s="163">
        <f t="shared" ca="1" si="7"/>
        <v>0</v>
      </c>
      <c r="AY12" s="2" t="str">
        <f t="shared" si="33"/>
        <v>'Lanç (7)'!$F$51</v>
      </c>
      <c r="AZ12" s="163">
        <f t="shared" ca="1" si="8"/>
        <v>0</v>
      </c>
      <c r="BA12" s="2" t="str">
        <f t="shared" si="34"/>
        <v>'Lanç (7)'!$F$50</v>
      </c>
      <c r="BB12" s="163">
        <f t="shared" ca="1" si="9"/>
        <v>0</v>
      </c>
      <c r="BC12" s="2" t="str">
        <f t="shared" si="35"/>
        <v>'Lanç (7)'!$F$52</v>
      </c>
      <c r="BD12" s="163">
        <f t="shared" ca="1" si="10"/>
        <v>0</v>
      </c>
      <c r="BE12" s="2" t="str">
        <f t="shared" si="36"/>
        <v>'Lanç (7)'!$F$53</v>
      </c>
      <c r="BF12" s="163">
        <f t="shared" ca="1" si="11"/>
        <v>0</v>
      </c>
      <c r="BG12" s="2" t="str">
        <f t="shared" si="37"/>
        <v>'Lanç (7)'!$F$54</v>
      </c>
      <c r="BH12" s="164">
        <f t="shared" ca="1" si="12"/>
        <v>0</v>
      </c>
      <c r="BI12" s="2" t="str">
        <f t="shared" si="38"/>
        <v>'Lanç (7)'!$F$55</v>
      </c>
      <c r="BJ12" s="164">
        <f t="shared" ca="1" si="12"/>
        <v>0</v>
      </c>
      <c r="BK12" s="167">
        <f t="shared" ca="1" si="13"/>
        <v>-6.9999999999999994E-5</v>
      </c>
      <c r="BL12" s="167">
        <f t="shared" ca="1" si="14"/>
        <v>0</v>
      </c>
      <c r="BM12" s="2">
        <v>6.9999999999999994E-5</v>
      </c>
      <c r="BN12" s="169" t="str">
        <f>IF(Departamentos!C12=0,"",Departamentos!C12)</f>
        <v/>
      </c>
      <c r="BP12" s="155">
        <f t="shared" ca="1" si="17"/>
        <v>5.9375699999999982</v>
      </c>
      <c r="BQ12" s="155">
        <f t="shared" ca="1" si="18"/>
        <v>5.9374999999999982</v>
      </c>
      <c r="BR12" s="167" t="str">
        <f t="shared" si="19"/>
        <v/>
      </c>
    </row>
    <row r="13" spans="1:70" ht="30" customHeight="1" thickTop="1" thickBot="1" x14ac:dyDescent="0.25">
      <c r="U13" s="2" t="str">
        <f>Resul!R16</f>
        <v/>
      </c>
      <c r="V13" s="2" t="str">
        <f>IF(U13="","",VLOOKUP(U13,Funcionários!$C$7:$D$36,2,0))</f>
        <v/>
      </c>
      <c r="W13" s="2">
        <v>8</v>
      </c>
      <c r="X13" s="2" t="str">
        <f t="shared" si="20"/>
        <v>'Lanç (8)'!$U$8</v>
      </c>
      <c r="Y13" s="163">
        <f t="shared" ca="1" si="15"/>
        <v>0</v>
      </c>
      <c r="Z13" s="2" t="str">
        <f t="shared" si="21"/>
        <v>'Lanç (8)'!$U$16</v>
      </c>
      <c r="AA13" s="163">
        <f t="shared" ca="1" si="15"/>
        <v>0</v>
      </c>
      <c r="AB13" s="2" t="str">
        <f t="shared" si="22"/>
        <v>'Lanç (8)'!$U$14</v>
      </c>
      <c r="AC13" s="163">
        <f t="shared" ca="1" si="16"/>
        <v>0</v>
      </c>
      <c r="AD13" s="2" t="str">
        <f t="shared" si="23"/>
        <v>'Lanç (8)'!$K$5</v>
      </c>
      <c r="AE13" s="163">
        <f t="shared" ca="1" si="16"/>
        <v>0</v>
      </c>
      <c r="AG13" s="2" t="str">
        <f t="shared" si="24"/>
        <v>'Lanç (8)'!$F$41</v>
      </c>
      <c r="AH13" s="163">
        <f t="shared" ca="1" si="0"/>
        <v>0</v>
      </c>
      <c r="AI13" s="2" t="str">
        <f t="shared" si="25"/>
        <v>'Lanç (8)'!$F$42</v>
      </c>
      <c r="AJ13" s="163">
        <f t="shared" ca="1" si="0"/>
        <v>0</v>
      </c>
      <c r="AK13" s="2" t="str">
        <f t="shared" si="26"/>
        <v>'Lanç (8)'!$F$43</v>
      </c>
      <c r="AL13" s="163">
        <f t="shared" ca="1" si="1"/>
        <v>0</v>
      </c>
      <c r="AM13" s="2" t="str">
        <f t="shared" si="27"/>
        <v>'Lanç (8)'!$F$44</v>
      </c>
      <c r="AN13" s="163">
        <f t="shared" ca="1" si="2"/>
        <v>0</v>
      </c>
      <c r="AO13" s="2" t="str">
        <f t="shared" si="28"/>
        <v>'Lanç (8)'!$F$45</v>
      </c>
      <c r="AP13" s="163">
        <f t="shared" ca="1" si="3"/>
        <v>0</v>
      </c>
      <c r="AQ13" s="2" t="str">
        <f t="shared" si="29"/>
        <v>'Lanç (8)'!$F$46</v>
      </c>
      <c r="AR13" s="163">
        <f t="shared" ca="1" si="4"/>
        <v>0</v>
      </c>
      <c r="AS13" s="2" t="str">
        <f t="shared" si="30"/>
        <v>'Lanç (8)'!$F$47</v>
      </c>
      <c r="AT13" s="163">
        <f t="shared" ca="1" si="5"/>
        <v>0</v>
      </c>
      <c r="AU13" s="2" t="str">
        <f t="shared" si="31"/>
        <v>'Lanç (8)'!$F$48</v>
      </c>
      <c r="AV13" s="163">
        <f t="shared" ca="1" si="6"/>
        <v>0</v>
      </c>
      <c r="AW13" s="2" t="str">
        <f t="shared" si="32"/>
        <v>'Lanç (8)'!$F$49</v>
      </c>
      <c r="AX13" s="163">
        <f t="shared" ca="1" si="7"/>
        <v>0</v>
      </c>
      <c r="AY13" s="2" t="str">
        <f t="shared" si="33"/>
        <v>'Lanç (8)'!$F$51</v>
      </c>
      <c r="AZ13" s="163">
        <f t="shared" ca="1" si="8"/>
        <v>0</v>
      </c>
      <c r="BA13" s="2" t="str">
        <f t="shared" si="34"/>
        <v>'Lanç (8)'!$F$50</v>
      </c>
      <c r="BB13" s="163">
        <f t="shared" ca="1" si="9"/>
        <v>0</v>
      </c>
      <c r="BC13" s="2" t="str">
        <f t="shared" si="35"/>
        <v>'Lanç (8)'!$F$52</v>
      </c>
      <c r="BD13" s="163">
        <f t="shared" ca="1" si="10"/>
        <v>0</v>
      </c>
      <c r="BE13" s="2" t="str">
        <f t="shared" si="36"/>
        <v>'Lanç (8)'!$F$53</v>
      </c>
      <c r="BF13" s="163">
        <f t="shared" ca="1" si="11"/>
        <v>0</v>
      </c>
      <c r="BG13" s="2" t="str">
        <f t="shared" si="37"/>
        <v>'Lanç (8)'!$F$54</v>
      </c>
      <c r="BH13" s="164">
        <f t="shared" ca="1" si="12"/>
        <v>0</v>
      </c>
      <c r="BI13" s="2" t="str">
        <f t="shared" si="38"/>
        <v>'Lanç (8)'!$F$55</v>
      </c>
      <c r="BJ13" s="164">
        <f t="shared" ca="1" si="12"/>
        <v>0</v>
      </c>
      <c r="BK13" s="167">
        <f t="shared" ca="1" si="13"/>
        <v>-8.0000000000000007E-5</v>
      </c>
      <c r="BL13" s="167">
        <f t="shared" ca="1" si="14"/>
        <v>0</v>
      </c>
      <c r="BM13" s="2">
        <v>8.0000000000000007E-5</v>
      </c>
      <c r="BN13" s="169" t="str">
        <f>IF(Departamentos!C13=0,"",Departamentos!C13)</f>
        <v/>
      </c>
      <c r="BP13" s="155">
        <f t="shared" ca="1" si="17"/>
        <v>5.9375799999999979</v>
      </c>
      <c r="BQ13" s="155">
        <f t="shared" ca="1" si="18"/>
        <v>5.9374999999999982</v>
      </c>
      <c r="BR13" s="167" t="str">
        <f t="shared" si="19"/>
        <v/>
      </c>
    </row>
    <row r="14" spans="1:70" ht="30" customHeight="1" thickTop="1" thickBot="1" x14ac:dyDescent="0.25">
      <c r="U14" s="2" t="str">
        <f>Resul!R17</f>
        <v/>
      </c>
      <c r="V14" s="2" t="str">
        <f>IF(U14="","",VLOOKUP(U14,Funcionários!$C$7:$D$36,2,0))</f>
        <v/>
      </c>
      <c r="W14" s="2">
        <v>9</v>
      </c>
      <c r="X14" s="2" t="str">
        <f t="shared" si="20"/>
        <v>'Lanç (9)'!$U$8</v>
      </c>
      <c r="Y14" s="163">
        <f t="shared" ca="1" si="15"/>
        <v>0</v>
      </c>
      <c r="Z14" s="2" t="str">
        <f t="shared" si="21"/>
        <v>'Lanç (9)'!$U$16</v>
      </c>
      <c r="AA14" s="163">
        <f t="shared" ca="1" si="15"/>
        <v>0</v>
      </c>
      <c r="AB14" s="2" t="str">
        <f t="shared" si="22"/>
        <v>'Lanç (9)'!$U$14</v>
      </c>
      <c r="AC14" s="163">
        <f t="shared" ca="1" si="16"/>
        <v>0</v>
      </c>
      <c r="AD14" s="2" t="str">
        <f t="shared" si="23"/>
        <v>'Lanç (9)'!$K$5</v>
      </c>
      <c r="AE14" s="163">
        <f t="shared" ca="1" si="16"/>
        <v>0</v>
      </c>
      <c r="AG14" s="2" t="str">
        <f t="shared" si="24"/>
        <v>'Lanç (9)'!$F$41</v>
      </c>
      <c r="AH14" s="163">
        <f t="shared" ca="1" si="0"/>
        <v>0</v>
      </c>
      <c r="AI14" s="2" t="str">
        <f t="shared" si="25"/>
        <v>'Lanç (9)'!$F$42</v>
      </c>
      <c r="AJ14" s="163">
        <f t="shared" ca="1" si="0"/>
        <v>0</v>
      </c>
      <c r="AK14" s="2" t="str">
        <f t="shared" si="26"/>
        <v>'Lanç (9)'!$F$43</v>
      </c>
      <c r="AL14" s="163">
        <f t="shared" ca="1" si="1"/>
        <v>0</v>
      </c>
      <c r="AM14" s="2" t="str">
        <f t="shared" si="27"/>
        <v>'Lanç (9)'!$F$44</v>
      </c>
      <c r="AN14" s="163">
        <f t="shared" ca="1" si="2"/>
        <v>0</v>
      </c>
      <c r="AO14" s="2" t="str">
        <f t="shared" si="28"/>
        <v>'Lanç (9)'!$F$45</v>
      </c>
      <c r="AP14" s="163">
        <f t="shared" ca="1" si="3"/>
        <v>0</v>
      </c>
      <c r="AQ14" s="2" t="str">
        <f t="shared" si="29"/>
        <v>'Lanç (9)'!$F$46</v>
      </c>
      <c r="AR14" s="163">
        <f t="shared" ca="1" si="4"/>
        <v>0</v>
      </c>
      <c r="AS14" s="2" t="str">
        <f t="shared" si="30"/>
        <v>'Lanç (9)'!$F$47</v>
      </c>
      <c r="AT14" s="163">
        <f t="shared" ca="1" si="5"/>
        <v>0</v>
      </c>
      <c r="AU14" s="2" t="str">
        <f t="shared" si="31"/>
        <v>'Lanç (9)'!$F$48</v>
      </c>
      <c r="AV14" s="163">
        <f t="shared" ca="1" si="6"/>
        <v>0</v>
      </c>
      <c r="AW14" s="2" t="str">
        <f t="shared" si="32"/>
        <v>'Lanç (9)'!$F$49</v>
      </c>
      <c r="AX14" s="163">
        <f t="shared" ca="1" si="7"/>
        <v>0</v>
      </c>
      <c r="AY14" s="2" t="str">
        <f t="shared" si="33"/>
        <v>'Lanç (9)'!$F$51</v>
      </c>
      <c r="AZ14" s="163">
        <f t="shared" ca="1" si="8"/>
        <v>0</v>
      </c>
      <c r="BA14" s="2" t="str">
        <f t="shared" si="34"/>
        <v>'Lanç (9)'!$F$50</v>
      </c>
      <c r="BB14" s="163">
        <f t="shared" ca="1" si="9"/>
        <v>0</v>
      </c>
      <c r="BC14" s="2" t="str">
        <f t="shared" si="35"/>
        <v>'Lanç (9)'!$F$52</v>
      </c>
      <c r="BD14" s="163">
        <f t="shared" ca="1" si="10"/>
        <v>0</v>
      </c>
      <c r="BE14" s="2" t="str">
        <f t="shared" si="36"/>
        <v>'Lanç (9)'!$F$53</v>
      </c>
      <c r="BF14" s="163">
        <f t="shared" ca="1" si="11"/>
        <v>0</v>
      </c>
      <c r="BG14" s="2" t="str">
        <f t="shared" si="37"/>
        <v>'Lanç (9)'!$F$54</v>
      </c>
      <c r="BH14" s="164">
        <f t="shared" ca="1" si="12"/>
        <v>0</v>
      </c>
      <c r="BI14" s="2" t="str">
        <f t="shared" si="38"/>
        <v>'Lanç (9)'!$F$55</v>
      </c>
      <c r="BJ14" s="164">
        <f t="shared" ca="1" si="12"/>
        <v>0</v>
      </c>
      <c r="BK14" s="167">
        <f t="shared" ca="1" si="13"/>
        <v>-9.0000000000000006E-5</v>
      </c>
      <c r="BL14" s="167">
        <f t="shared" ca="1" si="14"/>
        <v>0</v>
      </c>
      <c r="BM14" s="2">
        <v>9.0000000000000006E-5</v>
      </c>
      <c r="BN14" s="169" t="str">
        <f>IF(Departamentos!C14=0,"",Departamentos!C14)</f>
        <v/>
      </c>
      <c r="BP14" s="155">
        <f t="shared" ca="1" si="17"/>
        <v>5.9375899999999984</v>
      </c>
      <c r="BQ14" s="155">
        <f t="shared" ca="1" si="18"/>
        <v>5.9374999999999982</v>
      </c>
      <c r="BR14" s="167" t="str">
        <f t="shared" si="19"/>
        <v/>
      </c>
    </row>
    <row r="15" spans="1:70" ht="30" customHeight="1" thickTop="1" thickBot="1" x14ac:dyDescent="0.25">
      <c r="U15" s="2" t="str">
        <f>Resul!R18</f>
        <v/>
      </c>
      <c r="V15" s="2" t="str">
        <f>IF(U15="","",VLOOKUP(U15,Funcionários!$C$7:$D$36,2,0))</f>
        <v/>
      </c>
      <c r="W15" s="2">
        <v>10</v>
      </c>
      <c r="X15" s="2" t="str">
        <f t="shared" si="20"/>
        <v>'Lanç (10)'!$U$8</v>
      </c>
      <c r="Y15" s="163">
        <f t="shared" ca="1" si="15"/>
        <v>0</v>
      </c>
      <c r="Z15" s="2" t="str">
        <f t="shared" si="21"/>
        <v>'Lanç (10)'!$U$16</v>
      </c>
      <c r="AA15" s="163">
        <f t="shared" ca="1" si="15"/>
        <v>0</v>
      </c>
      <c r="AB15" s="2" t="str">
        <f t="shared" si="22"/>
        <v>'Lanç (10)'!$U$14</v>
      </c>
      <c r="AC15" s="163">
        <f t="shared" ca="1" si="16"/>
        <v>0</v>
      </c>
      <c r="AD15" s="2" t="str">
        <f t="shared" si="23"/>
        <v>'Lanç (10)'!$K$5</v>
      </c>
      <c r="AE15" s="163">
        <f t="shared" ca="1" si="16"/>
        <v>0</v>
      </c>
      <c r="AG15" s="2" t="str">
        <f t="shared" si="24"/>
        <v>'Lanç (10)'!$F$41</v>
      </c>
      <c r="AH15" s="163">
        <f t="shared" ca="1" si="0"/>
        <v>0</v>
      </c>
      <c r="AI15" s="2" t="str">
        <f t="shared" si="25"/>
        <v>'Lanç (10)'!$F$42</v>
      </c>
      <c r="AJ15" s="163">
        <f t="shared" ca="1" si="0"/>
        <v>0</v>
      </c>
      <c r="AK15" s="2" t="str">
        <f t="shared" si="26"/>
        <v>'Lanç (10)'!$F$43</v>
      </c>
      <c r="AL15" s="163">
        <f t="shared" ca="1" si="1"/>
        <v>0</v>
      </c>
      <c r="AM15" s="2" t="str">
        <f t="shared" si="27"/>
        <v>'Lanç (10)'!$F$44</v>
      </c>
      <c r="AN15" s="163">
        <f t="shared" ca="1" si="2"/>
        <v>0</v>
      </c>
      <c r="AO15" s="2" t="str">
        <f t="shared" si="28"/>
        <v>'Lanç (10)'!$F$45</v>
      </c>
      <c r="AP15" s="163">
        <f t="shared" ca="1" si="3"/>
        <v>0</v>
      </c>
      <c r="AQ15" s="2" t="str">
        <f t="shared" si="29"/>
        <v>'Lanç (10)'!$F$46</v>
      </c>
      <c r="AR15" s="163">
        <f t="shared" ca="1" si="4"/>
        <v>0</v>
      </c>
      <c r="AS15" s="2" t="str">
        <f t="shared" si="30"/>
        <v>'Lanç (10)'!$F$47</v>
      </c>
      <c r="AT15" s="163">
        <f t="shared" ca="1" si="5"/>
        <v>0</v>
      </c>
      <c r="AU15" s="2" t="str">
        <f t="shared" si="31"/>
        <v>'Lanç (10)'!$F$48</v>
      </c>
      <c r="AV15" s="163">
        <f t="shared" ca="1" si="6"/>
        <v>0</v>
      </c>
      <c r="AW15" s="2" t="str">
        <f t="shared" si="32"/>
        <v>'Lanç (10)'!$F$49</v>
      </c>
      <c r="AX15" s="163">
        <f t="shared" ca="1" si="7"/>
        <v>0</v>
      </c>
      <c r="AY15" s="2" t="str">
        <f t="shared" si="33"/>
        <v>'Lanç (10)'!$F$51</v>
      </c>
      <c r="AZ15" s="163">
        <f t="shared" ca="1" si="8"/>
        <v>0</v>
      </c>
      <c r="BA15" s="2" t="str">
        <f t="shared" si="34"/>
        <v>'Lanç (10)'!$F$50</v>
      </c>
      <c r="BB15" s="163">
        <f t="shared" ca="1" si="9"/>
        <v>0</v>
      </c>
      <c r="BC15" s="2" t="str">
        <f t="shared" si="35"/>
        <v>'Lanç (10)'!$F$52</v>
      </c>
      <c r="BD15" s="163">
        <f t="shared" ca="1" si="10"/>
        <v>0</v>
      </c>
      <c r="BE15" s="2" t="str">
        <f t="shared" si="36"/>
        <v>'Lanç (10)'!$F$53</v>
      </c>
      <c r="BF15" s="163">
        <f t="shared" ca="1" si="11"/>
        <v>0</v>
      </c>
      <c r="BG15" s="2" t="str">
        <f t="shared" si="37"/>
        <v>'Lanç (10)'!$F$54</v>
      </c>
      <c r="BH15" s="164">
        <f t="shared" ca="1" si="12"/>
        <v>0</v>
      </c>
      <c r="BI15" s="2" t="str">
        <f t="shared" si="38"/>
        <v>'Lanç (10)'!$F$55</v>
      </c>
      <c r="BJ15" s="164">
        <f t="shared" ca="1" si="12"/>
        <v>0</v>
      </c>
      <c r="BK15" s="169"/>
      <c r="BL15" s="167"/>
      <c r="BN15" s="167"/>
      <c r="BP15" s="155"/>
      <c r="BQ15" s="155"/>
    </row>
    <row r="16" spans="1:70" ht="30" customHeight="1" thickTop="1" thickBot="1" x14ac:dyDescent="0.25">
      <c r="C16" s="105" t="s">
        <v>248</v>
      </c>
      <c r="U16" s="2" t="str">
        <f>Resul!R19</f>
        <v/>
      </c>
      <c r="V16" s="2" t="str">
        <f>IF(U16="","",VLOOKUP(U16,Funcionários!$C$7:$D$36,2,0))</f>
        <v/>
      </c>
      <c r="W16" s="2">
        <v>11</v>
      </c>
      <c r="X16" s="2" t="str">
        <f t="shared" si="20"/>
        <v>'Lanç (11)'!$U$8</v>
      </c>
      <c r="Y16" s="163">
        <f t="shared" ca="1" si="15"/>
        <v>0</v>
      </c>
      <c r="Z16" s="2" t="str">
        <f t="shared" si="21"/>
        <v>'Lanç (11)'!$U$16</v>
      </c>
      <c r="AA16" s="163">
        <f t="shared" ca="1" si="15"/>
        <v>0</v>
      </c>
      <c r="AB16" s="2" t="str">
        <f t="shared" si="22"/>
        <v>'Lanç (11)'!$U$14</v>
      </c>
      <c r="AC16" s="163">
        <f t="shared" ca="1" si="16"/>
        <v>0</v>
      </c>
      <c r="AD16" s="2" t="str">
        <f t="shared" si="23"/>
        <v>'Lanç (11)'!$K$5</v>
      </c>
      <c r="AE16" s="163">
        <f t="shared" ca="1" si="16"/>
        <v>0</v>
      </c>
      <c r="AG16" s="2" t="str">
        <f t="shared" si="24"/>
        <v>'Lanç (11)'!$F$41</v>
      </c>
      <c r="AH16" s="163">
        <f t="shared" ca="1" si="0"/>
        <v>0</v>
      </c>
      <c r="AI16" s="2" t="str">
        <f t="shared" si="25"/>
        <v>'Lanç (11)'!$F$42</v>
      </c>
      <c r="AJ16" s="163">
        <f t="shared" ca="1" si="0"/>
        <v>0</v>
      </c>
      <c r="AK16" s="2" t="str">
        <f t="shared" si="26"/>
        <v>'Lanç (11)'!$F$43</v>
      </c>
      <c r="AL16" s="163">
        <f t="shared" ca="1" si="1"/>
        <v>0</v>
      </c>
      <c r="AM16" s="2" t="str">
        <f t="shared" si="27"/>
        <v>'Lanç (11)'!$F$44</v>
      </c>
      <c r="AN16" s="163">
        <f t="shared" ca="1" si="2"/>
        <v>0</v>
      </c>
      <c r="AO16" s="2" t="str">
        <f t="shared" si="28"/>
        <v>'Lanç (11)'!$F$45</v>
      </c>
      <c r="AP16" s="163">
        <f t="shared" ca="1" si="3"/>
        <v>0</v>
      </c>
      <c r="AQ16" s="2" t="str">
        <f t="shared" si="29"/>
        <v>'Lanç (11)'!$F$46</v>
      </c>
      <c r="AR16" s="163">
        <f t="shared" ca="1" si="4"/>
        <v>0</v>
      </c>
      <c r="AS16" s="2" t="str">
        <f t="shared" si="30"/>
        <v>'Lanç (11)'!$F$47</v>
      </c>
      <c r="AT16" s="163">
        <f t="shared" ca="1" si="5"/>
        <v>0</v>
      </c>
      <c r="AU16" s="2" t="str">
        <f t="shared" si="31"/>
        <v>'Lanç (11)'!$F$48</v>
      </c>
      <c r="AV16" s="163">
        <f t="shared" ca="1" si="6"/>
        <v>0</v>
      </c>
      <c r="AW16" s="2" t="str">
        <f t="shared" si="32"/>
        <v>'Lanç (11)'!$F$49</v>
      </c>
      <c r="AX16" s="163">
        <f t="shared" ca="1" si="7"/>
        <v>0</v>
      </c>
      <c r="AY16" s="2" t="str">
        <f t="shared" si="33"/>
        <v>'Lanç (11)'!$F$51</v>
      </c>
      <c r="AZ16" s="163">
        <f t="shared" ca="1" si="8"/>
        <v>0</v>
      </c>
      <c r="BA16" s="2" t="str">
        <f t="shared" si="34"/>
        <v>'Lanç (11)'!$F$50</v>
      </c>
      <c r="BB16" s="163">
        <f t="shared" ca="1" si="9"/>
        <v>0</v>
      </c>
      <c r="BC16" s="2" t="str">
        <f t="shared" si="35"/>
        <v>'Lanç (11)'!$F$52</v>
      </c>
      <c r="BD16" s="163">
        <f t="shared" ca="1" si="10"/>
        <v>0</v>
      </c>
      <c r="BE16" s="2" t="str">
        <f t="shared" si="36"/>
        <v>'Lanç (11)'!$F$53</v>
      </c>
      <c r="BF16" s="163">
        <f t="shared" ca="1" si="11"/>
        <v>0</v>
      </c>
      <c r="BG16" s="2" t="str">
        <f t="shared" si="37"/>
        <v>'Lanç (11)'!$F$54</v>
      </c>
      <c r="BH16" s="164">
        <f t="shared" ca="1" si="12"/>
        <v>0</v>
      </c>
      <c r="BI16" s="2" t="str">
        <f t="shared" si="38"/>
        <v>'Lanç (11)'!$F$55</v>
      </c>
      <c r="BJ16" s="164">
        <f t="shared" ca="1" si="12"/>
        <v>0</v>
      </c>
      <c r="BK16" s="169"/>
      <c r="BL16" s="167"/>
      <c r="BN16" s="167"/>
      <c r="BP16" s="155"/>
      <c r="BQ16" s="155"/>
    </row>
    <row r="17" spans="3:69" ht="30" customHeight="1" thickTop="1" thickBot="1" x14ac:dyDescent="0.25">
      <c r="U17" s="2" t="str">
        <f>Resul!R20</f>
        <v/>
      </c>
      <c r="V17" s="2" t="str">
        <f>IF(U17="","",VLOOKUP(U17,Funcionários!$C$7:$D$36,2,0))</f>
        <v/>
      </c>
      <c r="W17" s="2">
        <v>12</v>
      </c>
      <c r="X17" s="2" t="str">
        <f t="shared" si="20"/>
        <v>'Lanç (12)'!$U$8</v>
      </c>
      <c r="Y17" s="163">
        <f t="shared" ca="1" si="15"/>
        <v>0</v>
      </c>
      <c r="Z17" s="2" t="str">
        <f t="shared" si="21"/>
        <v>'Lanç (12)'!$U$16</v>
      </c>
      <c r="AA17" s="163">
        <f t="shared" ca="1" si="15"/>
        <v>0</v>
      </c>
      <c r="AB17" s="2" t="str">
        <f t="shared" si="22"/>
        <v>'Lanç (12)'!$U$14</v>
      </c>
      <c r="AC17" s="163">
        <f t="shared" ca="1" si="16"/>
        <v>0</v>
      </c>
      <c r="AD17" s="2" t="str">
        <f t="shared" si="23"/>
        <v>'Lanç (12)'!$K$5</v>
      </c>
      <c r="AE17" s="163">
        <f t="shared" ca="1" si="16"/>
        <v>0</v>
      </c>
      <c r="AG17" s="2" t="str">
        <f t="shared" si="24"/>
        <v>'Lanç (12)'!$F$41</v>
      </c>
      <c r="AH17" s="163">
        <f t="shared" ca="1" si="0"/>
        <v>0</v>
      </c>
      <c r="AI17" s="2" t="str">
        <f t="shared" si="25"/>
        <v>'Lanç (12)'!$F$42</v>
      </c>
      <c r="AJ17" s="163">
        <f t="shared" ca="1" si="0"/>
        <v>0</v>
      </c>
      <c r="AK17" s="2" t="str">
        <f t="shared" si="26"/>
        <v>'Lanç (12)'!$F$43</v>
      </c>
      <c r="AL17" s="163">
        <f t="shared" ca="1" si="1"/>
        <v>0</v>
      </c>
      <c r="AM17" s="2" t="str">
        <f t="shared" si="27"/>
        <v>'Lanç (12)'!$F$44</v>
      </c>
      <c r="AN17" s="163">
        <f t="shared" ca="1" si="2"/>
        <v>0</v>
      </c>
      <c r="AO17" s="2" t="str">
        <f t="shared" si="28"/>
        <v>'Lanç (12)'!$F$45</v>
      </c>
      <c r="AP17" s="163">
        <f t="shared" ca="1" si="3"/>
        <v>0</v>
      </c>
      <c r="AQ17" s="2" t="str">
        <f t="shared" si="29"/>
        <v>'Lanç (12)'!$F$46</v>
      </c>
      <c r="AR17" s="163">
        <f t="shared" ca="1" si="4"/>
        <v>0</v>
      </c>
      <c r="AS17" s="2" t="str">
        <f t="shared" si="30"/>
        <v>'Lanç (12)'!$F$47</v>
      </c>
      <c r="AT17" s="163">
        <f t="shared" ca="1" si="5"/>
        <v>0</v>
      </c>
      <c r="AU17" s="2" t="str">
        <f t="shared" si="31"/>
        <v>'Lanç (12)'!$F$48</v>
      </c>
      <c r="AV17" s="163">
        <f t="shared" ca="1" si="6"/>
        <v>0</v>
      </c>
      <c r="AW17" s="2" t="str">
        <f t="shared" si="32"/>
        <v>'Lanç (12)'!$F$49</v>
      </c>
      <c r="AX17" s="163">
        <f t="shared" ca="1" si="7"/>
        <v>0</v>
      </c>
      <c r="AY17" s="2" t="str">
        <f t="shared" si="33"/>
        <v>'Lanç (12)'!$F$51</v>
      </c>
      <c r="AZ17" s="163">
        <f t="shared" ca="1" si="8"/>
        <v>0</v>
      </c>
      <c r="BA17" s="2" t="str">
        <f t="shared" si="34"/>
        <v>'Lanç (12)'!$F$50</v>
      </c>
      <c r="BB17" s="163">
        <f t="shared" ca="1" si="9"/>
        <v>0</v>
      </c>
      <c r="BC17" s="2" t="str">
        <f t="shared" si="35"/>
        <v>'Lanç (12)'!$F$52</v>
      </c>
      <c r="BD17" s="163">
        <f t="shared" ca="1" si="10"/>
        <v>0</v>
      </c>
      <c r="BE17" s="2" t="str">
        <f t="shared" si="36"/>
        <v>'Lanç (12)'!$F$53</v>
      </c>
      <c r="BF17" s="163">
        <f t="shared" ca="1" si="11"/>
        <v>0</v>
      </c>
      <c r="BG17" s="2" t="str">
        <f t="shared" si="37"/>
        <v>'Lanç (12)'!$F$54</v>
      </c>
      <c r="BH17" s="164">
        <f t="shared" ca="1" si="12"/>
        <v>0</v>
      </c>
      <c r="BI17" s="2" t="str">
        <f t="shared" si="38"/>
        <v>'Lanç (12)'!$F$55</v>
      </c>
      <c r="BJ17" s="164">
        <f t="shared" ca="1" si="12"/>
        <v>0</v>
      </c>
      <c r="BK17" s="169"/>
      <c r="BL17" s="167"/>
      <c r="BN17" s="167"/>
      <c r="BP17" s="155"/>
      <c r="BQ17" s="155"/>
    </row>
    <row r="18" spans="3:69" ht="30" customHeight="1" thickTop="1" thickBot="1" x14ac:dyDescent="0.25">
      <c r="U18" s="2" t="str">
        <f>Resul!R21</f>
        <v/>
      </c>
      <c r="V18" s="2" t="str">
        <f>IF(U18="","",VLOOKUP(U18,Funcionários!$C$7:$D$36,2,0))</f>
        <v/>
      </c>
      <c r="W18" s="2">
        <v>13</v>
      </c>
      <c r="X18" s="2" t="str">
        <f t="shared" si="20"/>
        <v>'Lanç (13)'!$U$8</v>
      </c>
      <c r="Y18" s="163">
        <f t="shared" ca="1" si="15"/>
        <v>0</v>
      </c>
      <c r="Z18" s="2" t="str">
        <f t="shared" si="21"/>
        <v>'Lanç (13)'!$U$16</v>
      </c>
      <c r="AA18" s="163">
        <f t="shared" ca="1" si="15"/>
        <v>0</v>
      </c>
      <c r="AB18" s="2" t="str">
        <f t="shared" si="22"/>
        <v>'Lanç (13)'!$U$14</v>
      </c>
      <c r="AC18" s="163">
        <f t="shared" ca="1" si="16"/>
        <v>0</v>
      </c>
      <c r="AD18" s="2" t="str">
        <f t="shared" si="23"/>
        <v>'Lanç (13)'!$K$5</v>
      </c>
      <c r="AE18" s="163">
        <f t="shared" ca="1" si="16"/>
        <v>0</v>
      </c>
      <c r="AG18" s="2" t="str">
        <f t="shared" si="24"/>
        <v>'Lanç (13)'!$F$41</v>
      </c>
      <c r="AH18" s="163">
        <f t="shared" ca="1" si="0"/>
        <v>0</v>
      </c>
      <c r="AI18" s="2" t="str">
        <f t="shared" si="25"/>
        <v>'Lanç (13)'!$F$42</v>
      </c>
      <c r="AJ18" s="163">
        <f t="shared" ca="1" si="0"/>
        <v>0</v>
      </c>
      <c r="AK18" s="2" t="str">
        <f t="shared" si="26"/>
        <v>'Lanç (13)'!$F$43</v>
      </c>
      <c r="AL18" s="163">
        <f t="shared" ca="1" si="1"/>
        <v>0</v>
      </c>
      <c r="AM18" s="2" t="str">
        <f t="shared" si="27"/>
        <v>'Lanç (13)'!$F$44</v>
      </c>
      <c r="AN18" s="163">
        <f t="shared" ca="1" si="2"/>
        <v>0</v>
      </c>
      <c r="AO18" s="2" t="str">
        <f t="shared" si="28"/>
        <v>'Lanç (13)'!$F$45</v>
      </c>
      <c r="AP18" s="163">
        <f t="shared" ca="1" si="3"/>
        <v>0</v>
      </c>
      <c r="AQ18" s="2" t="str">
        <f t="shared" si="29"/>
        <v>'Lanç (13)'!$F$46</v>
      </c>
      <c r="AR18" s="163">
        <f t="shared" ca="1" si="4"/>
        <v>0</v>
      </c>
      <c r="AS18" s="2" t="str">
        <f t="shared" si="30"/>
        <v>'Lanç (13)'!$F$47</v>
      </c>
      <c r="AT18" s="163">
        <f t="shared" ca="1" si="5"/>
        <v>0</v>
      </c>
      <c r="AU18" s="2" t="str">
        <f t="shared" si="31"/>
        <v>'Lanç (13)'!$F$48</v>
      </c>
      <c r="AV18" s="163">
        <f t="shared" ca="1" si="6"/>
        <v>0</v>
      </c>
      <c r="AW18" s="2" t="str">
        <f t="shared" si="32"/>
        <v>'Lanç (13)'!$F$49</v>
      </c>
      <c r="AX18" s="163">
        <f t="shared" ca="1" si="7"/>
        <v>0</v>
      </c>
      <c r="AY18" s="2" t="str">
        <f t="shared" si="33"/>
        <v>'Lanç (13)'!$F$51</v>
      </c>
      <c r="AZ18" s="163">
        <f t="shared" ca="1" si="8"/>
        <v>0</v>
      </c>
      <c r="BA18" s="2" t="str">
        <f t="shared" si="34"/>
        <v>'Lanç (13)'!$F$50</v>
      </c>
      <c r="BB18" s="163">
        <f t="shared" ca="1" si="9"/>
        <v>0</v>
      </c>
      <c r="BC18" s="2" t="str">
        <f t="shared" si="35"/>
        <v>'Lanç (13)'!$F$52</v>
      </c>
      <c r="BD18" s="163">
        <f t="shared" ca="1" si="10"/>
        <v>0</v>
      </c>
      <c r="BE18" s="2" t="str">
        <f t="shared" si="36"/>
        <v>'Lanç (13)'!$F$53</v>
      </c>
      <c r="BF18" s="163">
        <f t="shared" ca="1" si="11"/>
        <v>0</v>
      </c>
      <c r="BG18" s="2" t="str">
        <f t="shared" si="37"/>
        <v>'Lanç (13)'!$F$54</v>
      </c>
      <c r="BH18" s="164">
        <f t="shared" ca="1" si="12"/>
        <v>0</v>
      </c>
      <c r="BI18" s="2" t="str">
        <f t="shared" si="38"/>
        <v>'Lanç (13)'!$F$55</v>
      </c>
      <c r="BJ18" s="164">
        <f t="shared" ca="1" si="12"/>
        <v>0</v>
      </c>
      <c r="BK18" s="169"/>
      <c r="BL18" s="167"/>
      <c r="BN18" s="167"/>
      <c r="BP18" s="155"/>
      <c r="BQ18" s="155"/>
    </row>
    <row r="19" spans="3:69" ht="30" customHeight="1" thickTop="1" thickBot="1" x14ac:dyDescent="0.25">
      <c r="U19" s="2" t="str">
        <f>Resul!R22</f>
        <v/>
      </c>
      <c r="V19" s="2" t="str">
        <f>IF(U19="","",VLOOKUP(U19,Funcionários!$C$7:$D$36,2,0))</f>
        <v/>
      </c>
      <c r="W19" s="2">
        <v>14</v>
      </c>
      <c r="X19" s="2" t="str">
        <f t="shared" si="20"/>
        <v>'Lanç (14)'!$U$8</v>
      </c>
      <c r="Y19" s="163">
        <f t="shared" ca="1" si="15"/>
        <v>0</v>
      </c>
      <c r="Z19" s="2" t="str">
        <f t="shared" si="21"/>
        <v>'Lanç (14)'!$U$16</v>
      </c>
      <c r="AA19" s="163">
        <f t="shared" ca="1" si="15"/>
        <v>0</v>
      </c>
      <c r="AB19" s="2" t="str">
        <f t="shared" si="22"/>
        <v>'Lanç (14)'!$U$14</v>
      </c>
      <c r="AC19" s="163">
        <f t="shared" ca="1" si="16"/>
        <v>0</v>
      </c>
      <c r="AD19" s="2" t="str">
        <f t="shared" si="23"/>
        <v>'Lanç (14)'!$K$5</v>
      </c>
      <c r="AE19" s="163">
        <f t="shared" ca="1" si="16"/>
        <v>0</v>
      </c>
      <c r="AG19" s="2" t="str">
        <f t="shared" si="24"/>
        <v>'Lanç (14)'!$F$41</v>
      </c>
      <c r="AH19" s="163">
        <f t="shared" ca="1" si="0"/>
        <v>0</v>
      </c>
      <c r="AI19" s="2" t="str">
        <f t="shared" si="25"/>
        <v>'Lanç (14)'!$F$42</v>
      </c>
      <c r="AJ19" s="163">
        <f t="shared" ca="1" si="0"/>
        <v>0</v>
      </c>
      <c r="AK19" s="2" t="str">
        <f t="shared" si="26"/>
        <v>'Lanç (14)'!$F$43</v>
      </c>
      <c r="AL19" s="163">
        <f t="shared" ca="1" si="1"/>
        <v>0</v>
      </c>
      <c r="AM19" s="2" t="str">
        <f t="shared" si="27"/>
        <v>'Lanç (14)'!$F$44</v>
      </c>
      <c r="AN19" s="163">
        <f t="shared" ca="1" si="2"/>
        <v>0</v>
      </c>
      <c r="AO19" s="2" t="str">
        <f t="shared" si="28"/>
        <v>'Lanç (14)'!$F$45</v>
      </c>
      <c r="AP19" s="163">
        <f t="shared" ca="1" si="3"/>
        <v>0</v>
      </c>
      <c r="AQ19" s="2" t="str">
        <f t="shared" si="29"/>
        <v>'Lanç (14)'!$F$46</v>
      </c>
      <c r="AR19" s="163">
        <f t="shared" ca="1" si="4"/>
        <v>0</v>
      </c>
      <c r="AS19" s="2" t="str">
        <f t="shared" si="30"/>
        <v>'Lanç (14)'!$F$47</v>
      </c>
      <c r="AT19" s="163">
        <f t="shared" ca="1" si="5"/>
        <v>0</v>
      </c>
      <c r="AU19" s="2" t="str">
        <f t="shared" si="31"/>
        <v>'Lanç (14)'!$F$48</v>
      </c>
      <c r="AV19" s="163">
        <f t="shared" ca="1" si="6"/>
        <v>0</v>
      </c>
      <c r="AW19" s="2" t="str">
        <f t="shared" si="32"/>
        <v>'Lanç (14)'!$F$49</v>
      </c>
      <c r="AX19" s="163">
        <f t="shared" ca="1" si="7"/>
        <v>0</v>
      </c>
      <c r="AY19" s="2" t="str">
        <f t="shared" si="33"/>
        <v>'Lanç (14)'!$F$51</v>
      </c>
      <c r="AZ19" s="163">
        <f t="shared" ca="1" si="8"/>
        <v>0</v>
      </c>
      <c r="BA19" s="2" t="str">
        <f t="shared" si="34"/>
        <v>'Lanç (14)'!$F$50</v>
      </c>
      <c r="BB19" s="163">
        <f t="shared" ca="1" si="9"/>
        <v>0</v>
      </c>
      <c r="BC19" s="2" t="str">
        <f t="shared" si="35"/>
        <v>'Lanç (14)'!$F$52</v>
      </c>
      <c r="BD19" s="163">
        <f t="shared" ca="1" si="10"/>
        <v>0</v>
      </c>
      <c r="BE19" s="2" t="str">
        <f t="shared" si="36"/>
        <v>'Lanç (14)'!$F$53</v>
      </c>
      <c r="BF19" s="163">
        <f t="shared" ca="1" si="11"/>
        <v>0</v>
      </c>
      <c r="BG19" s="2" t="str">
        <f t="shared" si="37"/>
        <v>'Lanç (14)'!$F$54</v>
      </c>
      <c r="BH19" s="164">
        <f t="shared" ca="1" si="12"/>
        <v>0</v>
      </c>
      <c r="BI19" s="2" t="str">
        <f t="shared" si="38"/>
        <v>'Lanç (14)'!$F$55</v>
      </c>
      <c r="BJ19" s="164">
        <f t="shared" ca="1" si="12"/>
        <v>0</v>
      </c>
      <c r="BK19" s="169"/>
      <c r="BL19" s="167"/>
      <c r="BN19" s="167"/>
      <c r="BP19" s="155"/>
      <c r="BQ19" s="155"/>
    </row>
    <row r="20" spans="3:69" ht="30" customHeight="1" thickTop="1" thickBot="1" x14ac:dyDescent="0.25">
      <c r="U20" s="2" t="str">
        <f>Resul!R23</f>
        <v/>
      </c>
      <c r="V20" s="2" t="str">
        <f>IF(U20="","",VLOOKUP(U20,Funcionários!$C$7:$D$36,2,0))</f>
        <v/>
      </c>
      <c r="W20" s="2">
        <v>15</v>
      </c>
      <c r="X20" s="2" t="str">
        <f t="shared" si="20"/>
        <v>'Lanç (15)'!$U$8</v>
      </c>
      <c r="Y20" s="163">
        <f t="shared" ca="1" si="15"/>
        <v>0</v>
      </c>
      <c r="Z20" s="2" t="str">
        <f t="shared" si="21"/>
        <v>'Lanç (15)'!$U$16</v>
      </c>
      <c r="AA20" s="163">
        <f t="shared" ca="1" si="15"/>
        <v>0</v>
      </c>
      <c r="AB20" s="2" t="str">
        <f t="shared" si="22"/>
        <v>'Lanç (15)'!$U$14</v>
      </c>
      <c r="AC20" s="163">
        <f t="shared" ca="1" si="16"/>
        <v>0</v>
      </c>
      <c r="AD20" s="2" t="str">
        <f t="shared" si="23"/>
        <v>'Lanç (15)'!$K$5</v>
      </c>
      <c r="AE20" s="163">
        <f t="shared" ca="1" si="16"/>
        <v>0</v>
      </c>
      <c r="AG20" s="2" t="str">
        <f t="shared" si="24"/>
        <v>'Lanç (15)'!$F$41</v>
      </c>
      <c r="AH20" s="163">
        <f t="shared" ca="1" si="0"/>
        <v>0</v>
      </c>
      <c r="AI20" s="2" t="str">
        <f t="shared" si="25"/>
        <v>'Lanç (15)'!$F$42</v>
      </c>
      <c r="AJ20" s="163">
        <f t="shared" ca="1" si="0"/>
        <v>0</v>
      </c>
      <c r="AK20" s="2" t="str">
        <f t="shared" si="26"/>
        <v>'Lanç (15)'!$F$43</v>
      </c>
      <c r="AL20" s="163">
        <f t="shared" ca="1" si="1"/>
        <v>0</v>
      </c>
      <c r="AM20" s="2" t="str">
        <f t="shared" si="27"/>
        <v>'Lanç (15)'!$F$44</v>
      </c>
      <c r="AN20" s="163">
        <f t="shared" ca="1" si="2"/>
        <v>0</v>
      </c>
      <c r="AO20" s="2" t="str">
        <f t="shared" si="28"/>
        <v>'Lanç (15)'!$F$45</v>
      </c>
      <c r="AP20" s="163">
        <f t="shared" ca="1" si="3"/>
        <v>0</v>
      </c>
      <c r="AQ20" s="2" t="str">
        <f t="shared" si="29"/>
        <v>'Lanç (15)'!$F$46</v>
      </c>
      <c r="AR20" s="163">
        <f t="shared" ca="1" si="4"/>
        <v>0</v>
      </c>
      <c r="AS20" s="2" t="str">
        <f t="shared" si="30"/>
        <v>'Lanç (15)'!$F$47</v>
      </c>
      <c r="AT20" s="163">
        <f t="shared" ca="1" si="5"/>
        <v>0</v>
      </c>
      <c r="AU20" s="2" t="str">
        <f t="shared" si="31"/>
        <v>'Lanç (15)'!$F$48</v>
      </c>
      <c r="AV20" s="163">
        <f t="shared" ca="1" si="6"/>
        <v>0</v>
      </c>
      <c r="AW20" s="2" t="str">
        <f t="shared" si="32"/>
        <v>'Lanç (15)'!$F$49</v>
      </c>
      <c r="AX20" s="163">
        <f t="shared" ca="1" si="7"/>
        <v>0</v>
      </c>
      <c r="AY20" s="2" t="str">
        <f t="shared" si="33"/>
        <v>'Lanç (15)'!$F$51</v>
      </c>
      <c r="AZ20" s="163">
        <f t="shared" ca="1" si="8"/>
        <v>0</v>
      </c>
      <c r="BA20" s="2" t="str">
        <f t="shared" si="34"/>
        <v>'Lanç (15)'!$F$50</v>
      </c>
      <c r="BB20" s="163">
        <f t="shared" ca="1" si="9"/>
        <v>0</v>
      </c>
      <c r="BC20" s="2" t="str">
        <f t="shared" si="35"/>
        <v>'Lanç (15)'!$F$52</v>
      </c>
      <c r="BD20" s="163">
        <f t="shared" ca="1" si="10"/>
        <v>0</v>
      </c>
      <c r="BE20" s="2" t="str">
        <f t="shared" si="36"/>
        <v>'Lanç (15)'!$F$53</v>
      </c>
      <c r="BF20" s="163">
        <f t="shared" ca="1" si="11"/>
        <v>0</v>
      </c>
      <c r="BG20" s="2" t="str">
        <f t="shared" si="37"/>
        <v>'Lanç (15)'!$F$54</v>
      </c>
      <c r="BH20" s="164">
        <f t="shared" ca="1" si="12"/>
        <v>0</v>
      </c>
      <c r="BI20" s="2" t="str">
        <f t="shared" si="38"/>
        <v>'Lanç (15)'!$F$55</v>
      </c>
      <c r="BJ20" s="164">
        <f t="shared" ca="1" si="12"/>
        <v>0</v>
      </c>
      <c r="BK20" s="169"/>
      <c r="BL20" s="167"/>
      <c r="BN20" s="167"/>
      <c r="BP20" s="155"/>
      <c r="BQ20" s="155"/>
    </row>
    <row r="21" spans="3:69" ht="30" customHeight="1" thickTop="1" thickBot="1" x14ac:dyDescent="0.25">
      <c r="U21" s="2" t="str">
        <f>Resul!R24</f>
        <v/>
      </c>
      <c r="V21" s="2" t="str">
        <f>IF(U21="","",VLOOKUP(U21,Funcionários!$C$7:$D$36,2,0))</f>
        <v/>
      </c>
      <c r="W21" s="2">
        <v>16</v>
      </c>
      <c r="X21" s="2" t="str">
        <f t="shared" si="20"/>
        <v>'Lanç (16)'!$U$8</v>
      </c>
      <c r="Y21" s="163">
        <f t="shared" ca="1" si="15"/>
        <v>0</v>
      </c>
      <c r="Z21" s="2" t="str">
        <f t="shared" si="21"/>
        <v>'Lanç (16)'!$U$16</v>
      </c>
      <c r="AA21" s="163">
        <f t="shared" ca="1" si="15"/>
        <v>0</v>
      </c>
      <c r="AB21" s="2" t="str">
        <f t="shared" si="22"/>
        <v>'Lanç (16)'!$U$14</v>
      </c>
      <c r="AC21" s="163">
        <f t="shared" ca="1" si="16"/>
        <v>0</v>
      </c>
      <c r="AD21" s="2" t="str">
        <f t="shared" si="23"/>
        <v>'Lanç (16)'!$K$5</v>
      </c>
      <c r="AE21" s="163">
        <f t="shared" ca="1" si="16"/>
        <v>0</v>
      </c>
      <c r="AG21" s="2" t="str">
        <f t="shared" si="24"/>
        <v>'Lanç (16)'!$F$41</v>
      </c>
      <c r="AH21" s="163">
        <f t="shared" ca="1" si="0"/>
        <v>0</v>
      </c>
      <c r="AI21" s="2" t="str">
        <f t="shared" si="25"/>
        <v>'Lanç (16)'!$F$42</v>
      </c>
      <c r="AJ21" s="163">
        <f t="shared" ca="1" si="0"/>
        <v>0</v>
      </c>
      <c r="AK21" s="2" t="str">
        <f t="shared" si="26"/>
        <v>'Lanç (16)'!$F$43</v>
      </c>
      <c r="AL21" s="163">
        <f t="shared" ca="1" si="1"/>
        <v>0</v>
      </c>
      <c r="AM21" s="2" t="str">
        <f t="shared" si="27"/>
        <v>'Lanç (16)'!$F$44</v>
      </c>
      <c r="AN21" s="163">
        <f t="shared" ca="1" si="2"/>
        <v>0</v>
      </c>
      <c r="AO21" s="2" t="str">
        <f t="shared" si="28"/>
        <v>'Lanç (16)'!$F$45</v>
      </c>
      <c r="AP21" s="163">
        <f t="shared" ca="1" si="3"/>
        <v>0</v>
      </c>
      <c r="AQ21" s="2" t="str">
        <f t="shared" si="29"/>
        <v>'Lanç (16)'!$F$46</v>
      </c>
      <c r="AR21" s="163">
        <f t="shared" ca="1" si="4"/>
        <v>0</v>
      </c>
      <c r="AS21" s="2" t="str">
        <f t="shared" si="30"/>
        <v>'Lanç (16)'!$F$47</v>
      </c>
      <c r="AT21" s="163">
        <f t="shared" ca="1" si="5"/>
        <v>0</v>
      </c>
      <c r="AU21" s="2" t="str">
        <f t="shared" si="31"/>
        <v>'Lanç (16)'!$F$48</v>
      </c>
      <c r="AV21" s="163">
        <f t="shared" ca="1" si="6"/>
        <v>0</v>
      </c>
      <c r="AW21" s="2" t="str">
        <f t="shared" si="32"/>
        <v>'Lanç (16)'!$F$49</v>
      </c>
      <c r="AX21" s="163">
        <f t="shared" ca="1" si="7"/>
        <v>0</v>
      </c>
      <c r="AY21" s="2" t="str">
        <f t="shared" si="33"/>
        <v>'Lanç (16)'!$F$51</v>
      </c>
      <c r="AZ21" s="163">
        <f t="shared" ca="1" si="8"/>
        <v>0</v>
      </c>
      <c r="BA21" s="2" t="str">
        <f t="shared" si="34"/>
        <v>'Lanç (16)'!$F$50</v>
      </c>
      <c r="BB21" s="163">
        <f t="shared" ca="1" si="9"/>
        <v>0</v>
      </c>
      <c r="BC21" s="2" t="str">
        <f t="shared" si="35"/>
        <v>'Lanç (16)'!$F$52</v>
      </c>
      <c r="BD21" s="163">
        <f t="shared" ca="1" si="10"/>
        <v>0</v>
      </c>
      <c r="BE21" s="2" t="str">
        <f t="shared" si="36"/>
        <v>'Lanç (16)'!$F$53</v>
      </c>
      <c r="BF21" s="163">
        <f t="shared" ca="1" si="11"/>
        <v>0</v>
      </c>
      <c r="BG21" s="2" t="str">
        <f t="shared" si="37"/>
        <v>'Lanç (16)'!$F$54</v>
      </c>
      <c r="BH21" s="164">
        <f t="shared" ca="1" si="12"/>
        <v>0</v>
      </c>
      <c r="BI21" s="2" t="str">
        <f t="shared" si="38"/>
        <v>'Lanç (16)'!$F$55</v>
      </c>
      <c r="BJ21" s="164">
        <f t="shared" ca="1" si="12"/>
        <v>0</v>
      </c>
      <c r="BK21" s="169"/>
      <c r="BL21" s="167"/>
      <c r="BN21" s="167"/>
      <c r="BP21" s="155"/>
      <c r="BQ21" s="155"/>
    </row>
    <row r="22" spans="3:69" ht="30" customHeight="1" thickTop="1" thickBot="1" x14ac:dyDescent="0.25">
      <c r="U22" s="2" t="str">
        <f>Resul!R25</f>
        <v/>
      </c>
      <c r="V22" s="2" t="str">
        <f>IF(U22="","",VLOOKUP(U22,Funcionários!$C$7:$D$36,2,0))</f>
        <v/>
      </c>
      <c r="W22" s="2">
        <v>17</v>
      </c>
      <c r="X22" s="2" t="str">
        <f t="shared" si="20"/>
        <v>'Lanç (17)'!$U$8</v>
      </c>
      <c r="Y22" s="163">
        <f t="shared" ca="1" si="15"/>
        <v>0</v>
      </c>
      <c r="Z22" s="2" t="str">
        <f t="shared" si="21"/>
        <v>'Lanç (17)'!$U$16</v>
      </c>
      <c r="AA22" s="163">
        <f t="shared" ca="1" si="15"/>
        <v>0</v>
      </c>
      <c r="AB22" s="2" t="str">
        <f t="shared" si="22"/>
        <v>'Lanç (17)'!$U$14</v>
      </c>
      <c r="AC22" s="163">
        <f t="shared" ca="1" si="16"/>
        <v>0</v>
      </c>
      <c r="AD22" s="2" t="str">
        <f t="shared" si="23"/>
        <v>'Lanç (17)'!$K$5</v>
      </c>
      <c r="AE22" s="163">
        <f t="shared" ca="1" si="16"/>
        <v>0</v>
      </c>
      <c r="AG22" s="2" t="str">
        <f t="shared" si="24"/>
        <v>'Lanç (17)'!$F$41</v>
      </c>
      <c r="AH22" s="163">
        <f t="shared" ref="AH22:AJ35" ca="1" si="39">INDIRECT(AG22)</f>
        <v>0</v>
      </c>
      <c r="AI22" s="2" t="str">
        <f t="shared" si="25"/>
        <v>'Lanç (17)'!$F$42</v>
      </c>
      <c r="AJ22" s="163">
        <f t="shared" ca="1" si="39"/>
        <v>0</v>
      </c>
      <c r="AK22" s="2" t="str">
        <f t="shared" si="26"/>
        <v>'Lanç (17)'!$F$43</v>
      </c>
      <c r="AL22" s="163">
        <f t="shared" ca="1" si="1"/>
        <v>0</v>
      </c>
      <c r="AM22" s="2" t="str">
        <f t="shared" si="27"/>
        <v>'Lanç (17)'!$F$44</v>
      </c>
      <c r="AN22" s="163">
        <f t="shared" ca="1" si="2"/>
        <v>0</v>
      </c>
      <c r="AO22" s="2" t="str">
        <f t="shared" si="28"/>
        <v>'Lanç (17)'!$F$45</v>
      </c>
      <c r="AP22" s="163">
        <f t="shared" ca="1" si="3"/>
        <v>0</v>
      </c>
      <c r="AQ22" s="2" t="str">
        <f t="shared" si="29"/>
        <v>'Lanç (17)'!$F$46</v>
      </c>
      <c r="AR22" s="163">
        <f t="shared" ca="1" si="4"/>
        <v>0</v>
      </c>
      <c r="AS22" s="2" t="str">
        <f t="shared" si="30"/>
        <v>'Lanç (17)'!$F$47</v>
      </c>
      <c r="AT22" s="163">
        <f t="shared" ca="1" si="5"/>
        <v>0</v>
      </c>
      <c r="AU22" s="2" t="str">
        <f t="shared" si="31"/>
        <v>'Lanç (17)'!$F$48</v>
      </c>
      <c r="AV22" s="163">
        <f t="shared" ca="1" si="6"/>
        <v>0</v>
      </c>
      <c r="AW22" s="2" t="str">
        <f t="shared" si="32"/>
        <v>'Lanç (17)'!$F$49</v>
      </c>
      <c r="AX22" s="163">
        <f t="shared" ca="1" si="7"/>
        <v>0</v>
      </c>
      <c r="AY22" s="2" t="str">
        <f t="shared" si="33"/>
        <v>'Lanç (17)'!$F$51</v>
      </c>
      <c r="AZ22" s="163">
        <f t="shared" ca="1" si="8"/>
        <v>0</v>
      </c>
      <c r="BA22" s="2" t="str">
        <f t="shared" si="34"/>
        <v>'Lanç (17)'!$F$50</v>
      </c>
      <c r="BB22" s="163">
        <f t="shared" ca="1" si="9"/>
        <v>0</v>
      </c>
      <c r="BC22" s="2" t="str">
        <f t="shared" si="35"/>
        <v>'Lanç (17)'!$F$52</v>
      </c>
      <c r="BD22" s="163">
        <f t="shared" ca="1" si="10"/>
        <v>0</v>
      </c>
      <c r="BE22" s="2" t="str">
        <f t="shared" si="36"/>
        <v>'Lanç (17)'!$F$53</v>
      </c>
      <c r="BF22" s="163">
        <f t="shared" ca="1" si="11"/>
        <v>0</v>
      </c>
      <c r="BG22" s="2" t="str">
        <f t="shared" si="37"/>
        <v>'Lanç (17)'!$F$54</v>
      </c>
      <c r="BH22" s="164">
        <f t="shared" ref="BH22:BJ35" ca="1" si="40">INDIRECT(BG22)</f>
        <v>0</v>
      </c>
      <c r="BI22" s="2" t="str">
        <f t="shared" si="38"/>
        <v>'Lanç (17)'!$F$55</v>
      </c>
      <c r="BJ22" s="164">
        <f t="shared" ca="1" si="40"/>
        <v>0</v>
      </c>
      <c r="BK22" s="169"/>
      <c r="BL22" s="167"/>
      <c r="BN22" s="167"/>
      <c r="BP22" s="155"/>
      <c r="BQ22" s="155"/>
    </row>
    <row r="23" spans="3:69" ht="30" customHeight="1" thickTop="1" thickBot="1" x14ac:dyDescent="0.25">
      <c r="U23" s="2" t="str">
        <f>Resul!R26</f>
        <v/>
      </c>
      <c r="V23" s="2" t="str">
        <f>IF(U23="","",VLOOKUP(U23,Funcionários!$C$7:$D$36,2,0))</f>
        <v/>
      </c>
      <c r="W23" s="2">
        <v>18</v>
      </c>
      <c r="X23" s="2" t="str">
        <f t="shared" si="20"/>
        <v>'Lanç (18)'!$U$8</v>
      </c>
      <c r="Y23" s="163">
        <f t="shared" ref="Y23:AA35" ca="1" si="41">INDIRECT(X23)</f>
        <v>0</v>
      </c>
      <c r="Z23" s="2" t="str">
        <f t="shared" si="21"/>
        <v>'Lanç (18)'!$U$16</v>
      </c>
      <c r="AA23" s="163">
        <f t="shared" ca="1" si="41"/>
        <v>0</v>
      </c>
      <c r="AB23" s="2" t="str">
        <f t="shared" si="22"/>
        <v>'Lanç (18)'!$U$14</v>
      </c>
      <c r="AC23" s="163">
        <f t="shared" ref="AC23:AE35" ca="1" si="42">INDIRECT(AB23)</f>
        <v>0</v>
      </c>
      <c r="AD23" s="2" t="str">
        <f t="shared" si="23"/>
        <v>'Lanç (18)'!$K$5</v>
      </c>
      <c r="AE23" s="163">
        <f t="shared" ca="1" si="42"/>
        <v>0</v>
      </c>
      <c r="AG23" s="2" t="str">
        <f t="shared" si="24"/>
        <v>'Lanç (18)'!$F$41</v>
      </c>
      <c r="AH23" s="163">
        <f t="shared" ca="1" si="39"/>
        <v>0</v>
      </c>
      <c r="AI23" s="2" t="str">
        <f t="shared" si="25"/>
        <v>'Lanç (18)'!$F$42</v>
      </c>
      <c r="AJ23" s="163">
        <f t="shared" ca="1" si="39"/>
        <v>0</v>
      </c>
      <c r="AK23" s="2" t="str">
        <f t="shared" si="26"/>
        <v>'Lanç (18)'!$F$43</v>
      </c>
      <c r="AL23" s="163">
        <f t="shared" ca="1" si="1"/>
        <v>0</v>
      </c>
      <c r="AM23" s="2" t="str">
        <f t="shared" si="27"/>
        <v>'Lanç (18)'!$F$44</v>
      </c>
      <c r="AN23" s="163">
        <f t="shared" ca="1" si="2"/>
        <v>0</v>
      </c>
      <c r="AO23" s="2" t="str">
        <f t="shared" si="28"/>
        <v>'Lanç (18)'!$F$45</v>
      </c>
      <c r="AP23" s="163">
        <f t="shared" ca="1" si="3"/>
        <v>0</v>
      </c>
      <c r="AQ23" s="2" t="str">
        <f t="shared" si="29"/>
        <v>'Lanç (18)'!$F$46</v>
      </c>
      <c r="AR23" s="163">
        <f t="shared" ca="1" si="4"/>
        <v>0</v>
      </c>
      <c r="AS23" s="2" t="str">
        <f t="shared" si="30"/>
        <v>'Lanç (18)'!$F$47</v>
      </c>
      <c r="AT23" s="163">
        <f t="shared" ca="1" si="5"/>
        <v>0</v>
      </c>
      <c r="AU23" s="2" t="str">
        <f t="shared" si="31"/>
        <v>'Lanç (18)'!$F$48</v>
      </c>
      <c r="AV23" s="163">
        <f t="shared" ca="1" si="6"/>
        <v>0</v>
      </c>
      <c r="AW23" s="2" t="str">
        <f t="shared" si="32"/>
        <v>'Lanç (18)'!$F$49</v>
      </c>
      <c r="AX23" s="163">
        <f t="shared" ca="1" si="7"/>
        <v>0</v>
      </c>
      <c r="AY23" s="2" t="str">
        <f t="shared" si="33"/>
        <v>'Lanç (18)'!$F$51</v>
      </c>
      <c r="AZ23" s="163">
        <f t="shared" ca="1" si="8"/>
        <v>0</v>
      </c>
      <c r="BA23" s="2" t="str">
        <f t="shared" si="34"/>
        <v>'Lanç (18)'!$F$50</v>
      </c>
      <c r="BB23" s="163">
        <f t="shared" ca="1" si="9"/>
        <v>0</v>
      </c>
      <c r="BC23" s="2" t="str">
        <f t="shared" si="35"/>
        <v>'Lanç (18)'!$F$52</v>
      </c>
      <c r="BD23" s="163">
        <f t="shared" ca="1" si="10"/>
        <v>0</v>
      </c>
      <c r="BE23" s="2" t="str">
        <f t="shared" si="36"/>
        <v>'Lanç (18)'!$F$53</v>
      </c>
      <c r="BF23" s="163">
        <f t="shared" ca="1" si="11"/>
        <v>0</v>
      </c>
      <c r="BG23" s="2" t="str">
        <f t="shared" si="37"/>
        <v>'Lanç (18)'!$F$54</v>
      </c>
      <c r="BH23" s="164">
        <f t="shared" ca="1" si="40"/>
        <v>0</v>
      </c>
      <c r="BI23" s="2" t="str">
        <f t="shared" si="38"/>
        <v>'Lanç (18)'!$F$55</v>
      </c>
      <c r="BJ23" s="164">
        <f t="shared" ca="1" si="40"/>
        <v>0</v>
      </c>
      <c r="BK23" s="169"/>
      <c r="BL23" s="167"/>
      <c r="BN23" s="167"/>
      <c r="BP23" s="155"/>
      <c r="BQ23" s="155"/>
    </row>
    <row r="24" spans="3:69" ht="30" customHeight="1" thickTop="1" thickBot="1" x14ac:dyDescent="0.25">
      <c r="U24" s="2" t="str">
        <f>Resul!R27</f>
        <v/>
      </c>
      <c r="V24" s="2" t="str">
        <f>IF(U24="","",VLOOKUP(U24,Funcionários!$C$7:$D$36,2,0))</f>
        <v/>
      </c>
      <c r="W24" s="2">
        <v>19</v>
      </c>
      <c r="X24" s="2" t="str">
        <f t="shared" si="20"/>
        <v>'Lanç (19)'!$U$8</v>
      </c>
      <c r="Y24" s="163">
        <f t="shared" ca="1" si="41"/>
        <v>0</v>
      </c>
      <c r="Z24" s="2" t="str">
        <f t="shared" si="21"/>
        <v>'Lanç (19)'!$U$16</v>
      </c>
      <c r="AA24" s="163">
        <f t="shared" ca="1" si="41"/>
        <v>0</v>
      </c>
      <c r="AB24" s="2" t="str">
        <f t="shared" si="22"/>
        <v>'Lanç (19)'!$U$14</v>
      </c>
      <c r="AC24" s="163">
        <f t="shared" ca="1" si="42"/>
        <v>0</v>
      </c>
      <c r="AD24" s="2" t="str">
        <f t="shared" si="23"/>
        <v>'Lanç (19)'!$K$5</v>
      </c>
      <c r="AE24" s="163">
        <f t="shared" ca="1" si="42"/>
        <v>0</v>
      </c>
      <c r="AG24" s="2" t="str">
        <f t="shared" si="24"/>
        <v>'Lanç (19)'!$F$41</v>
      </c>
      <c r="AH24" s="163">
        <f t="shared" ca="1" si="39"/>
        <v>0</v>
      </c>
      <c r="AI24" s="2" t="str">
        <f t="shared" si="25"/>
        <v>'Lanç (19)'!$F$42</v>
      </c>
      <c r="AJ24" s="163">
        <f t="shared" ca="1" si="39"/>
        <v>0</v>
      </c>
      <c r="AK24" s="2" t="str">
        <f t="shared" si="26"/>
        <v>'Lanç (19)'!$F$43</v>
      </c>
      <c r="AL24" s="163">
        <f t="shared" ca="1" si="1"/>
        <v>0</v>
      </c>
      <c r="AM24" s="2" t="str">
        <f t="shared" si="27"/>
        <v>'Lanç (19)'!$F$44</v>
      </c>
      <c r="AN24" s="163">
        <f t="shared" ca="1" si="2"/>
        <v>0</v>
      </c>
      <c r="AO24" s="2" t="str">
        <f t="shared" si="28"/>
        <v>'Lanç (19)'!$F$45</v>
      </c>
      <c r="AP24" s="163">
        <f t="shared" ca="1" si="3"/>
        <v>0</v>
      </c>
      <c r="AQ24" s="2" t="str">
        <f t="shared" si="29"/>
        <v>'Lanç (19)'!$F$46</v>
      </c>
      <c r="AR24" s="163">
        <f t="shared" ca="1" si="4"/>
        <v>0</v>
      </c>
      <c r="AS24" s="2" t="str">
        <f t="shared" si="30"/>
        <v>'Lanç (19)'!$F$47</v>
      </c>
      <c r="AT24" s="163">
        <f t="shared" ca="1" si="5"/>
        <v>0</v>
      </c>
      <c r="AU24" s="2" t="str">
        <f t="shared" si="31"/>
        <v>'Lanç (19)'!$F$48</v>
      </c>
      <c r="AV24" s="163">
        <f t="shared" ca="1" si="6"/>
        <v>0</v>
      </c>
      <c r="AW24" s="2" t="str">
        <f t="shared" si="32"/>
        <v>'Lanç (19)'!$F$49</v>
      </c>
      <c r="AX24" s="163">
        <f t="shared" ca="1" si="7"/>
        <v>0</v>
      </c>
      <c r="AY24" s="2" t="str">
        <f t="shared" si="33"/>
        <v>'Lanç (19)'!$F$51</v>
      </c>
      <c r="AZ24" s="163">
        <f t="shared" ca="1" si="8"/>
        <v>0</v>
      </c>
      <c r="BA24" s="2" t="str">
        <f t="shared" si="34"/>
        <v>'Lanç (19)'!$F$50</v>
      </c>
      <c r="BB24" s="163">
        <f t="shared" ca="1" si="9"/>
        <v>0</v>
      </c>
      <c r="BC24" s="2" t="str">
        <f t="shared" si="35"/>
        <v>'Lanç (19)'!$F$52</v>
      </c>
      <c r="BD24" s="163">
        <f t="shared" ca="1" si="10"/>
        <v>0</v>
      </c>
      <c r="BE24" s="2" t="str">
        <f t="shared" si="36"/>
        <v>'Lanç (19)'!$F$53</v>
      </c>
      <c r="BF24" s="163">
        <f t="shared" ca="1" si="11"/>
        <v>0</v>
      </c>
      <c r="BG24" s="2" t="str">
        <f t="shared" si="37"/>
        <v>'Lanç (19)'!$F$54</v>
      </c>
      <c r="BH24" s="164">
        <f t="shared" ca="1" si="40"/>
        <v>0</v>
      </c>
      <c r="BI24" s="2" t="str">
        <f t="shared" si="38"/>
        <v>'Lanç (19)'!$F$55</v>
      </c>
      <c r="BJ24" s="164">
        <f t="shared" ca="1" si="40"/>
        <v>0</v>
      </c>
      <c r="BK24" s="169"/>
      <c r="BL24" s="167"/>
      <c r="BN24" s="167"/>
      <c r="BP24" s="155"/>
      <c r="BQ24" s="155"/>
    </row>
    <row r="25" spans="3:69" ht="30" customHeight="1" thickTop="1" thickBot="1" x14ac:dyDescent="0.25">
      <c r="C25" s="105" t="s">
        <v>247</v>
      </c>
      <c r="U25" s="2" t="str">
        <f>Resul!R28</f>
        <v/>
      </c>
      <c r="V25" s="2" t="str">
        <f>IF(U25="","",VLOOKUP(U25,Funcionários!$C$7:$D$36,2,0))</f>
        <v/>
      </c>
      <c r="W25" s="2">
        <v>20</v>
      </c>
      <c r="X25" s="2" t="str">
        <f t="shared" si="20"/>
        <v>'Lanç (20)'!$U$8</v>
      </c>
      <c r="Y25" s="163">
        <f t="shared" ca="1" si="41"/>
        <v>0</v>
      </c>
      <c r="Z25" s="2" t="str">
        <f t="shared" si="21"/>
        <v>'Lanç (20)'!$U$16</v>
      </c>
      <c r="AA25" s="163">
        <f t="shared" ca="1" si="41"/>
        <v>0</v>
      </c>
      <c r="AB25" s="2" t="str">
        <f t="shared" si="22"/>
        <v>'Lanç (20)'!$U$14</v>
      </c>
      <c r="AC25" s="163">
        <f t="shared" ca="1" si="42"/>
        <v>0</v>
      </c>
      <c r="AD25" s="2" t="str">
        <f t="shared" si="23"/>
        <v>'Lanç (20)'!$K$5</v>
      </c>
      <c r="AE25" s="163">
        <f t="shared" ca="1" si="42"/>
        <v>0</v>
      </c>
      <c r="AG25" s="2" t="str">
        <f t="shared" si="24"/>
        <v>'Lanç (20)'!$F$41</v>
      </c>
      <c r="AH25" s="163">
        <f t="shared" ca="1" si="39"/>
        <v>0</v>
      </c>
      <c r="AI25" s="2" t="str">
        <f t="shared" si="25"/>
        <v>'Lanç (20)'!$F$42</v>
      </c>
      <c r="AJ25" s="163">
        <f t="shared" ca="1" si="39"/>
        <v>0</v>
      </c>
      <c r="AK25" s="2" t="str">
        <f t="shared" si="26"/>
        <v>'Lanç (20)'!$F$43</v>
      </c>
      <c r="AL25" s="163">
        <f t="shared" ca="1" si="1"/>
        <v>0</v>
      </c>
      <c r="AM25" s="2" t="str">
        <f t="shared" si="27"/>
        <v>'Lanç (20)'!$F$44</v>
      </c>
      <c r="AN25" s="163">
        <f t="shared" ca="1" si="2"/>
        <v>0</v>
      </c>
      <c r="AO25" s="2" t="str">
        <f t="shared" si="28"/>
        <v>'Lanç (20)'!$F$45</v>
      </c>
      <c r="AP25" s="163">
        <f t="shared" ca="1" si="3"/>
        <v>0</v>
      </c>
      <c r="AQ25" s="2" t="str">
        <f t="shared" si="29"/>
        <v>'Lanç (20)'!$F$46</v>
      </c>
      <c r="AR25" s="163">
        <f t="shared" ca="1" si="4"/>
        <v>0</v>
      </c>
      <c r="AS25" s="2" t="str">
        <f t="shared" si="30"/>
        <v>'Lanç (20)'!$F$47</v>
      </c>
      <c r="AT25" s="163">
        <f t="shared" ca="1" si="5"/>
        <v>0</v>
      </c>
      <c r="AU25" s="2" t="str">
        <f t="shared" si="31"/>
        <v>'Lanç (20)'!$F$48</v>
      </c>
      <c r="AV25" s="163">
        <f t="shared" ca="1" si="6"/>
        <v>0</v>
      </c>
      <c r="AW25" s="2" t="str">
        <f t="shared" si="32"/>
        <v>'Lanç (20)'!$F$49</v>
      </c>
      <c r="AX25" s="163">
        <f t="shared" ca="1" si="7"/>
        <v>0</v>
      </c>
      <c r="AY25" s="2" t="str">
        <f t="shared" si="33"/>
        <v>'Lanç (20)'!$F$51</v>
      </c>
      <c r="AZ25" s="163">
        <f t="shared" ca="1" si="8"/>
        <v>0</v>
      </c>
      <c r="BA25" s="2" t="str">
        <f t="shared" si="34"/>
        <v>'Lanç (20)'!$F$50</v>
      </c>
      <c r="BB25" s="163">
        <f t="shared" ca="1" si="9"/>
        <v>0</v>
      </c>
      <c r="BC25" s="2" t="str">
        <f t="shared" si="35"/>
        <v>'Lanç (20)'!$F$52</v>
      </c>
      <c r="BD25" s="163">
        <f t="shared" ca="1" si="10"/>
        <v>0</v>
      </c>
      <c r="BE25" s="2" t="str">
        <f t="shared" si="36"/>
        <v>'Lanç (20)'!$F$53</v>
      </c>
      <c r="BF25" s="163">
        <f t="shared" ca="1" si="11"/>
        <v>0</v>
      </c>
      <c r="BG25" s="2" t="str">
        <f t="shared" si="37"/>
        <v>'Lanç (20)'!$F$54</v>
      </c>
      <c r="BH25" s="164">
        <f t="shared" ca="1" si="40"/>
        <v>0</v>
      </c>
      <c r="BI25" s="2" t="str">
        <f t="shared" si="38"/>
        <v>'Lanç (20)'!$F$55</v>
      </c>
      <c r="BJ25" s="164">
        <f t="shared" ca="1" si="40"/>
        <v>0</v>
      </c>
      <c r="BK25" s="169"/>
      <c r="BL25" s="167"/>
      <c r="BN25" s="167"/>
      <c r="BP25" s="155"/>
      <c r="BQ25" s="155"/>
    </row>
    <row r="26" spans="3:69" ht="30" customHeight="1" thickTop="1" thickBot="1" x14ac:dyDescent="0.25">
      <c r="U26" s="2" t="str">
        <f>Resul!R29</f>
        <v/>
      </c>
      <c r="V26" s="2" t="str">
        <f>IF(U26="","",VLOOKUP(U26,Funcionários!$C$7:$D$36,2,0))</f>
        <v/>
      </c>
      <c r="W26" s="2">
        <v>21</v>
      </c>
      <c r="X26" s="2" t="str">
        <f t="shared" si="20"/>
        <v>'Lanç (21)'!$U$8</v>
      </c>
      <c r="Y26" s="163">
        <f t="shared" ca="1" si="41"/>
        <v>0</v>
      </c>
      <c r="Z26" s="2" t="str">
        <f t="shared" si="21"/>
        <v>'Lanç (21)'!$U$16</v>
      </c>
      <c r="AA26" s="163">
        <f t="shared" ca="1" si="41"/>
        <v>0</v>
      </c>
      <c r="AB26" s="2" t="str">
        <f t="shared" si="22"/>
        <v>'Lanç (21)'!$U$14</v>
      </c>
      <c r="AC26" s="163">
        <f t="shared" ca="1" si="42"/>
        <v>0</v>
      </c>
      <c r="AD26" s="2" t="str">
        <f t="shared" si="23"/>
        <v>'Lanç (21)'!$K$5</v>
      </c>
      <c r="AE26" s="163">
        <f t="shared" ca="1" si="42"/>
        <v>0</v>
      </c>
      <c r="AG26" s="2" t="str">
        <f t="shared" si="24"/>
        <v>'Lanç (21)'!$F$41</v>
      </c>
      <c r="AH26" s="163">
        <f t="shared" ca="1" si="39"/>
        <v>0</v>
      </c>
      <c r="AI26" s="2" t="str">
        <f t="shared" si="25"/>
        <v>'Lanç (21)'!$F$42</v>
      </c>
      <c r="AJ26" s="163">
        <f t="shared" ca="1" si="39"/>
        <v>0</v>
      </c>
      <c r="AK26" s="2" t="str">
        <f t="shared" si="26"/>
        <v>'Lanç (21)'!$F$43</v>
      </c>
      <c r="AL26" s="163">
        <f t="shared" ca="1" si="1"/>
        <v>0</v>
      </c>
      <c r="AM26" s="2" t="str">
        <f t="shared" si="27"/>
        <v>'Lanç (21)'!$F$44</v>
      </c>
      <c r="AN26" s="163">
        <f t="shared" ca="1" si="2"/>
        <v>0</v>
      </c>
      <c r="AO26" s="2" t="str">
        <f t="shared" si="28"/>
        <v>'Lanç (21)'!$F$45</v>
      </c>
      <c r="AP26" s="163">
        <f t="shared" ca="1" si="3"/>
        <v>0</v>
      </c>
      <c r="AQ26" s="2" t="str">
        <f t="shared" si="29"/>
        <v>'Lanç (21)'!$F$46</v>
      </c>
      <c r="AR26" s="163">
        <f t="shared" ca="1" si="4"/>
        <v>0</v>
      </c>
      <c r="AS26" s="2" t="str">
        <f t="shared" si="30"/>
        <v>'Lanç (21)'!$F$47</v>
      </c>
      <c r="AT26" s="163">
        <f t="shared" ca="1" si="5"/>
        <v>0</v>
      </c>
      <c r="AU26" s="2" t="str">
        <f t="shared" si="31"/>
        <v>'Lanç (21)'!$F$48</v>
      </c>
      <c r="AV26" s="163">
        <f t="shared" ca="1" si="6"/>
        <v>0</v>
      </c>
      <c r="AW26" s="2" t="str">
        <f t="shared" si="32"/>
        <v>'Lanç (21)'!$F$49</v>
      </c>
      <c r="AX26" s="163">
        <f t="shared" ca="1" si="7"/>
        <v>0</v>
      </c>
      <c r="AY26" s="2" t="str">
        <f t="shared" si="33"/>
        <v>'Lanç (21)'!$F$51</v>
      </c>
      <c r="AZ26" s="163">
        <f t="shared" ca="1" si="8"/>
        <v>0</v>
      </c>
      <c r="BA26" s="2" t="str">
        <f t="shared" si="34"/>
        <v>'Lanç (21)'!$F$50</v>
      </c>
      <c r="BB26" s="163">
        <f t="shared" ca="1" si="9"/>
        <v>0</v>
      </c>
      <c r="BC26" s="2" t="str">
        <f t="shared" si="35"/>
        <v>'Lanç (21)'!$F$52</v>
      </c>
      <c r="BD26" s="163">
        <f t="shared" ca="1" si="10"/>
        <v>0</v>
      </c>
      <c r="BE26" s="2" t="str">
        <f t="shared" si="36"/>
        <v>'Lanç (21)'!$F$53</v>
      </c>
      <c r="BF26" s="163">
        <f t="shared" ca="1" si="11"/>
        <v>0</v>
      </c>
      <c r="BG26" s="2" t="str">
        <f t="shared" si="37"/>
        <v>'Lanç (21)'!$F$54</v>
      </c>
      <c r="BH26" s="164">
        <f t="shared" ca="1" si="40"/>
        <v>0</v>
      </c>
      <c r="BI26" s="2" t="str">
        <f t="shared" si="38"/>
        <v>'Lanç (21)'!$F$55</v>
      </c>
      <c r="BJ26" s="164">
        <f t="shared" ca="1" si="40"/>
        <v>0</v>
      </c>
      <c r="BK26" s="169"/>
      <c r="BL26" s="167"/>
      <c r="BN26" s="167"/>
      <c r="BP26" s="155"/>
      <c r="BQ26" s="155"/>
    </row>
    <row r="27" spans="3:69" ht="30" customHeight="1" thickTop="1" thickBot="1" x14ac:dyDescent="0.25">
      <c r="U27" s="2" t="str">
        <f>Resul!R30</f>
        <v/>
      </c>
      <c r="V27" s="2" t="str">
        <f>IF(U27="","",VLOOKUP(U27,Funcionários!$C$7:$D$36,2,0))</f>
        <v/>
      </c>
      <c r="W27" s="2">
        <v>22</v>
      </c>
      <c r="X27" s="2" t="str">
        <f t="shared" si="20"/>
        <v>'Lanç (22)'!$U$8</v>
      </c>
      <c r="Y27" s="163">
        <f t="shared" ca="1" si="41"/>
        <v>0</v>
      </c>
      <c r="Z27" s="2" t="str">
        <f t="shared" si="21"/>
        <v>'Lanç (22)'!$U$16</v>
      </c>
      <c r="AA27" s="163">
        <f t="shared" ca="1" si="41"/>
        <v>0</v>
      </c>
      <c r="AB27" s="2" t="str">
        <f t="shared" si="22"/>
        <v>'Lanç (22)'!$U$14</v>
      </c>
      <c r="AC27" s="163">
        <f t="shared" ca="1" si="42"/>
        <v>0</v>
      </c>
      <c r="AD27" s="2" t="str">
        <f t="shared" si="23"/>
        <v>'Lanç (22)'!$K$5</v>
      </c>
      <c r="AE27" s="163">
        <f t="shared" ca="1" si="42"/>
        <v>0</v>
      </c>
      <c r="AG27" s="2" t="str">
        <f t="shared" si="24"/>
        <v>'Lanç (22)'!$F$41</v>
      </c>
      <c r="AH27" s="163">
        <f t="shared" ca="1" si="39"/>
        <v>0</v>
      </c>
      <c r="AI27" s="2" t="str">
        <f t="shared" si="25"/>
        <v>'Lanç (22)'!$F$42</v>
      </c>
      <c r="AJ27" s="163">
        <f t="shared" ca="1" si="39"/>
        <v>0</v>
      </c>
      <c r="AK27" s="2" t="str">
        <f t="shared" si="26"/>
        <v>'Lanç (22)'!$F$43</v>
      </c>
      <c r="AL27" s="163">
        <f t="shared" ca="1" si="1"/>
        <v>0</v>
      </c>
      <c r="AM27" s="2" t="str">
        <f t="shared" si="27"/>
        <v>'Lanç (22)'!$F$44</v>
      </c>
      <c r="AN27" s="163">
        <f t="shared" ca="1" si="2"/>
        <v>0</v>
      </c>
      <c r="AO27" s="2" t="str">
        <f t="shared" si="28"/>
        <v>'Lanç (22)'!$F$45</v>
      </c>
      <c r="AP27" s="163">
        <f t="shared" ca="1" si="3"/>
        <v>0</v>
      </c>
      <c r="AQ27" s="2" t="str">
        <f t="shared" si="29"/>
        <v>'Lanç (22)'!$F$46</v>
      </c>
      <c r="AR27" s="163">
        <f t="shared" ca="1" si="4"/>
        <v>0</v>
      </c>
      <c r="AS27" s="2" t="str">
        <f t="shared" si="30"/>
        <v>'Lanç (22)'!$F$47</v>
      </c>
      <c r="AT27" s="163">
        <f t="shared" ca="1" si="5"/>
        <v>0</v>
      </c>
      <c r="AU27" s="2" t="str">
        <f t="shared" si="31"/>
        <v>'Lanç (22)'!$F$48</v>
      </c>
      <c r="AV27" s="163">
        <f t="shared" ca="1" si="6"/>
        <v>0</v>
      </c>
      <c r="AW27" s="2" t="str">
        <f t="shared" si="32"/>
        <v>'Lanç (22)'!$F$49</v>
      </c>
      <c r="AX27" s="163">
        <f t="shared" ca="1" si="7"/>
        <v>0</v>
      </c>
      <c r="AY27" s="2" t="str">
        <f t="shared" si="33"/>
        <v>'Lanç (22)'!$F$51</v>
      </c>
      <c r="AZ27" s="163">
        <f t="shared" ca="1" si="8"/>
        <v>0</v>
      </c>
      <c r="BA27" s="2" t="str">
        <f t="shared" si="34"/>
        <v>'Lanç (22)'!$F$50</v>
      </c>
      <c r="BB27" s="163">
        <f t="shared" ca="1" si="9"/>
        <v>0</v>
      </c>
      <c r="BC27" s="2" t="str">
        <f t="shared" si="35"/>
        <v>'Lanç (22)'!$F$52</v>
      </c>
      <c r="BD27" s="163">
        <f t="shared" ca="1" si="10"/>
        <v>0</v>
      </c>
      <c r="BE27" s="2" t="str">
        <f t="shared" si="36"/>
        <v>'Lanç (22)'!$F$53</v>
      </c>
      <c r="BF27" s="163">
        <f t="shared" ca="1" si="11"/>
        <v>0</v>
      </c>
      <c r="BG27" s="2" t="str">
        <f t="shared" si="37"/>
        <v>'Lanç (22)'!$F$54</v>
      </c>
      <c r="BH27" s="164">
        <f t="shared" ca="1" si="40"/>
        <v>0</v>
      </c>
      <c r="BI27" s="2" t="str">
        <f t="shared" si="38"/>
        <v>'Lanç (22)'!$F$55</v>
      </c>
      <c r="BJ27" s="164">
        <f t="shared" ca="1" si="40"/>
        <v>0</v>
      </c>
      <c r="BK27" s="169"/>
      <c r="BL27" s="167"/>
      <c r="BN27" s="167"/>
      <c r="BP27" s="155"/>
      <c r="BQ27" s="155"/>
    </row>
    <row r="28" spans="3:69" ht="30" customHeight="1" thickTop="1" thickBot="1" x14ac:dyDescent="0.25">
      <c r="U28" s="2" t="str">
        <f>Resul!R31</f>
        <v/>
      </c>
      <c r="V28" s="2" t="str">
        <f>IF(U28="","",VLOOKUP(U28,Funcionários!$C$7:$D$36,2,0))</f>
        <v/>
      </c>
      <c r="W28" s="2">
        <v>23</v>
      </c>
      <c r="X28" s="2" t="str">
        <f t="shared" si="20"/>
        <v>'Lanç (23)'!$U$8</v>
      </c>
      <c r="Y28" s="163">
        <f t="shared" ca="1" si="41"/>
        <v>0</v>
      </c>
      <c r="Z28" s="2" t="str">
        <f t="shared" si="21"/>
        <v>'Lanç (23)'!$U$16</v>
      </c>
      <c r="AA28" s="163">
        <f t="shared" ca="1" si="41"/>
        <v>0</v>
      </c>
      <c r="AB28" s="2" t="str">
        <f t="shared" si="22"/>
        <v>'Lanç (23)'!$U$14</v>
      </c>
      <c r="AC28" s="163">
        <f t="shared" ca="1" si="42"/>
        <v>0</v>
      </c>
      <c r="AD28" s="2" t="str">
        <f t="shared" si="23"/>
        <v>'Lanç (23)'!$K$5</v>
      </c>
      <c r="AE28" s="163">
        <f t="shared" ca="1" si="42"/>
        <v>0</v>
      </c>
      <c r="AG28" s="2" t="str">
        <f t="shared" si="24"/>
        <v>'Lanç (23)'!$F$41</v>
      </c>
      <c r="AH28" s="163">
        <f t="shared" ca="1" si="39"/>
        <v>0</v>
      </c>
      <c r="AI28" s="2" t="str">
        <f t="shared" si="25"/>
        <v>'Lanç (23)'!$F$42</v>
      </c>
      <c r="AJ28" s="163">
        <f t="shared" ca="1" si="39"/>
        <v>0</v>
      </c>
      <c r="AK28" s="2" t="str">
        <f t="shared" si="26"/>
        <v>'Lanç (23)'!$F$43</v>
      </c>
      <c r="AL28" s="163">
        <f t="shared" ca="1" si="1"/>
        <v>0</v>
      </c>
      <c r="AM28" s="2" t="str">
        <f t="shared" si="27"/>
        <v>'Lanç (23)'!$F$44</v>
      </c>
      <c r="AN28" s="163">
        <f t="shared" ca="1" si="2"/>
        <v>0</v>
      </c>
      <c r="AO28" s="2" t="str">
        <f t="shared" si="28"/>
        <v>'Lanç (23)'!$F$45</v>
      </c>
      <c r="AP28" s="163">
        <f t="shared" ca="1" si="3"/>
        <v>0</v>
      </c>
      <c r="AQ28" s="2" t="str">
        <f t="shared" si="29"/>
        <v>'Lanç (23)'!$F$46</v>
      </c>
      <c r="AR28" s="163">
        <f t="shared" ca="1" si="4"/>
        <v>0</v>
      </c>
      <c r="AS28" s="2" t="str">
        <f t="shared" si="30"/>
        <v>'Lanç (23)'!$F$47</v>
      </c>
      <c r="AT28" s="163">
        <f t="shared" ca="1" si="5"/>
        <v>0</v>
      </c>
      <c r="AU28" s="2" t="str">
        <f t="shared" si="31"/>
        <v>'Lanç (23)'!$F$48</v>
      </c>
      <c r="AV28" s="163">
        <f t="shared" ca="1" si="6"/>
        <v>0</v>
      </c>
      <c r="AW28" s="2" t="str">
        <f t="shared" si="32"/>
        <v>'Lanç (23)'!$F$49</v>
      </c>
      <c r="AX28" s="163">
        <f t="shared" ca="1" si="7"/>
        <v>0</v>
      </c>
      <c r="AY28" s="2" t="str">
        <f t="shared" si="33"/>
        <v>'Lanç (23)'!$F$51</v>
      </c>
      <c r="AZ28" s="163">
        <f t="shared" ca="1" si="8"/>
        <v>0</v>
      </c>
      <c r="BA28" s="2" t="str">
        <f t="shared" si="34"/>
        <v>'Lanç (23)'!$F$50</v>
      </c>
      <c r="BB28" s="163">
        <f t="shared" ca="1" si="9"/>
        <v>0</v>
      </c>
      <c r="BC28" s="2" t="str">
        <f t="shared" si="35"/>
        <v>'Lanç (23)'!$F$52</v>
      </c>
      <c r="BD28" s="163">
        <f t="shared" ca="1" si="10"/>
        <v>0</v>
      </c>
      <c r="BE28" s="2" t="str">
        <f t="shared" si="36"/>
        <v>'Lanç (23)'!$F$53</v>
      </c>
      <c r="BF28" s="163">
        <f t="shared" ca="1" si="11"/>
        <v>0</v>
      </c>
      <c r="BG28" s="2" t="str">
        <f t="shared" si="37"/>
        <v>'Lanç (23)'!$F$54</v>
      </c>
      <c r="BH28" s="164">
        <f t="shared" ca="1" si="40"/>
        <v>0</v>
      </c>
      <c r="BI28" s="2" t="str">
        <f t="shared" si="38"/>
        <v>'Lanç (23)'!$F$55</v>
      </c>
      <c r="BJ28" s="164">
        <f t="shared" ca="1" si="40"/>
        <v>0</v>
      </c>
      <c r="BK28" s="169"/>
      <c r="BL28" s="167"/>
      <c r="BN28" s="167"/>
      <c r="BP28" s="155"/>
      <c r="BQ28" s="155"/>
    </row>
    <row r="29" spans="3:69" ht="30" customHeight="1" thickTop="1" thickBot="1" x14ac:dyDescent="0.25">
      <c r="U29" s="2" t="str">
        <f>Resul!R32</f>
        <v/>
      </c>
      <c r="V29" s="2" t="str">
        <f>IF(U29="","",VLOOKUP(U29,Funcionários!$C$7:$D$36,2,0))</f>
        <v/>
      </c>
      <c r="W29" s="2">
        <v>24</v>
      </c>
      <c r="X29" s="2" t="str">
        <f t="shared" si="20"/>
        <v>'Lanç (24)'!$U$8</v>
      </c>
      <c r="Y29" s="163">
        <f t="shared" ca="1" si="41"/>
        <v>0</v>
      </c>
      <c r="Z29" s="2" t="str">
        <f t="shared" si="21"/>
        <v>'Lanç (24)'!$U$16</v>
      </c>
      <c r="AA29" s="163">
        <f t="shared" ca="1" si="41"/>
        <v>0</v>
      </c>
      <c r="AB29" s="2" t="str">
        <f t="shared" si="22"/>
        <v>'Lanç (24)'!$U$14</v>
      </c>
      <c r="AC29" s="163">
        <f t="shared" ca="1" si="42"/>
        <v>0</v>
      </c>
      <c r="AD29" s="2" t="str">
        <f t="shared" si="23"/>
        <v>'Lanç (24)'!$K$5</v>
      </c>
      <c r="AE29" s="163">
        <f t="shared" ca="1" si="42"/>
        <v>0</v>
      </c>
      <c r="AG29" s="2" t="str">
        <f t="shared" si="24"/>
        <v>'Lanç (24)'!$F$41</v>
      </c>
      <c r="AH29" s="163">
        <f t="shared" ca="1" si="39"/>
        <v>0</v>
      </c>
      <c r="AI29" s="2" t="str">
        <f t="shared" si="25"/>
        <v>'Lanç (24)'!$F$42</v>
      </c>
      <c r="AJ29" s="163">
        <f t="shared" ca="1" si="39"/>
        <v>0</v>
      </c>
      <c r="AK29" s="2" t="str">
        <f t="shared" si="26"/>
        <v>'Lanç (24)'!$F$43</v>
      </c>
      <c r="AL29" s="163">
        <f t="shared" ca="1" si="1"/>
        <v>0</v>
      </c>
      <c r="AM29" s="2" t="str">
        <f t="shared" si="27"/>
        <v>'Lanç (24)'!$F$44</v>
      </c>
      <c r="AN29" s="163">
        <f t="shared" ca="1" si="2"/>
        <v>0</v>
      </c>
      <c r="AO29" s="2" t="str">
        <f t="shared" si="28"/>
        <v>'Lanç (24)'!$F$45</v>
      </c>
      <c r="AP29" s="163">
        <f t="shared" ca="1" si="3"/>
        <v>0</v>
      </c>
      <c r="AQ29" s="2" t="str">
        <f t="shared" si="29"/>
        <v>'Lanç (24)'!$F$46</v>
      </c>
      <c r="AR29" s="163">
        <f t="shared" ca="1" si="4"/>
        <v>0</v>
      </c>
      <c r="AS29" s="2" t="str">
        <f t="shared" si="30"/>
        <v>'Lanç (24)'!$F$47</v>
      </c>
      <c r="AT29" s="163">
        <f t="shared" ca="1" si="5"/>
        <v>0</v>
      </c>
      <c r="AU29" s="2" t="str">
        <f t="shared" si="31"/>
        <v>'Lanç (24)'!$F$48</v>
      </c>
      <c r="AV29" s="163">
        <f t="shared" ca="1" si="6"/>
        <v>0</v>
      </c>
      <c r="AW29" s="2" t="str">
        <f t="shared" si="32"/>
        <v>'Lanç (24)'!$F$49</v>
      </c>
      <c r="AX29" s="163">
        <f t="shared" ca="1" si="7"/>
        <v>0</v>
      </c>
      <c r="AY29" s="2" t="str">
        <f t="shared" si="33"/>
        <v>'Lanç (24)'!$F$51</v>
      </c>
      <c r="AZ29" s="163">
        <f t="shared" ca="1" si="8"/>
        <v>0</v>
      </c>
      <c r="BA29" s="2" t="str">
        <f t="shared" si="34"/>
        <v>'Lanç (24)'!$F$50</v>
      </c>
      <c r="BB29" s="163">
        <f t="shared" ca="1" si="9"/>
        <v>0</v>
      </c>
      <c r="BC29" s="2" t="str">
        <f t="shared" si="35"/>
        <v>'Lanç (24)'!$F$52</v>
      </c>
      <c r="BD29" s="163">
        <f t="shared" ca="1" si="10"/>
        <v>0</v>
      </c>
      <c r="BE29" s="2" t="str">
        <f t="shared" si="36"/>
        <v>'Lanç (24)'!$F$53</v>
      </c>
      <c r="BF29" s="163">
        <f t="shared" ca="1" si="11"/>
        <v>0</v>
      </c>
      <c r="BG29" s="2" t="str">
        <f t="shared" si="37"/>
        <v>'Lanç (24)'!$F$54</v>
      </c>
      <c r="BH29" s="164">
        <f t="shared" ca="1" si="40"/>
        <v>0</v>
      </c>
      <c r="BI29" s="2" t="str">
        <f t="shared" si="38"/>
        <v>'Lanç (24)'!$F$55</v>
      </c>
      <c r="BJ29" s="164">
        <f t="shared" ca="1" si="40"/>
        <v>0</v>
      </c>
      <c r="BK29" s="169"/>
      <c r="BL29" s="167"/>
      <c r="BN29" s="167"/>
      <c r="BP29" s="155"/>
      <c r="BQ29" s="155"/>
    </row>
    <row r="30" spans="3:69" ht="30" customHeight="1" thickTop="1" thickBot="1" x14ac:dyDescent="0.25">
      <c r="U30" s="2" t="str">
        <f>Resul!R33</f>
        <v/>
      </c>
      <c r="V30" s="2" t="str">
        <f>IF(U30="","",VLOOKUP(U30,Funcionários!$C$7:$D$36,2,0))</f>
        <v/>
      </c>
      <c r="W30" s="2">
        <v>25</v>
      </c>
      <c r="X30" s="2" t="str">
        <f t="shared" si="20"/>
        <v>'Lanç (25)'!$U$8</v>
      </c>
      <c r="Y30" s="163">
        <f t="shared" ca="1" si="41"/>
        <v>0</v>
      </c>
      <c r="Z30" s="2" t="str">
        <f t="shared" si="21"/>
        <v>'Lanç (25)'!$U$16</v>
      </c>
      <c r="AA30" s="163">
        <f t="shared" ca="1" si="41"/>
        <v>0</v>
      </c>
      <c r="AB30" s="2" t="str">
        <f t="shared" si="22"/>
        <v>'Lanç (25)'!$U$14</v>
      </c>
      <c r="AC30" s="163">
        <f t="shared" ca="1" si="42"/>
        <v>0</v>
      </c>
      <c r="AD30" s="2" t="str">
        <f t="shared" si="23"/>
        <v>'Lanç (25)'!$K$5</v>
      </c>
      <c r="AE30" s="163">
        <f t="shared" ca="1" si="42"/>
        <v>0</v>
      </c>
      <c r="AG30" s="2" t="str">
        <f t="shared" si="24"/>
        <v>'Lanç (25)'!$F$41</v>
      </c>
      <c r="AH30" s="163">
        <f t="shared" ca="1" si="39"/>
        <v>0</v>
      </c>
      <c r="AI30" s="2" t="str">
        <f t="shared" si="25"/>
        <v>'Lanç (25)'!$F$42</v>
      </c>
      <c r="AJ30" s="163">
        <f t="shared" ca="1" si="39"/>
        <v>0</v>
      </c>
      <c r="AK30" s="2" t="str">
        <f t="shared" si="26"/>
        <v>'Lanç (25)'!$F$43</v>
      </c>
      <c r="AL30" s="163">
        <f t="shared" ca="1" si="1"/>
        <v>0</v>
      </c>
      <c r="AM30" s="2" t="str">
        <f t="shared" si="27"/>
        <v>'Lanç (25)'!$F$44</v>
      </c>
      <c r="AN30" s="163">
        <f t="shared" ca="1" si="2"/>
        <v>0</v>
      </c>
      <c r="AO30" s="2" t="str">
        <f t="shared" si="28"/>
        <v>'Lanç (25)'!$F$45</v>
      </c>
      <c r="AP30" s="163">
        <f t="shared" ca="1" si="3"/>
        <v>0</v>
      </c>
      <c r="AQ30" s="2" t="str">
        <f t="shared" si="29"/>
        <v>'Lanç (25)'!$F$46</v>
      </c>
      <c r="AR30" s="163">
        <f t="shared" ca="1" si="4"/>
        <v>0</v>
      </c>
      <c r="AS30" s="2" t="str">
        <f t="shared" si="30"/>
        <v>'Lanç (25)'!$F$47</v>
      </c>
      <c r="AT30" s="163">
        <f t="shared" ca="1" si="5"/>
        <v>0</v>
      </c>
      <c r="AU30" s="2" t="str">
        <f t="shared" si="31"/>
        <v>'Lanç (25)'!$F$48</v>
      </c>
      <c r="AV30" s="163">
        <f t="shared" ca="1" si="6"/>
        <v>0</v>
      </c>
      <c r="AW30" s="2" t="str">
        <f t="shared" si="32"/>
        <v>'Lanç (25)'!$F$49</v>
      </c>
      <c r="AX30" s="163">
        <f t="shared" ca="1" si="7"/>
        <v>0</v>
      </c>
      <c r="AY30" s="2" t="str">
        <f t="shared" si="33"/>
        <v>'Lanç (25)'!$F$51</v>
      </c>
      <c r="AZ30" s="163">
        <f t="shared" ca="1" si="8"/>
        <v>0</v>
      </c>
      <c r="BA30" s="2" t="str">
        <f t="shared" si="34"/>
        <v>'Lanç (25)'!$F$50</v>
      </c>
      <c r="BB30" s="163">
        <f t="shared" ca="1" si="9"/>
        <v>0</v>
      </c>
      <c r="BC30" s="2" t="str">
        <f t="shared" si="35"/>
        <v>'Lanç (25)'!$F$52</v>
      </c>
      <c r="BD30" s="163">
        <f t="shared" ca="1" si="10"/>
        <v>0</v>
      </c>
      <c r="BE30" s="2" t="str">
        <f t="shared" si="36"/>
        <v>'Lanç (25)'!$F$53</v>
      </c>
      <c r="BF30" s="163">
        <f t="shared" ca="1" si="11"/>
        <v>0</v>
      </c>
      <c r="BG30" s="2" t="str">
        <f t="shared" si="37"/>
        <v>'Lanç (25)'!$F$54</v>
      </c>
      <c r="BH30" s="164">
        <f t="shared" ca="1" si="40"/>
        <v>0</v>
      </c>
      <c r="BI30" s="2" t="str">
        <f t="shared" si="38"/>
        <v>'Lanç (25)'!$F$55</v>
      </c>
      <c r="BJ30" s="164">
        <f t="shared" ca="1" si="40"/>
        <v>0</v>
      </c>
      <c r="BK30" s="169"/>
      <c r="BL30" s="167"/>
      <c r="BN30" s="167"/>
      <c r="BP30" s="155"/>
      <c r="BQ30" s="155"/>
    </row>
    <row r="31" spans="3:69" ht="30" customHeight="1" thickTop="1" thickBot="1" x14ac:dyDescent="0.25">
      <c r="U31" s="2" t="str">
        <f>Resul!R34</f>
        <v/>
      </c>
      <c r="V31" s="2" t="str">
        <f>IF(U31="","",VLOOKUP(U31,Funcionários!$C$7:$D$36,2,0))</f>
        <v/>
      </c>
      <c r="W31" s="2">
        <v>26</v>
      </c>
      <c r="X31" s="2" t="str">
        <f t="shared" si="20"/>
        <v>'Lanç (26)'!$U$8</v>
      </c>
      <c r="Y31" s="163">
        <f t="shared" ca="1" si="41"/>
        <v>0</v>
      </c>
      <c r="Z31" s="2" t="str">
        <f t="shared" si="21"/>
        <v>'Lanç (26)'!$U$16</v>
      </c>
      <c r="AA31" s="163">
        <f t="shared" ca="1" si="41"/>
        <v>0</v>
      </c>
      <c r="AB31" s="2" t="str">
        <f t="shared" si="22"/>
        <v>'Lanç (26)'!$U$14</v>
      </c>
      <c r="AC31" s="163">
        <f t="shared" ca="1" si="42"/>
        <v>0</v>
      </c>
      <c r="AD31" s="2" t="str">
        <f t="shared" si="23"/>
        <v>'Lanç (26)'!$K$5</v>
      </c>
      <c r="AE31" s="163">
        <f t="shared" ca="1" si="42"/>
        <v>0</v>
      </c>
      <c r="AG31" s="2" t="str">
        <f t="shared" si="24"/>
        <v>'Lanç (26)'!$F$41</v>
      </c>
      <c r="AH31" s="163">
        <f t="shared" ca="1" si="39"/>
        <v>0</v>
      </c>
      <c r="AI31" s="2" t="str">
        <f t="shared" si="25"/>
        <v>'Lanç (26)'!$F$42</v>
      </c>
      <c r="AJ31" s="163">
        <f t="shared" ca="1" si="39"/>
        <v>0</v>
      </c>
      <c r="AK31" s="2" t="str">
        <f t="shared" si="26"/>
        <v>'Lanç (26)'!$F$43</v>
      </c>
      <c r="AL31" s="163">
        <f t="shared" ca="1" si="1"/>
        <v>0</v>
      </c>
      <c r="AM31" s="2" t="str">
        <f t="shared" si="27"/>
        <v>'Lanç (26)'!$F$44</v>
      </c>
      <c r="AN31" s="163">
        <f t="shared" ca="1" si="2"/>
        <v>0</v>
      </c>
      <c r="AO31" s="2" t="str">
        <f t="shared" si="28"/>
        <v>'Lanç (26)'!$F$45</v>
      </c>
      <c r="AP31" s="163">
        <f t="shared" ca="1" si="3"/>
        <v>0</v>
      </c>
      <c r="AQ31" s="2" t="str">
        <f t="shared" si="29"/>
        <v>'Lanç (26)'!$F$46</v>
      </c>
      <c r="AR31" s="163">
        <f t="shared" ca="1" si="4"/>
        <v>0</v>
      </c>
      <c r="AS31" s="2" t="str">
        <f t="shared" si="30"/>
        <v>'Lanç (26)'!$F$47</v>
      </c>
      <c r="AT31" s="163">
        <f t="shared" ca="1" si="5"/>
        <v>0</v>
      </c>
      <c r="AU31" s="2" t="str">
        <f t="shared" si="31"/>
        <v>'Lanç (26)'!$F$48</v>
      </c>
      <c r="AV31" s="163">
        <f t="shared" ca="1" si="6"/>
        <v>0</v>
      </c>
      <c r="AW31" s="2" t="str">
        <f t="shared" si="32"/>
        <v>'Lanç (26)'!$F$49</v>
      </c>
      <c r="AX31" s="163">
        <f t="shared" ca="1" si="7"/>
        <v>0</v>
      </c>
      <c r="AY31" s="2" t="str">
        <f t="shared" si="33"/>
        <v>'Lanç (26)'!$F$51</v>
      </c>
      <c r="AZ31" s="163">
        <f t="shared" ca="1" si="8"/>
        <v>0</v>
      </c>
      <c r="BA31" s="2" t="str">
        <f t="shared" si="34"/>
        <v>'Lanç (26)'!$F$50</v>
      </c>
      <c r="BB31" s="163">
        <f t="shared" ca="1" si="9"/>
        <v>0</v>
      </c>
      <c r="BC31" s="2" t="str">
        <f t="shared" si="35"/>
        <v>'Lanç (26)'!$F$52</v>
      </c>
      <c r="BD31" s="163">
        <f t="shared" ca="1" si="10"/>
        <v>0</v>
      </c>
      <c r="BE31" s="2" t="str">
        <f t="shared" si="36"/>
        <v>'Lanç (26)'!$F$53</v>
      </c>
      <c r="BF31" s="163">
        <f t="shared" ca="1" si="11"/>
        <v>0</v>
      </c>
      <c r="BG31" s="2" t="str">
        <f t="shared" si="37"/>
        <v>'Lanç (26)'!$F$54</v>
      </c>
      <c r="BH31" s="164">
        <f t="shared" ca="1" si="40"/>
        <v>0</v>
      </c>
      <c r="BI31" s="2" t="str">
        <f t="shared" si="38"/>
        <v>'Lanç (26)'!$F$55</v>
      </c>
      <c r="BJ31" s="164">
        <f t="shared" ca="1" si="40"/>
        <v>0</v>
      </c>
      <c r="BK31" s="169"/>
      <c r="BL31" s="167"/>
      <c r="BN31" s="167"/>
      <c r="BP31" s="155"/>
      <c r="BQ31" s="155"/>
    </row>
    <row r="32" spans="3:69" ht="30" customHeight="1" thickTop="1" thickBot="1" x14ac:dyDescent="0.25">
      <c r="U32" s="2" t="str">
        <f>Resul!R35</f>
        <v/>
      </c>
      <c r="V32" s="2" t="str">
        <f>IF(U32="","",VLOOKUP(U32,Funcionários!$C$7:$D$36,2,0))</f>
        <v/>
      </c>
      <c r="W32" s="2">
        <v>27</v>
      </c>
      <c r="X32" s="2" t="str">
        <f t="shared" si="20"/>
        <v>'Lanç (27)'!$U$8</v>
      </c>
      <c r="Y32" s="163">
        <f t="shared" ca="1" si="41"/>
        <v>0</v>
      </c>
      <c r="Z32" s="2" t="str">
        <f t="shared" si="21"/>
        <v>'Lanç (27)'!$U$16</v>
      </c>
      <c r="AA32" s="163">
        <f t="shared" ca="1" si="41"/>
        <v>0</v>
      </c>
      <c r="AB32" s="2" t="str">
        <f t="shared" si="22"/>
        <v>'Lanç (27)'!$U$14</v>
      </c>
      <c r="AC32" s="163">
        <f t="shared" ca="1" si="42"/>
        <v>0</v>
      </c>
      <c r="AD32" s="2" t="str">
        <f t="shared" si="23"/>
        <v>'Lanç (27)'!$K$5</v>
      </c>
      <c r="AE32" s="163">
        <f t="shared" ca="1" si="42"/>
        <v>0</v>
      </c>
      <c r="AG32" s="2" t="str">
        <f t="shared" si="24"/>
        <v>'Lanç (27)'!$F$41</v>
      </c>
      <c r="AH32" s="163">
        <f t="shared" ca="1" si="39"/>
        <v>0</v>
      </c>
      <c r="AI32" s="2" t="str">
        <f t="shared" si="25"/>
        <v>'Lanç (27)'!$F$42</v>
      </c>
      <c r="AJ32" s="163">
        <f t="shared" ca="1" si="39"/>
        <v>0</v>
      </c>
      <c r="AK32" s="2" t="str">
        <f t="shared" si="26"/>
        <v>'Lanç (27)'!$F$43</v>
      </c>
      <c r="AL32" s="163">
        <f t="shared" ca="1" si="1"/>
        <v>0</v>
      </c>
      <c r="AM32" s="2" t="str">
        <f t="shared" si="27"/>
        <v>'Lanç (27)'!$F$44</v>
      </c>
      <c r="AN32" s="163">
        <f t="shared" ca="1" si="2"/>
        <v>0</v>
      </c>
      <c r="AO32" s="2" t="str">
        <f t="shared" si="28"/>
        <v>'Lanç (27)'!$F$45</v>
      </c>
      <c r="AP32" s="163">
        <f t="shared" ca="1" si="3"/>
        <v>0</v>
      </c>
      <c r="AQ32" s="2" t="str">
        <f t="shared" si="29"/>
        <v>'Lanç (27)'!$F$46</v>
      </c>
      <c r="AR32" s="163">
        <f t="shared" ca="1" si="4"/>
        <v>0</v>
      </c>
      <c r="AS32" s="2" t="str">
        <f t="shared" si="30"/>
        <v>'Lanç (27)'!$F$47</v>
      </c>
      <c r="AT32" s="163">
        <f t="shared" ca="1" si="5"/>
        <v>0</v>
      </c>
      <c r="AU32" s="2" t="str">
        <f t="shared" si="31"/>
        <v>'Lanç (27)'!$F$48</v>
      </c>
      <c r="AV32" s="163">
        <f t="shared" ca="1" si="6"/>
        <v>0</v>
      </c>
      <c r="AW32" s="2" t="str">
        <f t="shared" si="32"/>
        <v>'Lanç (27)'!$F$49</v>
      </c>
      <c r="AX32" s="163">
        <f t="shared" ca="1" si="7"/>
        <v>0</v>
      </c>
      <c r="AY32" s="2" t="str">
        <f t="shared" si="33"/>
        <v>'Lanç (27)'!$F$51</v>
      </c>
      <c r="AZ32" s="163">
        <f t="shared" ca="1" si="8"/>
        <v>0</v>
      </c>
      <c r="BA32" s="2" t="str">
        <f t="shared" si="34"/>
        <v>'Lanç (27)'!$F$50</v>
      </c>
      <c r="BB32" s="163">
        <f t="shared" ca="1" si="9"/>
        <v>0</v>
      </c>
      <c r="BC32" s="2" t="str">
        <f t="shared" si="35"/>
        <v>'Lanç (27)'!$F$52</v>
      </c>
      <c r="BD32" s="163">
        <f t="shared" ca="1" si="10"/>
        <v>0</v>
      </c>
      <c r="BE32" s="2" t="str">
        <f t="shared" si="36"/>
        <v>'Lanç (27)'!$F$53</v>
      </c>
      <c r="BF32" s="163">
        <f t="shared" ca="1" si="11"/>
        <v>0</v>
      </c>
      <c r="BG32" s="2" t="str">
        <f t="shared" si="37"/>
        <v>'Lanç (27)'!$F$54</v>
      </c>
      <c r="BH32" s="164">
        <f t="shared" ca="1" si="40"/>
        <v>0</v>
      </c>
      <c r="BI32" s="2" t="str">
        <f t="shared" si="38"/>
        <v>'Lanç (27)'!$F$55</v>
      </c>
      <c r="BJ32" s="164">
        <f t="shared" ca="1" si="40"/>
        <v>0</v>
      </c>
      <c r="BK32" s="169"/>
      <c r="BL32" s="167"/>
      <c r="BN32" s="167"/>
      <c r="BP32" s="155"/>
      <c r="BQ32" s="155"/>
    </row>
    <row r="33" spans="21:69" ht="30" customHeight="1" thickTop="1" thickBot="1" x14ac:dyDescent="0.25">
      <c r="U33" s="2" t="str">
        <f>Resul!R36</f>
        <v/>
      </c>
      <c r="V33" s="2" t="str">
        <f>IF(U33="","",VLOOKUP(U33,Funcionários!$C$7:$D$36,2,0))</f>
        <v/>
      </c>
      <c r="W33" s="2">
        <v>28</v>
      </c>
      <c r="X33" s="2" t="str">
        <f t="shared" si="20"/>
        <v>'Lanç (28)'!$U$8</v>
      </c>
      <c r="Y33" s="163">
        <f t="shared" ca="1" si="41"/>
        <v>0</v>
      </c>
      <c r="Z33" s="2" t="str">
        <f t="shared" si="21"/>
        <v>'Lanç (28)'!$U$16</v>
      </c>
      <c r="AA33" s="163">
        <f t="shared" ca="1" si="41"/>
        <v>0</v>
      </c>
      <c r="AB33" s="2" t="str">
        <f t="shared" si="22"/>
        <v>'Lanç (28)'!$U$14</v>
      </c>
      <c r="AC33" s="163">
        <f t="shared" ca="1" si="42"/>
        <v>0</v>
      </c>
      <c r="AD33" s="2" t="str">
        <f t="shared" si="23"/>
        <v>'Lanç (28)'!$K$5</v>
      </c>
      <c r="AE33" s="163">
        <f t="shared" ca="1" si="42"/>
        <v>0</v>
      </c>
      <c r="AG33" s="2" t="str">
        <f t="shared" si="24"/>
        <v>'Lanç (28)'!$F$41</v>
      </c>
      <c r="AH33" s="163">
        <f t="shared" ca="1" si="39"/>
        <v>0</v>
      </c>
      <c r="AI33" s="2" t="str">
        <f t="shared" si="25"/>
        <v>'Lanç (28)'!$F$42</v>
      </c>
      <c r="AJ33" s="163">
        <f t="shared" ca="1" si="39"/>
        <v>0</v>
      </c>
      <c r="AK33" s="2" t="str">
        <f t="shared" si="26"/>
        <v>'Lanç (28)'!$F$43</v>
      </c>
      <c r="AL33" s="163">
        <f t="shared" ca="1" si="1"/>
        <v>0</v>
      </c>
      <c r="AM33" s="2" t="str">
        <f t="shared" si="27"/>
        <v>'Lanç (28)'!$F$44</v>
      </c>
      <c r="AN33" s="163">
        <f t="shared" ca="1" si="2"/>
        <v>0</v>
      </c>
      <c r="AO33" s="2" t="str">
        <f t="shared" si="28"/>
        <v>'Lanç (28)'!$F$45</v>
      </c>
      <c r="AP33" s="163">
        <f t="shared" ca="1" si="3"/>
        <v>0</v>
      </c>
      <c r="AQ33" s="2" t="str">
        <f t="shared" si="29"/>
        <v>'Lanç (28)'!$F$46</v>
      </c>
      <c r="AR33" s="163">
        <f t="shared" ca="1" si="4"/>
        <v>0</v>
      </c>
      <c r="AS33" s="2" t="str">
        <f t="shared" si="30"/>
        <v>'Lanç (28)'!$F$47</v>
      </c>
      <c r="AT33" s="163">
        <f t="shared" ca="1" si="5"/>
        <v>0</v>
      </c>
      <c r="AU33" s="2" t="str">
        <f t="shared" si="31"/>
        <v>'Lanç (28)'!$F$48</v>
      </c>
      <c r="AV33" s="163">
        <f t="shared" ca="1" si="6"/>
        <v>0</v>
      </c>
      <c r="AW33" s="2" t="str">
        <f t="shared" si="32"/>
        <v>'Lanç (28)'!$F$49</v>
      </c>
      <c r="AX33" s="163">
        <f t="shared" ca="1" si="7"/>
        <v>0</v>
      </c>
      <c r="AY33" s="2" t="str">
        <f t="shared" si="33"/>
        <v>'Lanç (28)'!$F$51</v>
      </c>
      <c r="AZ33" s="163">
        <f t="shared" ca="1" si="8"/>
        <v>0</v>
      </c>
      <c r="BA33" s="2" t="str">
        <f t="shared" si="34"/>
        <v>'Lanç (28)'!$F$50</v>
      </c>
      <c r="BB33" s="163">
        <f t="shared" ca="1" si="9"/>
        <v>0</v>
      </c>
      <c r="BC33" s="2" t="str">
        <f t="shared" si="35"/>
        <v>'Lanç (28)'!$F$52</v>
      </c>
      <c r="BD33" s="163">
        <f t="shared" ca="1" si="10"/>
        <v>0</v>
      </c>
      <c r="BE33" s="2" t="str">
        <f t="shared" si="36"/>
        <v>'Lanç (28)'!$F$53</v>
      </c>
      <c r="BF33" s="163">
        <f t="shared" ca="1" si="11"/>
        <v>0</v>
      </c>
      <c r="BG33" s="2" t="str">
        <f t="shared" si="37"/>
        <v>'Lanç (28)'!$F$54</v>
      </c>
      <c r="BH33" s="164">
        <f t="shared" ca="1" si="40"/>
        <v>0</v>
      </c>
      <c r="BI33" s="2" t="str">
        <f t="shared" si="38"/>
        <v>'Lanç (28)'!$F$55</v>
      </c>
      <c r="BJ33" s="164">
        <f t="shared" ca="1" si="40"/>
        <v>0</v>
      </c>
      <c r="BK33" s="169"/>
      <c r="BL33" s="167"/>
      <c r="BN33" s="167"/>
      <c r="BP33" s="155"/>
      <c r="BQ33" s="155"/>
    </row>
    <row r="34" spans="21:69" ht="30" customHeight="1" thickTop="1" thickBot="1" x14ac:dyDescent="0.25">
      <c r="U34" s="2" t="str">
        <f>Resul!R37</f>
        <v/>
      </c>
      <c r="V34" s="2" t="str">
        <f>IF(U34="","",VLOOKUP(U34,Funcionários!$C$7:$D$36,2,0))</f>
        <v/>
      </c>
      <c r="W34" s="2">
        <v>29</v>
      </c>
      <c r="X34" s="2" t="str">
        <f t="shared" si="20"/>
        <v>'Lanç (29)'!$U$8</v>
      </c>
      <c r="Y34" s="163">
        <f t="shared" ca="1" si="41"/>
        <v>0</v>
      </c>
      <c r="Z34" s="2" t="str">
        <f t="shared" si="21"/>
        <v>'Lanç (29)'!$U$16</v>
      </c>
      <c r="AA34" s="163">
        <f t="shared" ca="1" si="41"/>
        <v>0</v>
      </c>
      <c r="AB34" s="2" t="str">
        <f t="shared" si="22"/>
        <v>'Lanç (29)'!$U$14</v>
      </c>
      <c r="AC34" s="163">
        <f t="shared" ca="1" si="42"/>
        <v>0</v>
      </c>
      <c r="AD34" s="2" t="str">
        <f t="shared" si="23"/>
        <v>'Lanç (29)'!$K$5</v>
      </c>
      <c r="AE34" s="163">
        <f t="shared" ca="1" si="42"/>
        <v>0</v>
      </c>
      <c r="AG34" s="2" t="str">
        <f t="shared" si="24"/>
        <v>'Lanç (29)'!$F$41</v>
      </c>
      <c r="AH34" s="163">
        <f t="shared" ca="1" si="39"/>
        <v>0</v>
      </c>
      <c r="AI34" s="2" t="str">
        <f t="shared" si="25"/>
        <v>'Lanç (29)'!$F$42</v>
      </c>
      <c r="AJ34" s="163">
        <f t="shared" ca="1" si="39"/>
        <v>0</v>
      </c>
      <c r="AK34" s="2" t="str">
        <f t="shared" si="26"/>
        <v>'Lanç (29)'!$F$43</v>
      </c>
      <c r="AL34" s="163">
        <f t="shared" ca="1" si="1"/>
        <v>0</v>
      </c>
      <c r="AM34" s="2" t="str">
        <f t="shared" si="27"/>
        <v>'Lanç (29)'!$F$44</v>
      </c>
      <c r="AN34" s="163">
        <f t="shared" ca="1" si="2"/>
        <v>0</v>
      </c>
      <c r="AO34" s="2" t="str">
        <f t="shared" si="28"/>
        <v>'Lanç (29)'!$F$45</v>
      </c>
      <c r="AP34" s="163">
        <f t="shared" ca="1" si="3"/>
        <v>0</v>
      </c>
      <c r="AQ34" s="2" t="str">
        <f t="shared" si="29"/>
        <v>'Lanç (29)'!$F$46</v>
      </c>
      <c r="AR34" s="163">
        <f t="shared" ca="1" si="4"/>
        <v>0</v>
      </c>
      <c r="AS34" s="2" t="str">
        <f t="shared" si="30"/>
        <v>'Lanç (29)'!$F$47</v>
      </c>
      <c r="AT34" s="163">
        <f t="shared" ca="1" si="5"/>
        <v>0</v>
      </c>
      <c r="AU34" s="2" t="str">
        <f t="shared" si="31"/>
        <v>'Lanç (29)'!$F$48</v>
      </c>
      <c r="AV34" s="163">
        <f t="shared" ca="1" si="6"/>
        <v>0</v>
      </c>
      <c r="AW34" s="2" t="str">
        <f t="shared" si="32"/>
        <v>'Lanç (29)'!$F$49</v>
      </c>
      <c r="AX34" s="163">
        <f t="shared" ca="1" si="7"/>
        <v>0</v>
      </c>
      <c r="AY34" s="2" t="str">
        <f t="shared" si="33"/>
        <v>'Lanç (29)'!$F$51</v>
      </c>
      <c r="AZ34" s="163">
        <f t="shared" ca="1" si="8"/>
        <v>0</v>
      </c>
      <c r="BA34" s="2" t="str">
        <f t="shared" si="34"/>
        <v>'Lanç (29)'!$F$50</v>
      </c>
      <c r="BB34" s="163">
        <f t="shared" ca="1" si="9"/>
        <v>0</v>
      </c>
      <c r="BC34" s="2" t="str">
        <f t="shared" si="35"/>
        <v>'Lanç (29)'!$F$52</v>
      </c>
      <c r="BD34" s="163">
        <f t="shared" ca="1" si="10"/>
        <v>0</v>
      </c>
      <c r="BE34" s="2" t="str">
        <f t="shared" si="36"/>
        <v>'Lanç (29)'!$F$53</v>
      </c>
      <c r="BF34" s="163">
        <f t="shared" ca="1" si="11"/>
        <v>0</v>
      </c>
      <c r="BG34" s="2" t="str">
        <f t="shared" si="37"/>
        <v>'Lanç (29)'!$F$54</v>
      </c>
      <c r="BH34" s="164">
        <f t="shared" ca="1" si="40"/>
        <v>0</v>
      </c>
      <c r="BI34" s="2" t="str">
        <f t="shared" si="38"/>
        <v>'Lanç (29)'!$F$55</v>
      </c>
      <c r="BJ34" s="164">
        <f t="shared" ca="1" si="40"/>
        <v>0</v>
      </c>
      <c r="BK34" s="169"/>
      <c r="BL34" s="167"/>
      <c r="BN34" s="167"/>
      <c r="BP34" s="155"/>
      <c r="BQ34" s="155"/>
    </row>
    <row r="35" spans="21:69" ht="30" customHeight="1" thickTop="1" thickBot="1" x14ac:dyDescent="0.25">
      <c r="U35" s="2" t="str">
        <f>Resul!R38</f>
        <v/>
      </c>
      <c r="V35" s="2" t="str">
        <f>IF(U35="","",VLOOKUP(U35,Funcionários!$C$7:$D$36,2,0))</f>
        <v/>
      </c>
      <c r="W35" s="2">
        <v>30</v>
      </c>
      <c r="X35" s="2" t="str">
        <f t="shared" si="20"/>
        <v>'Lanç (30)'!$U$8</v>
      </c>
      <c r="Y35" s="163">
        <f t="shared" ca="1" si="41"/>
        <v>0</v>
      </c>
      <c r="Z35" s="2" t="str">
        <f t="shared" si="21"/>
        <v>'Lanç (30)'!$U$16</v>
      </c>
      <c r="AA35" s="163">
        <f t="shared" ca="1" si="41"/>
        <v>0</v>
      </c>
      <c r="AB35" s="2" t="str">
        <f t="shared" si="22"/>
        <v>'Lanç (30)'!$U$14</v>
      </c>
      <c r="AC35" s="163">
        <f t="shared" ca="1" si="42"/>
        <v>0</v>
      </c>
      <c r="AD35" s="2" t="str">
        <f t="shared" si="23"/>
        <v>'Lanç (30)'!$K$5</v>
      </c>
      <c r="AE35" s="163">
        <f t="shared" ca="1" si="42"/>
        <v>0</v>
      </c>
      <c r="AG35" s="2" t="str">
        <f t="shared" si="24"/>
        <v>'Lanç (30)'!$F$41</v>
      </c>
      <c r="AH35" s="163">
        <f t="shared" ca="1" si="39"/>
        <v>0</v>
      </c>
      <c r="AI35" s="2" t="str">
        <f t="shared" si="25"/>
        <v>'Lanç (30)'!$F$42</v>
      </c>
      <c r="AJ35" s="163">
        <f t="shared" ca="1" si="39"/>
        <v>0</v>
      </c>
      <c r="AK35" s="2" t="str">
        <f t="shared" si="26"/>
        <v>'Lanç (30)'!$F$43</v>
      </c>
      <c r="AL35" s="163">
        <f t="shared" ca="1" si="1"/>
        <v>0</v>
      </c>
      <c r="AM35" s="2" t="str">
        <f t="shared" si="27"/>
        <v>'Lanç (30)'!$F$44</v>
      </c>
      <c r="AN35" s="163">
        <f t="shared" ca="1" si="2"/>
        <v>0</v>
      </c>
      <c r="AO35" s="2" t="str">
        <f t="shared" si="28"/>
        <v>'Lanç (30)'!$F$45</v>
      </c>
      <c r="AP35" s="163">
        <f t="shared" ca="1" si="3"/>
        <v>0</v>
      </c>
      <c r="AQ35" s="2" t="str">
        <f t="shared" si="29"/>
        <v>'Lanç (30)'!$F$46</v>
      </c>
      <c r="AR35" s="163">
        <f t="shared" ca="1" si="4"/>
        <v>0</v>
      </c>
      <c r="AS35" s="2" t="str">
        <f t="shared" si="30"/>
        <v>'Lanç (30)'!$F$47</v>
      </c>
      <c r="AT35" s="163">
        <f t="shared" ca="1" si="5"/>
        <v>0</v>
      </c>
      <c r="AU35" s="2" t="str">
        <f t="shared" si="31"/>
        <v>'Lanç (30)'!$F$48</v>
      </c>
      <c r="AV35" s="163">
        <f t="shared" ca="1" si="6"/>
        <v>0</v>
      </c>
      <c r="AW35" s="2" t="str">
        <f t="shared" si="32"/>
        <v>'Lanç (30)'!$F$49</v>
      </c>
      <c r="AX35" s="163">
        <f t="shared" ca="1" si="7"/>
        <v>0</v>
      </c>
      <c r="AY35" s="2" t="str">
        <f t="shared" si="33"/>
        <v>'Lanç (30)'!$F$51</v>
      </c>
      <c r="AZ35" s="163">
        <f t="shared" ca="1" si="8"/>
        <v>0</v>
      </c>
      <c r="BA35" s="2" t="str">
        <f t="shared" si="34"/>
        <v>'Lanç (30)'!$F$50</v>
      </c>
      <c r="BB35" s="163">
        <f t="shared" ca="1" si="9"/>
        <v>0</v>
      </c>
      <c r="BC35" s="2" t="str">
        <f t="shared" si="35"/>
        <v>'Lanç (30)'!$F$52</v>
      </c>
      <c r="BD35" s="163">
        <f t="shared" ca="1" si="10"/>
        <v>0</v>
      </c>
      <c r="BE35" s="2" t="str">
        <f t="shared" si="36"/>
        <v>'Lanç (30)'!$F$53</v>
      </c>
      <c r="BF35" s="163">
        <f t="shared" ca="1" si="11"/>
        <v>0</v>
      </c>
      <c r="BG35" s="2" t="str">
        <f t="shared" si="37"/>
        <v>'Lanç (30)'!$F$54</v>
      </c>
      <c r="BH35" s="164">
        <f t="shared" ca="1" si="40"/>
        <v>0</v>
      </c>
      <c r="BI35" s="2" t="str">
        <f t="shared" si="38"/>
        <v>'Lanç (30)'!$F$55</v>
      </c>
      <c r="BJ35" s="164">
        <f t="shared" ca="1" si="40"/>
        <v>0</v>
      </c>
      <c r="BK35" s="169"/>
      <c r="BL35" s="167"/>
      <c r="BN35" s="167"/>
      <c r="BP35" s="155"/>
      <c r="BQ35" s="155"/>
    </row>
    <row r="36" spans="21:69" ht="30" customHeight="1" thickTop="1" x14ac:dyDescent="0.2">
      <c r="X36" s="2">
        <v>0</v>
      </c>
      <c r="Y36" s="2">
        <f>X36+2</f>
        <v>2</v>
      </c>
      <c r="Z36" s="2">
        <f t="shared" ref="Z36:AP36" si="43">Y36+2</f>
        <v>4</v>
      </c>
      <c r="AA36" s="2">
        <f t="shared" si="43"/>
        <v>6</v>
      </c>
      <c r="AB36" s="2">
        <v>9</v>
      </c>
      <c r="AC36" s="2">
        <f t="shared" si="43"/>
        <v>11</v>
      </c>
      <c r="AD36" s="2">
        <f t="shared" si="43"/>
        <v>13</v>
      </c>
      <c r="AE36" s="2">
        <f t="shared" si="43"/>
        <v>15</v>
      </c>
      <c r="AF36" s="2">
        <f t="shared" si="43"/>
        <v>17</v>
      </c>
      <c r="AG36" s="2">
        <f t="shared" si="43"/>
        <v>19</v>
      </c>
      <c r="AH36" s="2">
        <f t="shared" si="43"/>
        <v>21</v>
      </c>
      <c r="AI36" s="2">
        <f t="shared" si="43"/>
        <v>23</v>
      </c>
      <c r="AJ36" s="2">
        <f t="shared" si="43"/>
        <v>25</v>
      </c>
      <c r="AK36" s="2">
        <f t="shared" si="43"/>
        <v>27</v>
      </c>
      <c r="AL36" s="2">
        <f t="shared" si="43"/>
        <v>29</v>
      </c>
      <c r="AM36" s="2">
        <f t="shared" si="43"/>
        <v>31</v>
      </c>
      <c r="AN36" s="2">
        <f t="shared" si="43"/>
        <v>33</v>
      </c>
      <c r="AO36" s="2">
        <f t="shared" si="43"/>
        <v>35</v>
      </c>
      <c r="AP36" s="2">
        <f t="shared" si="43"/>
        <v>37</v>
      </c>
      <c r="BL36" s="167"/>
      <c r="BN36" s="167"/>
      <c r="BP36" s="155"/>
      <c r="BQ36" s="155"/>
    </row>
    <row r="37" spans="21:69" ht="30" customHeight="1" thickBot="1" x14ac:dyDescent="0.25">
      <c r="W37" s="168" t="s">
        <v>238</v>
      </c>
      <c r="X37" s="161" t="s">
        <v>215</v>
      </c>
      <c r="Y37" s="161" t="s">
        <v>164</v>
      </c>
      <c r="Z37" s="161" t="s">
        <v>217</v>
      </c>
      <c r="AA37" s="161" t="s">
        <v>220</v>
      </c>
      <c r="AB37" s="161" t="s">
        <v>75</v>
      </c>
      <c r="AC37" s="161" t="s">
        <v>76</v>
      </c>
      <c r="AD37" s="161" t="s">
        <v>77</v>
      </c>
      <c r="AE37" s="161" t="s">
        <v>78</v>
      </c>
      <c r="AF37" s="161" t="s">
        <v>79</v>
      </c>
      <c r="AG37" s="161" t="s">
        <v>82</v>
      </c>
      <c r="AH37" s="161" t="s">
        <v>81</v>
      </c>
      <c r="AI37" s="161" t="s">
        <v>80</v>
      </c>
      <c r="AJ37" s="161" t="s">
        <v>146</v>
      </c>
      <c r="AK37" s="161" t="s">
        <v>147</v>
      </c>
      <c r="AL37" s="161" t="s">
        <v>84</v>
      </c>
      <c r="AM37" s="161" t="s">
        <v>86</v>
      </c>
      <c r="AN37" s="161" t="s">
        <v>87</v>
      </c>
      <c r="AO37" s="161" t="s">
        <v>88</v>
      </c>
      <c r="AP37" s="161" t="s">
        <v>236</v>
      </c>
      <c r="BL37" s="167"/>
      <c r="BN37" s="167"/>
      <c r="BP37" s="155"/>
      <c r="BQ37" s="155"/>
    </row>
    <row r="38" spans="21:69" ht="30" customHeight="1" thickTop="1" thickBot="1" x14ac:dyDescent="0.25">
      <c r="W38" s="2" t="str">
        <f>IF(OR($G$5=0,$G$5="Todas"),"Todas",$G$5)</f>
        <v>Todas</v>
      </c>
      <c r="X38" s="163">
        <f ca="1">IF($W$38="Todas",OFFSET($Y$5,,X$36),SUMIF($V$6:$V$35,$G$5,Y$6:Y$35))</f>
        <v>5.9374999999999982</v>
      </c>
      <c r="Y38" s="163">
        <f ca="1">IF($W$38="Todas",OFFSET($Y$5,,Y$36),SUMIF($V$6:$V$35,$G$5,AA$6:AA$35))</f>
        <v>5.9374999999999982</v>
      </c>
      <c r="Z38" s="163">
        <f ca="1">IF($W$38="Todas",OFFSET($Y$5,,Z$36),SUMIF($V$6:$V$35,$G$5,AC$6:AC$35))</f>
        <v>0</v>
      </c>
      <c r="AA38" s="163">
        <f ca="1">IF($W$38="Todas",OFFSET($Y$5,,AA$36),SUMIF($V$6:$V$35,$G$5,AE$6:AE$35))</f>
        <v>0</v>
      </c>
      <c r="AB38" s="163">
        <f ca="1">IF($W$38="Todas",OFFSET($Y$5,,AB$36),SUMIF($V$6:$V$35,$G$5,AH$6:AH$35))</f>
        <v>1.3888888888888884</v>
      </c>
      <c r="AC38" s="163">
        <f ca="1">IF($W$38="Todas",OFFSET($Y$5,,AC$36),SUMIF($V$6:$V$35,$G$5,AJ$6:AJ$35))</f>
        <v>1.4513888888888884</v>
      </c>
      <c r="AD38" s="163">
        <f ca="1">IF($W$38="Todas",OFFSET($Y$5,,AD$36),SUMIF($V$6:$V$35,$G$5,AL$6:AL$35))</f>
        <v>0.87499999999999978</v>
      </c>
      <c r="AE38" s="163">
        <f ca="1">IF($W$38="Todas",OFFSET($Y$5,,AE$36),SUMIF($V$6:$V$35,$G$5,AN$6:AN$35))</f>
        <v>0</v>
      </c>
      <c r="AF38" s="163">
        <f ca="1">IF($W$38="Todas",OFFSET($Y$5,,AF$36),SUMIF($V$6:$V$35,$G$5,AP$6:AP$35))</f>
        <v>0</v>
      </c>
      <c r="AG38" s="163">
        <f ca="1">IF($W$38="Todas",OFFSET($Y$5,,AG$36),SUMIF($V$6:$V$35,$G$5,AR$6:AR$35))</f>
        <v>0.83333333333333304</v>
      </c>
      <c r="AH38" s="163">
        <f ca="1">IF($W$38="Todas",OFFSET($Y$5,,AH$36),SUMIF($V$6:$V$35,$G$5,AT$6:AT$35))</f>
        <v>1.3888888888888884</v>
      </c>
      <c r="AI38" s="163">
        <f ca="1">IF($W$38="Todas",OFFSET($Y$5,,AI$36),SUMIF($V$6:$V$35,$G$5,AV$6:AV$35))</f>
        <v>0</v>
      </c>
      <c r="AJ38" s="163">
        <f ca="1">IF($W$38="Todas",OFFSET($Y$5,,AJ$36),SUMIF($V$6:$V$35,$G$5,AX$6:AX$35))</f>
        <v>0</v>
      </c>
      <c r="AK38" s="163">
        <f ca="1">IF($W$38="Todas",OFFSET($Y$5,,AK$36),SUMIF($V$6:$V$35,$G$5,AZ$6:AZ$35))</f>
        <v>0</v>
      </c>
      <c r="AL38" s="163">
        <f ca="1">IF($W$38="Todas",OFFSET($Y$5,,AL$36),SUMIF($V$6:$V$35,$G$5,BB$6:BB$35))</f>
        <v>0</v>
      </c>
      <c r="AM38" s="163">
        <f ca="1">IF($W$38="Todas",OFFSET($Y$5,,AM$36),SUMIF($V$6:$V$35,$G$5,BD$6:BD$35))</f>
        <v>5.9374999999999982</v>
      </c>
      <c r="AN38" s="163">
        <f ca="1">IF($W$38="Todas",OFFSET($Y$5,,AN$36),SUMIF($V$6:$V$35,$G$5,BF$6:BF$35))</f>
        <v>0</v>
      </c>
      <c r="AO38" s="164">
        <f ca="1">IF($W$38="Todas",OFFSET($Y$5,,AO$36),SUMIF($V$6:$V$35,$G$5,BH$6:BH$35))</f>
        <v>0</v>
      </c>
      <c r="AP38" s="164">
        <f ca="1">IF($W$38="Todas",OFFSET($Y$5,,AP$36),SUMIF($V$6:$V$35,$G$5,BJ$6:BJ$35))</f>
        <v>0</v>
      </c>
      <c r="AQ38" s="163"/>
      <c r="BL38" s="167"/>
      <c r="BN38" s="167"/>
      <c r="BP38" s="155"/>
      <c r="BQ38" s="155"/>
    </row>
    <row r="39" spans="21:69" ht="30" customHeight="1" thickTop="1" thickBot="1" x14ac:dyDescent="0.25">
      <c r="BL39" s="167"/>
      <c r="BN39" s="167"/>
      <c r="BP39" s="155"/>
      <c r="BQ39" s="155"/>
    </row>
    <row r="40" spans="21:69" ht="30" customHeight="1" thickTop="1" thickBot="1" x14ac:dyDescent="0.25">
      <c r="W40" s="2">
        <v>1</v>
      </c>
      <c r="Y40" s="163">
        <f ca="1">VLOOKUP(LARGE($BP$6:$BP$35,$W40),$BP$6:$BR$35,2,0)</f>
        <v>5.9374999999999982</v>
      </c>
      <c r="Z40" s="163" t="str">
        <f ca="1">VLOOKUP(LARGE($BP$6:$BP$35,$W40),$BP$6:$BR$35,3,0)</f>
        <v/>
      </c>
      <c r="AO40" s="164">
        <f t="shared" ref="AO40:AO48" ca="1" si="44">VLOOKUP(LARGE($BK$6:$BK$35,$W40),$BK$6:$BN$35,2,0)</f>
        <v>0</v>
      </c>
      <c r="AP40" s="164" t="str">
        <f t="shared" ref="AP40:AP48" ca="1" si="45">VLOOKUP(LARGE($BK$6:$BK$35,$W40),$BK$6:$BN$35,4,0)</f>
        <v/>
      </c>
      <c r="BL40" s="167"/>
      <c r="BN40" s="167"/>
      <c r="BP40" s="155"/>
      <c r="BQ40" s="155"/>
    </row>
    <row r="41" spans="21:69" ht="30" customHeight="1" thickTop="1" thickBot="1" x14ac:dyDescent="0.25">
      <c r="W41" s="2">
        <v>2</v>
      </c>
      <c r="Y41" s="163">
        <f t="shared" ref="Y41:Y48" ca="1" si="46">VLOOKUP(LARGE($BP$6:$BP$35,$W41),$BP$6:$BR$35,2,0)</f>
        <v>5.9374999999999982</v>
      </c>
      <c r="Z41" s="163" t="str">
        <f t="shared" ref="Z41:Z48" ca="1" si="47">VLOOKUP(LARGE($BP$6:$BP$35,$W41),$BP$6:$BR$35,3,0)</f>
        <v/>
      </c>
      <c r="AO41" s="164">
        <f t="shared" ca="1" si="44"/>
        <v>0</v>
      </c>
      <c r="AP41" s="164" t="str">
        <f t="shared" ca="1" si="45"/>
        <v/>
      </c>
      <c r="BL41" s="167"/>
      <c r="BN41" s="167"/>
      <c r="BP41" s="155"/>
      <c r="BQ41" s="155"/>
    </row>
    <row r="42" spans="21:69" ht="30" customHeight="1" thickTop="1" thickBot="1" x14ac:dyDescent="0.25">
      <c r="W42" s="2">
        <v>3</v>
      </c>
      <c r="Y42" s="163">
        <f t="shared" ca="1" si="46"/>
        <v>5.9374999999999982</v>
      </c>
      <c r="Z42" s="163" t="str">
        <f t="shared" ca="1" si="47"/>
        <v/>
      </c>
      <c r="AO42" s="164">
        <f t="shared" ca="1" si="44"/>
        <v>0</v>
      </c>
      <c r="AP42" s="164" t="str">
        <f t="shared" ca="1" si="45"/>
        <v/>
      </c>
      <c r="BL42" s="167"/>
      <c r="BN42" s="167"/>
      <c r="BP42" s="155"/>
      <c r="BQ42" s="155"/>
    </row>
    <row r="43" spans="21:69" ht="30" customHeight="1" thickTop="1" thickBot="1" x14ac:dyDescent="0.25">
      <c r="W43" s="2">
        <v>4</v>
      </c>
      <c r="Y43" s="163">
        <f t="shared" ca="1" si="46"/>
        <v>5.9374999999999982</v>
      </c>
      <c r="Z43" s="163" t="str">
        <f t="shared" ca="1" si="47"/>
        <v/>
      </c>
      <c r="AO43" s="164">
        <f t="shared" ca="1" si="44"/>
        <v>0</v>
      </c>
      <c r="AP43" s="164" t="str">
        <f t="shared" ca="1" si="45"/>
        <v/>
      </c>
      <c r="BL43" s="167"/>
      <c r="BN43" s="167"/>
      <c r="BP43" s="155"/>
      <c r="BQ43" s="155"/>
    </row>
    <row r="44" spans="21:69" ht="30" customHeight="1" thickTop="1" thickBot="1" x14ac:dyDescent="0.25">
      <c r="W44" s="2">
        <v>5</v>
      </c>
      <c r="Y44" s="163">
        <f t="shared" ca="1" si="46"/>
        <v>5.9374999999999982</v>
      </c>
      <c r="Z44" s="163" t="str">
        <f t="shared" ca="1" si="47"/>
        <v/>
      </c>
      <c r="AO44" s="164">
        <f t="shared" ca="1" si="44"/>
        <v>0</v>
      </c>
      <c r="AP44" s="164" t="str">
        <f t="shared" ca="1" si="45"/>
        <v/>
      </c>
      <c r="BL44" s="167"/>
      <c r="BN44" s="167"/>
      <c r="BP44" s="155"/>
      <c r="BQ44" s="155"/>
    </row>
    <row r="45" spans="21:69" ht="30" customHeight="1" thickTop="1" thickBot="1" x14ac:dyDescent="0.25">
      <c r="W45" s="2">
        <v>6</v>
      </c>
      <c r="Y45" s="163">
        <f t="shared" ca="1" si="46"/>
        <v>5.9374999999999982</v>
      </c>
      <c r="Z45" s="163" t="str">
        <f t="shared" ca="1" si="47"/>
        <v/>
      </c>
      <c r="AO45" s="164">
        <f t="shared" ca="1" si="44"/>
        <v>0</v>
      </c>
      <c r="AP45" s="164" t="str">
        <f t="shared" ca="1" si="45"/>
        <v/>
      </c>
      <c r="BL45" s="167"/>
      <c r="BN45" s="167"/>
      <c r="BP45" s="155"/>
      <c r="BQ45" s="155"/>
    </row>
    <row r="46" spans="21:69" ht="30" customHeight="1" thickTop="1" thickBot="1" x14ac:dyDescent="0.25">
      <c r="W46" s="2">
        <v>7</v>
      </c>
      <c r="Y46" s="163">
        <f t="shared" ca="1" si="46"/>
        <v>5.9374999999999982</v>
      </c>
      <c r="Z46" s="163" t="str">
        <f t="shared" ca="1" si="47"/>
        <v/>
      </c>
      <c r="AO46" s="164">
        <f t="shared" ca="1" si="44"/>
        <v>0</v>
      </c>
      <c r="AP46" s="164" t="str">
        <f t="shared" ca="1" si="45"/>
        <v/>
      </c>
      <c r="BL46" s="167"/>
      <c r="BN46" s="167"/>
      <c r="BP46" s="155"/>
      <c r="BQ46" s="155"/>
    </row>
    <row r="47" spans="21:69" ht="30" customHeight="1" thickTop="1" thickBot="1" x14ac:dyDescent="0.25">
      <c r="W47" s="2">
        <v>8</v>
      </c>
      <c r="Y47" s="163">
        <f t="shared" ca="1" si="46"/>
        <v>5.9374999999999982</v>
      </c>
      <c r="Z47" s="163" t="str">
        <f t="shared" ca="1" si="47"/>
        <v/>
      </c>
      <c r="AO47" s="164">
        <f t="shared" ca="1" si="44"/>
        <v>0</v>
      </c>
      <c r="AP47" s="164" t="str">
        <f t="shared" ca="1" si="45"/>
        <v/>
      </c>
      <c r="BL47" s="167"/>
      <c r="BN47" s="167"/>
      <c r="BP47" s="155"/>
      <c r="BQ47" s="155"/>
    </row>
    <row r="48" spans="21:69" ht="30" customHeight="1" thickTop="1" thickBot="1" x14ac:dyDescent="0.25">
      <c r="W48" s="2">
        <v>9</v>
      </c>
      <c r="Y48" s="163">
        <f t="shared" ca="1" si="46"/>
        <v>5.9374999999999982</v>
      </c>
      <c r="Z48" s="163" t="str">
        <f t="shared" ca="1" si="47"/>
        <v/>
      </c>
      <c r="AO48" s="164">
        <f t="shared" ca="1" si="44"/>
        <v>0</v>
      </c>
      <c r="AP48" s="164" t="str">
        <f t="shared" ca="1" si="45"/>
        <v/>
      </c>
      <c r="BL48" s="167"/>
      <c r="BN48" s="167"/>
      <c r="BP48" s="155"/>
      <c r="BQ48" s="155"/>
    </row>
    <row r="49" spans="25:41" ht="30" customHeight="1" thickTop="1" thickBot="1" x14ac:dyDescent="0.25">
      <c r="Y49" s="163"/>
      <c r="Z49" s="163"/>
      <c r="AO49" s="164"/>
    </row>
    <row r="50" spans="25:41" ht="30" customHeight="1" thickTop="1" thickBot="1" x14ac:dyDescent="0.25">
      <c r="Y50" s="155"/>
      <c r="AO50" s="164"/>
    </row>
    <row r="51" spans="25:41" ht="30" customHeight="1" thickTop="1" thickBot="1" x14ac:dyDescent="0.25">
      <c r="AO51" s="164"/>
    </row>
    <row r="52" spans="25:41" ht="30" customHeight="1" thickTop="1" thickBot="1" x14ac:dyDescent="0.25">
      <c r="AO52" s="164"/>
    </row>
    <row r="53" spans="25:41" ht="30" customHeight="1" thickTop="1" thickBot="1" x14ac:dyDescent="0.25">
      <c r="AO53" s="164"/>
    </row>
    <row r="54" spans="25:41" ht="30" customHeight="1" thickTop="1" thickBot="1" x14ac:dyDescent="0.25">
      <c r="AO54" s="164"/>
    </row>
    <row r="55" spans="25:41" ht="30" customHeight="1" thickTop="1" thickBot="1" x14ac:dyDescent="0.25">
      <c r="AO55" s="164"/>
    </row>
    <row r="56" spans="25:41" ht="30" customHeight="1" thickTop="1" thickBot="1" x14ac:dyDescent="0.25">
      <c r="AO56" s="164"/>
    </row>
    <row r="57" spans="25:41" ht="30" customHeight="1" thickTop="1" thickBot="1" x14ac:dyDescent="0.25">
      <c r="AO57" s="164"/>
    </row>
    <row r="58" spans="25:41" ht="30" customHeight="1" thickTop="1" thickBot="1" x14ac:dyDescent="0.25">
      <c r="AO58" s="164"/>
    </row>
    <row r="59" spans="25:41" ht="30" customHeight="1" thickTop="1" thickBot="1" x14ac:dyDescent="0.25">
      <c r="AO59" s="164"/>
    </row>
    <row r="60" spans="25:41" ht="30" customHeight="1" thickTop="1" thickBot="1" x14ac:dyDescent="0.25">
      <c r="AO60" s="164"/>
    </row>
    <row r="61" spans="25:41" ht="30" customHeight="1" thickTop="1" thickBot="1" x14ac:dyDescent="0.25">
      <c r="AO61" s="164"/>
    </row>
    <row r="62" spans="25:41" ht="30" customHeight="1" thickTop="1" thickBot="1" x14ac:dyDescent="0.25">
      <c r="AO62" s="164"/>
    </row>
    <row r="63" spans="25:41" ht="30" customHeight="1" thickTop="1" thickBot="1" x14ac:dyDescent="0.25">
      <c r="AO63" s="164"/>
    </row>
    <row r="64" spans="25:41" ht="30" customHeight="1" thickTop="1" thickBot="1" x14ac:dyDescent="0.25">
      <c r="AO64" s="164"/>
    </row>
    <row r="65" spans="41:41" ht="30" customHeight="1" thickTop="1" thickBot="1" x14ac:dyDescent="0.25">
      <c r="AO65" s="164"/>
    </row>
    <row r="66" spans="41:41" ht="30" customHeight="1" thickTop="1" thickBot="1" x14ac:dyDescent="0.25">
      <c r="AO66" s="164"/>
    </row>
    <row r="67" spans="41:41" ht="30" customHeight="1" thickTop="1" thickBot="1" x14ac:dyDescent="0.25">
      <c r="AO67" s="164"/>
    </row>
    <row r="68" spans="41:41" ht="30" customHeight="1" thickTop="1" thickBot="1" x14ac:dyDescent="0.25">
      <c r="AO68" s="164"/>
    </row>
    <row r="69" spans="41:41" ht="30" customHeight="1" thickTop="1" thickBot="1" x14ac:dyDescent="0.25">
      <c r="AO69" s="164"/>
    </row>
    <row r="70" spans="41:41" ht="30" customHeight="1" thickTop="1" x14ac:dyDescent="0.2"/>
    <row r="71" spans="41:41" ht="30" customHeight="1" x14ac:dyDescent="0.2"/>
    <row r="72" spans="41:41" ht="30" customHeight="1" x14ac:dyDescent="0.2"/>
    <row r="73" spans="41:41" ht="30" customHeight="1" x14ac:dyDescent="0.2"/>
    <row r="74" spans="41:41" ht="30" customHeight="1" x14ac:dyDescent="0.2"/>
    <row r="75" spans="41:41" ht="30" customHeight="1" x14ac:dyDescent="0.2"/>
    <row r="76" spans="41:41" ht="30" customHeight="1" x14ac:dyDescent="0.2"/>
    <row r="77" spans="41:41" ht="30" customHeight="1" x14ac:dyDescent="0.2"/>
    <row r="78" spans="41:41" ht="30" customHeight="1" x14ac:dyDescent="0.2"/>
    <row r="79" spans="41:41" ht="30" customHeight="1" x14ac:dyDescent="0.2"/>
    <row r="80" spans="41:41" ht="30" customHeight="1" x14ac:dyDescent="0.2"/>
    <row r="81" ht="30" customHeight="1" x14ac:dyDescent="0.2"/>
    <row r="82" ht="30" customHeight="1" x14ac:dyDescent="0.2"/>
    <row r="83" ht="30" customHeight="1" x14ac:dyDescent="0.2"/>
    <row r="84" ht="30" customHeight="1" x14ac:dyDescent="0.2"/>
    <row r="85" ht="30" customHeight="1" x14ac:dyDescent="0.2"/>
    <row r="86" ht="30" customHeight="1" x14ac:dyDescent="0.2"/>
    <row r="87" ht="30" customHeight="1" x14ac:dyDescent="0.2"/>
    <row r="88" ht="30" customHeight="1" x14ac:dyDescent="0.2"/>
    <row r="89" ht="30" customHeight="1" x14ac:dyDescent="0.2"/>
    <row r="90" ht="30" customHeight="1" x14ac:dyDescent="0.2"/>
    <row r="91" ht="30" customHeight="1" x14ac:dyDescent="0.2"/>
    <row r="92" ht="30" customHeight="1" x14ac:dyDescent="0.2"/>
    <row r="93" ht="30" customHeight="1" x14ac:dyDescent="0.2"/>
    <row r="94" ht="30" customHeight="1" x14ac:dyDescent="0.2"/>
    <row r="95" ht="30" customHeight="1" x14ac:dyDescent="0.2"/>
    <row r="96" ht="30" customHeight="1" x14ac:dyDescent="0.2"/>
    <row r="97" ht="30" customHeight="1" x14ac:dyDescent="0.2"/>
    <row r="98" ht="30" customHeight="1" x14ac:dyDescent="0.2"/>
    <row r="99" ht="30" customHeight="1" x14ac:dyDescent="0.2"/>
    <row r="100" ht="30" customHeight="1" x14ac:dyDescent="0.2"/>
    <row r="101" ht="30" customHeight="1" x14ac:dyDescent="0.2"/>
    <row r="102" ht="30" customHeight="1" x14ac:dyDescent="0.2"/>
  </sheetData>
  <sheetProtection sheet="1" objects="1" scenarios="1" selectLockedCells="1"/>
  <mergeCells count="2">
    <mergeCell ref="C5:F5"/>
    <mergeCell ref="G5:Q5"/>
  </mergeCells>
  <dataValidations count="1">
    <dataValidation type="list" allowBlank="1" showInputMessage="1" showErrorMessage="1" sqref="G5:Q5">
      <formula1>OFFSET($V$5,,,31-COUNTBLANK($V$5:$V$35))</formula1>
    </dataValidation>
  </dataValidations>
  <printOptions verticalCentered="1"/>
  <pageMargins left="0.25" right="0.25" top="0.984251969" bottom="0.984251969" header="0.3" footer="0.3"/>
  <pageSetup paperSize="9" scale="85" orientation="landscape" horizontalDpi="4294967293" verticalDpi="0"/>
  <rowBreaks count="1" manualBreakCount="1">
    <brk id="24" min="2" max="17" man="1"/>
  </rowBreaks>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6" enableFormatConditionsCalculation="0"/>
  <dimension ref="A1:AN103"/>
  <sheetViews>
    <sheetView showGridLines="0" zoomScale="90" zoomScaleNormal="90" zoomScalePageLayoutView="90" workbookViewId="0">
      <selection activeCell="F10" sqref="F10"/>
    </sheetView>
  </sheetViews>
  <sheetFormatPr baseColWidth="10" defaultColWidth="0" defaultRowHeight="15" zeroHeight="1" x14ac:dyDescent="0.2"/>
  <cols>
    <col min="1" max="1" width="27.83203125" style="1" customWidth="1"/>
    <col min="2" max="2" width="3.83203125" customWidth="1"/>
    <col min="3" max="3" width="0.83203125" customWidth="1"/>
    <col min="4" max="4" width="13" customWidth="1"/>
    <col min="5" max="5" width="23.1640625" customWidth="1"/>
    <col min="6" max="6" width="54.83203125" customWidth="1"/>
    <col min="7" max="26" width="8.83203125" style="2" customWidth="1"/>
    <col min="27" max="40" width="0" style="2" hidden="1" customWidth="1"/>
    <col min="41" max="16384" width="8.83203125" hidden="1"/>
  </cols>
  <sheetData>
    <row r="1" spans="1:40" s="3" customFormat="1" ht="33.75" customHeight="1" x14ac:dyDescent="0.3">
      <c r="A1" s="56"/>
      <c r="C1" s="4" t="s">
        <v>32</v>
      </c>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row>
    <row r="2" spans="1:40" s="3" customFormat="1" ht="21.5" customHeight="1" x14ac:dyDescent="0.2">
      <c r="A2" s="1"/>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row>
    <row r="3" spans="1:40" s="3" customFormat="1" ht="21.5" customHeight="1" x14ac:dyDescent="0.2">
      <c r="A3" s="1"/>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row>
    <row r="4" spans="1:40" ht="30" customHeight="1" x14ac:dyDescent="0.2">
      <c r="L4" s="2">
        <v>2</v>
      </c>
      <c r="M4" s="2">
        <v>3</v>
      </c>
      <c r="N4" s="2">
        <v>4</v>
      </c>
      <c r="O4" s="2">
        <v>5</v>
      </c>
      <c r="P4" s="2">
        <v>6</v>
      </c>
      <c r="Q4" s="2">
        <v>7</v>
      </c>
      <c r="R4" s="2">
        <v>8</v>
      </c>
      <c r="S4" s="2">
        <v>9</v>
      </c>
      <c r="T4" s="2">
        <v>10</v>
      </c>
      <c r="U4" s="2">
        <v>11</v>
      </c>
      <c r="V4" s="2">
        <v>12</v>
      </c>
      <c r="W4" s="2">
        <v>13</v>
      </c>
      <c r="X4" s="2">
        <v>14</v>
      </c>
      <c r="Y4" s="2">
        <v>15</v>
      </c>
      <c r="Z4" s="2">
        <v>16</v>
      </c>
      <c r="AA4" s="2">
        <v>17</v>
      </c>
      <c r="AB4" s="2">
        <v>18</v>
      </c>
      <c r="AC4" s="2">
        <v>19</v>
      </c>
      <c r="AD4" s="2">
        <v>20</v>
      </c>
      <c r="AE4" s="2">
        <v>21</v>
      </c>
      <c r="AF4" s="2">
        <v>22</v>
      </c>
      <c r="AG4" s="2">
        <v>23</v>
      </c>
      <c r="AH4" s="2">
        <v>24</v>
      </c>
      <c r="AI4" s="2">
        <v>25</v>
      </c>
      <c r="AJ4" s="2">
        <v>26</v>
      </c>
      <c r="AK4" s="2">
        <v>27</v>
      </c>
      <c r="AL4" s="2">
        <v>28</v>
      </c>
      <c r="AM4" s="2">
        <v>29</v>
      </c>
      <c r="AN4" s="2">
        <v>30</v>
      </c>
    </row>
    <row r="5" spans="1:40" ht="70.25" customHeight="1" x14ac:dyDescent="0.2">
      <c r="D5" s="108" t="str">
        <f ca="1">IF(G5&gt;0,"!",":)")</f>
        <v>!</v>
      </c>
      <c r="E5" s="321" t="str">
        <f ca="1">IF(D5="!","Atenção! Alguns funcionários fizeram horas extras diárias que ultrapassam o limite permitido por lei (2 horas diárias). Isso significa que você pode estar comentendo erros e está sujeito a possíveis punições aplicadas pela fiscalização.","Parabéns! Todos os seus funcionários estão conforme as leis trabalhistas contidas na CLT.")</f>
        <v>Atenção! Alguns funcionários fizeram horas extras diárias que ultrapassam o limite permitido por lei (2 horas diárias). Isso significa que você pode estar comentendo erros e está sujeito a possíveis punições aplicadas pela fiscalização.</v>
      </c>
      <c r="F5" s="321"/>
      <c r="G5" s="2">
        <f ca="1">SUM(K9:AN9)</f>
        <v>1</v>
      </c>
      <c r="I5" s="2" t="s">
        <v>252</v>
      </c>
      <c r="K5" s="2" t="str">
        <f ca="1">OFFSET($I$6,K$4,)</f>
        <v/>
      </c>
      <c r="L5" s="2" t="str">
        <f ca="1">OFFSET($I$6,L$4-1,)</f>
        <v/>
      </c>
      <c r="M5" s="2" t="str">
        <f t="shared" ref="M5:AN5" ca="1" si="0">OFFSET($I$6,M$4-1,)</f>
        <v/>
      </c>
      <c r="N5" s="2" t="str">
        <f t="shared" ca="1" si="0"/>
        <v/>
      </c>
      <c r="O5" s="2" t="str">
        <f t="shared" ca="1" si="0"/>
        <v/>
      </c>
      <c r="P5" s="2" t="str">
        <f t="shared" ca="1" si="0"/>
        <v/>
      </c>
      <c r="Q5" s="2" t="str">
        <f t="shared" ca="1" si="0"/>
        <v/>
      </c>
      <c r="R5" s="2" t="str">
        <f t="shared" ca="1" si="0"/>
        <v/>
      </c>
      <c r="S5" s="2" t="str">
        <f t="shared" ca="1" si="0"/>
        <v/>
      </c>
      <c r="T5" s="2" t="str">
        <f t="shared" ca="1" si="0"/>
        <v/>
      </c>
      <c r="U5" s="2" t="str">
        <f t="shared" ca="1" si="0"/>
        <v/>
      </c>
      <c r="V5" s="2" t="str">
        <f t="shared" ca="1" si="0"/>
        <v/>
      </c>
      <c r="W5" s="2" t="str">
        <f t="shared" ca="1" si="0"/>
        <v/>
      </c>
      <c r="X5" s="2" t="str">
        <f t="shared" ca="1" si="0"/>
        <v/>
      </c>
      <c r="Y5" s="2" t="str">
        <f t="shared" ca="1" si="0"/>
        <v/>
      </c>
      <c r="Z5" s="2" t="str">
        <f t="shared" ca="1" si="0"/>
        <v/>
      </c>
      <c r="AA5" s="2" t="str">
        <f t="shared" ca="1" si="0"/>
        <v/>
      </c>
      <c r="AB5" s="2" t="str">
        <f t="shared" ca="1" si="0"/>
        <v/>
      </c>
      <c r="AC5" s="2" t="str">
        <f t="shared" ca="1" si="0"/>
        <v/>
      </c>
      <c r="AD5" s="2" t="str">
        <f t="shared" ca="1" si="0"/>
        <v/>
      </c>
      <c r="AE5" s="2" t="str">
        <f t="shared" ca="1" si="0"/>
        <v/>
      </c>
      <c r="AF5" s="2" t="str">
        <f t="shared" ca="1" si="0"/>
        <v/>
      </c>
      <c r="AG5" s="2" t="str">
        <f t="shared" ca="1" si="0"/>
        <v/>
      </c>
      <c r="AH5" s="2" t="str">
        <f t="shared" ca="1" si="0"/>
        <v/>
      </c>
      <c r="AI5" s="2" t="str">
        <f t="shared" ca="1" si="0"/>
        <v/>
      </c>
      <c r="AJ5" s="2" t="str">
        <f t="shared" ca="1" si="0"/>
        <v/>
      </c>
      <c r="AK5" s="2" t="str">
        <f t="shared" ca="1" si="0"/>
        <v/>
      </c>
      <c r="AL5" s="2" t="str">
        <f t="shared" ca="1" si="0"/>
        <v/>
      </c>
      <c r="AM5" s="2" t="str">
        <f t="shared" ca="1" si="0"/>
        <v/>
      </c>
      <c r="AN5" s="2" t="str">
        <f t="shared" ca="1" si="0"/>
        <v/>
      </c>
    </row>
    <row r="6" spans="1:40" ht="8" customHeight="1" x14ac:dyDescent="0.2">
      <c r="I6" s="2" t="str">
        <f>GrÁrea!U6</f>
        <v/>
      </c>
      <c r="K6" s="2" t="s">
        <v>249</v>
      </c>
      <c r="L6" s="2" t="str">
        <f>"'Lanç ("&amp;L$4&amp;")'!$S$23"</f>
        <v>'Lanç (2)'!$S$23</v>
      </c>
      <c r="M6" s="2" t="str">
        <f t="shared" ref="M6:AN6" si="1">"'Lanç ("&amp;M$4&amp;")'!$S$23"</f>
        <v>'Lanç (3)'!$S$23</v>
      </c>
      <c r="N6" s="2" t="str">
        <f t="shared" si="1"/>
        <v>'Lanç (4)'!$S$23</v>
      </c>
      <c r="O6" s="2" t="str">
        <f t="shared" si="1"/>
        <v>'Lanç (5)'!$S$23</v>
      </c>
      <c r="P6" s="2" t="str">
        <f t="shared" si="1"/>
        <v>'Lanç (6)'!$S$23</v>
      </c>
      <c r="Q6" s="2" t="str">
        <f t="shared" si="1"/>
        <v>'Lanç (7)'!$S$23</v>
      </c>
      <c r="R6" s="2" t="str">
        <f t="shared" si="1"/>
        <v>'Lanç (8)'!$S$23</v>
      </c>
      <c r="S6" s="2" t="str">
        <f t="shared" si="1"/>
        <v>'Lanç (9)'!$S$23</v>
      </c>
      <c r="T6" s="2" t="str">
        <f t="shared" si="1"/>
        <v>'Lanç (10)'!$S$23</v>
      </c>
      <c r="U6" s="2" t="str">
        <f t="shared" si="1"/>
        <v>'Lanç (11)'!$S$23</v>
      </c>
      <c r="V6" s="2" t="str">
        <f t="shared" si="1"/>
        <v>'Lanç (12)'!$S$23</v>
      </c>
      <c r="W6" s="2" t="str">
        <f t="shared" si="1"/>
        <v>'Lanç (13)'!$S$23</v>
      </c>
      <c r="X6" s="2" t="str">
        <f t="shared" si="1"/>
        <v>'Lanç (14)'!$S$23</v>
      </c>
      <c r="Y6" s="2" t="str">
        <f t="shared" si="1"/>
        <v>'Lanç (15)'!$S$23</v>
      </c>
      <c r="Z6" s="2" t="str">
        <f t="shared" si="1"/>
        <v>'Lanç (16)'!$S$23</v>
      </c>
      <c r="AA6" s="2" t="str">
        <f t="shared" si="1"/>
        <v>'Lanç (17)'!$S$23</v>
      </c>
      <c r="AB6" s="2" t="str">
        <f t="shared" si="1"/>
        <v>'Lanç (18)'!$S$23</v>
      </c>
      <c r="AC6" s="2" t="str">
        <f t="shared" si="1"/>
        <v>'Lanç (19)'!$S$23</v>
      </c>
      <c r="AD6" s="2" t="str">
        <f t="shared" si="1"/>
        <v>'Lanç (20)'!$S$23</v>
      </c>
      <c r="AE6" s="2" t="str">
        <f t="shared" si="1"/>
        <v>'Lanç (21)'!$S$23</v>
      </c>
      <c r="AF6" s="2" t="str">
        <f t="shared" si="1"/>
        <v>'Lanç (22)'!$S$23</v>
      </c>
      <c r="AG6" s="2" t="str">
        <f t="shared" si="1"/>
        <v>'Lanç (23)'!$S$23</v>
      </c>
      <c r="AH6" s="2" t="str">
        <f t="shared" si="1"/>
        <v>'Lanç (24)'!$S$23</v>
      </c>
      <c r="AI6" s="2" t="str">
        <f t="shared" si="1"/>
        <v>'Lanç (25)'!$S$23</v>
      </c>
      <c r="AJ6" s="2" t="str">
        <f t="shared" si="1"/>
        <v>'Lanç (26)'!$S$23</v>
      </c>
      <c r="AK6" s="2" t="str">
        <f t="shared" si="1"/>
        <v>'Lanç (27)'!$S$23</v>
      </c>
      <c r="AL6" s="2" t="str">
        <f t="shared" si="1"/>
        <v>'Lanç (28)'!$S$23</v>
      </c>
      <c r="AM6" s="2" t="str">
        <f t="shared" si="1"/>
        <v>'Lanç (29)'!$S$23</v>
      </c>
      <c r="AN6" s="2" t="str">
        <f t="shared" si="1"/>
        <v>'Lanç (30)'!$S$23</v>
      </c>
    </row>
    <row r="7" spans="1:40" ht="69" customHeight="1" x14ac:dyDescent="0.2">
      <c r="D7" s="108" t="str">
        <f ca="1">IF(G7&gt;0,"!",":)")</f>
        <v>:)</v>
      </c>
      <c r="E7" s="322" t="str">
        <f ca="1">IF(D7=":)","Parabéns! Seu volume de horas extras está abaixo de 10% em cada mês. Caso esse volume ultrapasse o percentual é o caso de pensar em novas contratações.","Alguns funcionários estão sem a quantidade de descansos semanais remunerados (DSR) adequada. Pense em novas contratações. Assim, evitará custos excessivos aumentando o volume de horas disponíveis a um custo possivelmente inferior.")</f>
        <v>Parabéns! Seu volume de horas extras está abaixo de 10% em cada mês. Caso esse volume ultrapasse o percentual é o caso de pensar em novas contratações.</v>
      </c>
      <c r="F7" s="322"/>
      <c r="G7" s="2">
        <f ca="1">SUM(K10:AN10)</f>
        <v>0</v>
      </c>
      <c r="I7" s="2" t="str">
        <f>GrÁrea!U7</f>
        <v/>
      </c>
      <c r="K7" s="2" t="s">
        <v>250</v>
      </c>
      <c r="L7" s="2" t="str">
        <f>"'Lanç ("&amp;L$4&amp;")'!$S$26"</f>
        <v>'Lanç (2)'!$S$26</v>
      </c>
      <c r="M7" s="2" t="str">
        <f t="shared" ref="M7:AN7" si="2">"'Lanç ("&amp;M$4&amp;")'!$S$26"</f>
        <v>'Lanç (3)'!$S$26</v>
      </c>
      <c r="N7" s="2" t="str">
        <f t="shared" si="2"/>
        <v>'Lanç (4)'!$S$26</v>
      </c>
      <c r="O7" s="2" t="str">
        <f t="shared" si="2"/>
        <v>'Lanç (5)'!$S$26</v>
      </c>
      <c r="P7" s="2" t="str">
        <f t="shared" si="2"/>
        <v>'Lanç (6)'!$S$26</v>
      </c>
      <c r="Q7" s="2" t="str">
        <f t="shared" si="2"/>
        <v>'Lanç (7)'!$S$26</v>
      </c>
      <c r="R7" s="2" t="str">
        <f t="shared" si="2"/>
        <v>'Lanç (8)'!$S$26</v>
      </c>
      <c r="S7" s="2" t="str">
        <f t="shared" si="2"/>
        <v>'Lanç (9)'!$S$26</v>
      </c>
      <c r="T7" s="2" t="str">
        <f t="shared" si="2"/>
        <v>'Lanç (10)'!$S$26</v>
      </c>
      <c r="U7" s="2" t="str">
        <f t="shared" si="2"/>
        <v>'Lanç (11)'!$S$26</v>
      </c>
      <c r="V7" s="2" t="str">
        <f t="shared" si="2"/>
        <v>'Lanç (12)'!$S$26</v>
      </c>
      <c r="W7" s="2" t="str">
        <f t="shared" si="2"/>
        <v>'Lanç (13)'!$S$26</v>
      </c>
      <c r="X7" s="2" t="str">
        <f t="shared" si="2"/>
        <v>'Lanç (14)'!$S$26</v>
      </c>
      <c r="Y7" s="2" t="str">
        <f t="shared" si="2"/>
        <v>'Lanç (15)'!$S$26</v>
      </c>
      <c r="Z7" s="2" t="str">
        <f t="shared" si="2"/>
        <v>'Lanç (16)'!$S$26</v>
      </c>
      <c r="AA7" s="2" t="str">
        <f t="shared" si="2"/>
        <v>'Lanç (17)'!$S$26</v>
      </c>
      <c r="AB7" s="2" t="str">
        <f t="shared" si="2"/>
        <v>'Lanç (18)'!$S$26</v>
      </c>
      <c r="AC7" s="2" t="str">
        <f t="shared" si="2"/>
        <v>'Lanç (19)'!$S$26</v>
      </c>
      <c r="AD7" s="2" t="str">
        <f t="shared" si="2"/>
        <v>'Lanç (20)'!$S$26</v>
      </c>
      <c r="AE7" s="2" t="str">
        <f t="shared" si="2"/>
        <v>'Lanç (21)'!$S$26</v>
      </c>
      <c r="AF7" s="2" t="str">
        <f t="shared" si="2"/>
        <v>'Lanç (22)'!$S$26</v>
      </c>
      <c r="AG7" s="2" t="str">
        <f t="shared" si="2"/>
        <v>'Lanç (23)'!$S$26</v>
      </c>
      <c r="AH7" s="2" t="str">
        <f t="shared" si="2"/>
        <v>'Lanç (24)'!$S$26</v>
      </c>
      <c r="AI7" s="2" t="str">
        <f t="shared" si="2"/>
        <v>'Lanç (25)'!$S$26</v>
      </c>
      <c r="AJ7" s="2" t="str">
        <f t="shared" si="2"/>
        <v>'Lanç (26)'!$S$26</v>
      </c>
      <c r="AK7" s="2" t="str">
        <f t="shared" si="2"/>
        <v>'Lanç (27)'!$S$26</v>
      </c>
      <c r="AL7" s="2" t="str">
        <f t="shared" si="2"/>
        <v>'Lanç (28)'!$S$26</v>
      </c>
      <c r="AM7" s="2" t="str">
        <f t="shared" si="2"/>
        <v>'Lanç (29)'!$S$26</v>
      </c>
      <c r="AN7" s="2" t="str">
        <f t="shared" si="2"/>
        <v>'Lanç (30)'!$S$26</v>
      </c>
    </row>
    <row r="8" spans="1:40" ht="30" customHeight="1" x14ac:dyDescent="0.2">
      <c r="I8" s="2" t="str">
        <f>GrÁrea!U8</f>
        <v/>
      </c>
      <c r="K8" s="2" t="s">
        <v>251</v>
      </c>
      <c r="L8" s="2" t="str">
        <f>"'Lanç ("&amp;L$4&amp;")'!$G$8"</f>
        <v>'Lanç (2)'!$G$8</v>
      </c>
      <c r="M8" s="2" t="str">
        <f t="shared" ref="M8:AN8" si="3">"'Lanç ("&amp;M$4&amp;")'!$G$8"</f>
        <v>'Lanç (3)'!$G$8</v>
      </c>
      <c r="N8" s="2" t="str">
        <f t="shared" si="3"/>
        <v>'Lanç (4)'!$G$8</v>
      </c>
      <c r="O8" s="2" t="str">
        <f t="shared" si="3"/>
        <v>'Lanç (5)'!$G$8</v>
      </c>
      <c r="P8" s="2" t="str">
        <f t="shared" si="3"/>
        <v>'Lanç (6)'!$G$8</v>
      </c>
      <c r="Q8" s="2" t="str">
        <f t="shared" si="3"/>
        <v>'Lanç (7)'!$G$8</v>
      </c>
      <c r="R8" s="2" t="str">
        <f t="shared" si="3"/>
        <v>'Lanç (8)'!$G$8</v>
      </c>
      <c r="S8" s="2" t="str">
        <f t="shared" si="3"/>
        <v>'Lanç (9)'!$G$8</v>
      </c>
      <c r="T8" s="2" t="str">
        <f t="shared" si="3"/>
        <v>'Lanç (10)'!$G$8</v>
      </c>
      <c r="U8" s="2" t="str">
        <f t="shared" si="3"/>
        <v>'Lanç (11)'!$G$8</v>
      </c>
      <c r="V8" s="2" t="str">
        <f t="shared" si="3"/>
        <v>'Lanç (12)'!$G$8</v>
      </c>
      <c r="W8" s="2" t="str">
        <f t="shared" si="3"/>
        <v>'Lanç (13)'!$G$8</v>
      </c>
      <c r="X8" s="2" t="str">
        <f t="shared" si="3"/>
        <v>'Lanç (14)'!$G$8</v>
      </c>
      <c r="Y8" s="2" t="str">
        <f t="shared" si="3"/>
        <v>'Lanç (15)'!$G$8</v>
      </c>
      <c r="Z8" s="2" t="str">
        <f t="shared" si="3"/>
        <v>'Lanç (16)'!$G$8</v>
      </c>
      <c r="AA8" s="2" t="str">
        <f t="shared" si="3"/>
        <v>'Lanç (17)'!$G$8</v>
      </c>
      <c r="AB8" s="2" t="str">
        <f t="shared" si="3"/>
        <v>'Lanç (18)'!$G$8</v>
      </c>
      <c r="AC8" s="2" t="str">
        <f t="shared" si="3"/>
        <v>'Lanç (19)'!$G$8</v>
      </c>
      <c r="AD8" s="2" t="str">
        <f t="shared" si="3"/>
        <v>'Lanç (20)'!$G$8</v>
      </c>
      <c r="AE8" s="2" t="str">
        <f t="shared" si="3"/>
        <v>'Lanç (21)'!$G$8</v>
      </c>
      <c r="AF8" s="2" t="str">
        <f t="shared" si="3"/>
        <v>'Lanç (22)'!$G$8</v>
      </c>
      <c r="AG8" s="2" t="str">
        <f t="shared" si="3"/>
        <v>'Lanç (23)'!$G$8</v>
      </c>
      <c r="AH8" s="2" t="str">
        <f t="shared" si="3"/>
        <v>'Lanç (24)'!$G$8</v>
      </c>
      <c r="AI8" s="2" t="str">
        <f t="shared" si="3"/>
        <v>'Lanç (25)'!$G$8</v>
      </c>
      <c r="AJ8" s="2" t="str">
        <f t="shared" si="3"/>
        <v>'Lanç (26)'!$G$8</v>
      </c>
      <c r="AK8" s="2" t="str">
        <f t="shared" si="3"/>
        <v>'Lanç (27)'!$G$8</v>
      </c>
      <c r="AL8" s="2" t="str">
        <f t="shared" si="3"/>
        <v>'Lanç (28)'!$G$8</v>
      </c>
      <c r="AM8" s="2" t="str">
        <f t="shared" si="3"/>
        <v>'Lanç (29)'!$G$8</v>
      </c>
      <c r="AN8" s="2" t="str">
        <f t="shared" si="3"/>
        <v>'Lanç (30)'!$G$8</v>
      </c>
    </row>
    <row r="9" spans="1:40" ht="30" customHeight="1" x14ac:dyDescent="0.4">
      <c r="D9" s="109" t="s">
        <v>237</v>
      </c>
      <c r="I9" s="2" t="str">
        <f>GrÁrea!U9</f>
        <v/>
      </c>
      <c r="K9" s="2">
        <f ca="1">IF(LEFT(INDIRECT(K6),5)="Parab",0,1)</f>
        <v>0</v>
      </c>
      <c r="L9" s="2">
        <f t="shared" ref="L9:AN9" ca="1" si="4">IF(LEFT(INDIRECT(L6),5)="Parab",0,1)</f>
        <v>0</v>
      </c>
      <c r="M9" s="2">
        <f t="shared" ca="1" si="4"/>
        <v>0</v>
      </c>
      <c r="N9" s="2">
        <f t="shared" ca="1" si="4"/>
        <v>0</v>
      </c>
      <c r="O9" s="2">
        <f t="shared" ca="1" si="4"/>
        <v>1</v>
      </c>
      <c r="P9" s="2">
        <f t="shared" ca="1" si="4"/>
        <v>0</v>
      </c>
      <c r="Q9" s="2">
        <f t="shared" ca="1" si="4"/>
        <v>0</v>
      </c>
      <c r="R9" s="2">
        <f t="shared" ca="1" si="4"/>
        <v>0</v>
      </c>
      <c r="S9" s="2">
        <f t="shared" ca="1" si="4"/>
        <v>0</v>
      </c>
      <c r="T9" s="2">
        <f t="shared" ca="1" si="4"/>
        <v>0</v>
      </c>
      <c r="U9" s="2">
        <f t="shared" ca="1" si="4"/>
        <v>0</v>
      </c>
      <c r="V9" s="2">
        <f t="shared" ca="1" si="4"/>
        <v>0</v>
      </c>
      <c r="W9" s="2">
        <f t="shared" ca="1" si="4"/>
        <v>0</v>
      </c>
      <c r="X9" s="2">
        <f t="shared" ca="1" si="4"/>
        <v>0</v>
      </c>
      <c r="Y9" s="2">
        <f t="shared" ca="1" si="4"/>
        <v>0</v>
      </c>
      <c r="Z9" s="2">
        <f t="shared" ca="1" si="4"/>
        <v>0</v>
      </c>
      <c r="AA9" s="2">
        <f t="shared" ca="1" si="4"/>
        <v>0</v>
      </c>
      <c r="AB9" s="2">
        <f t="shared" ca="1" si="4"/>
        <v>0</v>
      </c>
      <c r="AC9" s="2">
        <f t="shared" ca="1" si="4"/>
        <v>0</v>
      </c>
      <c r="AD9" s="2">
        <f t="shared" ca="1" si="4"/>
        <v>0</v>
      </c>
      <c r="AE9" s="2">
        <f t="shared" ca="1" si="4"/>
        <v>0</v>
      </c>
      <c r="AF9" s="2">
        <f t="shared" ca="1" si="4"/>
        <v>0</v>
      </c>
      <c r="AG9" s="2">
        <f t="shared" ca="1" si="4"/>
        <v>0</v>
      </c>
      <c r="AH9" s="2">
        <f t="shared" ca="1" si="4"/>
        <v>0</v>
      </c>
      <c r="AI9" s="2">
        <f t="shared" ca="1" si="4"/>
        <v>0</v>
      </c>
      <c r="AJ9" s="2">
        <f t="shared" ca="1" si="4"/>
        <v>0</v>
      </c>
      <c r="AK9" s="2">
        <f t="shared" ca="1" si="4"/>
        <v>0</v>
      </c>
      <c r="AL9" s="2">
        <f t="shared" ca="1" si="4"/>
        <v>0</v>
      </c>
      <c r="AM9" s="2">
        <f t="shared" ca="1" si="4"/>
        <v>0</v>
      </c>
      <c r="AN9" s="2">
        <f t="shared" ca="1" si="4"/>
        <v>0</v>
      </c>
    </row>
    <row r="10" spans="1:40" ht="30" customHeight="1" x14ac:dyDescent="0.2">
      <c r="D10" s="323" t="s">
        <v>182</v>
      </c>
      <c r="E10" s="323"/>
      <c r="F10" s="38" t="s">
        <v>290</v>
      </c>
      <c r="I10" s="2" t="str">
        <f>GrÁrea!U10</f>
        <v/>
      </c>
      <c r="K10" s="2">
        <f ca="1">IF(INDIRECT(K8)=0,0,IF(LEFT(INDIRECT(K7),5)="Parab",0,1))</f>
        <v>0</v>
      </c>
      <c r="L10" s="2">
        <f t="shared" ref="L10:AN10" ca="1" si="5">IF(INDIRECT(L8)=0,0,IF(LEFT(INDIRECT(L7),5)="Parab",0,1))</f>
        <v>0</v>
      </c>
      <c r="M10" s="2">
        <f t="shared" ca="1" si="5"/>
        <v>0</v>
      </c>
      <c r="N10" s="2">
        <f t="shared" ca="1" si="5"/>
        <v>0</v>
      </c>
      <c r="O10" s="2">
        <f t="shared" ca="1" si="5"/>
        <v>0</v>
      </c>
      <c r="P10" s="2">
        <f t="shared" ca="1" si="5"/>
        <v>0</v>
      </c>
      <c r="Q10" s="2">
        <f t="shared" ca="1" si="5"/>
        <v>0</v>
      </c>
      <c r="R10" s="2">
        <f t="shared" ca="1" si="5"/>
        <v>0</v>
      </c>
      <c r="S10" s="2">
        <f t="shared" ca="1" si="5"/>
        <v>0</v>
      </c>
      <c r="T10" s="2">
        <f t="shared" ca="1" si="5"/>
        <v>0</v>
      </c>
      <c r="U10" s="2">
        <f t="shared" ca="1" si="5"/>
        <v>0</v>
      </c>
      <c r="V10" s="2">
        <f t="shared" ca="1" si="5"/>
        <v>0</v>
      </c>
      <c r="W10" s="2">
        <f t="shared" ca="1" si="5"/>
        <v>0</v>
      </c>
      <c r="X10" s="2">
        <f t="shared" ca="1" si="5"/>
        <v>0</v>
      </c>
      <c r="Y10" s="2">
        <f t="shared" ca="1" si="5"/>
        <v>0</v>
      </c>
      <c r="Z10" s="2">
        <f t="shared" ca="1" si="5"/>
        <v>0</v>
      </c>
      <c r="AA10" s="2">
        <f t="shared" ca="1" si="5"/>
        <v>0</v>
      </c>
      <c r="AB10" s="2">
        <f t="shared" ca="1" si="5"/>
        <v>0</v>
      </c>
      <c r="AC10" s="2">
        <f t="shared" ca="1" si="5"/>
        <v>0</v>
      </c>
      <c r="AD10" s="2">
        <f t="shared" ca="1" si="5"/>
        <v>0</v>
      </c>
      <c r="AE10" s="2">
        <f t="shared" ca="1" si="5"/>
        <v>0</v>
      </c>
      <c r="AF10" s="2">
        <f t="shared" ca="1" si="5"/>
        <v>0</v>
      </c>
      <c r="AG10" s="2">
        <f t="shared" ca="1" si="5"/>
        <v>0</v>
      </c>
      <c r="AH10" s="2">
        <f t="shared" ca="1" si="5"/>
        <v>0</v>
      </c>
      <c r="AI10" s="2">
        <f t="shared" ca="1" si="5"/>
        <v>0</v>
      </c>
      <c r="AJ10" s="2">
        <f t="shared" ca="1" si="5"/>
        <v>0</v>
      </c>
      <c r="AK10" s="2">
        <f t="shared" ca="1" si="5"/>
        <v>0</v>
      </c>
      <c r="AL10" s="2">
        <f t="shared" ca="1" si="5"/>
        <v>0</v>
      </c>
      <c r="AM10" s="2">
        <f t="shared" ca="1" si="5"/>
        <v>0</v>
      </c>
      <c r="AN10" s="2">
        <f t="shared" ca="1" si="5"/>
        <v>0</v>
      </c>
    </row>
    <row r="11" spans="1:40" ht="8" customHeight="1" x14ac:dyDescent="0.2">
      <c r="I11" s="2" t="str">
        <f>GrÁrea!U11</f>
        <v/>
      </c>
    </row>
    <row r="12" spans="1:40" ht="68" customHeight="1" x14ac:dyDescent="0.2">
      <c r="D12" s="108" t="str">
        <f ca="1">IF(ISERROR(IF(HLOOKUP(F10,K5:AN10,5,0)&gt;0,"!",":)")),"",IF(HLOOKUP(F10,K5:AN10,5,0)&gt;0,"!",":)"))</f>
        <v/>
      </c>
      <c r="E12" s="322" t="str">
        <f ca="1">IF(D12="!","Para este funcionário o volume diário de horas extras foi quebrado. Verifique irregularidades e mantenha sua empresa regular.","O funcionário está correto. Foi respeitado o número de horas extras limite. Continue assim para evitar problemas com a fiscalização.")</f>
        <v>O funcionário está correto. Foi respeitado o número de horas extras limite. Continue assim para evitar problemas com a fiscalização.</v>
      </c>
      <c r="F12" s="322"/>
      <c r="I12" s="2" t="str">
        <f>GrÁrea!U12</f>
        <v/>
      </c>
    </row>
    <row r="13" spans="1:40" ht="8" customHeight="1" x14ac:dyDescent="0.2">
      <c r="I13" s="2" t="str">
        <f>GrÁrea!U13</f>
        <v/>
      </c>
    </row>
    <row r="14" spans="1:40" ht="69.5" customHeight="1" x14ac:dyDescent="0.2">
      <c r="D14" s="108" t="str">
        <f ca="1">IF(ISERROR(IF(HLOOKUP(F10,K5:AN10,6,0)&gt;0,"!",":)")),"",IF(HLOOKUP(F10,K5:AN10,6,0)&gt;0,"!",":)"))</f>
        <v/>
      </c>
      <c r="E14" s="322" t="str">
        <f ca="1">IF(D14=":)","Parabéns! Seu funcionário têm descansos semanais remunerados de acordo com o exigido. Continue assim!","Este funcionário está sem a quantidade de descansos semanais remunerados (DSR) adequada. Pense em novas contratações. Assim, evitará custos excessivos aumentando o volume de horas disponíveis a um custo possivelmente inferior.")</f>
        <v>Este funcionário está sem a quantidade de descansos semanais remunerados (DSR) adequada. Pense em novas contratações. Assim, evitará custos excessivos aumentando o volume de horas disponíveis a um custo possivelmente inferior.</v>
      </c>
      <c r="F14" s="322"/>
      <c r="I14" s="2" t="str">
        <f>GrÁrea!U14</f>
        <v/>
      </c>
    </row>
    <row r="15" spans="1:40" ht="8" customHeight="1" x14ac:dyDescent="0.2">
      <c r="I15" s="2" t="str">
        <f>GrÁrea!U15</f>
        <v/>
      </c>
    </row>
    <row r="16" spans="1:40" ht="66.5" customHeight="1" x14ac:dyDescent="0.2">
      <c r="I16" s="2" t="str">
        <f>GrÁrea!U16</f>
        <v/>
      </c>
    </row>
    <row r="17" spans="9:9" ht="30" customHeight="1" x14ac:dyDescent="0.2">
      <c r="I17" s="2" t="str">
        <f>GrÁrea!U17</f>
        <v/>
      </c>
    </row>
    <row r="18" spans="9:9" ht="30" customHeight="1" x14ac:dyDescent="0.2">
      <c r="I18" s="2" t="str">
        <f>GrÁrea!U18</f>
        <v/>
      </c>
    </row>
    <row r="19" spans="9:9" ht="30" customHeight="1" x14ac:dyDescent="0.2">
      <c r="I19" s="2" t="str">
        <f>GrÁrea!U19</f>
        <v/>
      </c>
    </row>
    <row r="20" spans="9:9" ht="30" customHeight="1" x14ac:dyDescent="0.2">
      <c r="I20" s="2" t="str">
        <f>GrÁrea!U20</f>
        <v/>
      </c>
    </row>
    <row r="21" spans="9:9" ht="30" customHeight="1" x14ac:dyDescent="0.2">
      <c r="I21" s="2" t="str">
        <f>GrÁrea!U21</f>
        <v/>
      </c>
    </row>
    <row r="22" spans="9:9" ht="30" customHeight="1" x14ac:dyDescent="0.2">
      <c r="I22" s="2" t="str">
        <f>GrÁrea!U22</f>
        <v/>
      </c>
    </row>
    <row r="23" spans="9:9" ht="30" customHeight="1" x14ac:dyDescent="0.2">
      <c r="I23" s="2" t="str">
        <f>GrÁrea!U23</f>
        <v/>
      </c>
    </row>
    <row r="24" spans="9:9" ht="30" customHeight="1" x14ac:dyDescent="0.2">
      <c r="I24" s="2" t="str">
        <f>GrÁrea!U24</f>
        <v/>
      </c>
    </row>
    <row r="25" spans="9:9" ht="30" customHeight="1" x14ac:dyDescent="0.2">
      <c r="I25" s="2" t="str">
        <f>GrÁrea!U25</f>
        <v/>
      </c>
    </row>
    <row r="26" spans="9:9" ht="30" customHeight="1" x14ac:dyDescent="0.2">
      <c r="I26" s="2" t="str">
        <f>GrÁrea!U26</f>
        <v/>
      </c>
    </row>
    <row r="27" spans="9:9" ht="30" customHeight="1" x14ac:dyDescent="0.2">
      <c r="I27" s="2" t="str">
        <f>GrÁrea!U27</f>
        <v/>
      </c>
    </row>
    <row r="28" spans="9:9" ht="30" customHeight="1" x14ac:dyDescent="0.2">
      <c r="I28" s="2" t="str">
        <f>GrÁrea!U28</f>
        <v/>
      </c>
    </row>
    <row r="29" spans="9:9" ht="30" customHeight="1" x14ac:dyDescent="0.2">
      <c r="I29" s="2" t="str">
        <f>GrÁrea!U29</f>
        <v/>
      </c>
    </row>
    <row r="30" spans="9:9" ht="30" customHeight="1" x14ac:dyDescent="0.2">
      <c r="I30" s="2" t="str">
        <f>GrÁrea!U30</f>
        <v/>
      </c>
    </row>
    <row r="31" spans="9:9" ht="30" customHeight="1" x14ac:dyDescent="0.2">
      <c r="I31" s="2" t="str">
        <f>GrÁrea!U31</f>
        <v/>
      </c>
    </row>
    <row r="32" spans="9:9" ht="30" customHeight="1" x14ac:dyDescent="0.2">
      <c r="I32" s="2" t="str">
        <f>GrÁrea!U32</f>
        <v/>
      </c>
    </row>
    <row r="33" spans="9:9" ht="30" customHeight="1" x14ac:dyDescent="0.2">
      <c r="I33" s="2" t="str">
        <f>GrÁrea!U33</f>
        <v/>
      </c>
    </row>
    <row r="34" spans="9:9" ht="30" customHeight="1" x14ac:dyDescent="0.2">
      <c r="I34" s="2" t="str">
        <f>GrÁrea!U34</f>
        <v/>
      </c>
    </row>
    <row r="35" spans="9:9" ht="30" customHeight="1" x14ac:dyDescent="0.2">
      <c r="I35" s="2" t="str">
        <f>GrÁrea!U35</f>
        <v/>
      </c>
    </row>
    <row r="36" spans="9:9" ht="30" customHeight="1" x14ac:dyDescent="0.2"/>
    <row r="37" spans="9:9" ht="30" customHeight="1" x14ac:dyDescent="0.2"/>
    <row r="38" spans="9:9" ht="30" customHeight="1" x14ac:dyDescent="0.2"/>
    <row r="39" spans="9:9" ht="30" customHeight="1" x14ac:dyDescent="0.2"/>
    <row r="40" spans="9:9" ht="30" customHeight="1" x14ac:dyDescent="0.2"/>
    <row r="41" spans="9:9" ht="30" customHeight="1" x14ac:dyDescent="0.2"/>
    <row r="42" spans="9:9" ht="30" customHeight="1" x14ac:dyDescent="0.2"/>
    <row r="43" spans="9:9" ht="30" customHeight="1" x14ac:dyDescent="0.2"/>
    <row r="44" spans="9:9" ht="30" customHeight="1" x14ac:dyDescent="0.2"/>
    <row r="45" spans="9:9" ht="30" customHeight="1" x14ac:dyDescent="0.2"/>
    <row r="46" spans="9:9" ht="30" customHeight="1" x14ac:dyDescent="0.2"/>
    <row r="47" spans="9:9" ht="30" customHeight="1" x14ac:dyDescent="0.2"/>
    <row r="48" spans="9:9" ht="30" customHeight="1" x14ac:dyDescent="0.2"/>
    <row r="49" ht="30" customHeight="1" x14ac:dyDescent="0.2"/>
    <row r="50" ht="30" customHeight="1" x14ac:dyDescent="0.2"/>
    <row r="51" ht="30" customHeight="1" x14ac:dyDescent="0.2"/>
    <row r="52" ht="30" customHeight="1" x14ac:dyDescent="0.2"/>
    <row r="53" ht="30" customHeight="1" x14ac:dyDescent="0.2"/>
    <row r="54" ht="30" customHeight="1" x14ac:dyDescent="0.2"/>
    <row r="55" ht="30" customHeight="1" x14ac:dyDescent="0.2"/>
    <row r="56" ht="30" customHeight="1" x14ac:dyDescent="0.2"/>
    <row r="57" ht="30" customHeight="1" x14ac:dyDescent="0.2"/>
    <row r="58" ht="30" customHeight="1" x14ac:dyDescent="0.2"/>
    <row r="59" ht="30" customHeight="1" x14ac:dyDescent="0.2"/>
    <row r="60" ht="30" customHeight="1" x14ac:dyDescent="0.2"/>
    <row r="61" ht="30" customHeight="1" x14ac:dyDescent="0.2"/>
    <row r="62" ht="30" customHeight="1" x14ac:dyDescent="0.2"/>
    <row r="63" ht="30" customHeight="1" x14ac:dyDescent="0.2"/>
    <row r="64" ht="30" customHeight="1" x14ac:dyDescent="0.2"/>
    <row r="65" ht="30" customHeight="1" x14ac:dyDescent="0.2"/>
    <row r="66" ht="30" customHeight="1" x14ac:dyDescent="0.2"/>
    <row r="67" ht="30" customHeight="1" x14ac:dyDescent="0.2"/>
    <row r="68" ht="30" customHeight="1" x14ac:dyDescent="0.2"/>
    <row r="69" ht="30" customHeight="1" x14ac:dyDescent="0.2"/>
    <row r="70" ht="30" customHeight="1" x14ac:dyDescent="0.2"/>
    <row r="71" ht="30" customHeight="1" x14ac:dyDescent="0.2"/>
    <row r="72" ht="30" customHeight="1" x14ac:dyDescent="0.2"/>
    <row r="73" ht="30" customHeight="1" x14ac:dyDescent="0.2"/>
    <row r="74" ht="30" customHeight="1" x14ac:dyDescent="0.2"/>
    <row r="75" ht="30" customHeight="1" x14ac:dyDescent="0.2"/>
    <row r="76" ht="30" customHeight="1" x14ac:dyDescent="0.2"/>
    <row r="77" ht="30" customHeight="1" x14ac:dyDescent="0.2"/>
    <row r="78" ht="30" customHeight="1" x14ac:dyDescent="0.2"/>
    <row r="79" ht="30" customHeight="1" x14ac:dyDescent="0.2"/>
    <row r="80" ht="30" customHeight="1" x14ac:dyDescent="0.2"/>
    <row r="81" ht="30" customHeight="1" x14ac:dyDescent="0.2"/>
    <row r="82" ht="30" customHeight="1" x14ac:dyDescent="0.2"/>
    <row r="83" ht="30" customHeight="1" x14ac:dyDescent="0.2"/>
    <row r="84" ht="30" customHeight="1" x14ac:dyDescent="0.2"/>
    <row r="85" ht="30" customHeight="1" x14ac:dyDescent="0.2"/>
    <row r="86" ht="30" customHeight="1" x14ac:dyDescent="0.2"/>
    <row r="87" ht="30" customHeight="1" x14ac:dyDescent="0.2"/>
    <row r="88" ht="30" customHeight="1" x14ac:dyDescent="0.2"/>
    <row r="89" ht="30" customHeight="1" x14ac:dyDescent="0.2"/>
    <row r="90" ht="30" customHeight="1" x14ac:dyDescent="0.2"/>
    <row r="91" ht="30" customHeight="1" x14ac:dyDescent="0.2"/>
    <row r="92" ht="30" customHeight="1" x14ac:dyDescent="0.2"/>
    <row r="93" ht="30" customHeight="1" x14ac:dyDescent="0.2"/>
    <row r="94" ht="30" customHeight="1" x14ac:dyDescent="0.2"/>
    <row r="95" ht="30" customHeight="1" x14ac:dyDescent="0.2"/>
    <row r="96" ht="30" customHeight="1" x14ac:dyDescent="0.2"/>
    <row r="97" ht="30" customHeight="1" x14ac:dyDescent="0.2"/>
    <row r="98" ht="30" customHeight="1" x14ac:dyDescent="0.2"/>
    <row r="99" ht="30" customHeight="1" x14ac:dyDescent="0.2"/>
    <row r="100" ht="30" customHeight="1" x14ac:dyDescent="0.2"/>
    <row r="101" ht="30" customHeight="1" x14ac:dyDescent="0.2"/>
    <row r="102" ht="30" customHeight="1" x14ac:dyDescent="0.2"/>
    <row r="103" hidden="1" x14ac:dyDescent="0.2"/>
  </sheetData>
  <sheetProtection sheet="1" objects="1" scenarios="1" selectLockedCells="1"/>
  <mergeCells count="5">
    <mergeCell ref="E5:F5"/>
    <mergeCell ref="E7:F7"/>
    <mergeCell ref="E12:F12"/>
    <mergeCell ref="E14:F14"/>
    <mergeCell ref="D10:E10"/>
  </mergeCells>
  <conditionalFormatting sqref="D5">
    <cfRule type="containsText" dxfId="15" priority="17" operator="containsText" text=":)">
      <formula>NOT(ISERROR(SEARCH(":)",D5)))</formula>
    </cfRule>
    <cfRule type="containsText" dxfId="14" priority="18" operator="containsText" text="!">
      <formula>NOT(ISERROR(SEARCH("!",D5)))</formula>
    </cfRule>
  </conditionalFormatting>
  <conditionalFormatting sqref="D7">
    <cfRule type="containsText" dxfId="13" priority="7" operator="containsText" text=":)">
      <formula>NOT(ISERROR(SEARCH(":)",D7)))</formula>
    </cfRule>
    <cfRule type="containsText" dxfId="12" priority="8" operator="containsText" text="!">
      <formula>NOT(ISERROR(SEARCH("!",D7)))</formula>
    </cfRule>
  </conditionalFormatting>
  <conditionalFormatting sqref="D12">
    <cfRule type="containsText" dxfId="11" priority="5" operator="containsText" text=":)">
      <formula>NOT(ISERROR(SEARCH(":)",D12)))</formula>
    </cfRule>
    <cfRule type="containsText" dxfId="10" priority="6" operator="containsText" text="!">
      <formula>NOT(ISERROR(SEARCH("!",D12)))</formula>
    </cfRule>
  </conditionalFormatting>
  <conditionalFormatting sqref="D14">
    <cfRule type="containsText" dxfId="9" priority="1" operator="containsText" text=":)">
      <formula>NOT(ISERROR(SEARCH(":)",D14)))</formula>
    </cfRule>
    <cfRule type="containsText" dxfId="8" priority="2" operator="containsText" text="!">
      <formula>NOT(ISERROR(SEARCH("!",D14)))</formula>
    </cfRule>
  </conditionalFormatting>
  <dataValidations count="1">
    <dataValidation type="list" allowBlank="1" showInputMessage="1" showErrorMessage="1" sqref="F10">
      <formula1>OFFSET($I$6,,,30-COUNTBLANK($I$6:$I$35))</formula1>
    </dataValidation>
  </dataValidations>
  <printOptions horizontalCentered="1"/>
  <pageMargins left="0.23622047244094491" right="0.23622047244094491" top="0.74803149606299213" bottom="0.74803149606299213" header="0.31496062992125984" footer="0.31496062992125984"/>
  <pageSetup paperSize="9" orientation="portrait"/>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7" enableFormatConditionsCalculation="0"/>
  <dimension ref="A1:BF122"/>
  <sheetViews>
    <sheetView showGridLines="0" zoomScale="90" zoomScaleNormal="90" zoomScalePageLayoutView="90" workbookViewId="0"/>
  </sheetViews>
  <sheetFormatPr baseColWidth="10" defaultColWidth="0" defaultRowHeight="0" customHeight="1" zeroHeight="1" x14ac:dyDescent="0.2"/>
  <cols>
    <col min="1" max="1" width="27.83203125" style="1" customWidth="1"/>
    <col min="2" max="2" width="3.83203125" customWidth="1"/>
    <col min="3" max="3" width="12" customWidth="1"/>
    <col min="4" max="8" width="15.83203125" customWidth="1"/>
    <col min="9" max="9" width="17.83203125" customWidth="1"/>
    <col min="10" max="11" width="15.83203125" customWidth="1"/>
    <col min="12" max="12" width="18.1640625" customWidth="1"/>
    <col min="13" max="13" width="11.33203125" bestFit="1" customWidth="1"/>
    <col min="14" max="26" width="8.83203125" customWidth="1"/>
    <col min="27" max="16384" width="8.83203125" hidden="1"/>
  </cols>
  <sheetData>
    <row r="1" spans="1:16" s="3" customFormat="1" ht="33.75" customHeight="1" x14ac:dyDescent="0.3">
      <c r="A1" s="56"/>
      <c r="C1" s="4" t="s">
        <v>33</v>
      </c>
    </row>
    <row r="2" spans="1:16" s="3" customFormat="1" ht="21.5" customHeight="1" x14ac:dyDescent="0.2">
      <c r="A2" s="1"/>
    </row>
    <row r="3" spans="1:16" s="3" customFormat="1" ht="21.5" customHeight="1" x14ac:dyDescent="0.2">
      <c r="A3" s="1"/>
    </row>
    <row r="4" spans="1:16" ht="30" customHeight="1" x14ac:dyDescent="0.2"/>
    <row r="5" spans="1:16" ht="47" x14ac:dyDescent="0.2">
      <c r="C5" s="19" t="s">
        <v>103</v>
      </c>
      <c r="D5" s="19"/>
      <c r="E5" s="19"/>
      <c r="F5" s="19"/>
      <c r="G5" s="19"/>
      <c r="H5" s="19"/>
      <c r="I5" s="19"/>
      <c r="J5" s="19"/>
      <c r="K5" s="19"/>
      <c r="L5" s="19"/>
      <c r="M5" s="19"/>
    </row>
    <row r="6" spans="1:16" ht="96" customHeight="1" x14ac:dyDescent="0.2">
      <c r="C6" s="325" t="s">
        <v>155</v>
      </c>
      <c r="D6" s="325"/>
      <c r="E6" s="325"/>
      <c r="F6" s="325"/>
      <c r="G6" s="325"/>
      <c r="H6" s="325"/>
      <c r="I6" s="325"/>
      <c r="J6" s="325"/>
      <c r="K6" s="16"/>
      <c r="L6" s="16"/>
      <c r="M6" s="16"/>
      <c r="N6" s="16"/>
      <c r="O6" s="16"/>
      <c r="P6" s="16"/>
    </row>
    <row r="7" spans="1:16" ht="52.5" customHeight="1" x14ac:dyDescent="0.2">
      <c r="C7" s="112" t="s">
        <v>255</v>
      </c>
      <c r="D7" s="113"/>
      <c r="E7" s="113"/>
      <c r="F7" s="113"/>
      <c r="G7" s="113"/>
      <c r="H7" s="113"/>
      <c r="I7" s="113"/>
      <c r="J7" s="113"/>
      <c r="K7" s="113"/>
      <c r="L7" s="113"/>
      <c r="M7" s="113"/>
      <c r="N7" s="113"/>
      <c r="O7" s="113"/>
      <c r="P7" s="113"/>
    </row>
    <row r="8" spans="1:16" ht="52.5" customHeight="1" x14ac:dyDescent="0.2">
      <c r="C8" s="112" t="s">
        <v>256</v>
      </c>
      <c r="D8" s="107"/>
      <c r="E8" s="107"/>
      <c r="F8" s="107"/>
      <c r="G8" s="107"/>
      <c r="H8" s="107"/>
      <c r="I8" s="107"/>
      <c r="J8" s="107"/>
      <c r="K8" s="16"/>
      <c r="L8" s="16"/>
      <c r="M8" s="16"/>
      <c r="N8" s="16"/>
      <c r="O8" s="16"/>
      <c r="P8" s="16"/>
    </row>
    <row r="9" spans="1:16" ht="52.5" customHeight="1" x14ac:dyDescent="0.2">
      <c r="C9" s="112" t="s">
        <v>257</v>
      </c>
      <c r="D9" s="107"/>
      <c r="E9" s="107"/>
      <c r="F9" s="107"/>
      <c r="G9" s="107"/>
      <c r="H9" s="107"/>
      <c r="I9" s="107"/>
      <c r="J9" s="107"/>
      <c r="K9" s="16"/>
      <c r="L9" s="16"/>
      <c r="M9" s="16"/>
      <c r="N9" s="16"/>
      <c r="O9" s="16"/>
      <c r="P9" s="16"/>
    </row>
    <row r="10" spans="1:16" ht="50" customHeight="1" thickBot="1" x14ac:dyDescent="0.6">
      <c r="C10" s="130" t="s">
        <v>258</v>
      </c>
      <c r="D10" s="130"/>
      <c r="E10" s="130"/>
      <c r="F10" s="130"/>
      <c r="G10" s="130"/>
      <c r="H10" s="130"/>
      <c r="I10" s="130"/>
      <c r="J10" s="130"/>
      <c r="K10" s="130"/>
      <c r="L10" s="130"/>
      <c r="M10" s="130"/>
      <c r="N10" s="130"/>
      <c r="O10" s="130"/>
      <c r="P10" s="130"/>
    </row>
    <row r="11" spans="1:16" ht="30" customHeight="1" thickTop="1" thickBot="1" x14ac:dyDescent="0.6">
      <c r="C11" s="275" t="s">
        <v>181</v>
      </c>
      <c r="D11" s="276"/>
      <c r="E11" s="276"/>
      <c r="F11" s="276"/>
      <c r="G11" s="276"/>
      <c r="H11" s="276"/>
      <c r="I11" s="276"/>
      <c r="J11" s="276"/>
      <c r="K11" s="276"/>
      <c r="L11" s="277"/>
      <c r="N11" s="130"/>
      <c r="O11" s="130"/>
      <c r="P11" s="130"/>
    </row>
    <row r="12" spans="1:16" ht="30" customHeight="1" thickTop="1" thickBot="1" x14ac:dyDescent="0.6">
      <c r="C12" s="326" t="str">
        <f>IF('P Gerais'!C20=0,"",'P Gerais'!C20)</f>
        <v/>
      </c>
      <c r="D12" s="327"/>
      <c r="E12" s="327"/>
      <c r="F12" s="327"/>
      <c r="G12" s="327"/>
      <c r="H12" s="327"/>
      <c r="I12" s="327"/>
      <c r="J12" s="327"/>
      <c r="K12" s="327"/>
      <c r="L12" s="328"/>
      <c r="N12" s="130"/>
      <c r="O12" s="130"/>
      <c r="P12" s="130"/>
    </row>
    <row r="13" spans="1:16" ht="28.5" customHeight="1" thickTop="1" x14ac:dyDescent="0.25">
      <c r="C13" s="17" t="s">
        <v>104</v>
      </c>
      <c r="D13" s="16"/>
      <c r="E13" s="16"/>
      <c r="F13" s="16"/>
      <c r="G13" s="16"/>
      <c r="H13" s="16"/>
      <c r="I13" s="16"/>
      <c r="J13" s="16"/>
      <c r="K13" s="16"/>
      <c r="L13" s="16"/>
      <c r="M13" s="16"/>
      <c r="N13" s="16"/>
      <c r="O13" s="16"/>
      <c r="P13" s="16"/>
    </row>
    <row r="14" spans="1:16" ht="62" customHeight="1" x14ac:dyDescent="0.2">
      <c r="C14" s="108" t="str">
        <f ca="1">Ale!D5</f>
        <v>!</v>
      </c>
      <c r="D14" s="321" t="str">
        <f ca="1">Ale!E5</f>
        <v>Atenção! Alguns funcionários fizeram horas extras diárias que ultrapassam o limite permitido por lei (2 horas diárias). Isso significa que você pode estar comentendo erros e está sujeito a possíveis punições aplicadas pela fiscalização.</v>
      </c>
      <c r="E14" s="321"/>
      <c r="F14" s="321"/>
      <c r="G14" s="321"/>
      <c r="H14" s="321"/>
      <c r="I14" s="321"/>
      <c r="J14" s="16"/>
      <c r="K14" s="16"/>
      <c r="L14" s="16"/>
      <c r="M14" s="16"/>
      <c r="N14" s="16"/>
      <c r="O14" s="16"/>
      <c r="P14" s="16"/>
    </row>
    <row r="15" spans="1:16" ht="8" customHeight="1" x14ac:dyDescent="0.2">
      <c r="F15" s="16"/>
      <c r="G15" s="16"/>
      <c r="H15" s="16"/>
      <c r="I15" s="16"/>
      <c r="J15" s="16"/>
      <c r="K15" s="16"/>
      <c r="L15" s="16"/>
      <c r="M15" s="16"/>
      <c r="N15" s="16"/>
      <c r="O15" s="16"/>
      <c r="P15" s="16"/>
    </row>
    <row r="16" spans="1:16" ht="63" customHeight="1" x14ac:dyDescent="0.2">
      <c r="C16" s="108" t="str">
        <f ca="1">Ale!D7</f>
        <v>:)</v>
      </c>
      <c r="D16" s="321" t="str">
        <f ca="1">Ale!E7</f>
        <v>Parabéns! Seu volume de horas extras está abaixo de 10% em cada mês. Caso esse volume ultrapasse o percentual é o caso de pensar em novas contratações.</v>
      </c>
      <c r="E16" s="321"/>
      <c r="F16" s="321"/>
      <c r="G16" s="321"/>
      <c r="H16" s="321"/>
      <c r="I16" s="321"/>
      <c r="J16" s="16"/>
      <c r="K16" s="16"/>
      <c r="L16" s="16"/>
      <c r="M16" s="16"/>
      <c r="N16" s="16"/>
      <c r="O16" s="16"/>
      <c r="P16" s="16"/>
    </row>
    <row r="17" spans="3:16" ht="30" customHeight="1" x14ac:dyDescent="0.2"/>
    <row r="18" spans="3:16" ht="50" customHeight="1" x14ac:dyDescent="0.55000000000000004">
      <c r="C18" s="130" t="s">
        <v>259</v>
      </c>
      <c r="D18" s="130"/>
      <c r="E18" s="130"/>
      <c r="F18" s="130"/>
      <c r="G18" s="130"/>
      <c r="H18" s="130"/>
      <c r="I18" s="130"/>
      <c r="J18" s="130"/>
      <c r="K18" s="130"/>
      <c r="L18" s="130"/>
      <c r="M18" s="130"/>
      <c r="N18" s="130"/>
      <c r="O18" s="130"/>
      <c r="P18" s="130"/>
    </row>
    <row r="19" spans="3:16" ht="30" customHeight="1" x14ac:dyDescent="0.25">
      <c r="C19" s="17" t="s">
        <v>254</v>
      </c>
    </row>
    <row r="20" spans="3:16" ht="30" customHeight="1" x14ac:dyDescent="0.2">
      <c r="C20" s="34" t="s">
        <v>71</v>
      </c>
      <c r="D20" s="35" t="str">
        <f>Resul!D8</f>
        <v>Valor Homem-Hora</v>
      </c>
      <c r="E20" s="35" t="str">
        <f>Resul!F8</f>
        <v>Horas  Trabalhadas</v>
      </c>
      <c r="F20" s="35" t="str">
        <f>Resul!G8</f>
        <v>Horas Extras</v>
      </c>
      <c r="G20" s="35" t="str">
        <f>Resul!H8</f>
        <v>Horas Devidas</v>
      </c>
      <c r="H20" s="35" t="str">
        <f>Resul!J8</f>
        <v>Banco de Horas_x000D_Final do Mês</v>
      </c>
      <c r="I20" s="35" t="str">
        <f>Resul!M8</f>
        <v>Valor de Descontos por Horas Devidas</v>
      </c>
      <c r="J20" s="35" t="str">
        <f>Resul!K8</f>
        <v>Salário Base_x000D_(sem hora extra)</v>
      </c>
      <c r="K20" s="35" t="str">
        <f>Resul!L8</f>
        <v>Valor de Horas Extras</v>
      </c>
      <c r="L20" s="55" t="str">
        <f>Resul!N8</f>
        <v>Salário com Valor das Horas Extras</v>
      </c>
    </row>
    <row r="21" spans="3:16" ht="30" customHeight="1" x14ac:dyDescent="0.2">
      <c r="C21" s="34" t="str">
        <f>Resul!C9</f>
        <v/>
      </c>
      <c r="D21" s="36" t="str">
        <f>IF(D22=0,"",J21/D22)</f>
        <v/>
      </c>
      <c r="E21" s="37">
        <f ca="1">SUM(Resul!U9:U38)</f>
        <v>5.9374999999999982</v>
      </c>
      <c r="F21" s="37">
        <f ca="1">SUM(Resul!W9:W38)</f>
        <v>5.9374999999999982</v>
      </c>
      <c r="G21" s="37">
        <f ca="1">SUM(Resul!Y9:Y38)</f>
        <v>0</v>
      </c>
      <c r="H21" s="37">
        <f ca="1">IF(H22+F21-G21&lt;0,0,H22+F21-G21)</f>
        <v>5.9374999999999982</v>
      </c>
      <c r="I21" s="36" t="e">
        <f ca="1">G21*24*D21</f>
        <v>#VALUE!</v>
      </c>
      <c r="J21" s="36">
        <f>SUM(Funcionários!$E$7:$E$36)</f>
        <v>0</v>
      </c>
      <c r="K21" s="36">
        <f ca="1">SUM(Resul!BD9:BD38)</f>
        <v>0</v>
      </c>
      <c r="L21" s="36" t="e">
        <f ca="1">J21+K21-M21</f>
        <v>#VALUE!</v>
      </c>
      <c r="M21" s="167" t="e">
        <f ca="1">(G21*24)*D21</f>
        <v>#VALUE!</v>
      </c>
    </row>
    <row r="22" spans="3:16" ht="30" customHeight="1" x14ac:dyDescent="0.2">
      <c r="D22" s="2">
        <f>SUM(Jornada!AF8:AF37)</f>
        <v>0</v>
      </c>
      <c r="E22" s="2"/>
      <c r="F22" s="2"/>
      <c r="G22" s="2"/>
      <c r="H22" s="159">
        <f ca="1">SUM(Resul!AA9:AA38)</f>
        <v>0</v>
      </c>
    </row>
    <row r="23" spans="3:16" ht="30" customHeight="1" thickBot="1" x14ac:dyDescent="0.3">
      <c r="C23" s="17" t="s">
        <v>253</v>
      </c>
    </row>
    <row r="24" spans="3:16" ht="15" customHeight="1" thickTop="1" thickBot="1" x14ac:dyDescent="0.25">
      <c r="C24" s="110"/>
      <c r="D24" s="110"/>
      <c r="E24" s="110"/>
      <c r="F24" s="110"/>
    </row>
    <row r="25" spans="3:16" ht="30" customHeight="1" thickTop="1" thickBot="1" x14ac:dyDescent="0.25">
      <c r="C25" s="324" t="s">
        <v>75</v>
      </c>
      <c r="D25" s="324"/>
      <c r="E25" s="324"/>
      <c r="F25" s="106">
        <f ca="1">SUM(Resul!AD$9:AD$38)</f>
        <v>1.3888888888888884</v>
      </c>
      <c r="H25" s="324" t="s">
        <v>80</v>
      </c>
      <c r="I25" s="324"/>
      <c r="J25" s="324"/>
      <c r="K25" s="106">
        <f ca="1">SUM(Resul!AR$9:AR$38)</f>
        <v>0</v>
      </c>
    </row>
    <row r="26" spans="3:16" ht="5" customHeight="1" thickTop="1" thickBot="1" x14ac:dyDescent="0.25">
      <c r="C26" s="110"/>
      <c r="D26" s="110"/>
      <c r="E26" s="110"/>
      <c r="F26" s="110"/>
      <c r="H26" s="110"/>
      <c r="I26" s="110"/>
      <c r="J26" s="110"/>
      <c r="K26" s="110"/>
    </row>
    <row r="27" spans="3:16" ht="30" customHeight="1" thickTop="1" thickBot="1" x14ac:dyDescent="0.25">
      <c r="C27" s="324" t="s">
        <v>76</v>
      </c>
      <c r="D27" s="324"/>
      <c r="E27" s="324"/>
      <c r="F27" s="106">
        <f ca="1">SUM(Resul!AF$9:AF$38)</f>
        <v>1.4513888888888884</v>
      </c>
      <c r="H27" s="329" t="s">
        <v>83</v>
      </c>
      <c r="I27" s="329"/>
      <c r="J27" s="329"/>
      <c r="K27" s="106">
        <f ca="1">SUM(Resul!AT$9:AT$38)</f>
        <v>0</v>
      </c>
    </row>
    <row r="28" spans="3:16" ht="5" customHeight="1" thickTop="1" thickBot="1" x14ac:dyDescent="0.25">
      <c r="C28" s="110"/>
      <c r="D28" s="110"/>
      <c r="E28" s="110"/>
      <c r="F28" s="110"/>
      <c r="H28" s="110"/>
      <c r="I28" s="110"/>
      <c r="J28" s="110"/>
      <c r="K28" s="110"/>
    </row>
    <row r="29" spans="3:16" ht="30" customHeight="1" thickTop="1" thickBot="1" x14ac:dyDescent="0.25">
      <c r="C29" s="324" t="s">
        <v>77</v>
      </c>
      <c r="D29" s="324"/>
      <c r="E29" s="324"/>
      <c r="F29" s="106">
        <f ca="1">SUM(Resul!AH$9:AH$38)</f>
        <v>0.87499999999999978</v>
      </c>
      <c r="H29" s="324" t="s">
        <v>84</v>
      </c>
      <c r="I29" s="324"/>
      <c r="J29" s="324"/>
      <c r="K29" s="106">
        <f ca="1">SUM(Resul!AX$9:AX$38)</f>
        <v>0</v>
      </c>
    </row>
    <row r="30" spans="3:16" ht="5" customHeight="1" thickTop="1" thickBot="1" x14ac:dyDescent="0.25">
      <c r="C30" s="110"/>
      <c r="D30" s="110"/>
      <c r="E30" s="110"/>
      <c r="F30" s="110"/>
      <c r="H30" s="110"/>
      <c r="I30" s="110"/>
      <c r="J30" s="110"/>
      <c r="K30" s="110"/>
    </row>
    <row r="31" spans="3:16" ht="30" customHeight="1" thickTop="1" thickBot="1" x14ac:dyDescent="0.25">
      <c r="C31" s="324" t="s">
        <v>78</v>
      </c>
      <c r="D31" s="324"/>
      <c r="E31" s="324"/>
      <c r="F31" s="106">
        <f ca="1">SUM(Resul!AJ$9:AJ$38)</f>
        <v>0</v>
      </c>
      <c r="H31" s="324" t="s">
        <v>85</v>
      </c>
      <c r="I31" s="324"/>
      <c r="J31" s="324"/>
      <c r="K31" s="106">
        <f ca="1">SUM(Resul!AV$9:AV$38)</f>
        <v>0</v>
      </c>
    </row>
    <row r="32" spans="3:16" ht="5" customHeight="1" thickTop="1" thickBot="1" x14ac:dyDescent="0.25">
      <c r="C32" s="110"/>
      <c r="D32" s="110"/>
      <c r="E32" s="110"/>
      <c r="F32" s="110"/>
      <c r="H32" s="110"/>
      <c r="I32" s="110"/>
      <c r="J32" s="110"/>
      <c r="K32" s="110"/>
    </row>
    <row r="33" spans="1:58" ht="30" customHeight="1" thickTop="1" thickBot="1" x14ac:dyDescent="0.25">
      <c r="C33" s="324" t="s">
        <v>79</v>
      </c>
      <c r="D33" s="324"/>
      <c r="E33" s="324"/>
      <c r="F33" s="106">
        <f ca="1">SUM(Resul!AL$9:AL$38)</f>
        <v>0</v>
      </c>
      <c r="H33" s="324" t="s">
        <v>87</v>
      </c>
      <c r="I33" s="324"/>
      <c r="J33" s="324"/>
      <c r="K33" s="218">
        <f ca="1">SUM(Resul!BB$9:BB$38)</f>
        <v>0</v>
      </c>
    </row>
    <row r="34" spans="1:58" ht="5" customHeight="1" thickTop="1" thickBot="1" x14ac:dyDescent="0.25">
      <c r="C34" s="110"/>
      <c r="D34" s="110"/>
      <c r="E34" s="110"/>
      <c r="F34" s="110"/>
      <c r="H34" s="111"/>
      <c r="I34" s="111"/>
      <c r="J34" s="111"/>
      <c r="K34" s="111"/>
    </row>
    <row r="35" spans="1:58" ht="30" customHeight="1" thickTop="1" thickBot="1" x14ac:dyDescent="0.25">
      <c r="C35" s="324" t="s">
        <v>82</v>
      </c>
      <c r="D35" s="324"/>
      <c r="E35" s="324"/>
      <c r="F35" s="106">
        <f ca="1">SUM(Resul!AN$9:AN$38)</f>
        <v>0.83333333333333304</v>
      </c>
      <c r="H35" s="324" t="s">
        <v>88</v>
      </c>
      <c r="I35" s="324"/>
      <c r="J35" s="324"/>
      <c r="K35" s="180">
        <f ca="1">SUM(Resul!BD$9:BD$38)</f>
        <v>0</v>
      </c>
    </row>
    <row r="36" spans="1:58" ht="5" customHeight="1" thickTop="1" thickBot="1" x14ac:dyDescent="0.25">
      <c r="C36" s="110"/>
      <c r="D36" s="110"/>
      <c r="E36" s="110"/>
      <c r="F36" s="110"/>
    </row>
    <row r="37" spans="1:58" ht="30" customHeight="1" thickTop="1" thickBot="1" x14ac:dyDescent="0.25">
      <c r="C37" s="324" t="s">
        <v>81</v>
      </c>
      <c r="D37" s="324"/>
      <c r="E37" s="324"/>
      <c r="F37" s="106">
        <f ca="1">SUM(Resul!AP$9:AP$38)</f>
        <v>1.3888888888888884</v>
      </c>
    </row>
    <row r="38" spans="1:58" ht="15" customHeight="1" thickTop="1" thickBot="1" x14ac:dyDescent="0.25">
      <c r="C38" s="110"/>
      <c r="D38" s="110"/>
      <c r="E38" s="110"/>
      <c r="F38" s="110"/>
    </row>
    <row r="39" spans="1:58" s="68" customFormat="1" ht="30" customHeight="1" thickTop="1" thickBot="1" x14ac:dyDescent="0.3">
      <c r="A39" s="1"/>
      <c r="B39"/>
      <c r="C39" s="17" t="s">
        <v>284</v>
      </c>
      <c r="D39"/>
      <c r="E39"/>
      <c r="F39"/>
      <c r="L39" s="2"/>
      <c r="M39" s="2"/>
      <c r="N39" s="2"/>
      <c r="O39" s="2"/>
      <c r="P39" s="2"/>
      <c r="Q39" s="2"/>
      <c r="R39" s="2" t="str">
        <f>IF(Funcionários!C37=0,"",Funcionários!C37)</f>
        <v/>
      </c>
      <c r="S39" s="2">
        <v>19</v>
      </c>
      <c r="T39" s="2" t="str">
        <f t="shared" ref="T39:T50" si="0">"'Lanç ("&amp;S39&amp;")'!$U$8"</f>
        <v>'Lanç (19)'!$U$8</v>
      </c>
      <c r="U39" s="163">
        <f t="shared" ref="U39:W50" ca="1" si="1">INDIRECT(T39)</f>
        <v>0</v>
      </c>
      <c r="V39" s="2" t="str">
        <f t="shared" ref="V39:V50" si="2">"'Lanç ("&amp;$S39&amp;")'!$U$16"</f>
        <v>'Lanç (19)'!$U$16</v>
      </c>
      <c r="W39" s="163">
        <f t="shared" ca="1" si="1"/>
        <v>0</v>
      </c>
      <c r="X39" s="2" t="str">
        <f t="shared" ref="X39:X50" si="3">"'Lanç ("&amp;$S39&amp;")'!$U$14"</f>
        <v>'Lanç (19)'!$U$14</v>
      </c>
      <c r="Y39" s="163">
        <f t="shared" ref="Y39:AA50" ca="1" si="4">INDIRECT(X39)</f>
        <v>0</v>
      </c>
      <c r="Z39" s="2" t="str">
        <f t="shared" ref="Z39:Z50" si="5">"'Lanç ("&amp;$S39&amp;")'!$K$5"</f>
        <v>'Lanç (19)'!$K$5</v>
      </c>
      <c r="AA39" s="163">
        <f t="shared" ca="1" si="4"/>
        <v>0</v>
      </c>
      <c r="AB39" s="2"/>
      <c r="AC39" s="2" t="str">
        <f t="shared" ref="AC39:AC50" si="6">"'Lanç ("&amp;$S39&amp;")'!$F$41"</f>
        <v>'Lanç (19)'!$F$41</v>
      </c>
      <c r="AD39" s="163">
        <f t="shared" ref="AD39:AF50" ca="1" si="7">INDIRECT(AC39)</f>
        <v>0</v>
      </c>
      <c r="AE39" s="2" t="str">
        <f t="shared" ref="AE39:AE50" si="8">"'Lanç ("&amp;$S39&amp;")'!$F$42"</f>
        <v>'Lanç (19)'!$F$42</v>
      </c>
      <c r="AF39" s="163">
        <f t="shared" ca="1" si="7"/>
        <v>0</v>
      </c>
      <c r="AG39" s="2" t="str">
        <f t="shared" ref="AG39:AG50" si="9">"'Lanç ("&amp;$S39&amp;")'!$F$43"</f>
        <v>'Lanç (19)'!$F$43</v>
      </c>
      <c r="AH39" s="163">
        <f t="shared" ref="AH39:AH50" ca="1" si="10">INDIRECT(AG39)</f>
        <v>0</v>
      </c>
      <c r="AI39" s="2" t="str">
        <f t="shared" ref="AI39:AI50" si="11">"'Lanç ("&amp;$S39&amp;")'!$F$44"</f>
        <v>'Lanç (19)'!$F$44</v>
      </c>
      <c r="AJ39" s="163">
        <f t="shared" ref="AJ39:AJ50" ca="1" si="12">INDIRECT(AI39)</f>
        <v>0</v>
      </c>
      <c r="AK39" s="2" t="str">
        <f t="shared" ref="AK39:AK50" si="13">"'Lanç ("&amp;$S39&amp;")'!$F$45"</f>
        <v>'Lanç (19)'!$F$45</v>
      </c>
      <c r="AL39" s="163">
        <f t="shared" ref="AL39:AL50" ca="1" si="14">INDIRECT(AK39)</f>
        <v>0</v>
      </c>
      <c r="AM39" s="2" t="str">
        <f t="shared" ref="AM39:AM50" si="15">"'Lanç ("&amp;$S39&amp;")'!$F$46"</f>
        <v>'Lanç (19)'!$F$46</v>
      </c>
      <c r="AN39" s="163">
        <f t="shared" ref="AN39:AN50" ca="1" si="16">INDIRECT(AM39)</f>
        <v>0</v>
      </c>
      <c r="AO39" s="2" t="str">
        <f t="shared" ref="AO39:AO50" si="17">"'Lanç ("&amp;$S39&amp;")'!$F$47"</f>
        <v>'Lanç (19)'!$F$47</v>
      </c>
      <c r="AP39" s="163">
        <f t="shared" ref="AP39:AP50" ca="1" si="18">INDIRECT(AO39)</f>
        <v>0</v>
      </c>
      <c r="AQ39" s="2" t="str">
        <f t="shared" ref="AQ39:AQ50" si="19">"'Lanç ("&amp;$S39&amp;")'!$F$48"</f>
        <v>'Lanç (19)'!$F$48</v>
      </c>
      <c r="AR39" s="163">
        <f t="shared" ref="AR39:AR50" ca="1" si="20">INDIRECT(AQ39)</f>
        <v>0</v>
      </c>
      <c r="AS39" s="2" t="str">
        <f t="shared" ref="AS39:AS50" si="21">"'Lanç ("&amp;$S39&amp;")'!$F$49"</f>
        <v>'Lanç (19)'!$F$49</v>
      </c>
      <c r="AT39" s="163">
        <f t="shared" ref="AT39:AT50" ca="1" si="22">INDIRECT(AS39)</f>
        <v>0</v>
      </c>
      <c r="AU39" s="2" t="str">
        <f t="shared" ref="AU39:AU50" si="23">"'Lanç ("&amp;$S39&amp;")'!$F$51"</f>
        <v>'Lanç (19)'!$F$51</v>
      </c>
      <c r="AV39" s="163">
        <f t="shared" ref="AV39:AV50" ca="1" si="24">INDIRECT(AU39)</f>
        <v>0</v>
      </c>
      <c r="AW39" s="2" t="str">
        <f t="shared" ref="AW39:AW50" si="25">"'Lanç ("&amp;$S39&amp;")'!$F$50"</f>
        <v>'Lanç (19)'!$F$50</v>
      </c>
      <c r="AX39" s="163">
        <f t="shared" ref="AX39:AX50" ca="1" si="26">INDIRECT(AW39)</f>
        <v>0</v>
      </c>
      <c r="AY39" s="2" t="str">
        <f t="shared" ref="AY39:AY50" si="27">"'Lanç ("&amp;$S39&amp;")'!$F$52"</f>
        <v>'Lanç (19)'!$F$52</v>
      </c>
      <c r="AZ39" s="163">
        <f t="shared" ref="AZ39:AZ50" ca="1" si="28">INDIRECT(AY39)</f>
        <v>0</v>
      </c>
      <c r="BA39" s="2" t="str">
        <f t="shared" ref="BA39:BA50" si="29">"'Lanç ("&amp;$S39&amp;")'!$F$53"</f>
        <v>'Lanç (19)'!$F$53</v>
      </c>
      <c r="BB39" s="163">
        <f t="shared" ref="BB39:BB50" ca="1" si="30">INDIRECT(BA39)</f>
        <v>0</v>
      </c>
      <c r="BC39" s="2" t="str">
        <f t="shared" ref="BC39:BC50" si="31">"'Lanç ("&amp;$S39&amp;")'!$F$54"</f>
        <v>'Lanç (19)'!$F$54</v>
      </c>
      <c r="BD39" s="164">
        <f t="shared" ref="BD39:BF50" ca="1" si="32">INDIRECT(BC39)</f>
        <v>0</v>
      </c>
      <c r="BE39" s="2" t="str">
        <f t="shared" ref="BE39:BE50" si="33">"'Lanç ("&amp;$S39&amp;")'!$F$55"</f>
        <v>'Lanç (19)'!$F$55</v>
      </c>
      <c r="BF39" s="164">
        <f t="shared" ca="1" si="32"/>
        <v>0</v>
      </c>
    </row>
    <row r="40" spans="1:58" s="68" customFormat="1" ht="30" customHeight="1" thickTop="1" thickBot="1" x14ac:dyDescent="0.25">
      <c r="A40" s="1"/>
      <c r="B40"/>
      <c r="C40" s="303" t="s">
        <v>75</v>
      </c>
      <c r="D40" s="303"/>
      <c r="E40" s="303"/>
      <c r="F40" s="181" t="str">
        <f>Resul!F28</f>
        <v/>
      </c>
      <c r="G40" s="2">
        <v>13</v>
      </c>
      <c r="H40" s="303" t="s">
        <v>80</v>
      </c>
      <c r="I40" s="303"/>
      <c r="J40" s="303"/>
      <c r="K40" s="181" t="str">
        <f>Resul!K28</f>
        <v/>
      </c>
      <c r="L40" s="2"/>
      <c r="M40" s="2"/>
      <c r="N40" s="2"/>
      <c r="O40" s="2"/>
      <c r="P40" s="2"/>
      <c r="Q40" s="2"/>
      <c r="R40" s="2" t="str">
        <f>IF(Funcionários!C38=0,"",Funcionários!C38)</f>
        <v/>
      </c>
      <c r="S40" s="2">
        <v>20</v>
      </c>
      <c r="T40" s="2" t="str">
        <f t="shared" si="0"/>
        <v>'Lanç (20)'!$U$8</v>
      </c>
      <c r="U40" s="163">
        <f t="shared" ca="1" si="1"/>
        <v>0</v>
      </c>
      <c r="V40" s="2" t="str">
        <f t="shared" si="2"/>
        <v>'Lanç (20)'!$U$16</v>
      </c>
      <c r="W40" s="163">
        <f t="shared" ca="1" si="1"/>
        <v>0</v>
      </c>
      <c r="X40" s="2" t="str">
        <f t="shared" si="3"/>
        <v>'Lanç (20)'!$U$14</v>
      </c>
      <c r="Y40" s="163">
        <f t="shared" ca="1" si="4"/>
        <v>0</v>
      </c>
      <c r="Z40" s="2" t="str">
        <f t="shared" si="5"/>
        <v>'Lanç (20)'!$K$5</v>
      </c>
      <c r="AA40" s="163">
        <f t="shared" ca="1" si="4"/>
        <v>0</v>
      </c>
      <c r="AB40" s="2"/>
      <c r="AC40" s="2" t="str">
        <f t="shared" si="6"/>
        <v>'Lanç (20)'!$F$41</v>
      </c>
      <c r="AD40" s="163">
        <f t="shared" ca="1" si="7"/>
        <v>0</v>
      </c>
      <c r="AE40" s="2" t="str">
        <f t="shared" si="8"/>
        <v>'Lanç (20)'!$F$42</v>
      </c>
      <c r="AF40" s="163">
        <f t="shared" ca="1" si="7"/>
        <v>0</v>
      </c>
      <c r="AG40" s="2" t="str">
        <f t="shared" si="9"/>
        <v>'Lanç (20)'!$F$43</v>
      </c>
      <c r="AH40" s="163">
        <f t="shared" ca="1" si="10"/>
        <v>0</v>
      </c>
      <c r="AI40" s="2" t="str">
        <f t="shared" si="11"/>
        <v>'Lanç (20)'!$F$44</v>
      </c>
      <c r="AJ40" s="163">
        <f t="shared" ca="1" si="12"/>
        <v>0</v>
      </c>
      <c r="AK40" s="2" t="str">
        <f t="shared" si="13"/>
        <v>'Lanç (20)'!$F$45</v>
      </c>
      <c r="AL40" s="163">
        <f t="shared" ca="1" si="14"/>
        <v>0</v>
      </c>
      <c r="AM40" s="2" t="str">
        <f t="shared" si="15"/>
        <v>'Lanç (20)'!$F$46</v>
      </c>
      <c r="AN40" s="163">
        <f t="shared" ca="1" si="16"/>
        <v>0</v>
      </c>
      <c r="AO40" s="2" t="str">
        <f t="shared" si="17"/>
        <v>'Lanç (20)'!$F$47</v>
      </c>
      <c r="AP40" s="163">
        <f t="shared" ca="1" si="18"/>
        <v>0</v>
      </c>
      <c r="AQ40" s="2" t="str">
        <f t="shared" si="19"/>
        <v>'Lanç (20)'!$F$48</v>
      </c>
      <c r="AR40" s="163">
        <f t="shared" ca="1" si="20"/>
        <v>0</v>
      </c>
      <c r="AS40" s="2" t="str">
        <f t="shared" si="21"/>
        <v>'Lanç (20)'!$F$49</v>
      </c>
      <c r="AT40" s="163">
        <f t="shared" ca="1" si="22"/>
        <v>0</v>
      </c>
      <c r="AU40" s="2" t="str">
        <f t="shared" si="23"/>
        <v>'Lanç (20)'!$F$51</v>
      </c>
      <c r="AV40" s="163">
        <f t="shared" ca="1" si="24"/>
        <v>0</v>
      </c>
      <c r="AW40" s="2" t="str">
        <f t="shared" si="25"/>
        <v>'Lanç (20)'!$F$50</v>
      </c>
      <c r="AX40" s="163">
        <f t="shared" ca="1" si="26"/>
        <v>0</v>
      </c>
      <c r="AY40" s="2" t="str">
        <f t="shared" si="27"/>
        <v>'Lanç (20)'!$F$52</v>
      </c>
      <c r="AZ40" s="163">
        <f t="shared" ca="1" si="28"/>
        <v>0</v>
      </c>
      <c r="BA40" s="2" t="str">
        <f t="shared" si="29"/>
        <v>'Lanç (20)'!$F$53</v>
      </c>
      <c r="BB40" s="163">
        <f t="shared" ca="1" si="30"/>
        <v>0</v>
      </c>
      <c r="BC40" s="2" t="str">
        <f t="shared" si="31"/>
        <v>'Lanç (20)'!$F$54</v>
      </c>
      <c r="BD40" s="164">
        <f t="shared" ca="1" si="32"/>
        <v>0</v>
      </c>
      <c r="BE40" s="2" t="str">
        <f t="shared" si="33"/>
        <v>'Lanç (20)'!$F$55</v>
      </c>
      <c r="BF40" s="164">
        <f t="shared" ca="1" si="32"/>
        <v>0</v>
      </c>
    </row>
    <row r="41" spans="1:58" s="68" customFormat="1" ht="5" customHeight="1" thickTop="1" thickBot="1" x14ac:dyDescent="0.25">
      <c r="A41" s="1"/>
      <c r="B41"/>
      <c r="C41"/>
      <c r="D41"/>
      <c r="E41"/>
      <c r="F41" s="99"/>
      <c r="G41" s="2"/>
      <c r="H41"/>
      <c r="I41"/>
      <c r="J41"/>
      <c r="K41" s="99"/>
      <c r="L41" s="161"/>
      <c r="M41" s="161"/>
      <c r="N41" s="161"/>
      <c r="O41" s="2"/>
      <c r="P41" s="2"/>
      <c r="Q41" s="2"/>
      <c r="R41" s="2" t="str">
        <f>IF(Funcionários!C39=0,"",Funcionários!C39)</f>
        <v/>
      </c>
      <c r="S41" s="2">
        <v>21</v>
      </c>
      <c r="T41" s="2" t="str">
        <f t="shared" si="0"/>
        <v>'Lanç (21)'!$U$8</v>
      </c>
      <c r="U41" s="163">
        <f t="shared" ca="1" si="1"/>
        <v>0</v>
      </c>
      <c r="V41" s="2" t="str">
        <f t="shared" si="2"/>
        <v>'Lanç (21)'!$U$16</v>
      </c>
      <c r="W41" s="163">
        <f t="shared" ca="1" si="1"/>
        <v>0</v>
      </c>
      <c r="X41" s="2" t="str">
        <f t="shared" si="3"/>
        <v>'Lanç (21)'!$U$14</v>
      </c>
      <c r="Y41" s="163">
        <f t="shared" ca="1" si="4"/>
        <v>0</v>
      </c>
      <c r="Z41" s="2" t="str">
        <f t="shared" si="5"/>
        <v>'Lanç (21)'!$K$5</v>
      </c>
      <c r="AA41" s="163">
        <f t="shared" ca="1" si="4"/>
        <v>0</v>
      </c>
      <c r="AB41" s="2"/>
      <c r="AC41" s="2" t="str">
        <f t="shared" si="6"/>
        <v>'Lanç (21)'!$F$41</v>
      </c>
      <c r="AD41" s="163">
        <f t="shared" ca="1" si="7"/>
        <v>0</v>
      </c>
      <c r="AE41" s="2" t="str">
        <f t="shared" si="8"/>
        <v>'Lanç (21)'!$F$42</v>
      </c>
      <c r="AF41" s="163">
        <f t="shared" ca="1" si="7"/>
        <v>0</v>
      </c>
      <c r="AG41" s="2" t="str">
        <f t="shared" si="9"/>
        <v>'Lanç (21)'!$F$43</v>
      </c>
      <c r="AH41" s="163">
        <f t="shared" ca="1" si="10"/>
        <v>0</v>
      </c>
      <c r="AI41" s="2" t="str">
        <f t="shared" si="11"/>
        <v>'Lanç (21)'!$F$44</v>
      </c>
      <c r="AJ41" s="163">
        <f t="shared" ca="1" si="12"/>
        <v>0</v>
      </c>
      <c r="AK41" s="2" t="str">
        <f t="shared" si="13"/>
        <v>'Lanç (21)'!$F$45</v>
      </c>
      <c r="AL41" s="163">
        <f t="shared" ca="1" si="14"/>
        <v>0</v>
      </c>
      <c r="AM41" s="2" t="str">
        <f t="shared" si="15"/>
        <v>'Lanç (21)'!$F$46</v>
      </c>
      <c r="AN41" s="163">
        <f t="shared" ca="1" si="16"/>
        <v>0</v>
      </c>
      <c r="AO41" s="2" t="str">
        <f t="shared" si="17"/>
        <v>'Lanç (21)'!$F$47</v>
      </c>
      <c r="AP41" s="163">
        <f t="shared" ca="1" si="18"/>
        <v>0</v>
      </c>
      <c r="AQ41" s="2" t="str">
        <f t="shared" si="19"/>
        <v>'Lanç (21)'!$F$48</v>
      </c>
      <c r="AR41" s="163">
        <f t="shared" ca="1" si="20"/>
        <v>0</v>
      </c>
      <c r="AS41" s="2" t="str">
        <f t="shared" si="21"/>
        <v>'Lanç (21)'!$F$49</v>
      </c>
      <c r="AT41" s="163">
        <f t="shared" ca="1" si="22"/>
        <v>0</v>
      </c>
      <c r="AU41" s="2" t="str">
        <f t="shared" si="23"/>
        <v>'Lanç (21)'!$F$51</v>
      </c>
      <c r="AV41" s="163">
        <f t="shared" ca="1" si="24"/>
        <v>0</v>
      </c>
      <c r="AW41" s="2" t="str">
        <f t="shared" si="25"/>
        <v>'Lanç (21)'!$F$50</v>
      </c>
      <c r="AX41" s="163">
        <f t="shared" ca="1" si="26"/>
        <v>0</v>
      </c>
      <c r="AY41" s="2" t="str">
        <f t="shared" si="27"/>
        <v>'Lanç (21)'!$F$52</v>
      </c>
      <c r="AZ41" s="163">
        <f t="shared" ca="1" si="28"/>
        <v>0</v>
      </c>
      <c r="BA41" s="2" t="str">
        <f t="shared" si="29"/>
        <v>'Lanç (21)'!$F$53</v>
      </c>
      <c r="BB41" s="163">
        <f t="shared" ca="1" si="30"/>
        <v>0</v>
      </c>
      <c r="BC41" s="2" t="str">
        <f t="shared" si="31"/>
        <v>'Lanç (21)'!$F$54</v>
      </c>
      <c r="BD41" s="164">
        <f t="shared" ca="1" si="32"/>
        <v>0</v>
      </c>
      <c r="BE41" s="2" t="str">
        <f t="shared" si="33"/>
        <v>'Lanç (21)'!$F$55</v>
      </c>
      <c r="BF41" s="164">
        <f t="shared" ca="1" si="32"/>
        <v>0</v>
      </c>
    </row>
    <row r="42" spans="1:58" s="68" customFormat="1" ht="30" customHeight="1" thickTop="1" thickBot="1" x14ac:dyDescent="0.25">
      <c r="A42" s="1"/>
      <c r="B42"/>
      <c r="C42" s="303" t="s">
        <v>76</v>
      </c>
      <c r="D42" s="303"/>
      <c r="E42" s="303"/>
      <c r="F42" s="181" t="str">
        <f>Resul!F30</f>
        <v/>
      </c>
      <c r="G42" s="2">
        <v>15</v>
      </c>
      <c r="H42" s="304" t="s">
        <v>146</v>
      </c>
      <c r="I42" s="304"/>
      <c r="J42" s="304"/>
      <c r="K42" s="181" t="e">
        <f ca="1">Resul!K30</f>
        <v>#VALUE!</v>
      </c>
      <c r="L42" s="2"/>
      <c r="M42" s="2"/>
      <c r="N42" s="2"/>
      <c r="O42" s="2"/>
      <c r="P42" s="2"/>
      <c r="Q42" s="2"/>
      <c r="R42" s="2" t="str">
        <f>IF(Funcionários!C40=0,"",Funcionários!C40)</f>
        <v/>
      </c>
      <c r="S42" s="2">
        <v>22</v>
      </c>
      <c r="T42" s="2" t="str">
        <f t="shared" si="0"/>
        <v>'Lanç (22)'!$U$8</v>
      </c>
      <c r="U42" s="163">
        <f t="shared" ca="1" si="1"/>
        <v>0</v>
      </c>
      <c r="V42" s="2" t="str">
        <f t="shared" si="2"/>
        <v>'Lanç (22)'!$U$16</v>
      </c>
      <c r="W42" s="163">
        <f t="shared" ca="1" si="1"/>
        <v>0</v>
      </c>
      <c r="X42" s="2" t="str">
        <f t="shared" si="3"/>
        <v>'Lanç (22)'!$U$14</v>
      </c>
      <c r="Y42" s="163">
        <f t="shared" ca="1" si="4"/>
        <v>0</v>
      </c>
      <c r="Z42" s="2" t="str">
        <f t="shared" si="5"/>
        <v>'Lanç (22)'!$K$5</v>
      </c>
      <c r="AA42" s="163">
        <f t="shared" ca="1" si="4"/>
        <v>0</v>
      </c>
      <c r="AB42" s="2"/>
      <c r="AC42" s="2" t="str">
        <f t="shared" si="6"/>
        <v>'Lanç (22)'!$F$41</v>
      </c>
      <c r="AD42" s="163">
        <f t="shared" ca="1" si="7"/>
        <v>0</v>
      </c>
      <c r="AE42" s="2" t="str">
        <f t="shared" si="8"/>
        <v>'Lanç (22)'!$F$42</v>
      </c>
      <c r="AF42" s="163">
        <f t="shared" ca="1" si="7"/>
        <v>0</v>
      </c>
      <c r="AG42" s="2" t="str">
        <f t="shared" si="9"/>
        <v>'Lanç (22)'!$F$43</v>
      </c>
      <c r="AH42" s="163">
        <f t="shared" ca="1" si="10"/>
        <v>0</v>
      </c>
      <c r="AI42" s="2" t="str">
        <f t="shared" si="11"/>
        <v>'Lanç (22)'!$F$44</v>
      </c>
      <c r="AJ42" s="163">
        <f t="shared" ca="1" si="12"/>
        <v>0</v>
      </c>
      <c r="AK42" s="2" t="str">
        <f t="shared" si="13"/>
        <v>'Lanç (22)'!$F$45</v>
      </c>
      <c r="AL42" s="163">
        <f t="shared" ca="1" si="14"/>
        <v>0</v>
      </c>
      <c r="AM42" s="2" t="str">
        <f t="shared" si="15"/>
        <v>'Lanç (22)'!$F$46</v>
      </c>
      <c r="AN42" s="163">
        <f t="shared" ca="1" si="16"/>
        <v>0</v>
      </c>
      <c r="AO42" s="2" t="str">
        <f t="shared" si="17"/>
        <v>'Lanç (22)'!$F$47</v>
      </c>
      <c r="AP42" s="163">
        <f t="shared" ca="1" si="18"/>
        <v>0</v>
      </c>
      <c r="AQ42" s="2" t="str">
        <f t="shared" si="19"/>
        <v>'Lanç (22)'!$F$48</v>
      </c>
      <c r="AR42" s="163">
        <f t="shared" ca="1" si="20"/>
        <v>0</v>
      </c>
      <c r="AS42" s="2" t="str">
        <f t="shared" si="21"/>
        <v>'Lanç (22)'!$F$49</v>
      </c>
      <c r="AT42" s="163">
        <f t="shared" ca="1" si="22"/>
        <v>0</v>
      </c>
      <c r="AU42" s="2" t="str">
        <f t="shared" si="23"/>
        <v>'Lanç (22)'!$F$51</v>
      </c>
      <c r="AV42" s="163">
        <f t="shared" ca="1" si="24"/>
        <v>0</v>
      </c>
      <c r="AW42" s="2" t="str">
        <f t="shared" si="25"/>
        <v>'Lanç (22)'!$F$50</v>
      </c>
      <c r="AX42" s="163">
        <f t="shared" ca="1" si="26"/>
        <v>0</v>
      </c>
      <c r="AY42" s="2" t="str">
        <f t="shared" si="27"/>
        <v>'Lanç (22)'!$F$52</v>
      </c>
      <c r="AZ42" s="163">
        <f t="shared" ca="1" si="28"/>
        <v>0</v>
      </c>
      <c r="BA42" s="2" t="str">
        <f t="shared" si="29"/>
        <v>'Lanç (22)'!$F$53</v>
      </c>
      <c r="BB42" s="163">
        <f t="shared" ca="1" si="30"/>
        <v>0</v>
      </c>
      <c r="BC42" s="2" t="str">
        <f t="shared" si="31"/>
        <v>'Lanç (22)'!$F$54</v>
      </c>
      <c r="BD42" s="164">
        <f t="shared" ca="1" si="32"/>
        <v>0</v>
      </c>
      <c r="BE42" s="2" t="str">
        <f t="shared" si="33"/>
        <v>'Lanç (22)'!$F$55</v>
      </c>
      <c r="BF42" s="164">
        <f t="shared" ca="1" si="32"/>
        <v>0</v>
      </c>
    </row>
    <row r="43" spans="1:58" s="68" customFormat="1" ht="5" customHeight="1" thickTop="1" thickBot="1" x14ac:dyDescent="0.25">
      <c r="A43" s="1"/>
      <c r="B43"/>
      <c r="C43"/>
      <c r="D43"/>
      <c r="E43"/>
      <c r="F43" s="99"/>
      <c r="G43" s="2"/>
      <c r="H43"/>
      <c r="I43"/>
      <c r="J43"/>
      <c r="K43" s="99"/>
      <c r="L43" s="2"/>
      <c r="M43" s="2"/>
      <c r="N43" s="2"/>
      <c r="O43" s="2"/>
      <c r="P43" s="2"/>
      <c r="Q43" s="2"/>
      <c r="R43" s="2" t="str">
        <f>IF(Funcionários!C41=0,"",Funcionários!C41)</f>
        <v/>
      </c>
      <c r="S43" s="2">
        <v>23</v>
      </c>
      <c r="T43" s="2" t="str">
        <f t="shared" si="0"/>
        <v>'Lanç (23)'!$U$8</v>
      </c>
      <c r="U43" s="163">
        <f t="shared" ca="1" si="1"/>
        <v>0</v>
      </c>
      <c r="V43" s="2" t="str">
        <f t="shared" si="2"/>
        <v>'Lanç (23)'!$U$16</v>
      </c>
      <c r="W43" s="163">
        <f t="shared" ca="1" si="1"/>
        <v>0</v>
      </c>
      <c r="X43" s="2" t="str">
        <f t="shared" si="3"/>
        <v>'Lanç (23)'!$U$14</v>
      </c>
      <c r="Y43" s="163">
        <f t="shared" ca="1" si="4"/>
        <v>0</v>
      </c>
      <c r="Z43" s="2" t="str">
        <f t="shared" si="5"/>
        <v>'Lanç (23)'!$K$5</v>
      </c>
      <c r="AA43" s="163">
        <f t="shared" ca="1" si="4"/>
        <v>0</v>
      </c>
      <c r="AB43" s="2"/>
      <c r="AC43" s="2" t="str">
        <f t="shared" si="6"/>
        <v>'Lanç (23)'!$F$41</v>
      </c>
      <c r="AD43" s="163">
        <f t="shared" ca="1" si="7"/>
        <v>0</v>
      </c>
      <c r="AE43" s="2" t="str">
        <f t="shared" si="8"/>
        <v>'Lanç (23)'!$F$42</v>
      </c>
      <c r="AF43" s="163">
        <f t="shared" ca="1" si="7"/>
        <v>0</v>
      </c>
      <c r="AG43" s="2" t="str">
        <f t="shared" si="9"/>
        <v>'Lanç (23)'!$F$43</v>
      </c>
      <c r="AH43" s="163">
        <f t="shared" ca="1" si="10"/>
        <v>0</v>
      </c>
      <c r="AI43" s="2" t="str">
        <f t="shared" si="11"/>
        <v>'Lanç (23)'!$F$44</v>
      </c>
      <c r="AJ43" s="163">
        <f t="shared" ca="1" si="12"/>
        <v>0</v>
      </c>
      <c r="AK43" s="2" t="str">
        <f t="shared" si="13"/>
        <v>'Lanç (23)'!$F$45</v>
      </c>
      <c r="AL43" s="163">
        <f t="shared" ca="1" si="14"/>
        <v>0</v>
      </c>
      <c r="AM43" s="2" t="str">
        <f t="shared" si="15"/>
        <v>'Lanç (23)'!$F$46</v>
      </c>
      <c r="AN43" s="163">
        <f t="shared" ca="1" si="16"/>
        <v>0</v>
      </c>
      <c r="AO43" s="2" t="str">
        <f t="shared" si="17"/>
        <v>'Lanç (23)'!$F$47</v>
      </c>
      <c r="AP43" s="163">
        <f t="shared" ca="1" si="18"/>
        <v>0</v>
      </c>
      <c r="AQ43" s="2" t="str">
        <f t="shared" si="19"/>
        <v>'Lanç (23)'!$F$48</v>
      </c>
      <c r="AR43" s="163">
        <f t="shared" ca="1" si="20"/>
        <v>0</v>
      </c>
      <c r="AS43" s="2" t="str">
        <f t="shared" si="21"/>
        <v>'Lanç (23)'!$F$49</v>
      </c>
      <c r="AT43" s="163">
        <f t="shared" ca="1" si="22"/>
        <v>0</v>
      </c>
      <c r="AU43" s="2" t="str">
        <f t="shared" si="23"/>
        <v>'Lanç (23)'!$F$51</v>
      </c>
      <c r="AV43" s="163">
        <f t="shared" ca="1" si="24"/>
        <v>0</v>
      </c>
      <c r="AW43" s="2" t="str">
        <f t="shared" si="25"/>
        <v>'Lanç (23)'!$F$50</v>
      </c>
      <c r="AX43" s="163">
        <f t="shared" ca="1" si="26"/>
        <v>0</v>
      </c>
      <c r="AY43" s="2" t="str">
        <f t="shared" si="27"/>
        <v>'Lanç (23)'!$F$52</v>
      </c>
      <c r="AZ43" s="163">
        <f t="shared" ca="1" si="28"/>
        <v>0</v>
      </c>
      <c r="BA43" s="2" t="str">
        <f t="shared" si="29"/>
        <v>'Lanç (23)'!$F$53</v>
      </c>
      <c r="BB43" s="163">
        <f t="shared" ca="1" si="30"/>
        <v>0</v>
      </c>
      <c r="BC43" s="2" t="str">
        <f t="shared" si="31"/>
        <v>'Lanç (23)'!$F$54</v>
      </c>
      <c r="BD43" s="164">
        <f t="shared" ca="1" si="32"/>
        <v>0</v>
      </c>
      <c r="BE43" s="2" t="str">
        <f t="shared" si="33"/>
        <v>'Lanç (23)'!$F$55</v>
      </c>
      <c r="BF43" s="164">
        <f t="shared" ca="1" si="32"/>
        <v>0</v>
      </c>
    </row>
    <row r="44" spans="1:58" s="68" customFormat="1" ht="30" customHeight="1" thickTop="1" thickBot="1" x14ac:dyDescent="0.25">
      <c r="A44" s="1"/>
      <c r="B44"/>
      <c r="C44" s="303" t="s">
        <v>77</v>
      </c>
      <c r="D44" s="303"/>
      <c r="E44" s="303"/>
      <c r="F44" s="181" t="str">
        <f>Resul!F32</f>
        <v/>
      </c>
      <c r="G44" s="2">
        <v>17</v>
      </c>
      <c r="H44" s="303" t="s">
        <v>147</v>
      </c>
      <c r="I44" s="303"/>
      <c r="J44" s="303"/>
      <c r="K44" s="181" t="str">
        <f>Resul!K32</f>
        <v/>
      </c>
      <c r="L44" s="2"/>
      <c r="M44" s="2"/>
      <c r="N44" s="2"/>
      <c r="O44" s="2"/>
      <c r="P44" s="2"/>
      <c r="Q44" s="2"/>
      <c r="R44" s="2" t="str">
        <f>IF(Funcionários!C42=0,"",Funcionários!C42)</f>
        <v/>
      </c>
      <c r="S44" s="2">
        <v>24</v>
      </c>
      <c r="T44" s="2" t="str">
        <f t="shared" si="0"/>
        <v>'Lanç (24)'!$U$8</v>
      </c>
      <c r="U44" s="163">
        <f t="shared" ca="1" si="1"/>
        <v>0</v>
      </c>
      <c r="V44" s="2" t="str">
        <f t="shared" si="2"/>
        <v>'Lanç (24)'!$U$16</v>
      </c>
      <c r="W44" s="163">
        <f t="shared" ca="1" si="1"/>
        <v>0</v>
      </c>
      <c r="X44" s="2" t="str">
        <f t="shared" si="3"/>
        <v>'Lanç (24)'!$U$14</v>
      </c>
      <c r="Y44" s="163">
        <f t="shared" ca="1" si="4"/>
        <v>0</v>
      </c>
      <c r="Z44" s="2" t="str">
        <f t="shared" si="5"/>
        <v>'Lanç (24)'!$K$5</v>
      </c>
      <c r="AA44" s="163">
        <f t="shared" ca="1" si="4"/>
        <v>0</v>
      </c>
      <c r="AB44" s="2"/>
      <c r="AC44" s="2" t="str">
        <f t="shared" si="6"/>
        <v>'Lanç (24)'!$F$41</v>
      </c>
      <c r="AD44" s="163">
        <f t="shared" ca="1" si="7"/>
        <v>0</v>
      </c>
      <c r="AE44" s="2" t="str">
        <f t="shared" si="8"/>
        <v>'Lanç (24)'!$F$42</v>
      </c>
      <c r="AF44" s="163">
        <f t="shared" ca="1" si="7"/>
        <v>0</v>
      </c>
      <c r="AG44" s="2" t="str">
        <f t="shared" si="9"/>
        <v>'Lanç (24)'!$F$43</v>
      </c>
      <c r="AH44" s="163">
        <f t="shared" ca="1" si="10"/>
        <v>0</v>
      </c>
      <c r="AI44" s="2" t="str">
        <f t="shared" si="11"/>
        <v>'Lanç (24)'!$F$44</v>
      </c>
      <c r="AJ44" s="163">
        <f t="shared" ca="1" si="12"/>
        <v>0</v>
      </c>
      <c r="AK44" s="2" t="str">
        <f t="shared" si="13"/>
        <v>'Lanç (24)'!$F$45</v>
      </c>
      <c r="AL44" s="163">
        <f t="shared" ca="1" si="14"/>
        <v>0</v>
      </c>
      <c r="AM44" s="2" t="str">
        <f t="shared" si="15"/>
        <v>'Lanç (24)'!$F$46</v>
      </c>
      <c r="AN44" s="163">
        <f t="shared" ca="1" si="16"/>
        <v>0</v>
      </c>
      <c r="AO44" s="2" t="str">
        <f t="shared" si="17"/>
        <v>'Lanç (24)'!$F$47</v>
      </c>
      <c r="AP44" s="163">
        <f t="shared" ca="1" si="18"/>
        <v>0</v>
      </c>
      <c r="AQ44" s="2" t="str">
        <f t="shared" si="19"/>
        <v>'Lanç (24)'!$F$48</v>
      </c>
      <c r="AR44" s="163">
        <f t="shared" ca="1" si="20"/>
        <v>0</v>
      </c>
      <c r="AS44" s="2" t="str">
        <f t="shared" si="21"/>
        <v>'Lanç (24)'!$F$49</v>
      </c>
      <c r="AT44" s="163">
        <f t="shared" ca="1" si="22"/>
        <v>0</v>
      </c>
      <c r="AU44" s="2" t="str">
        <f t="shared" si="23"/>
        <v>'Lanç (24)'!$F$51</v>
      </c>
      <c r="AV44" s="163">
        <f t="shared" ca="1" si="24"/>
        <v>0</v>
      </c>
      <c r="AW44" s="2" t="str">
        <f t="shared" si="25"/>
        <v>'Lanç (24)'!$F$50</v>
      </c>
      <c r="AX44" s="163">
        <f t="shared" ca="1" si="26"/>
        <v>0</v>
      </c>
      <c r="AY44" s="2" t="str">
        <f t="shared" si="27"/>
        <v>'Lanç (24)'!$F$52</v>
      </c>
      <c r="AZ44" s="163">
        <f t="shared" ca="1" si="28"/>
        <v>0</v>
      </c>
      <c r="BA44" s="2" t="str">
        <f t="shared" si="29"/>
        <v>'Lanç (24)'!$F$53</v>
      </c>
      <c r="BB44" s="163">
        <f t="shared" ca="1" si="30"/>
        <v>0</v>
      </c>
      <c r="BC44" s="2" t="str">
        <f t="shared" si="31"/>
        <v>'Lanç (24)'!$F$54</v>
      </c>
      <c r="BD44" s="164">
        <f t="shared" ca="1" si="32"/>
        <v>0</v>
      </c>
      <c r="BE44" s="2" t="str">
        <f t="shared" si="33"/>
        <v>'Lanç (24)'!$F$55</v>
      </c>
      <c r="BF44" s="164">
        <f t="shared" ca="1" si="32"/>
        <v>0</v>
      </c>
    </row>
    <row r="45" spans="1:58" s="68" customFormat="1" ht="5" customHeight="1" thickTop="1" thickBot="1" x14ac:dyDescent="0.25">
      <c r="A45" s="1"/>
      <c r="B45"/>
      <c r="C45"/>
      <c r="D45"/>
      <c r="E45"/>
      <c r="F45" s="99"/>
      <c r="G45" s="2"/>
      <c r="H45"/>
      <c r="I45"/>
      <c r="J45"/>
      <c r="K45" s="99"/>
      <c r="L45" s="2"/>
      <c r="M45" s="2"/>
      <c r="N45" s="2"/>
      <c r="O45" s="2"/>
      <c r="P45" s="2"/>
      <c r="Q45" s="2"/>
      <c r="R45" s="2" t="str">
        <f>IF(Funcionários!C43=0,"",Funcionários!C43)</f>
        <v/>
      </c>
      <c r="S45" s="2">
        <v>25</v>
      </c>
      <c r="T45" s="2" t="str">
        <f t="shared" si="0"/>
        <v>'Lanç (25)'!$U$8</v>
      </c>
      <c r="U45" s="163">
        <f t="shared" ca="1" si="1"/>
        <v>0</v>
      </c>
      <c r="V45" s="2" t="str">
        <f t="shared" si="2"/>
        <v>'Lanç (25)'!$U$16</v>
      </c>
      <c r="W45" s="163">
        <f t="shared" ca="1" si="1"/>
        <v>0</v>
      </c>
      <c r="X45" s="2" t="str">
        <f t="shared" si="3"/>
        <v>'Lanç (25)'!$U$14</v>
      </c>
      <c r="Y45" s="163">
        <f t="shared" ca="1" si="4"/>
        <v>0</v>
      </c>
      <c r="Z45" s="2" t="str">
        <f t="shared" si="5"/>
        <v>'Lanç (25)'!$K$5</v>
      </c>
      <c r="AA45" s="163">
        <f t="shared" ca="1" si="4"/>
        <v>0</v>
      </c>
      <c r="AB45" s="2"/>
      <c r="AC45" s="2" t="str">
        <f t="shared" si="6"/>
        <v>'Lanç (25)'!$F$41</v>
      </c>
      <c r="AD45" s="163">
        <f t="shared" ca="1" si="7"/>
        <v>0</v>
      </c>
      <c r="AE45" s="2" t="str">
        <f t="shared" si="8"/>
        <v>'Lanç (25)'!$F$42</v>
      </c>
      <c r="AF45" s="163">
        <f t="shared" ca="1" si="7"/>
        <v>0</v>
      </c>
      <c r="AG45" s="2" t="str">
        <f t="shared" si="9"/>
        <v>'Lanç (25)'!$F$43</v>
      </c>
      <c r="AH45" s="163">
        <f t="shared" ca="1" si="10"/>
        <v>0</v>
      </c>
      <c r="AI45" s="2" t="str">
        <f t="shared" si="11"/>
        <v>'Lanç (25)'!$F$44</v>
      </c>
      <c r="AJ45" s="163">
        <f t="shared" ca="1" si="12"/>
        <v>0</v>
      </c>
      <c r="AK45" s="2" t="str">
        <f t="shared" si="13"/>
        <v>'Lanç (25)'!$F$45</v>
      </c>
      <c r="AL45" s="163">
        <f t="shared" ca="1" si="14"/>
        <v>0</v>
      </c>
      <c r="AM45" s="2" t="str">
        <f t="shared" si="15"/>
        <v>'Lanç (25)'!$F$46</v>
      </c>
      <c r="AN45" s="163">
        <f t="shared" ca="1" si="16"/>
        <v>0</v>
      </c>
      <c r="AO45" s="2" t="str">
        <f t="shared" si="17"/>
        <v>'Lanç (25)'!$F$47</v>
      </c>
      <c r="AP45" s="163">
        <f t="shared" ca="1" si="18"/>
        <v>0</v>
      </c>
      <c r="AQ45" s="2" t="str">
        <f t="shared" si="19"/>
        <v>'Lanç (25)'!$F$48</v>
      </c>
      <c r="AR45" s="163">
        <f t="shared" ca="1" si="20"/>
        <v>0</v>
      </c>
      <c r="AS45" s="2" t="str">
        <f t="shared" si="21"/>
        <v>'Lanç (25)'!$F$49</v>
      </c>
      <c r="AT45" s="163">
        <f t="shared" ca="1" si="22"/>
        <v>0</v>
      </c>
      <c r="AU45" s="2" t="str">
        <f t="shared" si="23"/>
        <v>'Lanç (25)'!$F$51</v>
      </c>
      <c r="AV45" s="163">
        <f t="shared" ca="1" si="24"/>
        <v>0</v>
      </c>
      <c r="AW45" s="2" t="str">
        <f t="shared" si="25"/>
        <v>'Lanç (25)'!$F$50</v>
      </c>
      <c r="AX45" s="163">
        <f t="shared" ca="1" si="26"/>
        <v>0</v>
      </c>
      <c r="AY45" s="2" t="str">
        <f t="shared" si="27"/>
        <v>'Lanç (25)'!$F$52</v>
      </c>
      <c r="AZ45" s="163">
        <f t="shared" ca="1" si="28"/>
        <v>0</v>
      </c>
      <c r="BA45" s="2" t="str">
        <f t="shared" si="29"/>
        <v>'Lanç (25)'!$F$53</v>
      </c>
      <c r="BB45" s="163">
        <f t="shared" ca="1" si="30"/>
        <v>0</v>
      </c>
      <c r="BC45" s="2" t="str">
        <f t="shared" si="31"/>
        <v>'Lanç (25)'!$F$54</v>
      </c>
      <c r="BD45" s="164">
        <f t="shared" ca="1" si="32"/>
        <v>0</v>
      </c>
      <c r="BE45" s="2" t="str">
        <f t="shared" si="33"/>
        <v>'Lanç (25)'!$F$55</v>
      </c>
      <c r="BF45" s="164">
        <f t="shared" ca="1" si="32"/>
        <v>0</v>
      </c>
    </row>
    <row r="46" spans="1:58" s="68" customFormat="1" ht="30" customHeight="1" thickTop="1" thickBot="1" x14ac:dyDescent="0.25">
      <c r="A46" s="1"/>
      <c r="B46"/>
      <c r="C46" s="303" t="s">
        <v>78</v>
      </c>
      <c r="D46" s="303"/>
      <c r="E46" s="303"/>
      <c r="F46" s="181" t="str">
        <f>Resul!F34</f>
        <v/>
      </c>
      <c r="G46" s="2">
        <v>19</v>
      </c>
      <c r="H46" s="303" t="s">
        <v>84</v>
      </c>
      <c r="I46" s="303"/>
      <c r="J46" s="303"/>
      <c r="K46" s="181" t="str">
        <f>Resul!K34</f>
        <v/>
      </c>
      <c r="L46" s="2"/>
      <c r="M46" s="2"/>
      <c r="N46" s="2"/>
      <c r="O46" s="2"/>
      <c r="P46" s="2"/>
      <c r="Q46" s="2"/>
      <c r="R46" s="2" t="str">
        <f>IF(Funcionários!C44=0,"",Funcionários!C44)</f>
        <v/>
      </c>
      <c r="S46" s="2">
        <v>26</v>
      </c>
      <c r="T46" s="2" t="str">
        <f t="shared" si="0"/>
        <v>'Lanç (26)'!$U$8</v>
      </c>
      <c r="U46" s="163">
        <f t="shared" ca="1" si="1"/>
        <v>0</v>
      </c>
      <c r="V46" s="2" t="str">
        <f t="shared" si="2"/>
        <v>'Lanç (26)'!$U$16</v>
      </c>
      <c r="W46" s="163">
        <f t="shared" ca="1" si="1"/>
        <v>0</v>
      </c>
      <c r="X46" s="2" t="str">
        <f t="shared" si="3"/>
        <v>'Lanç (26)'!$U$14</v>
      </c>
      <c r="Y46" s="163">
        <f t="shared" ca="1" si="4"/>
        <v>0</v>
      </c>
      <c r="Z46" s="2" t="str">
        <f t="shared" si="5"/>
        <v>'Lanç (26)'!$K$5</v>
      </c>
      <c r="AA46" s="163">
        <f t="shared" ca="1" si="4"/>
        <v>0</v>
      </c>
      <c r="AB46" s="2"/>
      <c r="AC46" s="2" t="str">
        <f t="shared" si="6"/>
        <v>'Lanç (26)'!$F$41</v>
      </c>
      <c r="AD46" s="163">
        <f t="shared" ca="1" si="7"/>
        <v>0</v>
      </c>
      <c r="AE46" s="2" t="str">
        <f t="shared" si="8"/>
        <v>'Lanç (26)'!$F$42</v>
      </c>
      <c r="AF46" s="163">
        <f t="shared" ca="1" si="7"/>
        <v>0</v>
      </c>
      <c r="AG46" s="2" t="str">
        <f t="shared" si="9"/>
        <v>'Lanç (26)'!$F$43</v>
      </c>
      <c r="AH46" s="163">
        <f t="shared" ca="1" si="10"/>
        <v>0</v>
      </c>
      <c r="AI46" s="2" t="str">
        <f t="shared" si="11"/>
        <v>'Lanç (26)'!$F$44</v>
      </c>
      <c r="AJ46" s="163">
        <f t="shared" ca="1" si="12"/>
        <v>0</v>
      </c>
      <c r="AK46" s="2" t="str">
        <f t="shared" si="13"/>
        <v>'Lanç (26)'!$F$45</v>
      </c>
      <c r="AL46" s="163">
        <f t="shared" ca="1" si="14"/>
        <v>0</v>
      </c>
      <c r="AM46" s="2" t="str">
        <f t="shared" si="15"/>
        <v>'Lanç (26)'!$F$46</v>
      </c>
      <c r="AN46" s="163">
        <f t="shared" ca="1" si="16"/>
        <v>0</v>
      </c>
      <c r="AO46" s="2" t="str">
        <f t="shared" si="17"/>
        <v>'Lanç (26)'!$F$47</v>
      </c>
      <c r="AP46" s="163">
        <f t="shared" ca="1" si="18"/>
        <v>0</v>
      </c>
      <c r="AQ46" s="2" t="str">
        <f t="shared" si="19"/>
        <v>'Lanç (26)'!$F$48</v>
      </c>
      <c r="AR46" s="163">
        <f t="shared" ca="1" si="20"/>
        <v>0</v>
      </c>
      <c r="AS46" s="2" t="str">
        <f t="shared" si="21"/>
        <v>'Lanç (26)'!$F$49</v>
      </c>
      <c r="AT46" s="163">
        <f t="shared" ca="1" si="22"/>
        <v>0</v>
      </c>
      <c r="AU46" s="2" t="str">
        <f t="shared" si="23"/>
        <v>'Lanç (26)'!$F$51</v>
      </c>
      <c r="AV46" s="163">
        <f t="shared" ca="1" si="24"/>
        <v>0</v>
      </c>
      <c r="AW46" s="2" t="str">
        <f t="shared" si="25"/>
        <v>'Lanç (26)'!$F$50</v>
      </c>
      <c r="AX46" s="163">
        <f t="shared" ca="1" si="26"/>
        <v>0</v>
      </c>
      <c r="AY46" s="2" t="str">
        <f t="shared" si="27"/>
        <v>'Lanç (26)'!$F$52</v>
      </c>
      <c r="AZ46" s="163">
        <f t="shared" ca="1" si="28"/>
        <v>0</v>
      </c>
      <c r="BA46" s="2" t="str">
        <f t="shared" si="29"/>
        <v>'Lanç (26)'!$F$53</v>
      </c>
      <c r="BB46" s="163">
        <f t="shared" ca="1" si="30"/>
        <v>0</v>
      </c>
      <c r="BC46" s="2" t="str">
        <f t="shared" si="31"/>
        <v>'Lanç (26)'!$F$54</v>
      </c>
      <c r="BD46" s="164">
        <f t="shared" ca="1" si="32"/>
        <v>0</v>
      </c>
      <c r="BE46" s="2" t="str">
        <f t="shared" si="33"/>
        <v>'Lanç (26)'!$F$55</v>
      </c>
      <c r="BF46" s="164">
        <f t="shared" ca="1" si="32"/>
        <v>0</v>
      </c>
    </row>
    <row r="47" spans="1:58" s="68" customFormat="1" ht="5" customHeight="1" thickTop="1" thickBot="1" x14ac:dyDescent="0.25">
      <c r="A47" s="1"/>
      <c r="B47"/>
      <c r="C47"/>
      <c r="D47"/>
      <c r="E47"/>
      <c r="F47" s="99"/>
      <c r="G47" s="2"/>
      <c r="H47"/>
      <c r="I47"/>
      <c r="J47"/>
      <c r="K47" s="99"/>
      <c r="L47" s="2"/>
      <c r="M47" s="2"/>
      <c r="N47" s="2"/>
      <c r="O47" s="2"/>
      <c r="P47" s="2"/>
      <c r="Q47" s="2"/>
      <c r="R47" s="2" t="str">
        <f>IF(Funcionários!C45=0,"",Funcionários!C45)</f>
        <v/>
      </c>
      <c r="S47" s="2">
        <v>27</v>
      </c>
      <c r="T47" s="2" t="str">
        <f t="shared" si="0"/>
        <v>'Lanç (27)'!$U$8</v>
      </c>
      <c r="U47" s="163">
        <f t="shared" ca="1" si="1"/>
        <v>0</v>
      </c>
      <c r="V47" s="2" t="str">
        <f t="shared" si="2"/>
        <v>'Lanç (27)'!$U$16</v>
      </c>
      <c r="W47" s="163">
        <f t="shared" ca="1" si="1"/>
        <v>0</v>
      </c>
      <c r="X47" s="2" t="str">
        <f t="shared" si="3"/>
        <v>'Lanç (27)'!$U$14</v>
      </c>
      <c r="Y47" s="163">
        <f t="shared" ca="1" si="4"/>
        <v>0</v>
      </c>
      <c r="Z47" s="2" t="str">
        <f t="shared" si="5"/>
        <v>'Lanç (27)'!$K$5</v>
      </c>
      <c r="AA47" s="163">
        <f t="shared" ca="1" si="4"/>
        <v>0</v>
      </c>
      <c r="AB47" s="2"/>
      <c r="AC47" s="2" t="str">
        <f t="shared" si="6"/>
        <v>'Lanç (27)'!$F$41</v>
      </c>
      <c r="AD47" s="163">
        <f t="shared" ca="1" si="7"/>
        <v>0</v>
      </c>
      <c r="AE47" s="2" t="str">
        <f t="shared" si="8"/>
        <v>'Lanç (27)'!$F$42</v>
      </c>
      <c r="AF47" s="163">
        <f t="shared" ca="1" si="7"/>
        <v>0</v>
      </c>
      <c r="AG47" s="2" t="str">
        <f t="shared" si="9"/>
        <v>'Lanç (27)'!$F$43</v>
      </c>
      <c r="AH47" s="163">
        <f t="shared" ca="1" si="10"/>
        <v>0</v>
      </c>
      <c r="AI47" s="2" t="str">
        <f t="shared" si="11"/>
        <v>'Lanç (27)'!$F$44</v>
      </c>
      <c r="AJ47" s="163">
        <f t="shared" ca="1" si="12"/>
        <v>0</v>
      </c>
      <c r="AK47" s="2" t="str">
        <f t="shared" si="13"/>
        <v>'Lanç (27)'!$F$45</v>
      </c>
      <c r="AL47" s="163">
        <f t="shared" ca="1" si="14"/>
        <v>0</v>
      </c>
      <c r="AM47" s="2" t="str">
        <f t="shared" si="15"/>
        <v>'Lanç (27)'!$F$46</v>
      </c>
      <c r="AN47" s="163">
        <f t="shared" ca="1" si="16"/>
        <v>0</v>
      </c>
      <c r="AO47" s="2" t="str">
        <f t="shared" si="17"/>
        <v>'Lanç (27)'!$F$47</v>
      </c>
      <c r="AP47" s="163">
        <f t="shared" ca="1" si="18"/>
        <v>0</v>
      </c>
      <c r="AQ47" s="2" t="str">
        <f t="shared" si="19"/>
        <v>'Lanç (27)'!$F$48</v>
      </c>
      <c r="AR47" s="163">
        <f t="shared" ca="1" si="20"/>
        <v>0</v>
      </c>
      <c r="AS47" s="2" t="str">
        <f t="shared" si="21"/>
        <v>'Lanç (27)'!$F$49</v>
      </c>
      <c r="AT47" s="163">
        <f t="shared" ca="1" si="22"/>
        <v>0</v>
      </c>
      <c r="AU47" s="2" t="str">
        <f t="shared" si="23"/>
        <v>'Lanç (27)'!$F$51</v>
      </c>
      <c r="AV47" s="163">
        <f t="shared" ca="1" si="24"/>
        <v>0</v>
      </c>
      <c r="AW47" s="2" t="str">
        <f t="shared" si="25"/>
        <v>'Lanç (27)'!$F$50</v>
      </c>
      <c r="AX47" s="163">
        <f t="shared" ca="1" si="26"/>
        <v>0</v>
      </c>
      <c r="AY47" s="2" t="str">
        <f t="shared" si="27"/>
        <v>'Lanç (27)'!$F$52</v>
      </c>
      <c r="AZ47" s="163">
        <f t="shared" ca="1" si="28"/>
        <v>0</v>
      </c>
      <c r="BA47" s="2" t="str">
        <f t="shared" si="29"/>
        <v>'Lanç (27)'!$F$53</v>
      </c>
      <c r="BB47" s="163">
        <f t="shared" ca="1" si="30"/>
        <v>0</v>
      </c>
      <c r="BC47" s="2" t="str">
        <f t="shared" si="31"/>
        <v>'Lanç (27)'!$F$54</v>
      </c>
      <c r="BD47" s="164">
        <f t="shared" ca="1" si="32"/>
        <v>0</v>
      </c>
      <c r="BE47" s="2" t="str">
        <f t="shared" si="33"/>
        <v>'Lanç (27)'!$F$55</v>
      </c>
      <c r="BF47" s="164">
        <f t="shared" ca="1" si="32"/>
        <v>0</v>
      </c>
    </row>
    <row r="48" spans="1:58" s="68" customFormat="1" ht="30" customHeight="1" thickTop="1" thickBot="1" x14ac:dyDescent="0.25">
      <c r="A48" s="1"/>
      <c r="B48"/>
      <c r="C48" s="303" t="s">
        <v>79</v>
      </c>
      <c r="D48" s="303"/>
      <c r="E48" s="303"/>
      <c r="F48" s="181" t="str">
        <f>Resul!F36</f>
        <v/>
      </c>
      <c r="G48" s="2">
        <v>21</v>
      </c>
      <c r="H48"/>
      <c r="I48"/>
      <c r="J48"/>
      <c r="K48"/>
      <c r="L48" s="2"/>
      <c r="M48" s="2"/>
      <c r="N48" s="2"/>
      <c r="O48" s="2"/>
      <c r="P48" s="2"/>
      <c r="Q48" s="2"/>
      <c r="R48" s="2" t="str">
        <f>IF(Funcionários!C46=0,"",Funcionários!C46)</f>
        <v/>
      </c>
      <c r="S48" s="2">
        <v>28</v>
      </c>
      <c r="T48" s="2" t="str">
        <f t="shared" si="0"/>
        <v>'Lanç (28)'!$U$8</v>
      </c>
      <c r="U48" s="163">
        <f t="shared" ca="1" si="1"/>
        <v>0</v>
      </c>
      <c r="V48" s="2" t="str">
        <f t="shared" si="2"/>
        <v>'Lanç (28)'!$U$16</v>
      </c>
      <c r="W48" s="163">
        <f t="shared" ca="1" si="1"/>
        <v>0</v>
      </c>
      <c r="X48" s="2" t="str">
        <f t="shared" si="3"/>
        <v>'Lanç (28)'!$U$14</v>
      </c>
      <c r="Y48" s="163">
        <f t="shared" ca="1" si="4"/>
        <v>0</v>
      </c>
      <c r="Z48" s="2" t="str">
        <f t="shared" si="5"/>
        <v>'Lanç (28)'!$K$5</v>
      </c>
      <c r="AA48" s="163">
        <f t="shared" ca="1" si="4"/>
        <v>0</v>
      </c>
      <c r="AB48" s="2"/>
      <c r="AC48" s="2" t="str">
        <f t="shared" si="6"/>
        <v>'Lanç (28)'!$F$41</v>
      </c>
      <c r="AD48" s="163">
        <f t="shared" ca="1" si="7"/>
        <v>0</v>
      </c>
      <c r="AE48" s="2" t="str">
        <f t="shared" si="8"/>
        <v>'Lanç (28)'!$F$42</v>
      </c>
      <c r="AF48" s="163">
        <f t="shared" ca="1" si="7"/>
        <v>0</v>
      </c>
      <c r="AG48" s="2" t="str">
        <f t="shared" si="9"/>
        <v>'Lanç (28)'!$F$43</v>
      </c>
      <c r="AH48" s="163">
        <f t="shared" ca="1" si="10"/>
        <v>0</v>
      </c>
      <c r="AI48" s="2" t="str">
        <f t="shared" si="11"/>
        <v>'Lanç (28)'!$F$44</v>
      </c>
      <c r="AJ48" s="163">
        <f t="shared" ca="1" si="12"/>
        <v>0</v>
      </c>
      <c r="AK48" s="2" t="str">
        <f t="shared" si="13"/>
        <v>'Lanç (28)'!$F$45</v>
      </c>
      <c r="AL48" s="163">
        <f t="shared" ca="1" si="14"/>
        <v>0</v>
      </c>
      <c r="AM48" s="2" t="str">
        <f t="shared" si="15"/>
        <v>'Lanç (28)'!$F$46</v>
      </c>
      <c r="AN48" s="163">
        <f t="shared" ca="1" si="16"/>
        <v>0</v>
      </c>
      <c r="AO48" s="2" t="str">
        <f t="shared" si="17"/>
        <v>'Lanç (28)'!$F$47</v>
      </c>
      <c r="AP48" s="163">
        <f t="shared" ca="1" si="18"/>
        <v>0</v>
      </c>
      <c r="AQ48" s="2" t="str">
        <f t="shared" si="19"/>
        <v>'Lanç (28)'!$F$48</v>
      </c>
      <c r="AR48" s="163">
        <f t="shared" ca="1" si="20"/>
        <v>0</v>
      </c>
      <c r="AS48" s="2" t="str">
        <f t="shared" si="21"/>
        <v>'Lanç (28)'!$F$49</v>
      </c>
      <c r="AT48" s="163">
        <f t="shared" ca="1" si="22"/>
        <v>0</v>
      </c>
      <c r="AU48" s="2" t="str">
        <f t="shared" si="23"/>
        <v>'Lanç (28)'!$F$51</v>
      </c>
      <c r="AV48" s="163">
        <f t="shared" ca="1" si="24"/>
        <v>0</v>
      </c>
      <c r="AW48" s="2" t="str">
        <f t="shared" si="25"/>
        <v>'Lanç (28)'!$F$50</v>
      </c>
      <c r="AX48" s="163">
        <f t="shared" ca="1" si="26"/>
        <v>0</v>
      </c>
      <c r="AY48" s="2" t="str">
        <f t="shared" si="27"/>
        <v>'Lanç (28)'!$F$52</v>
      </c>
      <c r="AZ48" s="163">
        <f t="shared" ca="1" si="28"/>
        <v>0</v>
      </c>
      <c r="BA48" s="2" t="str">
        <f t="shared" si="29"/>
        <v>'Lanç (28)'!$F$53</v>
      </c>
      <c r="BB48" s="163">
        <f t="shared" ca="1" si="30"/>
        <v>0</v>
      </c>
      <c r="BC48" s="2" t="str">
        <f t="shared" si="31"/>
        <v>'Lanç (28)'!$F$54</v>
      </c>
      <c r="BD48" s="164">
        <f t="shared" ca="1" si="32"/>
        <v>0</v>
      </c>
      <c r="BE48" s="2" t="str">
        <f t="shared" si="33"/>
        <v>'Lanç (28)'!$F$55</v>
      </c>
      <c r="BF48" s="164">
        <f t="shared" ca="1" si="32"/>
        <v>0</v>
      </c>
    </row>
    <row r="49" spans="1:58" s="68" customFormat="1" ht="5" customHeight="1" thickTop="1" thickBot="1" x14ac:dyDescent="0.25">
      <c r="A49" s="70"/>
      <c r="C49"/>
      <c r="D49"/>
      <c r="E49"/>
      <c r="F49" s="99"/>
      <c r="G49" s="2"/>
      <c r="H49"/>
      <c r="I49"/>
      <c r="J49"/>
      <c r="K49" s="99"/>
      <c r="L49" s="2"/>
      <c r="M49" s="2"/>
      <c r="N49" s="2"/>
      <c r="O49" s="2"/>
      <c r="P49" s="2"/>
      <c r="Q49" s="2"/>
      <c r="R49" s="2" t="str">
        <f>IF(Funcionários!C47=0,"",Funcionários!C47)</f>
        <v/>
      </c>
      <c r="S49" s="2">
        <v>29</v>
      </c>
      <c r="T49" s="2" t="str">
        <f t="shared" si="0"/>
        <v>'Lanç (29)'!$U$8</v>
      </c>
      <c r="U49" s="163">
        <f t="shared" ca="1" si="1"/>
        <v>0</v>
      </c>
      <c r="V49" s="2" t="str">
        <f t="shared" si="2"/>
        <v>'Lanç (29)'!$U$16</v>
      </c>
      <c r="W49" s="163">
        <f t="shared" ca="1" si="1"/>
        <v>0</v>
      </c>
      <c r="X49" s="2" t="str">
        <f t="shared" si="3"/>
        <v>'Lanç (29)'!$U$14</v>
      </c>
      <c r="Y49" s="163">
        <f t="shared" ca="1" si="4"/>
        <v>0</v>
      </c>
      <c r="Z49" s="2" t="str">
        <f t="shared" si="5"/>
        <v>'Lanç (29)'!$K$5</v>
      </c>
      <c r="AA49" s="163">
        <f t="shared" ca="1" si="4"/>
        <v>0</v>
      </c>
      <c r="AB49" s="2"/>
      <c r="AC49" s="2" t="str">
        <f t="shared" si="6"/>
        <v>'Lanç (29)'!$F$41</v>
      </c>
      <c r="AD49" s="163">
        <f t="shared" ca="1" si="7"/>
        <v>0</v>
      </c>
      <c r="AE49" s="2" t="str">
        <f t="shared" si="8"/>
        <v>'Lanç (29)'!$F$42</v>
      </c>
      <c r="AF49" s="163">
        <f t="shared" ca="1" si="7"/>
        <v>0</v>
      </c>
      <c r="AG49" s="2" t="str">
        <f t="shared" si="9"/>
        <v>'Lanç (29)'!$F$43</v>
      </c>
      <c r="AH49" s="163">
        <f t="shared" ca="1" si="10"/>
        <v>0</v>
      </c>
      <c r="AI49" s="2" t="str">
        <f t="shared" si="11"/>
        <v>'Lanç (29)'!$F$44</v>
      </c>
      <c r="AJ49" s="163">
        <f t="shared" ca="1" si="12"/>
        <v>0</v>
      </c>
      <c r="AK49" s="2" t="str">
        <f t="shared" si="13"/>
        <v>'Lanç (29)'!$F$45</v>
      </c>
      <c r="AL49" s="163">
        <f t="shared" ca="1" si="14"/>
        <v>0</v>
      </c>
      <c r="AM49" s="2" t="str">
        <f t="shared" si="15"/>
        <v>'Lanç (29)'!$F$46</v>
      </c>
      <c r="AN49" s="163">
        <f t="shared" ca="1" si="16"/>
        <v>0</v>
      </c>
      <c r="AO49" s="2" t="str">
        <f t="shared" si="17"/>
        <v>'Lanç (29)'!$F$47</v>
      </c>
      <c r="AP49" s="163">
        <f t="shared" ca="1" si="18"/>
        <v>0</v>
      </c>
      <c r="AQ49" s="2" t="str">
        <f t="shared" si="19"/>
        <v>'Lanç (29)'!$F$48</v>
      </c>
      <c r="AR49" s="163">
        <f t="shared" ca="1" si="20"/>
        <v>0</v>
      </c>
      <c r="AS49" s="2" t="str">
        <f t="shared" si="21"/>
        <v>'Lanç (29)'!$F$49</v>
      </c>
      <c r="AT49" s="163">
        <f t="shared" ca="1" si="22"/>
        <v>0</v>
      </c>
      <c r="AU49" s="2" t="str">
        <f t="shared" si="23"/>
        <v>'Lanç (29)'!$F$51</v>
      </c>
      <c r="AV49" s="163">
        <f t="shared" ca="1" si="24"/>
        <v>0</v>
      </c>
      <c r="AW49" s="2" t="str">
        <f t="shared" si="25"/>
        <v>'Lanç (29)'!$F$50</v>
      </c>
      <c r="AX49" s="163">
        <f t="shared" ca="1" si="26"/>
        <v>0</v>
      </c>
      <c r="AY49" s="2" t="str">
        <f t="shared" si="27"/>
        <v>'Lanç (29)'!$F$52</v>
      </c>
      <c r="AZ49" s="163">
        <f t="shared" ca="1" si="28"/>
        <v>0</v>
      </c>
      <c r="BA49" s="2" t="str">
        <f t="shared" si="29"/>
        <v>'Lanç (29)'!$F$53</v>
      </c>
      <c r="BB49" s="163">
        <f t="shared" ca="1" si="30"/>
        <v>0</v>
      </c>
      <c r="BC49" s="2" t="str">
        <f t="shared" si="31"/>
        <v>'Lanç (29)'!$F$54</v>
      </c>
      <c r="BD49" s="164">
        <f t="shared" ca="1" si="32"/>
        <v>0</v>
      </c>
      <c r="BE49" s="2" t="str">
        <f t="shared" si="33"/>
        <v>'Lanç (29)'!$F$55</v>
      </c>
      <c r="BF49" s="164">
        <f t="shared" ca="1" si="32"/>
        <v>0</v>
      </c>
    </row>
    <row r="50" spans="1:58" s="68" customFormat="1" ht="30" customHeight="1" thickTop="1" thickBot="1" x14ac:dyDescent="0.25">
      <c r="A50" s="70"/>
      <c r="C50" s="303" t="s">
        <v>82</v>
      </c>
      <c r="D50" s="303"/>
      <c r="E50" s="303"/>
      <c r="F50" s="181" t="str">
        <f>Resul!F38</f>
        <v/>
      </c>
      <c r="G50" s="2">
        <v>23</v>
      </c>
      <c r="H50"/>
      <c r="I50"/>
      <c r="J50"/>
      <c r="K50"/>
      <c r="L50" s="2"/>
      <c r="M50" s="2"/>
      <c r="N50" s="2"/>
      <c r="O50" s="2"/>
      <c r="P50" s="2"/>
      <c r="Q50" s="2"/>
      <c r="R50" s="2" t="str">
        <f>IF(Funcionários!C48=0,"",Funcionários!C48)</f>
        <v/>
      </c>
      <c r="S50" s="2">
        <v>30</v>
      </c>
      <c r="T50" s="2" t="str">
        <f t="shared" si="0"/>
        <v>'Lanç (30)'!$U$8</v>
      </c>
      <c r="U50" s="163">
        <f t="shared" ca="1" si="1"/>
        <v>0</v>
      </c>
      <c r="V50" s="2" t="str">
        <f t="shared" si="2"/>
        <v>'Lanç (30)'!$U$16</v>
      </c>
      <c r="W50" s="163">
        <f t="shared" ca="1" si="1"/>
        <v>0</v>
      </c>
      <c r="X50" s="2" t="str">
        <f t="shared" si="3"/>
        <v>'Lanç (30)'!$U$14</v>
      </c>
      <c r="Y50" s="163">
        <f t="shared" ca="1" si="4"/>
        <v>0</v>
      </c>
      <c r="Z50" s="2" t="str">
        <f t="shared" si="5"/>
        <v>'Lanç (30)'!$K$5</v>
      </c>
      <c r="AA50" s="163">
        <f t="shared" ca="1" si="4"/>
        <v>0</v>
      </c>
      <c r="AB50" s="2"/>
      <c r="AC50" s="2" t="str">
        <f t="shared" si="6"/>
        <v>'Lanç (30)'!$F$41</v>
      </c>
      <c r="AD50" s="163">
        <f t="shared" ca="1" si="7"/>
        <v>0</v>
      </c>
      <c r="AE50" s="2" t="str">
        <f t="shared" si="8"/>
        <v>'Lanç (30)'!$F$42</v>
      </c>
      <c r="AF50" s="163">
        <f t="shared" ca="1" si="7"/>
        <v>0</v>
      </c>
      <c r="AG50" s="2" t="str">
        <f t="shared" si="9"/>
        <v>'Lanç (30)'!$F$43</v>
      </c>
      <c r="AH50" s="163">
        <f t="shared" ca="1" si="10"/>
        <v>0</v>
      </c>
      <c r="AI50" s="2" t="str">
        <f t="shared" si="11"/>
        <v>'Lanç (30)'!$F$44</v>
      </c>
      <c r="AJ50" s="163">
        <f t="shared" ca="1" si="12"/>
        <v>0</v>
      </c>
      <c r="AK50" s="2" t="str">
        <f t="shared" si="13"/>
        <v>'Lanç (30)'!$F$45</v>
      </c>
      <c r="AL50" s="163">
        <f t="shared" ca="1" si="14"/>
        <v>0</v>
      </c>
      <c r="AM50" s="2" t="str">
        <f t="shared" si="15"/>
        <v>'Lanç (30)'!$F$46</v>
      </c>
      <c r="AN50" s="163">
        <f t="shared" ca="1" si="16"/>
        <v>0</v>
      </c>
      <c r="AO50" s="2" t="str">
        <f t="shared" si="17"/>
        <v>'Lanç (30)'!$F$47</v>
      </c>
      <c r="AP50" s="163">
        <f t="shared" ca="1" si="18"/>
        <v>0</v>
      </c>
      <c r="AQ50" s="2" t="str">
        <f t="shared" si="19"/>
        <v>'Lanç (30)'!$F$48</v>
      </c>
      <c r="AR50" s="163">
        <f t="shared" ca="1" si="20"/>
        <v>0</v>
      </c>
      <c r="AS50" s="2" t="str">
        <f t="shared" si="21"/>
        <v>'Lanç (30)'!$F$49</v>
      </c>
      <c r="AT50" s="163">
        <f t="shared" ca="1" si="22"/>
        <v>0</v>
      </c>
      <c r="AU50" s="2" t="str">
        <f t="shared" si="23"/>
        <v>'Lanç (30)'!$F$51</v>
      </c>
      <c r="AV50" s="163">
        <f t="shared" ca="1" si="24"/>
        <v>0</v>
      </c>
      <c r="AW50" s="2" t="str">
        <f t="shared" si="25"/>
        <v>'Lanç (30)'!$F$50</v>
      </c>
      <c r="AX50" s="163">
        <f t="shared" ca="1" si="26"/>
        <v>0</v>
      </c>
      <c r="AY50" s="2" t="str">
        <f t="shared" si="27"/>
        <v>'Lanç (30)'!$F$52</v>
      </c>
      <c r="AZ50" s="163">
        <f t="shared" ca="1" si="28"/>
        <v>0</v>
      </c>
      <c r="BA50" s="2" t="str">
        <f t="shared" si="29"/>
        <v>'Lanç (30)'!$F$53</v>
      </c>
      <c r="BB50" s="163">
        <f t="shared" ca="1" si="30"/>
        <v>0</v>
      </c>
      <c r="BC50" s="2" t="str">
        <f t="shared" si="31"/>
        <v>'Lanç (30)'!$F$54</v>
      </c>
      <c r="BD50" s="164">
        <f t="shared" ca="1" si="32"/>
        <v>0</v>
      </c>
      <c r="BE50" s="2" t="str">
        <f t="shared" si="33"/>
        <v>'Lanç (30)'!$F$55</v>
      </c>
      <c r="BF50" s="164">
        <f t="shared" ca="1" si="32"/>
        <v>0</v>
      </c>
    </row>
    <row r="51" spans="1:58" s="68" customFormat="1" ht="5" customHeight="1" thickTop="1" x14ac:dyDescent="0.2">
      <c r="A51" s="1"/>
      <c r="B51"/>
      <c r="C51"/>
      <c r="D51"/>
      <c r="E51"/>
      <c r="F51" s="99"/>
      <c r="G51" s="2"/>
      <c r="L51" s="2"/>
      <c r="M51" s="2"/>
      <c r="N51" s="2"/>
      <c r="O51" s="2"/>
      <c r="P51" s="2"/>
      <c r="Q51" s="2"/>
      <c r="R51" s="2"/>
      <c r="S51" s="2"/>
      <c r="T51" s="2"/>
      <c r="U51" s="155"/>
      <c r="V51" s="2"/>
      <c r="W51" s="155"/>
      <c r="X51" s="2"/>
      <c r="Y51" s="155"/>
      <c r="Z51" s="2"/>
      <c r="AA51" s="155"/>
      <c r="AB51" s="2"/>
      <c r="AC51" s="2"/>
      <c r="AD51" s="155"/>
      <c r="AE51" s="2"/>
      <c r="AF51" s="155"/>
      <c r="AG51" s="2"/>
      <c r="AH51" s="155"/>
      <c r="AI51" s="2"/>
      <c r="AJ51" s="155"/>
      <c r="AK51" s="2"/>
      <c r="AL51" s="155"/>
      <c r="AM51" s="2"/>
      <c r="AN51" s="155"/>
      <c r="AO51" s="2"/>
      <c r="AP51" s="155"/>
      <c r="AQ51" s="2"/>
      <c r="AR51" s="155"/>
      <c r="AS51" s="2"/>
      <c r="AT51" s="155"/>
      <c r="AU51" s="2"/>
      <c r="AV51" s="155"/>
      <c r="AW51" s="2"/>
      <c r="AX51" s="155"/>
      <c r="AY51" s="2"/>
      <c r="AZ51" s="155"/>
      <c r="BA51" s="2"/>
      <c r="BB51" s="155"/>
      <c r="BC51" s="2"/>
      <c r="BD51" s="2"/>
      <c r="BE51" s="2"/>
      <c r="BF51" s="2"/>
    </row>
    <row r="52" spans="1:58" s="68" customFormat="1" ht="30" customHeight="1" x14ac:dyDescent="0.2">
      <c r="A52" s="1"/>
      <c r="B52"/>
      <c r="C52" s="303" t="s">
        <v>81</v>
      </c>
      <c r="D52" s="303"/>
      <c r="E52" s="303"/>
      <c r="F52" s="181" t="str">
        <f>Resul!F40</f>
        <v/>
      </c>
      <c r="G52" s="2">
        <v>25</v>
      </c>
      <c r="H52"/>
      <c r="I52"/>
      <c r="J52"/>
      <c r="K52"/>
      <c r="L52" s="2"/>
      <c r="M52" s="2"/>
      <c r="N52" s="2"/>
      <c r="O52" s="2"/>
      <c r="P52" s="2"/>
      <c r="Q52" s="2"/>
      <c r="R52" s="2"/>
      <c r="S52" s="2"/>
      <c r="T52" s="2"/>
      <c r="U52" s="155"/>
      <c r="V52" s="2"/>
      <c r="W52" s="155"/>
      <c r="X52" s="2"/>
      <c r="Y52" s="155"/>
      <c r="Z52" s="2"/>
      <c r="AA52" s="155"/>
      <c r="AB52" s="2"/>
      <c r="AC52" s="2"/>
      <c r="AD52" s="155"/>
      <c r="AE52" s="2"/>
      <c r="AF52" s="155"/>
      <c r="AG52" s="2"/>
      <c r="AH52" s="155"/>
      <c r="AI52" s="2"/>
      <c r="AJ52" s="155"/>
      <c r="AK52" s="2"/>
      <c r="AL52" s="155"/>
      <c r="AM52" s="2"/>
      <c r="AN52" s="155"/>
      <c r="AO52" s="2"/>
      <c r="AP52" s="155"/>
      <c r="AQ52" s="2"/>
      <c r="AR52" s="155"/>
      <c r="AS52" s="2"/>
      <c r="AT52" s="155"/>
      <c r="AU52" s="2"/>
      <c r="AV52" s="155"/>
      <c r="AW52" s="2"/>
      <c r="AX52" s="155"/>
      <c r="AY52" s="2"/>
      <c r="AZ52" s="155"/>
      <c r="BA52" s="2"/>
      <c r="BB52" s="155"/>
      <c r="BC52" s="2"/>
      <c r="BD52" s="2"/>
      <c r="BE52" s="2"/>
      <c r="BF52" s="2"/>
    </row>
    <row r="53" spans="1:58" ht="50" customHeight="1" x14ac:dyDescent="0.55000000000000004">
      <c r="C53" s="130" t="s">
        <v>260</v>
      </c>
      <c r="D53" s="130"/>
      <c r="E53" s="130"/>
      <c r="F53" s="130"/>
      <c r="G53" s="130"/>
      <c r="H53" s="130"/>
      <c r="I53" s="130"/>
      <c r="J53" s="130"/>
      <c r="K53" s="130"/>
      <c r="L53" s="130"/>
      <c r="M53" s="130"/>
      <c r="N53" s="130"/>
      <c r="O53" s="130"/>
      <c r="P53" s="130"/>
    </row>
    <row r="54" spans="1:58" ht="30" customHeight="1" x14ac:dyDescent="0.25">
      <c r="C54" s="104" t="s">
        <v>239</v>
      </c>
    </row>
    <row r="55" spans="1:58" ht="30" customHeight="1" x14ac:dyDescent="0.2"/>
    <row r="56" spans="1:58" ht="30" customHeight="1" x14ac:dyDescent="0.2"/>
    <row r="57" spans="1:58" ht="30" customHeight="1" x14ac:dyDescent="0.2"/>
    <row r="58" spans="1:58" ht="30" customHeight="1" x14ac:dyDescent="0.2"/>
    <row r="59" spans="1:58" ht="30" customHeight="1" x14ac:dyDescent="0.2"/>
    <row r="60" spans="1:58" ht="30" customHeight="1" x14ac:dyDescent="0.2"/>
    <row r="61" spans="1:58" ht="30" customHeight="1" x14ac:dyDescent="0.2"/>
    <row r="62" spans="1:58" ht="30" customHeight="1" x14ac:dyDescent="0.2"/>
    <row r="63" spans="1:58" ht="30" customHeight="1" x14ac:dyDescent="0.2">
      <c r="C63" s="105" t="s">
        <v>248</v>
      </c>
    </row>
    <row r="64" spans="1:58" ht="30" customHeight="1" x14ac:dyDescent="0.2"/>
    <row r="65" spans="3:3" ht="30" customHeight="1" x14ac:dyDescent="0.2"/>
    <row r="66" spans="3:3" ht="30" customHeight="1" x14ac:dyDescent="0.2"/>
    <row r="67" spans="3:3" ht="30" customHeight="1" x14ac:dyDescent="0.2"/>
    <row r="68" spans="3:3" ht="30" customHeight="1" x14ac:dyDescent="0.2"/>
    <row r="69" spans="3:3" ht="30" customHeight="1" x14ac:dyDescent="0.2"/>
    <row r="70" spans="3:3" ht="30" customHeight="1" x14ac:dyDescent="0.2"/>
    <row r="71" spans="3:3" ht="30" customHeight="1" x14ac:dyDescent="0.2"/>
    <row r="72" spans="3:3" ht="30" customHeight="1" x14ac:dyDescent="0.2">
      <c r="C72" s="105" t="s">
        <v>247</v>
      </c>
    </row>
    <row r="73" spans="3:3" ht="30" customHeight="1" x14ac:dyDescent="0.2"/>
    <row r="74" spans="3:3" ht="30" customHeight="1" x14ac:dyDescent="0.2"/>
    <row r="75" spans="3:3" ht="30" customHeight="1" x14ac:dyDescent="0.2"/>
    <row r="76" spans="3:3" ht="30" customHeight="1" x14ac:dyDescent="0.2"/>
    <row r="77" spans="3:3" ht="30" customHeight="1" x14ac:dyDescent="0.2"/>
    <row r="78" spans="3:3" ht="30" customHeight="1" x14ac:dyDescent="0.2"/>
    <row r="79" spans="3:3" ht="30" customHeight="1" x14ac:dyDescent="0.2"/>
    <row r="80" spans="3:3" ht="30" customHeight="1" x14ac:dyDescent="0.2"/>
    <row r="81" spans="1:20" ht="15" customHeight="1" x14ac:dyDescent="0.2"/>
    <row r="82" spans="1:20" ht="15" customHeight="1" x14ac:dyDescent="0.2">
      <c r="C82" s="68"/>
      <c r="D82" s="68"/>
      <c r="E82" s="68"/>
      <c r="F82" s="68"/>
      <c r="G82" s="68"/>
      <c r="H82" s="68"/>
      <c r="I82" s="68"/>
      <c r="J82" s="68"/>
      <c r="K82" s="68"/>
      <c r="L82" s="68"/>
      <c r="M82" s="68"/>
      <c r="N82" s="68"/>
      <c r="O82" s="68"/>
      <c r="P82" s="68"/>
      <c r="Q82" s="68"/>
      <c r="R82" s="68"/>
      <c r="S82" s="68"/>
      <c r="T82" s="68"/>
    </row>
    <row r="83" spans="1:20" s="2" customFormat="1" ht="15" customHeight="1" x14ac:dyDescent="0.2">
      <c r="A83" s="9"/>
      <c r="D83" s="2">
        <f>Gra!X36</f>
        <v>0</v>
      </c>
      <c r="E83" s="2">
        <f>Gra!Y36</f>
        <v>2</v>
      </c>
      <c r="F83" s="2">
        <f>Gra!Z36</f>
        <v>4</v>
      </c>
      <c r="G83" s="2">
        <f>Gra!AA36</f>
        <v>6</v>
      </c>
      <c r="H83" s="2">
        <v>8</v>
      </c>
      <c r="I83" s="2">
        <v>10</v>
      </c>
      <c r="J83" s="2">
        <v>12</v>
      </c>
      <c r="K83" s="2">
        <v>14</v>
      </c>
      <c r="L83" s="2">
        <v>16</v>
      </c>
      <c r="M83" s="2">
        <v>18</v>
      </c>
      <c r="N83" s="2">
        <v>20</v>
      </c>
      <c r="O83" s="2">
        <v>22</v>
      </c>
    </row>
    <row r="84" spans="1:20" s="2" customFormat="1" ht="15" customHeight="1" thickBot="1" x14ac:dyDescent="0.25">
      <c r="A84" s="9"/>
      <c r="C84" s="168" t="s">
        <v>238</v>
      </c>
      <c r="D84" s="161" t="s">
        <v>75</v>
      </c>
      <c r="E84" s="161" t="s">
        <v>76</v>
      </c>
      <c r="F84" s="161" t="s">
        <v>77</v>
      </c>
      <c r="G84" s="161" t="s">
        <v>78</v>
      </c>
      <c r="H84" s="161" t="s">
        <v>79</v>
      </c>
      <c r="I84" s="161" t="s">
        <v>82</v>
      </c>
      <c r="J84" s="161" t="s">
        <v>81</v>
      </c>
      <c r="K84" s="161" t="s">
        <v>80</v>
      </c>
      <c r="L84" s="161" t="s">
        <v>146</v>
      </c>
      <c r="M84" s="161" t="s">
        <v>147</v>
      </c>
      <c r="N84" s="161" t="s">
        <v>84</v>
      </c>
      <c r="O84" s="161" t="s">
        <v>86</v>
      </c>
    </row>
    <row r="85" spans="1:20" s="2" customFormat="1" ht="15" customHeight="1" thickTop="1" thickBot="1" x14ac:dyDescent="0.25">
      <c r="A85" s="9"/>
      <c r="C85" s="2" t="s">
        <v>183</v>
      </c>
      <c r="D85" s="163">
        <f ca="1">OFFSET(Gra!$AH$5,,D83)</f>
        <v>1.3888888888888884</v>
      </c>
      <c r="E85" s="163">
        <f ca="1">OFFSET(Gra!$AH$5,,E83)</f>
        <v>1.4513888888888884</v>
      </c>
      <c r="F85" s="163">
        <f ca="1">OFFSET(Gra!$AH$5,,F83)</f>
        <v>0.87499999999999978</v>
      </c>
      <c r="G85" s="163">
        <f ca="1">OFFSET(Gra!$AH$5,,G83)</f>
        <v>0</v>
      </c>
      <c r="H85" s="163">
        <f ca="1">OFFSET(Gra!$AH$5,,H83)</f>
        <v>0</v>
      </c>
      <c r="I85" s="163">
        <f ca="1">OFFSET(Gra!$AH$5,,I83)</f>
        <v>0.83333333333333304</v>
      </c>
      <c r="J85" s="163">
        <f ca="1">OFFSET(Gra!$AH$5,,J83)</f>
        <v>1.3888888888888884</v>
      </c>
      <c r="K85" s="163">
        <f ca="1">OFFSET(Gra!$AH$5,,K83)</f>
        <v>0</v>
      </c>
      <c r="L85" s="163">
        <f ca="1">OFFSET(Gra!$AH$5,,L83)</f>
        <v>0</v>
      </c>
      <c r="M85" s="163">
        <f ca="1">OFFSET(Gra!$AH$5,,M83)</f>
        <v>0</v>
      </c>
      <c r="N85" s="163">
        <f ca="1">OFFSET(Gra!$AH$5,,N83)</f>
        <v>0</v>
      </c>
      <c r="O85" s="163">
        <f ca="1">OFFSET(Gra!$AH$5,,O83)</f>
        <v>5.9374999999999982</v>
      </c>
    </row>
    <row r="86" spans="1:20" ht="15" customHeight="1" thickTop="1" x14ac:dyDescent="0.2">
      <c r="C86" s="68"/>
      <c r="D86" s="68"/>
      <c r="E86" s="68"/>
      <c r="F86" s="68"/>
      <c r="G86" s="68"/>
      <c r="H86" s="68"/>
      <c r="I86" s="68"/>
      <c r="J86" s="68"/>
      <c r="K86" s="68"/>
      <c r="L86" s="68"/>
      <c r="M86" s="68"/>
      <c r="N86" s="68"/>
      <c r="O86" s="68"/>
      <c r="P86" s="68"/>
      <c r="Q86" s="68"/>
      <c r="R86" s="68"/>
      <c r="S86" s="68"/>
      <c r="T86" s="68"/>
    </row>
    <row r="87" spans="1:20" ht="15" customHeight="1" x14ac:dyDescent="0.2">
      <c r="C87" s="68"/>
      <c r="D87" s="68"/>
      <c r="E87" s="68"/>
      <c r="F87" s="68"/>
      <c r="G87" s="68"/>
      <c r="H87" s="68"/>
      <c r="I87" s="68"/>
      <c r="J87" s="68"/>
      <c r="K87" s="68"/>
      <c r="L87" s="68"/>
      <c r="M87" s="68"/>
      <c r="N87" s="68"/>
      <c r="O87" s="68"/>
      <c r="P87" s="68"/>
      <c r="Q87" s="68"/>
      <c r="R87" s="68"/>
      <c r="S87" s="68"/>
      <c r="T87" s="68"/>
    </row>
    <row r="88" spans="1:20" ht="15" customHeight="1" x14ac:dyDescent="0.2">
      <c r="C88" s="68"/>
      <c r="D88" s="68"/>
      <c r="E88" s="68"/>
      <c r="F88" s="68"/>
      <c r="G88" s="68"/>
      <c r="H88" s="68"/>
      <c r="I88" s="68"/>
      <c r="J88" s="68"/>
      <c r="K88" s="68"/>
      <c r="L88" s="68"/>
      <c r="M88" s="68"/>
      <c r="N88" s="68"/>
      <c r="O88" s="68"/>
      <c r="P88" s="68"/>
      <c r="Q88" s="68"/>
      <c r="R88" s="68"/>
      <c r="S88" s="68"/>
      <c r="T88" s="68"/>
    </row>
    <row r="89" spans="1:20" ht="15" customHeight="1" x14ac:dyDescent="0.2">
      <c r="C89" s="68"/>
      <c r="D89" s="68"/>
      <c r="E89" s="68"/>
      <c r="F89" s="68"/>
      <c r="G89" s="68"/>
      <c r="H89" s="68"/>
      <c r="I89" s="68"/>
      <c r="J89" s="68"/>
      <c r="K89" s="68"/>
      <c r="L89" s="68"/>
      <c r="M89" s="68"/>
      <c r="N89" s="68"/>
      <c r="O89" s="68"/>
      <c r="P89" s="68"/>
      <c r="Q89" s="68"/>
      <c r="R89" s="68"/>
      <c r="S89" s="68"/>
      <c r="T89" s="68"/>
    </row>
    <row r="90" spans="1:20" ht="15" customHeight="1" x14ac:dyDescent="0.2">
      <c r="C90" s="68"/>
      <c r="D90" s="68"/>
      <c r="E90" s="68"/>
      <c r="F90" s="68"/>
      <c r="G90" s="68"/>
      <c r="H90" s="68"/>
      <c r="I90" s="68"/>
      <c r="J90" s="68"/>
      <c r="K90" s="68"/>
      <c r="L90" s="68"/>
      <c r="M90" s="68"/>
      <c r="N90" s="68"/>
      <c r="O90" s="68"/>
      <c r="P90" s="68"/>
      <c r="Q90" s="68"/>
      <c r="R90" s="68"/>
      <c r="S90" s="68"/>
      <c r="T90" s="68"/>
    </row>
    <row r="91" spans="1:20" ht="15" customHeight="1" x14ac:dyDescent="0.2">
      <c r="C91" s="68"/>
      <c r="D91" s="68"/>
      <c r="E91" s="68"/>
      <c r="F91" s="68"/>
      <c r="G91" s="68"/>
      <c r="H91" s="68"/>
      <c r="I91" s="68"/>
      <c r="J91" s="68"/>
      <c r="K91" s="68"/>
      <c r="L91" s="68"/>
      <c r="M91" s="68"/>
      <c r="N91" s="68"/>
      <c r="O91" s="68"/>
      <c r="P91" s="68"/>
      <c r="Q91" s="68"/>
      <c r="R91" s="68"/>
      <c r="S91" s="68"/>
      <c r="T91" s="68"/>
    </row>
    <row r="92" spans="1:20" ht="15" customHeight="1" x14ac:dyDescent="0.2">
      <c r="C92" s="68"/>
      <c r="D92" s="68"/>
      <c r="E92" s="68"/>
      <c r="F92" s="68"/>
      <c r="G92" s="68"/>
      <c r="H92" s="68"/>
      <c r="I92" s="68"/>
      <c r="J92" s="68"/>
      <c r="K92" s="68"/>
      <c r="L92" s="68"/>
    </row>
    <row r="93" spans="1:20" ht="15" customHeight="1" x14ac:dyDescent="0.2">
      <c r="C93" s="68"/>
      <c r="D93" s="68"/>
      <c r="E93" s="68"/>
      <c r="F93" s="68"/>
      <c r="G93" s="68"/>
      <c r="H93" s="68"/>
      <c r="I93" s="68"/>
      <c r="J93" s="68"/>
      <c r="K93" s="68"/>
      <c r="L93" s="68"/>
    </row>
    <row r="94" spans="1:20" ht="15" customHeight="1" x14ac:dyDescent="0.2"/>
    <row r="95" spans="1:20" ht="15" customHeight="1" x14ac:dyDescent="0.2"/>
    <row r="96" spans="1:20" ht="15" customHeight="1" x14ac:dyDescent="0.2"/>
    <row r="97" ht="15" customHeight="1" x14ac:dyDescent="0.2"/>
    <row r="98" ht="15" customHeight="1" x14ac:dyDescent="0.2"/>
    <row r="99" ht="15" customHeight="1" x14ac:dyDescent="0.2"/>
    <row r="100" ht="15" customHeight="1" x14ac:dyDescent="0.2"/>
    <row r="101" ht="15" customHeight="1" x14ac:dyDescent="0.2"/>
    <row r="102" ht="15" customHeight="1" x14ac:dyDescent="0.2"/>
    <row r="103" ht="15" customHeight="1" x14ac:dyDescent="0.2"/>
    <row r="104" ht="15" customHeight="1" x14ac:dyDescent="0.2"/>
    <row r="105" ht="15" customHeight="1" x14ac:dyDescent="0.2"/>
    <row r="106" ht="1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sheetData>
  <sheetProtection sheet="1" objects="1" scenarios="1" selectLockedCells="1"/>
  <mergeCells count="29">
    <mergeCell ref="C6:J6"/>
    <mergeCell ref="C11:L11"/>
    <mergeCell ref="C12:L12"/>
    <mergeCell ref="H35:J35"/>
    <mergeCell ref="H27:J27"/>
    <mergeCell ref="H29:J29"/>
    <mergeCell ref="H31:J31"/>
    <mergeCell ref="D16:I16"/>
    <mergeCell ref="D14:I14"/>
    <mergeCell ref="C35:E35"/>
    <mergeCell ref="C37:E37"/>
    <mergeCell ref="H25:J25"/>
    <mergeCell ref="C25:E25"/>
    <mergeCell ref="C27:E27"/>
    <mergeCell ref="C29:E29"/>
    <mergeCell ref="C31:E31"/>
    <mergeCell ref="C33:E33"/>
    <mergeCell ref="H33:J33"/>
    <mergeCell ref="C40:E40"/>
    <mergeCell ref="H40:J40"/>
    <mergeCell ref="C42:E42"/>
    <mergeCell ref="H42:J42"/>
    <mergeCell ref="C44:E44"/>
    <mergeCell ref="H44:J44"/>
    <mergeCell ref="C52:E52"/>
    <mergeCell ref="C46:E46"/>
    <mergeCell ref="H46:J46"/>
    <mergeCell ref="C48:E48"/>
    <mergeCell ref="C50:E50"/>
  </mergeCells>
  <conditionalFormatting sqref="C14">
    <cfRule type="containsText" dxfId="7" priority="3" operator="containsText" text=":)">
      <formula>NOT(ISERROR(SEARCH(":)",C14)))</formula>
    </cfRule>
    <cfRule type="containsText" dxfId="6" priority="4" operator="containsText" text="!">
      <formula>NOT(ISERROR(SEARCH("!",C14)))</formula>
    </cfRule>
  </conditionalFormatting>
  <conditionalFormatting sqref="C16">
    <cfRule type="containsText" dxfId="5" priority="1" operator="containsText" text=":)">
      <formula>NOT(ISERROR(SEARCH(":)",C16)))</formula>
    </cfRule>
    <cfRule type="containsText" dxfId="4" priority="2" operator="containsText" text="!">
      <formula>NOT(ISERROR(SEARCH("!",C16)))</formula>
    </cfRule>
  </conditionalFormatting>
  <printOptions verticalCentered="1"/>
  <pageMargins left="0.25" right="0.25" top="0.984251969" bottom="0.984251969" header="0.3" footer="0.3"/>
  <pageSetup paperSize="9" scale="58" fitToHeight="0" orientation="landscape"/>
  <rowBreaks count="3" manualBreakCount="3">
    <brk id="9" min="2" max="11" man="1"/>
    <brk id="17" min="2" max="11" man="1"/>
    <brk id="52" min="2" max="11" man="1"/>
  </rowBreaks>
  <drawing r:id="rId1"/>
  <legacy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8" enableFormatConditionsCalculation="0"/>
  <dimension ref="A1:AJ110"/>
  <sheetViews>
    <sheetView showGridLines="0" zoomScale="90" zoomScaleNormal="90" zoomScalePageLayoutView="90" workbookViewId="0">
      <selection activeCell="F8" sqref="F8:O8"/>
    </sheetView>
  </sheetViews>
  <sheetFormatPr baseColWidth="10" defaultColWidth="0" defaultRowHeight="15" zeroHeight="1" x14ac:dyDescent="0.2"/>
  <cols>
    <col min="1" max="1" width="27.83203125" style="1" customWidth="1"/>
    <col min="2" max="2" width="3.83203125" customWidth="1"/>
    <col min="3" max="3" width="9.83203125" customWidth="1"/>
    <col min="4" max="4" width="13" customWidth="1"/>
    <col min="5" max="5" width="15.83203125" bestFit="1" customWidth="1"/>
    <col min="6" max="9" width="14.1640625" customWidth="1"/>
    <col min="10" max="10" width="1.1640625" hidden="1" customWidth="1"/>
    <col min="11" max="11" width="14.1640625" customWidth="1"/>
    <col min="12" max="12" width="11" hidden="1" customWidth="1"/>
    <col min="13" max="13" width="14.1640625" customWidth="1"/>
    <col min="14" max="14" width="11" hidden="1" customWidth="1"/>
    <col min="15" max="15" width="14.1640625" customWidth="1"/>
    <col min="16" max="16" width="1.83203125" customWidth="1"/>
    <col min="17" max="21" width="6.83203125" customWidth="1"/>
    <col min="22" max="25" width="8.83203125" style="2" customWidth="1"/>
    <col min="26" max="26" width="16.1640625" style="2" bestFit="1" customWidth="1"/>
    <col min="27" max="27" width="14.33203125" style="2" bestFit="1" customWidth="1"/>
    <col min="28" max="28" width="8.83203125" style="2" customWidth="1"/>
    <col min="29" max="30" width="11.33203125" style="2" bestFit="1" customWidth="1"/>
    <col min="31" max="32" width="10.83203125" style="2" bestFit="1" customWidth="1"/>
    <col min="33" max="33" width="11.1640625" style="2" bestFit="1" customWidth="1"/>
    <col min="34" max="34" width="11.83203125" style="2" bestFit="1" customWidth="1"/>
    <col min="35" max="36" width="11.33203125" style="2" bestFit="1" customWidth="1"/>
    <col min="37" max="16384" width="8.83203125" style="68" hidden="1"/>
  </cols>
  <sheetData>
    <row r="1" spans="1:36" s="67" customFormat="1" ht="33.75" customHeight="1" x14ac:dyDescent="0.3">
      <c r="A1" s="56"/>
      <c r="B1" s="3"/>
      <c r="C1" s="4" t="s">
        <v>34</v>
      </c>
      <c r="D1" s="3"/>
      <c r="E1" s="3"/>
      <c r="F1" s="3"/>
      <c r="G1" s="3"/>
      <c r="H1" s="3"/>
      <c r="I1" s="3"/>
      <c r="J1" s="3"/>
      <c r="K1" s="3"/>
      <c r="L1" s="3"/>
      <c r="M1" s="3"/>
      <c r="N1" s="3"/>
      <c r="O1" s="3"/>
      <c r="P1" s="3"/>
      <c r="Q1" s="3"/>
      <c r="R1" s="3"/>
      <c r="S1" s="3"/>
      <c r="T1" s="3"/>
      <c r="U1" s="3"/>
      <c r="V1" s="15"/>
      <c r="W1" s="15"/>
      <c r="X1" s="15"/>
      <c r="Y1" s="15"/>
      <c r="Z1" s="15"/>
      <c r="AA1" s="15"/>
      <c r="AB1" s="15"/>
      <c r="AC1" s="15"/>
      <c r="AD1" s="15"/>
      <c r="AE1" s="15"/>
      <c r="AF1" s="15"/>
      <c r="AG1" s="15"/>
      <c r="AH1" s="15"/>
      <c r="AI1" s="15"/>
      <c r="AJ1" s="15"/>
    </row>
    <row r="2" spans="1:36" s="67" customFormat="1" ht="21.5" customHeight="1" x14ac:dyDescent="0.2">
      <c r="A2" s="1"/>
      <c r="B2" s="3"/>
      <c r="C2" s="3"/>
      <c r="D2" s="3"/>
      <c r="E2" s="3"/>
      <c r="F2" s="3"/>
      <c r="G2" s="3"/>
      <c r="H2" s="3"/>
      <c r="I2" s="3"/>
      <c r="J2" s="3"/>
      <c r="K2" s="3"/>
      <c r="L2" s="3"/>
      <c r="M2" s="3"/>
      <c r="N2" s="3"/>
      <c r="O2" s="3"/>
      <c r="P2" s="3"/>
      <c r="Q2" s="3"/>
      <c r="R2" s="3"/>
      <c r="S2" s="3"/>
      <c r="T2" s="3"/>
      <c r="U2" s="3"/>
      <c r="V2" s="15"/>
      <c r="W2" s="15"/>
      <c r="X2" s="15"/>
      <c r="Y2" s="15"/>
      <c r="Z2" s="15"/>
      <c r="AA2" s="15"/>
      <c r="AB2" s="15"/>
      <c r="AC2" s="15"/>
      <c r="AD2" s="15"/>
      <c r="AE2" s="15"/>
      <c r="AF2" s="15"/>
      <c r="AG2" s="15"/>
      <c r="AH2" s="15"/>
      <c r="AI2" s="15"/>
      <c r="AJ2" s="15"/>
    </row>
    <row r="3" spans="1:36" s="67" customFormat="1" ht="21.5" customHeight="1" x14ac:dyDescent="0.2">
      <c r="A3" s="1"/>
      <c r="B3" s="3"/>
      <c r="C3" s="3"/>
      <c r="D3" s="3"/>
      <c r="E3" s="3"/>
      <c r="F3" s="3"/>
      <c r="G3" s="3"/>
      <c r="H3" s="3"/>
      <c r="I3" s="3"/>
      <c r="J3" s="3"/>
      <c r="K3" s="3"/>
      <c r="L3" s="3"/>
      <c r="M3" s="3"/>
      <c r="N3" s="3"/>
      <c r="O3" s="3"/>
      <c r="P3" s="3"/>
      <c r="Q3" s="3"/>
      <c r="R3" s="3"/>
      <c r="S3" s="3"/>
      <c r="T3" s="3"/>
      <c r="U3" s="3"/>
      <c r="V3" s="15"/>
      <c r="W3" s="15"/>
      <c r="X3" s="15"/>
      <c r="Y3" s="15"/>
      <c r="Z3" s="15"/>
      <c r="AA3" s="15"/>
      <c r="AB3" s="15"/>
      <c r="AC3" s="15"/>
      <c r="AD3" s="15"/>
      <c r="AE3" s="15"/>
      <c r="AF3" s="15"/>
      <c r="AG3" s="15"/>
      <c r="AH3" s="15"/>
      <c r="AI3" s="15"/>
      <c r="AJ3" s="15"/>
    </row>
    <row r="4" spans="1:36" ht="30" customHeight="1" x14ac:dyDescent="0.2"/>
    <row r="5" spans="1:36" ht="30" customHeight="1" x14ac:dyDescent="0.3">
      <c r="C5" s="20" t="str">
        <f>'P Gerais'!D6&amp;" | FOLHA DE PONTO"</f>
        <v xml:space="preserve"> | FOLHA DE PONTO</v>
      </c>
      <c r="W5" s="2" t="s">
        <v>252</v>
      </c>
      <c r="AC5" s="2" t="s">
        <v>263</v>
      </c>
      <c r="AD5" s="2" t="s">
        <v>264</v>
      </c>
      <c r="AE5" s="2" t="s">
        <v>265</v>
      </c>
      <c r="AF5" s="2" t="s">
        <v>266</v>
      </c>
      <c r="AG5" s="2" t="s">
        <v>267</v>
      </c>
      <c r="AH5" s="2" t="s">
        <v>268</v>
      </c>
      <c r="AI5" s="2" t="s">
        <v>269</v>
      </c>
      <c r="AJ5" s="2" t="s">
        <v>270</v>
      </c>
    </row>
    <row r="6" spans="1:36" ht="30" customHeight="1" x14ac:dyDescent="0.45">
      <c r="C6" s="21" t="str">
        <f>IF('P Gerais'!J6=0,"",'P Gerais'!J6)</f>
        <v/>
      </c>
      <c r="V6" s="2">
        <v>1</v>
      </c>
      <c r="W6" s="2" t="str">
        <f>Ale!I6</f>
        <v/>
      </c>
      <c r="X6" s="2">
        <v>1</v>
      </c>
      <c r="Z6" s="2" t="s">
        <v>229</v>
      </c>
      <c r="AA6" s="2" t="s">
        <v>232</v>
      </c>
      <c r="AC6" s="2" t="e">
        <f>IF($F$8=$W$6,"Lanç!$"&amp;AC$5&amp;"$"&amp;$V6+7,"'Lanç ("&amp;VLOOKUP($F$8,$W$6:$X$35,2,0)&amp;")'!$"&amp;AC$5&amp;"$"&amp;$V6+7)</f>
        <v>#N/A</v>
      </c>
      <c r="AD6" s="2" t="e">
        <f t="shared" ref="AD6:AJ21" si="0">IF($F$8=$W$6,"Lanç!$"&amp;AD$5&amp;"$"&amp;$V6+7,"'Lanç ("&amp;VLOOKUP($F$8,$W$6:$X$35,2,0)&amp;")'!$"&amp;AD$5&amp;"$"&amp;$V6+7)</f>
        <v>#N/A</v>
      </c>
      <c r="AE6" s="2" t="e">
        <f t="shared" si="0"/>
        <v>#N/A</v>
      </c>
      <c r="AF6" s="2" t="e">
        <f t="shared" si="0"/>
        <v>#N/A</v>
      </c>
      <c r="AG6" s="2" t="e">
        <f t="shared" si="0"/>
        <v>#N/A</v>
      </c>
      <c r="AH6" s="2" t="e">
        <f t="shared" si="0"/>
        <v>#N/A</v>
      </c>
      <c r="AI6" s="2" t="e">
        <f t="shared" si="0"/>
        <v>#N/A</v>
      </c>
      <c r="AJ6" s="2" t="e">
        <f t="shared" si="0"/>
        <v>#N/A</v>
      </c>
    </row>
    <row r="7" spans="1:36" ht="8" customHeight="1" x14ac:dyDescent="0.2">
      <c r="V7" s="2">
        <v>2</v>
      </c>
      <c r="W7" s="2" t="str">
        <f>Ale!I7</f>
        <v/>
      </c>
      <c r="X7" s="2">
        <v>2</v>
      </c>
      <c r="Z7" s="2" t="str">
        <f>"'Lanç ("&amp;$V7&amp;")'!$F$49"</f>
        <v>'Lanç (2)'!$F$49</v>
      </c>
      <c r="AA7" s="2" t="str">
        <f>"'Lanç ("&amp;$V7&amp;")'!$F$52"</f>
        <v>'Lanç (2)'!$F$52</v>
      </c>
      <c r="AC7" s="2" t="e">
        <f t="shared" ref="AC7:AJ36" si="1">IF($F$8=$W$6,"Lanç!$"&amp;AC$5&amp;"$"&amp;$V7+7,"'Lanç ("&amp;VLOOKUP($F$8,$W$6:$X$35,2,0)&amp;")'!$"&amp;AC$5&amp;"$"&amp;$V7+7)</f>
        <v>#N/A</v>
      </c>
      <c r="AD7" s="2" t="e">
        <f t="shared" si="0"/>
        <v>#N/A</v>
      </c>
      <c r="AE7" s="2" t="e">
        <f t="shared" si="0"/>
        <v>#N/A</v>
      </c>
      <c r="AF7" s="2" t="e">
        <f t="shared" si="0"/>
        <v>#N/A</v>
      </c>
      <c r="AG7" s="2" t="e">
        <f t="shared" si="0"/>
        <v>#N/A</v>
      </c>
      <c r="AH7" s="2" t="e">
        <f t="shared" si="0"/>
        <v>#N/A</v>
      </c>
      <c r="AI7" s="2" t="e">
        <f t="shared" si="0"/>
        <v>#N/A</v>
      </c>
      <c r="AJ7" s="2" t="e">
        <f t="shared" si="0"/>
        <v>#N/A</v>
      </c>
    </row>
    <row r="8" spans="1:36" ht="30" customHeight="1" x14ac:dyDescent="0.2">
      <c r="C8" s="331" t="s">
        <v>182</v>
      </c>
      <c r="D8" s="331"/>
      <c r="E8" s="332"/>
      <c r="F8" s="320" t="s">
        <v>290</v>
      </c>
      <c r="G8" s="310"/>
      <c r="H8" s="310"/>
      <c r="I8" s="310"/>
      <c r="J8" s="310"/>
      <c r="K8" s="310"/>
      <c r="L8" s="310"/>
      <c r="M8" s="310"/>
      <c r="N8" s="310"/>
      <c r="O8" s="311"/>
      <c r="V8" s="2">
        <v>3</v>
      </c>
      <c r="W8" s="2" t="str">
        <f>Ale!I8</f>
        <v/>
      </c>
      <c r="X8" s="2">
        <v>3</v>
      </c>
      <c r="Z8" s="2" t="str">
        <f t="shared" ref="Z8:Z35" si="2">"'Lanç ("&amp;$V8&amp;")'!$F$49"</f>
        <v>'Lanç (3)'!$F$49</v>
      </c>
      <c r="AA8" s="2" t="str">
        <f t="shared" ref="AA8:AA35" si="3">"'Lanç ("&amp;$V8&amp;")'!$F$52"</f>
        <v>'Lanç (3)'!$F$52</v>
      </c>
      <c r="AC8" s="2" t="e">
        <f t="shared" si="1"/>
        <v>#N/A</v>
      </c>
      <c r="AD8" s="2" t="e">
        <f t="shared" si="0"/>
        <v>#N/A</v>
      </c>
      <c r="AE8" s="2" t="e">
        <f t="shared" si="0"/>
        <v>#N/A</v>
      </c>
      <c r="AF8" s="2" t="e">
        <f t="shared" si="0"/>
        <v>#N/A</v>
      </c>
      <c r="AG8" s="2" t="e">
        <f t="shared" si="0"/>
        <v>#N/A</v>
      </c>
      <c r="AH8" s="2" t="e">
        <f t="shared" si="0"/>
        <v>#N/A</v>
      </c>
      <c r="AI8" s="2" t="e">
        <f t="shared" si="0"/>
        <v>#N/A</v>
      </c>
      <c r="AJ8" s="2" t="e">
        <f t="shared" si="0"/>
        <v>#N/A</v>
      </c>
    </row>
    <row r="9" spans="1:36" ht="8" customHeight="1" x14ac:dyDescent="0.2">
      <c r="V9" s="2">
        <v>4</v>
      </c>
      <c r="W9" s="2" t="str">
        <f>Ale!I9</f>
        <v/>
      </c>
      <c r="X9" s="2">
        <v>4</v>
      </c>
      <c r="Z9" s="2" t="str">
        <f t="shared" si="2"/>
        <v>'Lanç (4)'!$F$49</v>
      </c>
      <c r="AA9" s="2" t="str">
        <f t="shared" si="3"/>
        <v>'Lanç (4)'!$F$52</v>
      </c>
      <c r="AC9" s="2" t="e">
        <f t="shared" si="1"/>
        <v>#N/A</v>
      </c>
      <c r="AD9" s="2" t="e">
        <f t="shared" si="0"/>
        <v>#N/A</v>
      </c>
      <c r="AE9" s="2" t="e">
        <f t="shared" si="0"/>
        <v>#N/A</v>
      </c>
      <c r="AF9" s="2" t="e">
        <f t="shared" si="0"/>
        <v>#N/A</v>
      </c>
      <c r="AG9" s="2" t="e">
        <f t="shared" si="0"/>
        <v>#N/A</v>
      </c>
      <c r="AH9" s="2" t="e">
        <f t="shared" si="0"/>
        <v>#N/A</v>
      </c>
      <c r="AI9" s="2" t="e">
        <f t="shared" si="0"/>
        <v>#N/A</v>
      </c>
      <c r="AJ9" s="2" t="e">
        <f t="shared" si="0"/>
        <v>#N/A</v>
      </c>
    </row>
    <row r="10" spans="1:36" ht="30" customHeight="1" x14ac:dyDescent="0.2">
      <c r="C10" s="267" t="s">
        <v>49</v>
      </c>
      <c r="D10" s="267"/>
      <c r="E10" s="267"/>
      <c r="F10" s="267"/>
      <c r="G10" s="267"/>
      <c r="H10" s="267"/>
      <c r="I10" s="267"/>
      <c r="J10" s="267"/>
      <c r="K10" s="267"/>
      <c r="L10" s="267"/>
      <c r="M10" s="267"/>
      <c r="N10" s="267"/>
      <c r="O10" s="267"/>
      <c r="V10" s="2">
        <v>5</v>
      </c>
      <c r="W10" s="2" t="str">
        <f>Ale!I10</f>
        <v/>
      </c>
      <c r="X10" s="2">
        <v>5</v>
      </c>
      <c r="Z10" s="2" t="str">
        <f t="shared" si="2"/>
        <v>'Lanç (5)'!$F$49</v>
      </c>
      <c r="AA10" s="2" t="str">
        <f t="shared" si="3"/>
        <v>'Lanç (5)'!$F$52</v>
      </c>
      <c r="AC10" s="2" t="e">
        <f t="shared" si="1"/>
        <v>#N/A</v>
      </c>
      <c r="AD10" s="2" t="e">
        <f t="shared" si="0"/>
        <v>#N/A</v>
      </c>
      <c r="AE10" s="2" t="e">
        <f t="shared" si="0"/>
        <v>#N/A</v>
      </c>
      <c r="AF10" s="2" t="e">
        <f t="shared" si="0"/>
        <v>#N/A</v>
      </c>
      <c r="AG10" s="2" t="e">
        <f t="shared" si="0"/>
        <v>#N/A</v>
      </c>
      <c r="AH10" s="2" t="e">
        <f t="shared" si="0"/>
        <v>#N/A</v>
      </c>
      <c r="AI10" s="2" t="e">
        <f t="shared" si="0"/>
        <v>#N/A</v>
      </c>
      <c r="AJ10" s="2" t="e">
        <f t="shared" si="0"/>
        <v>#N/A</v>
      </c>
    </row>
    <row r="11" spans="1:36" ht="30" customHeight="1" x14ac:dyDescent="0.2">
      <c r="C11" s="116" t="s">
        <v>261</v>
      </c>
      <c r="D11" s="42"/>
      <c r="E11" s="24" t="e">
        <f>IF($F$8=0,"",VLOOKUP($F$8,Funcionários!$C$7:$D$36,2,FALSE))</f>
        <v>#N/A</v>
      </c>
      <c r="F11" s="68"/>
      <c r="G11" s="68"/>
      <c r="H11" s="335" t="s">
        <v>118</v>
      </c>
      <c r="I11" s="335"/>
      <c r="J11" s="335"/>
      <c r="K11" s="335"/>
      <c r="L11" s="335"/>
      <c r="M11" s="335"/>
      <c r="N11" s="43"/>
      <c r="O11" s="44"/>
      <c r="V11" s="2">
        <v>6</v>
      </c>
      <c r="W11" s="2" t="str">
        <f>Ale!I11</f>
        <v/>
      </c>
      <c r="X11" s="2">
        <v>6</v>
      </c>
      <c r="Z11" s="2" t="str">
        <f t="shared" si="2"/>
        <v>'Lanç (6)'!$F$49</v>
      </c>
      <c r="AA11" s="2" t="str">
        <f t="shared" si="3"/>
        <v>'Lanç (6)'!$F$52</v>
      </c>
      <c r="AC11" s="2" t="e">
        <f t="shared" si="1"/>
        <v>#N/A</v>
      </c>
      <c r="AD11" s="2" t="e">
        <f t="shared" si="0"/>
        <v>#N/A</v>
      </c>
      <c r="AE11" s="2" t="e">
        <f t="shared" si="0"/>
        <v>#N/A</v>
      </c>
      <c r="AF11" s="2" t="e">
        <f t="shared" si="0"/>
        <v>#N/A</v>
      </c>
      <c r="AG11" s="2" t="e">
        <f t="shared" si="0"/>
        <v>#N/A</v>
      </c>
      <c r="AH11" s="2" t="e">
        <f t="shared" si="0"/>
        <v>#N/A</v>
      </c>
      <c r="AI11" s="2" t="e">
        <f t="shared" si="0"/>
        <v>#N/A</v>
      </c>
      <c r="AJ11" s="2" t="e">
        <f t="shared" si="0"/>
        <v>#N/A</v>
      </c>
    </row>
    <row r="12" spans="1:36" ht="30" customHeight="1" x14ac:dyDescent="0.2">
      <c r="C12" s="119" t="s">
        <v>262</v>
      </c>
      <c r="D12" s="117"/>
      <c r="E12" s="68" t="e">
        <f>IF($F$8=0,"",VLOOKUP($F$8,Jornada!$C$8:$AF$37,30,FALSE)&amp;"h")</f>
        <v>#N/A</v>
      </c>
      <c r="F12" s="68"/>
      <c r="G12" s="68"/>
      <c r="H12" s="123" t="s">
        <v>52</v>
      </c>
      <c r="I12" s="120" t="e">
        <f>IF($F$8=0,"",TEXT(VLOOKUP($F$8,Jornada!$C$8:$V$37,7,0),"[h]:mm")&amp;" às "&amp;TEXT(VLOOKUP($F$8,Jornada!$C$8:$V$37,8,0),"[h]:mm"))</f>
        <v>#N/A</v>
      </c>
      <c r="J12" s="26"/>
      <c r="K12" s="123" t="s">
        <v>56</v>
      </c>
      <c r="L12" s="26"/>
      <c r="M12" s="120" t="e">
        <f>IF($F$8=0,"",TEXT(VLOOKUP($F$8,Jornada!$C$8:$V$37,15,0),"[h]:mm")&amp;" às "&amp;TEXT(VLOOKUP($F$8,Jornada!$C$8:$V$37,16,0),"[h]:mm"))</f>
        <v>#N/A</v>
      </c>
      <c r="N12" s="26"/>
      <c r="O12" s="46"/>
      <c r="V12" s="2">
        <v>7</v>
      </c>
      <c r="W12" s="2" t="str">
        <f>Ale!I12</f>
        <v/>
      </c>
      <c r="X12" s="2">
        <v>7</v>
      </c>
      <c r="Z12" s="2" t="str">
        <f t="shared" si="2"/>
        <v>'Lanç (7)'!$F$49</v>
      </c>
      <c r="AA12" s="2" t="str">
        <f t="shared" si="3"/>
        <v>'Lanç (7)'!$F$52</v>
      </c>
      <c r="AC12" s="2" t="e">
        <f t="shared" si="1"/>
        <v>#N/A</v>
      </c>
      <c r="AD12" s="2" t="e">
        <f t="shared" si="0"/>
        <v>#N/A</v>
      </c>
      <c r="AE12" s="2" t="e">
        <f t="shared" si="0"/>
        <v>#N/A</v>
      </c>
      <c r="AF12" s="2" t="e">
        <f t="shared" si="0"/>
        <v>#N/A</v>
      </c>
      <c r="AG12" s="2" t="e">
        <f t="shared" si="0"/>
        <v>#N/A</v>
      </c>
      <c r="AH12" s="2" t="e">
        <f t="shared" si="0"/>
        <v>#N/A</v>
      </c>
      <c r="AI12" s="2" t="e">
        <f t="shared" si="0"/>
        <v>#N/A</v>
      </c>
      <c r="AJ12" s="2" t="e">
        <f t="shared" si="0"/>
        <v>#N/A</v>
      </c>
    </row>
    <row r="13" spans="1:36" ht="30" customHeight="1" x14ac:dyDescent="0.2">
      <c r="C13" s="119" t="s">
        <v>117</v>
      </c>
      <c r="D13" s="25"/>
      <c r="E13" s="118" t="e">
        <f>IF($F$8=0,"",VLOOKUP($F$8,Funcionários!$C$7:$I$36,7,FALSE))</f>
        <v>#N/A</v>
      </c>
      <c r="F13" s="26"/>
      <c r="G13" s="26"/>
      <c r="H13" s="123" t="s">
        <v>53</v>
      </c>
      <c r="I13" s="120" t="e">
        <f>IF($F$8=0,"",TEXT(VLOOKUP($F$8,Jornada!$C$8:$V$37,9,0),"[h]:mm")&amp;" às "&amp;TEXT(VLOOKUP($F$8,Jornada!$C$8:$V$37,10,0),"[h]:mm"))</f>
        <v>#N/A</v>
      </c>
      <c r="J13" s="26"/>
      <c r="K13" s="123" t="s">
        <v>57</v>
      </c>
      <c r="L13" s="26"/>
      <c r="M13" s="120" t="e">
        <f>IF($F$8=0,"",TEXT(VLOOKUP($F$8,Jornada!$C$8:$V$37,17,0),"[h]:mm")&amp;" às "&amp;TEXT(VLOOKUP($F$8,Jornada!$C$8:$V$37,18,0),"[h]:mm"))</f>
        <v>#N/A</v>
      </c>
      <c r="N13" s="26"/>
      <c r="O13" s="46"/>
      <c r="V13" s="2">
        <v>8</v>
      </c>
      <c r="W13" s="2" t="str">
        <f>Ale!I13</f>
        <v/>
      </c>
      <c r="X13" s="2">
        <v>8</v>
      </c>
      <c r="Z13" s="2" t="str">
        <f t="shared" si="2"/>
        <v>'Lanç (8)'!$F$49</v>
      </c>
      <c r="AA13" s="2" t="str">
        <f t="shared" si="3"/>
        <v>'Lanç (8)'!$F$52</v>
      </c>
      <c r="AC13" s="2" t="e">
        <f t="shared" si="1"/>
        <v>#N/A</v>
      </c>
      <c r="AD13" s="2" t="e">
        <f t="shared" si="0"/>
        <v>#N/A</v>
      </c>
      <c r="AE13" s="2" t="e">
        <f t="shared" si="0"/>
        <v>#N/A</v>
      </c>
      <c r="AF13" s="2" t="e">
        <f t="shared" si="0"/>
        <v>#N/A</v>
      </c>
      <c r="AG13" s="2" t="e">
        <f t="shared" si="0"/>
        <v>#N/A</v>
      </c>
      <c r="AH13" s="2" t="e">
        <f t="shared" si="0"/>
        <v>#N/A</v>
      </c>
      <c r="AI13" s="2" t="e">
        <f t="shared" si="0"/>
        <v>#N/A</v>
      </c>
      <c r="AJ13" s="2" t="e">
        <f t="shared" si="0"/>
        <v>#N/A</v>
      </c>
    </row>
    <row r="14" spans="1:36" ht="30" customHeight="1" x14ac:dyDescent="0.2">
      <c r="C14" s="45"/>
      <c r="D14" s="23"/>
      <c r="E14" s="24"/>
      <c r="F14" s="26"/>
      <c r="G14" s="26"/>
      <c r="H14" s="123" t="s">
        <v>54</v>
      </c>
      <c r="I14" s="120" t="e">
        <f>IF($F$8=0,"",TEXT(VLOOKUP($F$8,Jornada!$C$8:$V$37,11,0),"[h]:mm")&amp;" às "&amp;TEXT(VLOOKUP($F$8,Jornada!$C$8:$V$37,12,0),"[h]:mm"))</f>
        <v>#N/A</v>
      </c>
      <c r="J14" s="26"/>
      <c r="K14" s="123" t="s">
        <v>51</v>
      </c>
      <c r="L14" s="26"/>
      <c r="M14" s="120" t="e">
        <f>IF($F$8=0,"",TEXT(VLOOKUP($F$8,Jornada!$C$8:$V$37,19,0),"[h]:mm")&amp;" às "&amp;TEXT(VLOOKUP($F$8,Jornada!$C$8:$V$37,20,0),"[h]:mm"))</f>
        <v>#N/A</v>
      </c>
      <c r="N14" s="26"/>
      <c r="O14" s="46"/>
      <c r="V14" s="2">
        <v>9</v>
      </c>
      <c r="W14" s="2" t="str">
        <f>Ale!I14</f>
        <v/>
      </c>
      <c r="X14" s="2">
        <v>9</v>
      </c>
      <c r="Z14" s="2" t="str">
        <f t="shared" si="2"/>
        <v>'Lanç (9)'!$F$49</v>
      </c>
      <c r="AA14" s="2" t="str">
        <f t="shared" si="3"/>
        <v>'Lanç (9)'!$F$52</v>
      </c>
      <c r="AC14" s="2" t="e">
        <f t="shared" si="1"/>
        <v>#N/A</v>
      </c>
      <c r="AD14" s="2" t="e">
        <f t="shared" si="0"/>
        <v>#N/A</v>
      </c>
      <c r="AE14" s="2" t="e">
        <f t="shared" si="0"/>
        <v>#N/A</v>
      </c>
      <c r="AF14" s="2" t="e">
        <f t="shared" si="0"/>
        <v>#N/A</v>
      </c>
      <c r="AG14" s="2" t="e">
        <f t="shared" si="0"/>
        <v>#N/A</v>
      </c>
      <c r="AH14" s="2" t="e">
        <f t="shared" si="0"/>
        <v>#N/A</v>
      </c>
      <c r="AI14" s="2" t="e">
        <f t="shared" si="0"/>
        <v>#N/A</v>
      </c>
      <c r="AJ14" s="2" t="e">
        <f t="shared" si="0"/>
        <v>#N/A</v>
      </c>
    </row>
    <row r="15" spans="1:36" ht="30" customHeight="1" x14ac:dyDescent="0.2">
      <c r="C15" s="47"/>
      <c r="D15" s="48"/>
      <c r="E15" s="48"/>
      <c r="F15" s="48"/>
      <c r="G15" s="48"/>
      <c r="H15" s="124" t="s">
        <v>55</v>
      </c>
      <c r="I15" s="122" t="e">
        <f>IF($F$8=0,"",TEXT(VLOOKUP($F$8,Jornada!$C$8:$V$37,13,0),"[h]:mm")&amp;" às "&amp;TEXT(VLOOKUP($F$8,Jornada!$C$8:$V$37,14,0),"[h]:mm"))</f>
        <v>#N/A</v>
      </c>
      <c r="J15" s="48"/>
      <c r="K15" s="48"/>
      <c r="L15" s="48"/>
      <c r="M15" s="48"/>
      <c r="N15" s="48"/>
      <c r="O15" s="49"/>
      <c r="V15" s="2">
        <v>10</v>
      </c>
      <c r="W15" s="2" t="str">
        <f>Ale!I15</f>
        <v/>
      </c>
      <c r="X15" s="2">
        <v>10</v>
      </c>
      <c r="Z15" s="2" t="str">
        <f t="shared" si="2"/>
        <v>'Lanç (10)'!$F$49</v>
      </c>
      <c r="AA15" s="2" t="str">
        <f t="shared" si="3"/>
        <v>'Lanç (10)'!$F$52</v>
      </c>
      <c r="AC15" s="2" t="e">
        <f t="shared" si="1"/>
        <v>#N/A</v>
      </c>
      <c r="AD15" s="2" t="e">
        <f t="shared" si="0"/>
        <v>#N/A</v>
      </c>
      <c r="AE15" s="2" t="e">
        <f t="shared" si="0"/>
        <v>#N/A</v>
      </c>
      <c r="AF15" s="2" t="e">
        <f t="shared" si="0"/>
        <v>#N/A</v>
      </c>
      <c r="AG15" s="2" t="e">
        <f t="shared" si="0"/>
        <v>#N/A</v>
      </c>
      <c r="AH15" s="2" t="e">
        <f t="shared" si="0"/>
        <v>#N/A</v>
      </c>
      <c r="AI15" s="2" t="e">
        <f t="shared" si="0"/>
        <v>#N/A</v>
      </c>
      <c r="AJ15" s="2" t="e">
        <f t="shared" si="0"/>
        <v>#N/A</v>
      </c>
    </row>
    <row r="16" spans="1:36" ht="30" hidden="1" customHeight="1" x14ac:dyDescent="0.2">
      <c r="C16" s="27"/>
      <c r="D16" s="28"/>
      <c r="E16" s="28"/>
      <c r="F16" s="28"/>
      <c r="G16" s="28"/>
      <c r="H16" s="28"/>
      <c r="I16" s="28"/>
      <c r="J16" s="28"/>
      <c r="K16" s="28"/>
      <c r="L16" s="28"/>
      <c r="M16" s="28"/>
      <c r="N16" s="28"/>
      <c r="O16" s="29"/>
      <c r="V16" s="2">
        <v>11</v>
      </c>
      <c r="W16" s="2" t="str">
        <f>Ale!I16</f>
        <v/>
      </c>
      <c r="X16" s="2">
        <v>11</v>
      </c>
      <c r="Z16" s="2" t="str">
        <f t="shared" si="2"/>
        <v>'Lanç (11)'!$F$49</v>
      </c>
      <c r="AA16" s="2" t="str">
        <f t="shared" si="3"/>
        <v>'Lanç (11)'!$F$52</v>
      </c>
      <c r="AC16" s="2" t="e">
        <f t="shared" si="1"/>
        <v>#N/A</v>
      </c>
      <c r="AD16" s="2" t="e">
        <f t="shared" si="0"/>
        <v>#N/A</v>
      </c>
      <c r="AE16" s="2" t="e">
        <f t="shared" si="0"/>
        <v>#N/A</v>
      </c>
      <c r="AF16" s="2" t="e">
        <f t="shared" si="0"/>
        <v>#N/A</v>
      </c>
      <c r="AG16" s="2" t="e">
        <f t="shared" si="0"/>
        <v>#N/A</v>
      </c>
      <c r="AH16" s="2" t="e">
        <f t="shared" si="0"/>
        <v>#N/A</v>
      </c>
      <c r="AI16" s="2" t="e">
        <f t="shared" si="0"/>
        <v>#N/A</v>
      </c>
      <c r="AJ16" s="2" t="e">
        <f t="shared" si="0"/>
        <v>#N/A</v>
      </c>
    </row>
    <row r="17" spans="3:36" ht="16" thickBot="1" x14ac:dyDescent="0.25">
      <c r="D17" s="2" t="s">
        <v>106</v>
      </c>
      <c r="E17" s="2" t="s">
        <v>105</v>
      </c>
      <c r="F17" s="2" t="s">
        <v>107</v>
      </c>
      <c r="G17" s="2" t="s">
        <v>108</v>
      </c>
      <c r="H17" s="2" t="s">
        <v>109</v>
      </c>
      <c r="I17" s="2" t="s">
        <v>110</v>
      </c>
      <c r="J17" s="2" t="s">
        <v>111</v>
      </c>
      <c r="K17" s="2" t="s">
        <v>112</v>
      </c>
      <c r="L17" s="2" t="s">
        <v>113</v>
      </c>
      <c r="M17" s="2" t="s">
        <v>114</v>
      </c>
      <c r="N17" s="2" t="s">
        <v>115</v>
      </c>
      <c r="O17" s="2" t="s">
        <v>116</v>
      </c>
      <c r="V17" s="2">
        <v>12</v>
      </c>
      <c r="W17" s="2" t="str">
        <f>Ale!I17</f>
        <v/>
      </c>
      <c r="X17" s="2">
        <v>12</v>
      </c>
      <c r="Z17" s="2" t="str">
        <f t="shared" si="2"/>
        <v>'Lanç (12)'!$F$49</v>
      </c>
      <c r="AA17" s="2" t="str">
        <f t="shared" si="3"/>
        <v>'Lanç (12)'!$F$52</v>
      </c>
      <c r="AC17" s="2" t="e">
        <f t="shared" si="1"/>
        <v>#N/A</v>
      </c>
      <c r="AD17" s="2" t="e">
        <f t="shared" si="0"/>
        <v>#N/A</v>
      </c>
      <c r="AE17" s="2" t="e">
        <f t="shared" si="0"/>
        <v>#N/A</v>
      </c>
      <c r="AF17" s="2" t="e">
        <f t="shared" si="0"/>
        <v>#N/A</v>
      </c>
      <c r="AG17" s="2" t="e">
        <f t="shared" si="0"/>
        <v>#N/A</v>
      </c>
      <c r="AH17" s="2" t="e">
        <f t="shared" si="0"/>
        <v>#N/A</v>
      </c>
      <c r="AI17" s="2" t="e">
        <f t="shared" si="0"/>
        <v>#N/A</v>
      </c>
      <c r="AJ17" s="2" t="e">
        <f t="shared" si="0"/>
        <v>#N/A</v>
      </c>
    </row>
    <row r="18" spans="3:36" ht="30" customHeight="1" thickTop="1" thickBot="1" x14ac:dyDescent="0.25">
      <c r="C18" s="333" t="s">
        <v>50</v>
      </c>
      <c r="D18" s="334"/>
      <c r="E18" s="79" t="s">
        <v>58</v>
      </c>
      <c r="F18" s="121" t="s">
        <v>0</v>
      </c>
      <c r="G18" s="333" t="s">
        <v>59</v>
      </c>
      <c r="H18" s="334"/>
      <c r="I18" s="121" t="s">
        <v>60</v>
      </c>
      <c r="J18" s="121"/>
      <c r="K18" s="121" t="s">
        <v>61</v>
      </c>
      <c r="L18" s="121"/>
      <c r="M18" s="121" t="s">
        <v>62</v>
      </c>
      <c r="N18" s="121"/>
      <c r="O18" s="121" t="s">
        <v>63</v>
      </c>
      <c r="Q18" s="346" t="s">
        <v>119</v>
      </c>
      <c r="R18" s="347"/>
      <c r="S18" s="347"/>
      <c r="T18" s="347"/>
      <c r="U18" s="348"/>
      <c r="V18" s="2">
        <v>13</v>
      </c>
      <c r="W18" s="2" t="str">
        <f>Ale!I18</f>
        <v/>
      </c>
      <c r="X18" s="2">
        <v>13</v>
      </c>
      <c r="Z18" s="2" t="str">
        <f t="shared" si="2"/>
        <v>'Lanç (13)'!$F$49</v>
      </c>
      <c r="AA18" s="2" t="str">
        <f t="shared" si="3"/>
        <v>'Lanç (13)'!$F$52</v>
      </c>
      <c r="AC18" s="2" t="e">
        <f t="shared" si="1"/>
        <v>#N/A</v>
      </c>
      <c r="AD18" s="2" t="e">
        <f t="shared" si="0"/>
        <v>#N/A</v>
      </c>
      <c r="AE18" s="2" t="e">
        <f t="shared" si="0"/>
        <v>#N/A</v>
      </c>
      <c r="AF18" s="2" t="e">
        <f t="shared" si="0"/>
        <v>#N/A</v>
      </c>
      <c r="AG18" s="2" t="e">
        <f t="shared" si="0"/>
        <v>#N/A</v>
      </c>
      <c r="AH18" s="2" t="e">
        <f t="shared" si="0"/>
        <v>#N/A</v>
      </c>
      <c r="AI18" s="2" t="e">
        <f t="shared" si="0"/>
        <v>#N/A</v>
      </c>
      <c r="AJ18" s="2" t="e">
        <f t="shared" si="0"/>
        <v>#N/A</v>
      </c>
    </row>
    <row r="19" spans="3:36" ht="15" customHeight="1" thickTop="1" thickBot="1" x14ac:dyDescent="0.25">
      <c r="C19" s="114">
        <f>'Lanç (30)'!E8</f>
        <v>1</v>
      </c>
      <c r="D19" s="114" t="str">
        <f>'Lanç (30)'!F8</f>
        <v>Dom</v>
      </c>
      <c r="E19" s="148" t="e">
        <f ca="1">IF($F$8=0,"",IF(INDIRECT(AC6)=0,"",INDIRECT(AC6)))</f>
        <v>#N/A</v>
      </c>
      <c r="F19" s="149" t="e">
        <f t="shared" ref="F19:F34" ca="1" si="4">IF($F$8=0,"",INDIRECT(AD6))</f>
        <v>#N/A</v>
      </c>
      <c r="G19" s="149" t="e">
        <f t="shared" ref="G19:G34" ca="1" si="5">IF($F$8=0,"",INDIRECT(AE6))</f>
        <v>#N/A</v>
      </c>
      <c r="H19" s="149" t="e">
        <f t="shared" ref="H19:H34" ca="1" si="6">IF($F$8=0,"",INDIRECT(AF6))</f>
        <v>#N/A</v>
      </c>
      <c r="I19" s="149" t="e">
        <f t="shared" ref="I19:I34" ca="1" si="7">IF($F$8=0,"",INDIRECT(AG6))</f>
        <v>#N/A</v>
      </c>
      <c r="J19" s="149" t="e">
        <f t="shared" ref="J19:J34" ca="1" si="8">IF($F$8=0,"",INDIRECT(AH6))</f>
        <v>#N/A</v>
      </c>
      <c r="K19" s="149" t="e">
        <f ca="1">IF($F$8=0,"",INDIRECT(AH6))</f>
        <v>#N/A</v>
      </c>
      <c r="L19" s="149" t="e">
        <f ca="1">IF($F$8=0,"",INDIRECT(AJ6))</f>
        <v>#N/A</v>
      </c>
      <c r="M19" s="149" t="e">
        <f ca="1">IF($F$8=0,"",INDIRECT(AI6))</f>
        <v>#N/A</v>
      </c>
      <c r="N19" s="149" t="e">
        <f ca="1">IF($F$8=0,"",INDIRECT(AL6))</f>
        <v>#REF!</v>
      </c>
      <c r="O19" s="149" t="e">
        <f ca="1">IF($F$8=0,"",INDIRECT(AJ6))</f>
        <v>#N/A</v>
      </c>
      <c r="Q19" s="330"/>
      <c r="R19" s="330"/>
      <c r="S19" s="330"/>
      <c r="T19" s="330"/>
      <c r="U19" s="330"/>
      <c r="V19" s="2">
        <v>14</v>
      </c>
      <c r="W19" s="2" t="str">
        <f>Ale!I19</f>
        <v/>
      </c>
      <c r="X19" s="2">
        <v>14</v>
      </c>
      <c r="Z19" s="2" t="str">
        <f t="shared" si="2"/>
        <v>'Lanç (14)'!$F$49</v>
      </c>
      <c r="AA19" s="2" t="str">
        <f t="shared" si="3"/>
        <v>'Lanç (14)'!$F$52</v>
      </c>
      <c r="AC19" s="2" t="e">
        <f t="shared" si="1"/>
        <v>#N/A</v>
      </c>
      <c r="AD19" s="2" t="e">
        <f t="shared" si="0"/>
        <v>#N/A</v>
      </c>
      <c r="AE19" s="2" t="e">
        <f t="shared" si="0"/>
        <v>#N/A</v>
      </c>
      <c r="AF19" s="2" t="e">
        <f t="shared" si="0"/>
        <v>#N/A</v>
      </c>
      <c r="AG19" s="2" t="e">
        <f t="shared" si="0"/>
        <v>#N/A</v>
      </c>
      <c r="AH19" s="2" t="e">
        <f t="shared" si="0"/>
        <v>#N/A</v>
      </c>
      <c r="AI19" s="2" t="e">
        <f t="shared" si="0"/>
        <v>#N/A</v>
      </c>
      <c r="AJ19" s="2" t="e">
        <f t="shared" si="0"/>
        <v>#N/A</v>
      </c>
    </row>
    <row r="20" spans="3:36" ht="15" customHeight="1" thickTop="1" thickBot="1" x14ac:dyDescent="0.25">
      <c r="C20" s="129">
        <f>'Lanç (30)'!E9</f>
        <v>2</v>
      </c>
      <c r="D20" s="114" t="str">
        <f>'Lanç (30)'!F9</f>
        <v>Seg</v>
      </c>
      <c r="E20" s="150" t="e">
        <f t="shared" ref="E20:E49" ca="1" si="9">IF($F$8=0,"",IF(INDIRECT(AC7)=0,"",INDIRECT(AC7)))</f>
        <v>#N/A</v>
      </c>
      <c r="F20" s="151" t="e">
        <f t="shared" ca="1" si="4"/>
        <v>#N/A</v>
      </c>
      <c r="G20" s="151" t="e">
        <f t="shared" ca="1" si="5"/>
        <v>#N/A</v>
      </c>
      <c r="H20" s="151" t="e">
        <f t="shared" ca="1" si="6"/>
        <v>#N/A</v>
      </c>
      <c r="I20" s="151" t="e">
        <f t="shared" ca="1" si="7"/>
        <v>#N/A</v>
      </c>
      <c r="J20" s="151" t="e">
        <f t="shared" ca="1" si="8"/>
        <v>#N/A</v>
      </c>
      <c r="K20" s="151" t="e">
        <f t="shared" ref="K20:K49" ca="1" si="10">IF($F$8=0,"",INDIRECT(AH7))</f>
        <v>#N/A</v>
      </c>
      <c r="L20" s="151" t="e">
        <f t="shared" ref="L20:L49" ca="1" si="11">IF($F$8=0,"",INDIRECT(AJ7))</f>
        <v>#N/A</v>
      </c>
      <c r="M20" s="151" t="e">
        <f t="shared" ref="M20:M49" ca="1" si="12">IF($F$8=0,"",INDIRECT(AI7))</f>
        <v>#N/A</v>
      </c>
      <c r="N20" s="151" t="e">
        <f t="shared" ref="N20:N49" ca="1" si="13">IF($F$8=0,"",INDIRECT(AL7))</f>
        <v>#REF!</v>
      </c>
      <c r="O20" s="151" t="e">
        <f t="shared" ref="O20:O49" ca="1" si="14">IF($F$8=0,"",INDIRECT(AJ7))</f>
        <v>#N/A</v>
      </c>
      <c r="Q20" s="330"/>
      <c r="R20" s="330"/>
      <c r="S20" s="330"/>
      <c r="T20" s="330"/>
      <c r="U20" s="330"/>
      <c r="V20" s="2">
        <v>15</v>
      </c>
      <c r="W20" s="2" t="str">
        <f>Ale!I20</f>
        <v/>
      </c>
      <c r="X20" s="2">
        <v>15</v>
      </c>
      <c r="Z20" s="2" t="str">
        <f t="shared" si="2"/>
        <v>'Lanç (15)'!$F$49</v>
      </c>
      <c r="AA20" s="2" t="str">
        <f t="shared" si="3"/>
        <v>'Lanç (15)'!$F$52</v>
      </c>
      <c r="AC20" s="2" t="e">
        <f t="shared" si="1"/>
        <v>#N/A</v>
      </c>
      <c r="AD20" s="2" t="e">
        <f t="shared" si="0"/>
        <v>#N/A</v>
      </c>
      <c r="AE20" s="2" t="e">
        <f t="shared" si="0"/>
        <v>#N/A</v>
      </c>
      <c r="AF20" s="2" t="e">
        <f t="shared" si="0"/>
        <v>#N/A</v>
      </c>
      <c r="AG20" s="2" t="e">
        <f t="shared" si="0"/>
        <v>#N/A</v>
      </c>
      <c r="AH20" s="2" t="e">
        <f t="shared" si="0"/>
        <v>#N/A</v>
      </c>
      <c r="AI20" s="2" t="e">
        <f t="shared" si="0"/>
        <v>#N/A</v>
      </c>
      <c r="AJ20" s="2" t="e">
        <f t="shared" si="0"/>
        <v>#N/A</v>
      </c>
    </row>
    <row r="21" spans="3:36" ht="15" customHeight="1" thickTop="1" thickBot="1" x14ac:dyDescent="0.25">
      <c r="C21" s="129">
        <f>'Lanç (30)'!E10</f>
        <v>3</v>
      </c>
      <c r="D21" s="114" t="str">
        <f>'Lanç (30)'!F10</f>
        <v>Ter</v>
      </c>
      <c r="E21" s="150" t="e">
        <f t="shared" ca="1" si="9"/>
        <v>#N/A</v>
      </c>
      <c r="F21" s="151" t="e">
        <f t="shared" ca="1" si="4"/>
        <v>#N/A</v>
      </c>
      <c r="G21" s="151" t="e">
        <f t="shared" ca="1" si="5"/>
        <v>#N/A</v>
      </c>
      <c r="H21" s="151" t="e">
        <f t="shared" ca="1" si="6"/>
        <v>#N/A</v>
      </c>
      <c r="I21" s="151" t="e">
        <f t="shared" ca="1" si="7"/>
        <v>#N/A</v>
      </c>
      <c r="J21" s="151" t="e">
        <f t="shared" ca="1" si="8"/>
        <v>#N/A</v>
      </c>
      <c r="K21" s="151" t="e">
        <f t="shared" ca="1" si="10"/>
        <v>#N/A</v>
      </c>
      <c r="L21" s="151" t="e">
        <f t="shared" ca="1" si="11"/>
        <v>#N/A</v>
      </c>
      <c r="M21" s="151" t="e">
        <f t="shared" ca="1" si="12"/>
        <v>#N/A</v>
      </c>
      <c r="N21" s="151" t="e">
        <f t="shared" ca="1" si="13"/>
        <v>#REF!</v>
      </c>
      <c r="O21" s="151" t="e">
        <f t="shared" ca="1" si="14"/>
        <v>#N/A</v>
      </c>
      <c r="Q21" s="330"/>
      <c r="R21" s="330"/>
      <c r="S21" s="330"/>
      <c r="T21" s="330"/>
      <c r="U21" s="330"/>
      <c r="V21" s="2">
        <v>16</v>
      </c>
      <c r="W21" s="2" t="str">
        <f>Ale!I21</f>
        <v/>
      </c>
      <c r="X21" s="2">
        <v>16</v>
      </c>
      <c r="Z21" s="2" t="str">
        <f t="shared" si="2"/>
        <v>'Lanç (16)'!$F$49</v>
      </c>
      <c r="AA21" s="2" t="str">
        <f t="shared" si="3"/>
        <v>'Lanç (16)'!$F$52</v>
      </c>
      <c r="AC21" s="2" t="e">
        <f t="shared" si="1"/>
        <v>#N/A</v>
      </c>
      <c r="AD21" s="2" t="e">
        <f t="shared" si="0"/>
        <v>#N/A</v>
      </c>
      <c r="AE21" s="2" t="e">
        <f t="shared" si="0"/>
        <v>#N/A</v>
      </c>
      <c r="AF21" s="2" t="e">
        <f t="shared" si="0"/>
        <v>#N/A</v>
      </c>
      <c r="AG21" s="2" t="e">
        <f t="shared" si="0"/>
        <v>#N/A</v>
      </c>
      <c r="AH21" s="2" t="e">
        <f t="shared" si="0"/>
        <v>#N/A</v>
      </c>
      <c r="AI21" s="2" t="e">
        <f t="shared" si="0"/>
        <v>#N/A</v>
      </c>
      <c r="AJ21" s="2" t="e">
        <f t="shared" si="0"/>
        <v>#N/A</v>
      </c>
    </row>
    <row r="22" spans="3:36" ht="15" customHeight="1" thickTop="1" thickBot="1" x14ac:dyDescent="0.25">
      <c r="C22" s="129">
        <f>'Lanç (30)'!E11</f>
        <v>4</v>
      </c>
      <c r="D22" s="114" t="str">
        <f>'Lanç (30)'!F11</f>
        <v>Qua</v>
      </c>
      <c r="E22" s="150" t="e">
        <f t="shared" ca="1" si="9"/>
        <v>#N/A</v>
      </c>
      <c r="F22" s="151" t="e">
        <f t="shared" ca="1" si="4"/>
        <v>#N/A</v>
      </c>
      <c r="G22" s="151" t="e">
        <f t="shared" ca="1" si="5"/>
        <v>#N/A</v>
      </c>
      <c r="H22" s="151" t="e">
        <f t="shared" ca="1" si="6"/>
        <v>#N/A</v>
      </c>
      <c r="I22" s="151" t="e">
        <f t="shared" ca="1" si="7"/>
        <v>#N/A</v>
      </c>
      <c r="J22" s="151" t="e">
        <f t="shared" ca="1" si="8"/>
        <v>#N/A</v>
      </c>
      <c r="K22" s="151" t="e">
        <f t="shared" ca="1" si="10"/>
        <v>#N/A</v>
      </c>
      <c r="L22" s="151" t="e">
        <f t="shared" ca="1" si="11"/>
        <v>#N/A</v>
      </c>
      <c r="M22" s="151" t="e">
        <f t="shared" ca="1" si="12"/>
        <v>#N/A</v>
      </c>
      <c r="N22" s="151" t="e">
        <f t="shared" ca="1" si="13"/>
        <v>#REF!</v>
      </c>
      <c r="O22" s="151" t="e">
        <f t="shared" ca="1" si="14"/>
        <v>#N/A</v>
      </c>
      <c r="Q22" s="330"/>
      <c r="R22" s="330"/>
      <c r="S22" s="330"/>
      <c r="T22" s="330"/>
      <c r="U22" s="330"/>
      <c r="V22" s="2">
        <v>17</v>
      </c>
      <c r="W22" s="2" t="str">
        <f>Ale!I22</f>
        <v/>
      </c>
      <c r="X22" s="2">
        <v>17</v>
      </c>
      <c r="Z22" s="2" t="str">
        <f t="shared" si="2"/>
        <v>'Lanç (17)'!$F$49</v>
      </c>
      <c r="AA22" s="2" t="str">
        <f t="shared" si="3"/>
        <v>'Lanç (17)'!$F$52</v>
      </c>
      <c r="AC22" s="2" t="e">
        <f t="shared" si="1"/>
        <v>#N/A</v>
      </c>
      <c r="AD22" s="2" t="e">
        <f t="shared" si="1"/>
        <v>#N/A</v>
      </c>
      <c r="AE22" s="2" t="e">
        <f t="shared" si="1"/>
        <v>#N/A</v>
      </c>
      <c r="AF22" s="2" t="e">
        <f t="shared" si="1"/>
        <v>#N/A</v>
      </c>
      <c r="AG22" s="2" t="e">
        <f t="shared" si="1"/>
        <v>#N/A</v>
      </c>
      <c r="AH22" s="2" t="e">
        <f t="shared" si="1"/>
        <v>#N/A</v>
      </c>
      <c r="AI22" s="2" t="e">
        <f t="shared" si="1"/>
        <v>#N/A</v>
      </c>
      <c r="AJ22" s="2" t="e">
        <f t="shared" si="1"/>
        <v>#N/A</v>
      </c>
    </row>
    <row r="23" spans="3:36" ht="15" customHeight="1" thickTop="1" thickBot="1" x14ac:dyDescent="0.25">
      <c r="C23" s="129">
        <f>'Lanç (30)'!E12</f>
        <v>5</v>
      </c>
      <c r="D23" s="114" t="str">
        <f>'Lanç (30)'!F12</f>
        <v>Qui</v>
      </c>
      <c r="E23" s="150" t="e">
        <f t="shared" ca="1" si="9"/>
        <v>#N/A</v>
      </c>
      <c r="F23" s="151" t="e">
        <f t="shared" ca="1" si="4"/>
        <v>#N/A</v>
      </c>
      <c r="G23" s="151" t="e">
        <f t="shared" ca="1" si="5"/>
        <v>#N/A</v>
      </c>
      <c r="H23" s="151" t="e">
        <f t="shared" ca="1" si="6"/>
        <v>#N/A</v>
      </c>
      <c r="I23" s="151" t="e">
        <f t="shared" ca="1" si="7"/>
        <v>#N/A</v>
      </c>
      <c r="J23" s="151" t="e">
        <f t="shared" ca="1" si="8"/>
        <v>#N/A</v>
      </c>
      <c r="K23" s="151" t="e">
        <f t="shared" ca="1" si="10"/>
        <v>#N/A</v>
      </c>
      <c r="L23" s="151" t="e">
        <f t="shared" ca="1" si="11"/>
        <v>#N/A</v>
      </c>
      <c r="M23" s="151" t="e">
        <f t="shared" ca="1" si="12"/>
        <v>#N/A</v>
      </c>
      <c r="N23" s="151" t="e">
        <f t="shared" ca="1" si="13"/>
        <v>#REF!</v>
      </c>
      <c r="O23" s="151" t="e">
        <f t="shared" ca="1" si="14"/>
        <v>#N/A</v>
      </c>
      <c r="Q23" s="330"/>
      <c r="R23" s="330"/>
      <c r="S23" s="330"/>
      <c r="T23" s="330"/>
      <c r="U23" s="330"/>
      <c r="V23" s="2">
        <v>18</v>
      </c>
      <c r="W23" s="2" t="str">
        <f>Ale!I23</f>
        <v/>
      </c>
      <c r="X23" s="2">
        <v>18</v>
      </c>
      <c r="Z23" s="2" t="str">
        <f t="shared" si="2"/>
        <v>'Lanç (18)'!$F$49</v>
      </c>
      <c r="AA23" s="2" t="str">
        <f t="shared" si="3"/>
        <v>'Lanç (18)'!$F$52</v>
      </c>
      <c r="AC23" s="2" t="e">
        <f t="shared" si="1"/>
        <v>#N/A</v>
      </c>
      <c r="AD23" s="2" t="e">
        <f t="shared" si="1"/>
        <v>#N/A</v>
      </c>
      <c r="AE23" s="2" t="e">
        <f t="shared" si="1"/>
        <v>#N/A</v>
      </c>
      <c r="AF23" s="2" t="e">
        <f t="shared" si="1"/>
        <v>#N/A</v>
      </c>
      <c r="AG23" s="2" t="e">
        <f t="shared" si="1"/>
        <v>#N/A</v>
      </c>
      <c r="AH23" s="2" t="e">
        <f t="shared" si="1"/>
        <v>#N/A</v>
      </c>
      <c r="AI23" s="2" t="e">
        <f t="shared" si="1"/>
        <v>#N/A</v>
      </c>
      <c r="AJ23" s="2" t="e">
        <f t="shared" si="1"/>
        <v>#N/A</v>
      </c>
    </row>
    <row r="24" spans="3:36" ht="15" customHeight="1" thickTop="1" thickBot="1" x14ac:dyDescent="0.25">
      <c r="C24" s="129">
        <f>'Lanç (30)'!E13</f>
        <v>6</v>
      </c>
      <c r="D24" s="114" t="str">
        <f>'Lanç (30)'!F13</f>
        <v>Sex</v>
      </c>
      <c r="E24" s="150" t="e">
        <f t="shared" ca="1" si="9"/>
        <v>#N/A</v>
      </c>
      <c r="F24" s="151" t="e">
        <f t="shared" ca="1" si="4"/>
        <v>#N/A</v>
      </c>
      <c r="G24" s="151" t="e">
        <f t="shared" ca="1" si="5"/>
        <v>#N/A</v>
      </c>
      <c r="H24" s="151" t="e">
        <f t="shared" ca="1" si="6"/>
        <v>#N/A</v>
      </c>
      <c r="I24" s="151" t="e">
        <f t="shared" ca="1" si="7"/>
        <v>#N/A</v>
      </c>
      <c r="J24" s="151" t="e">
        <f t="shared" ca="1" si="8"/>
        <v>#N/A</v>
      </c>
      <c r="K24" s="151" t="e">
        <f t="shared" ca="1" si="10"/>
        <v>#N/A</v>
      </c>
      <c r="L24" s="151" t="e">
        <f t="shared" ca="1" si="11"/>
        <v>#N/A</v>
      </c>
      <c r="M24" s="151" t="e">
        <f t="shared" ca="1" si="12"/>
        <v>#N/A</v>
      </c>
      <c r="N24" s="151" t="e">
        <f t="shared" ca="1" si="13"/>
        <v>#REF!</v>
      </c>
      <c r="O24" s="151" t="e">
        <f t="shared" ca="1" si="14"/>
        <v>#N/A</v>
      </c>
      <c r="Q24" s="330"/>
      <c r="R24" s="330"/>
      <c r="S24" s="330"/>
      <c r="T24" s="330"/>
      <c r="U24" s="330"/>
      <c r="V24" s="2">
        <v>19</v>
      </c>
      <c r="W24" s="2" t="str">
        <f>Ale!I24</f>
        <v/>
      </c>
      <c r="X24" s="2">
        <v>19</v>
      </c>
      <c r="Z24" s="2" t="str">
        <f t="shared" si="2"/>
        <v>'Lanç (19)'!$F$49</v>
      </c>
      <c r="AA24" s="2" t="str">
        <f t="shared" si="3"/>
        <v>'Lanç (19)'!$F$52</v>
      </c>
      <c r="AC24" s="2" t="e">
        <f t="shared" si="1"/>
        <v>#N/A</v>
      </c>
      <c r="AD24" s="2" t="e">
        <f t="shared" si="1"/>
        <v>#N/A</v>
      </c>
      <c r="AE24" s="2" t="e">
        <f t="shared" si="1"/>
        <v>#N/A</v>
      </c>
      <c r="AF24" s="2" t="e">
        <f t="shared" si="1"/>
        <v>#N/A</v>
      </c>
      <c r="AG24" s="2" t="e">
        <f t="shared" si="1"/>
        <v>#N/A</v>
      </c>
      <c r="AH24" s="2" t="e">
        <f t="shared" si="1"/>
        <v>#N/A</v>
      </c>
      <c r="AI24" s="2" t="e">
        <f t="shared" si="1"/>
        <v>#N/A</v>
      </c>
      <c r="AJ24" s="2" t="e">
        <f t="shared" si="1"/>
        <v>#N/A</v>
      </c>
    </row>
    <row r="25" spans="3:36" ht="15" customHeight="1" thickTop="1" thickBot="1" x14ac:dyDescent="0.25">
      <c r="C25" s="129">
        <f>'Lanç (30)'!E14</f>
        <v>7</v>
      </c>
      <c r="D25" s="114" t="str">
        <f>'Lanç (30)'!F14</f>
        <v>Sáb</v>
      </c>
      <c r="E25" s="150" t="e">
        <f t="shared" ca="1" si="9"/>
        <v>#N/A</v>
      </c>
      <c r="F25" s="151" t="e">
        <f t="shared" ca="1" si="4"/>
        <v>#N/A</v>
      </c>
      <c r="G25" s="151" t="e">
        <f t="shared" ca="1" si="5"/>
        <v>#N/A</v>
      </c>
      <c r="H25" s="151" t="e">
        <f t="shared" ca="1" si="6"/>
        <v>#N/A</v>
      </c>
      <c r="I25" s="151" t="e">
        <f t="shared" ca="1" si="7"/>
        <v>#N/A</v>
      </c>
      <c r="J25" s="151" t="e">
        <f t="shared" ca="1" si="8"/>
        <v>#N/A</v>
      </c>
      <c r="K25" s="151" t="e">
        <f t="shared" ca="1" si="10"/>
        <v>#N/A</v>
      </c>
      <c r="L25" s="151" t="e">
        <f t="shared" ca="1" si="11"/>
        <v>#N/A</v>
      </c>
      <c r="M25" s="151" t="e">
        <f t="shared" ca="1" si="12"/>
        <v>#N/A</v>
      </c>
      <c r="N25" s="151" t="e">
        <f t="shared" ca="1" si="13"/>
        <v>#REF!</v>
      </c>
      <c r="O25" s="151" t="e">
        <f t="shared" ca="1" si="14"/>
        <v>#N/A</v>
      </c>
      <c r="Q25" s="330"/>
      <c r="R25" s="330"/>
      <c r="S25" s="330"/>
      <c r="T25" s="330"/>
      <c r="U25" s="330"/>
      <c r="V25" s="2">
        <v>20</v>
      </c>
      <c r="W25" s="2" t="str">
        <f>Ale!I25</f>
        <v/>
      </c>
      <c r="X25" s="2">
        <v>20</v>
      </c>
      <c r="Z25" s="2" t="str">
        <f t="shared" si="2"/>
        <v>'Lanç (20)'!$F$49</v>
      </c>
      <c r="AA25" s="2" t="str">
        <f t="shared" si="3"/>
        <v>'Lanç (20)'!$F$52</v>
      </c>
      <c r="AC25" s="2" t="e">
        <f t="shared" si="1"/>
        <v>#N/A</v>
      </c>
      <c r="AD25" s="2" t="e">
        <f t="shared" si="1"/>
        <v>#N/A</v>
      </c>
      <c r="AE25" s="2" t="e">
        <f t="shared" si="1"/>
        <v>#N/A</v>
      </c>
      <c r="AF25" s="2" t="e">
        <f t="shared" si="1"/>
        <v>#N/A</v>
      </c>
      <c r="AG25" s="2" t="e">
        <f t="shared" si="1"/>
        <v>#N/A</v>
      </c>
      <c r="AH25" s="2" t="e">
        <f t="shared" si="1"/>
        <v>#N/A</v>
      </c>
      <c r="AI25" s="2" t="e">
        <f t="shared" si="1"/>
        <v>#N/A</v>
      </c>
      <c r="AJ25" s="2" t="e">
        <f t="shared" si="1"/>
        <v>#N/A</v>
      </c>
    </row>
    <row r="26" spans="3:36" ht="15" customHeight="1" thickTop="1" thickBot="1" x14ac:dyDescent="0.25">
      <c r="C26" s="129">
        <f>'Lanç (30)'!E15</f>
        <v>8</v>
      </c>
      <c r="D26" s="114" t="str">
        <f>'Lanç (30)'!F15</f>
        <v>Dom</v>
      </c>
      <c r="E26" s="150" t="e">
        <f t="shared" ca="1" si="9"/>
        <v>#N/A</v>
      </c>
      <c r="F26" s="151" t="e">
        <f t="shared" ca="1" si="4"/>
        <v>#N/A</v>
      </c>
      <c r="G26" s="151" t="e">
        <f t="shared" ca="1" si="5"/>
        <v>#N/A</v>
      </c>
      <c r="H26" s="151" t="e">
        <f t="shared" ca="1" si="6"/>
        <v>#N/A</v>
      </c>
      <c r="I26" s="151" t="e">
        <f t="shared" ca="1" si="7"/>
        <v>#N/A</v>
      </c>
      <c r="J26" s="151" t="e">
        <f t="shared" ca="1" si="8"/>
        <v>#N/A</v>
      </c>
      <c r="K26" s="151" t="e">
        <f t="shared" ca="1" si="10"/>
        <v>#N/A</v>
      </c>
      <c r="L26" s="151" t="e">
        <f t="shared" ca="1" si="11"/>
        <v>#N/A</v>
      </c>
      <c r="M26" s="151" t="e">
        <f t="shared" ca="1" si="12"/>
        <v>#N/A</v>
      </c>
      <c r="N26" s="151" t="e">
        <f t="shared" ca="1" si="13"/>
        <v>#REF!</v>
      </c>
      <c r="O26" s="151" t="e">
        <f t="shared" ca="1" si="14"/>
        <v>#N/A</v>
      </c>
      <c r="Q26" s="330"/>
      <c r="R26" s="330"/>
      <c r="S26" s="330"/>
      <c r="T26" s="330"/>
      <c r="U26" s="330"/>
      <c r="V26" s="2">
        <v>21</v>
      </c>
      <c r="W26" s="2" t="str">
        <f>Ale!I26</f>
        <v/>
      </c>
      <c r="X26" s="2">
        <v>21</v>
      </c>
      <c r="Z26" s="2" t="str">
        <f t="shared" si="2"/>
        <v>'Lanç (21)'!$F$49</v>
      </c>
      <c r="AA26" s="2" t="str">
        <f t="shared" si="3"/>
        <v>'Lanç (21)'!$F$52</v>
      </c>
      <c r="AC26" s="2" t="e">
        <f t="shared" si="1"/>
        <v>#N/A</v>
      </c>
      <c r="AD26" s="2" t="e">
        <f t="shared" si="1"/>
        <v>#N/A</v>
      </c>
      <c r="AE26" s="2" t="e">
        <f t="shared" si="1"/>
        <v>#N/A</v>
      </c>
      <c r="AF26" s="2" t="e">
        <f t="shared" si="1"/>
        <v>#N/A</v>
      </c>
      <c r="AG26" s="2" t="e">
        <f t="shared" si="1"/>
        <v>#N/A</v>
      </c>
      <c r="AH26" s="2" t="e">
        <f t="shared" si="1"/>
        <v>#N/A</v>
      </c>
      <c r="AI26" s="2" t="e">
        <f t="shared" si="1"/>
        <v>#N/A</v>
      </c>
      <c r="AJ26" s="2" t="e">
        <f t="shared" si="1"/>
        <v>#N/A</v>
      </c>
    </row>
    <row r="27" spans="3:36" ht="15" customHeight="1" thickTop="1" thickBot="1" x14ac:dyDescent="0.25">
      <c r="C27" s="129">
        <f>'Lanç (30)'!E16</f>
        <v>9</v>
      </c>
      <c r="D27" s="114" t="str">
        <f>'Lanç (30)'!F16</f>
        <v>Seg</v>
      </c>
      <c r="E27" s="150" t="e">
        <f t="shared" ca="1" si="9"/>
        <v>#N/A</v>
      </c>
      <c r="F27" s="151" t="e">
        <f t="shared" ca="1" si="4"/>
        <v>#N/A</v>
      </c>
      <c r="G27" s="151" t="e">
        <f t="shared" ca="1" si="5"/>
        <v>#N/A</v>
      </c>
      <c r="H27" s="151" t="e">
        <f t="shared" ca="1" si="6"/>
        <v>#N/A</v>
      </c>
      <c r="I27" s="151" t="e">
        <f t="shared" ca="1" si="7"/>
        <v>#N/A</v>
      </c>
      <c r="J27" s="151" t="e">
        <f t="shared" ca="1" si="8"/>
        <v>#N/A</v>
      </c>
      <c r="K27" s="151" t="e">
        <f t="shared" ca="1" si="10"/>
        <v>#N/A</v>
      </c>
      <c r="L27" s="151" t="e">
        <f t="shared" ca="1" si="11"/>
        <v>#N/A</v>
      </c>
      <c r="M27" s="151" t="e">
        <f t="shared" ca="1" si="12"/>
        <v>#N/A</v>
      </c>
      <c r="N27" s="151" t="e">
        <f t="shared" ca="1" si="13"/>
        <v>#REF!</v>
      </c>
      <c r="O27" s="151" t="e">
        <f t="shared" ca="1" si="14"/>
        <v>#N/A</v>
      </c>
      <c r="Q27" s="330"/>
      <c r="R27" s="330"/>
      <c r="S27" s="330"/>
      <c r="T27" s="330"/>
      <c r="U27" s="330"/>
      <c r="V27" s="2">
        <v>22</v>
      </c>
      <c r="W27" s="2" t="str">
        <f>Ale!I27</f>
        <v/>
      </c>
      <c r="X27" s="2">
        <v>22</v>
      </c>
      <c r="Z27" s="2" t="str">
        <f t="shared" si="2"/>
        <v>'Lanç (22)'!$F$49</v>
      </c>
      <c r="AA27" s="2" t="str">
        <f t="shared" si="3"/>
        <v>'Lanç (22)'!$F$52</v>
      </c>
      <c r="AC27" s="2" t="e">
        <f t="shared" si="1"/>
        <v>#N/A</v>
      </c>
      <c r="AD27" s="2" t="e">
        <f t="shared" si="1"/>
        <v>#N/A</v>
      </c>
      <c r="AE27" s="2" t="e">
        <f t="shared" si="1"/>
        <v>#N/A</v>
      </c>
      <c r="AF27" s="2" t="e">
        <f t="shared" si="1"/>
        <v>#N/A</v>
      </c>
      <c r="AG27" s="2" t="e">
        <f t="shared" si="1"/>
        <v>#N/A</v>
      </c>
      <c r="AH27" s="2" t="e">
        <f t="shared" si="1"/>
        <v>#N/A</v>
      </c>
      <c r="AI27" s="2" t="e">
        <f t="shared" si="1"/>
        <v>#N/A</v>
      </c>
      <c r="AJ27" s="2" t="e">
        <f t="shared" si="1"/>
        <v>#N/A</v>
      </c>
    </row>
    <row r="28" spans="3:36" ht="15" customHeight="1" thickTop="1" thickBot="1" x14ac:dyDescent="0.25">
      <c r="C28" s="129">
        <f>'Lanç (30)'!E17</f>
        <v>10</v>
      </c>
      <c r="D28" s="114" t="str">
        <f>'Lanç (30)'!F17</f>
        <v>Ter</v>
      </c>
      <c r="E28" s="150" t="e">
        <f t="shared" ca="1" si="9"/>
        <v>#N/A</v>
      </c>
      <c r="F28" s="151" t="e">
        <f t="shared" ca="1" si="4"/>
        <v>#N/A</v>
      </c>
      <c r="G28" s="151" t="e">
        <f t="shared" ca="1" si="5"/>
        <v>#N/A</v>
      </c>
      <c r="H28" s="151" t="e">
        <f t="shared" ca="1" si="6"/>
        <v>#N/A</v>
      </c>
      <c r="I28" s="151" t="e">
        <f t="shared" ca="1" si="7"/>
        <v>#N/A</v>
      </c>
      <c r="J28" s="151" t="e">
        <f t="shared" ca="1" si="8"/>
        <v>#N/A</v>
      </c>
      <c r="K28" s="151" t="e">
        <f t="shared" ca="1" si="10"/>
        <v>#N/A</v>
      </c>
      <c r="L28" s="151" t="e">
        <f t="shared" ca="1" si="11"/>
        <v>#N/A</v>
      </c>
      <c r="M28" s="151" t="e">
        <f t="shared" ca="1" si="12"/>
        <v>#N/A</v>
      </c>
      <c r="N28" s="151" t="e">
        <f t="shared" ca="1" si="13"/>
        <v>#REF!</v>
      </c>
      <c r="O28" s="151" t="e">
        <f t="shared" ca="1" si="14"/>
        <v>#N/A</v>
      </c>
      <c r="Q28" s="330"/>
      <c r="R28" s="330"/>
      <c r="S28" s="330"/>
      <c r="T28" s="330"/>
      <c r="U28" s="330"/>
      <c r="V28" s="2">
        <v>23</v>
      </c>
      <c r="W28" s="2" t="str">
        <f>Ale!I28</f>
        <v/>
      </c>
      <c r="X28" s="2">
        <v>23</v>
      </c>
      <c r="Z28" s="2" t="str">
        <f t="shared" si="2"/>
        <v>'Lanç (23)'!$F$49</v>
      </c>
      <c r="AA28" s="2" t="str">
        <f t="shared" si="3"/>
        <v>'Lanç (23)'!$F$52</v>
      </c>
      <c r="AC28" s="2" t="e">
        <f t="shared" si="1"/>
        <v>#N/A</v>
      </c>
      <c r="AD28" s="2" t="e">
        <f t="shared" si="1"/>
        <v>#N/A</v>
      </c>
      <c r="AE28" s="2" t="e">
        <f t="shared" si="1"/>
        <v>#N/A</v>
      </c>
      <c r="AF28" s="2" t="e">
        <f t="shared" si="1"/>
        <v>#N/A</v>
      </c>
      <c r="AG28" s="2" t="e">
        <f t="shared" si="1"/>
        <v>#N/A</v>
      </c>
      <c r="AH28" s="2" t="e">
        <f t="shared" si="1"/>
        <v>#N/A</v>
      </c>
      <c r="AI28" s="2" t="e">
        <f t="shared" si="1"/>
        <v>#N/A</v>
      </c>
      <c r="AJ28" s="2" t="e">
        <f t="shared" si="1"/>
        <v>#N/A</v>
      </c>
    </row>
    <row r="29" spans="3:36" ht="15" customHeight="1" thickTop="1" thickBot="1" x14ac:dyDescent="0.25">
      <c r="C29" s="129">
        <f>'Lanç (30)'!E18</f>
        <v>11</v>
      </c>
      <c r="D29" s="114" t="str">
        <f>'Lanç (30)'!F18</f>
        <v>Qua</v>
      </c>
      <c r="E29" s="150" t="e">
        <f t="shared" ca="1" si="9"/>
        <v>#N/A</v>
      </c>
      <c r="F29" s="151" t="e">
        <f t="shared" ca="1" si="4"/>
        <v>#N/A</v>
      </c>
      <c r="G29" s="151" t="e">
        <f t="shared" ca="1" si="5"/>
        <v>#N/A</v>
      </c>
      <c r="H29" s="151" t="e">
        <f t="shared" ca="1" si="6"/>
        <v>#N/A</v>
      </c>
      <c r="I29" s="151" t="e">
        <f t="shared" ca="1" si="7"/>
        <v>#N/A</v>
      </c>
      <c r="J29" s="151" t="e">
        <f t="shared" ca="1" si="8"/>
        <v>#N/A</v>
      </c>
      <c r="K29" s="151" t="e">
        <f t="shared" ca="1" si="10"/>
        <v>#N/A</v>
      </c>
      <c r="L29" s="151" t="e">
        <f t="shared" ca="1" si="11"/>
        <v>#N/A</v>
      </c>
      <c r="M29" s="151" t="e">
        <f t="shared" ca="1" si="12"/>
        <v>#N/A</v>
      </c>
      <c r="N29" s="151" t="e">
        <f t="shared" ca="1" si="13"/>
        <v>#REF!</v>
      </c>
      <c r="O29" s="151" t="e">
        <f t="shared" ca="1" si="14"/>
        <v>#N/A</v>
      </c>
      <c r="Q29" s="330"/>
      <c r="R29" s="330"/>
      <c r="S29" s="330"/>
      <c r="T29" s="330"/>
      <c r="U29" s="330"/>
      <c r="V29" s="2">
        <v>24</v>
      </c>
      <c r="W29" s="2" t="str">
        <f>Ale!I29</f>
        <v/>
      </c>
      <c r="X29" s="2">
        <v>24</v>
      </c>
      <c r="Z29" s="2" t="str">
        <f t="shared" si="2"/>
        <v>'Lanç (24)'!$F$49</v>
      </c>
      <c r="AA29" s="2" t="str">
        <f t="shared" si="3"/>
        <v>'Lanç (24)'!$F$52</v>
      </c>
      <c r="AC29" s="2" t="e">
        <f t="shared" si="1"/>
        <v>#N/A</v>
      </c>
      <c r="AD29" s="2" t="e">
        <f t="shared" si="1"/>
        <v>#N/A</v>
      </c>
      <c r="AE29" s="2" t="e">
        <f t="shared" si="1"/>
        <v>#N/A</v>
      </c>
      <c r="AF29" s="2" t="e">
        <f t="shared" si="1"/>
        <v>#N/A</v>
      </c>
      <c r="AG29" s="2" t="e">
        <f t="shared" si="1"/>
        <v>#N/A</v>
      </c>
      <c r="AH29" s="2" t="e">
        <f t="shared" si="1"/>
        <v>#N/A</v>
      </c>
      <c r="AI29" s="2" t="e">
        <f t="shared" si="1"/>
        <v>#N/A</v>
      </c>
      <c r="AJ29" s="2" t="e">
        <f t="shared" si="1"/>
        <v>#N/A</v>
      </c>
    </row>
    <row r="30" spans="3:36" ht="15" customHeight="1" thickTop="1" thickBot="1" x14ac:dyDescent="0.25">
      <c r="C30" s="129">
        <f>'Lanç (30)'!E19</f>
        <v>12</v>
      </c>
      <c r="D30" s="114" t="str">
        <f>'Lanç (30)'!F19</f>
        <v>Qui</v>
      </c>
      <c r="E30" s="150" t="e">
        <f t="shared" ca="1" si="9"/>
        <v>#N/A</v>
      </c>
      <c r="F30" s="151" t="e">
        <f t="shared" ca="1" si="4"/>
        <v>#N/A</v>
      </c>
      <c r="G30" s="151" t="e">
        <f t="shared" ca="1" si="5"/>
        <v>#N/A</v>
      </c>
      <c r="H30" s="151" t="e">
        <f t="shared" ca="1" si="6"/>
        <v>#N/A</v>
      </c>
      <c r="I30" s="151" t="e">
        <f t="shared" ca="1" si="7"/>
        <v>#N/A</v>
      </c>
      <c r="J30" s="151" t="e">
        <f t="shared" ca="1" si="8"/>
        <v>#N/A</v>
      </c>
      <c r="K30" s="151" t="e">
        <f t="shared" ca="1" si="10"/>
        <v>#N/A</v>
      </c>
      <c r="L30" s="151" t="e">
        <f t="shared" ca="1" si="11"/>
        <v>#N/A</v>
      </c>
      <c r="M30" s="151" t="e">
        <f t="shared" ca="1" si="12"/>
        <v>#N/A</v>
      </c>
      <c r="N30" s="151" t="e">
        <f t="shared" ca="1" si="13"/>
        <v>#REF!</v>
      </c>
      <c r="O30" s="151" t="e">
        <f t="shared" ca="1" si="14"/>
        <v>#N/A</v>
      </c>
      <c r="Q30" s="330"/>
      <c r="R30" s="330"/>
      <c r="S30" s="330"/>
      <c r="T30" s="330"/>
      <c r="U30" s="330"/>
      <c r="V30" s="2">
        <v>25</v>
      </c>
      <c r="W30" s="2" t="str">
        <f>Ale!I30</f>
        <v/>
      </c>
      <c r="X30" s="2">
        <v>25</v>
      </c>
      <c r="Z30" s="2" t="str">
        <f t="shared" si="2"/>
        <v>'Lanç (25)'!$F$49</v>
      </c>
      <c r="AA30" s="2" t="str">
        <f t="shared" si="3"/>
        <v>'Lanç (25)'!$F$52</v>
      </c>
      <c r="AC30" s="2" t="e">
        <f t="shared" si="1"/>
        <v>#N/A</v>
      </c>
      <c r="AD30" s="2" t="e">
        <f t="shared" si="1"/>
        <v>#N/A</v>
      </c>
      <c r="AE30" s="2" t="e">
        <f t="shared" si="1"/>
        <v>#N/A</v>
      </c>
      <c r="AF30" s="2" t="e">
        <f t="shared" si="1"/>
        <v>#N/A</v>
      </c>
      <c r="AG30" s="2" t="e">
        <f t="shared" si="1"/>
        <v>#N/A</v>
      </c>
      <c r="AH30" s="2" t="e">
        <f t="shared" si="1"/>
        <v>#N/A</v>
      </c>
      <c r="AI30" s="2" t="e">
        <f t="shared" si="1"/>
        <v>#N/A</v>
      </c>
      <c r="AJ30" s="2" t="e">
        <f t="shared" si="1"/>
        <v>#N/A</v>
      </c>
    </row>
    <row r="31" spans="3:36" ht="15" customHeight="1" thickTop="1" thickBot="1" x14ac:dyDescent="0.25">
      <c r="C31" s="129">
        <f>'Lanç (30)'!E20</f>
        <v>13</v>
      </c>
      <c r="D31" s="114" t="str">
        <f>'Lanç (30)'!F20</f>
        <v>Sex</v>
      </c>
      <c r="E31" s="150" t="e">
        <f t="shared" ca="1" si="9"/>
        <v>#N/A</v>
      </c>
      <c r="F31" s="151" t="e">
        <f t="shared" ca="1" si="4"/>
        <v>#N/A</v>
      </c>
      <c r="G31" s="151" t="e">
        <f t="shared" ca="1" si="5"/>
        <v>#N/A</v>
      </c>
      <c r="H31" s="151" t="e">
        <f t="shared" ca="1" si="6"/>
        <v>#N/A</v>
      </c>
      <c r="I31" s="151" t="e">
        <f t="shared" ca="1" si="7"/>
        <v>#N/A</v>
      </c>
      <c r="J31" s="151" t="e">
        <f t="shared" ca="1" si="8"/>
        <v>#N/A</v>
      </c>
      <c r="K31" s="151" t="e">
        <f t="shared" ca="1" si="10"/>
        <v>#N/A</v>
      </c>
      <c r="L31" s="151" t="e">
        <f t="shared" ca="1" si="11"/>
        <v>#N/A</v>
      </c>
      <c r="M31" s="151" t="e">
        <f t="shared" ca="1" si="12"/>
        <v>#N/A</v>
      </c>
      <c r="N31" s="151" t="e">
        <f t="shared" ca="1" si="13"/>
        <v>#REF!</v>
      </c>
      <c r="O31" s="151" t="e">
        <f t="shared" ca="1" si="14"/>
        <v>#N/A</v>
      </c>
      <c r="Q31" s="330"/>
      <c r="R31" s="330"/>
      <c r="S31" s="330"/>
      <c r="T31" s="330"/>
      <c r="U31" s="330"/>
      <c r="V31" s="2">
        <v>26</v>
      </c>
      <c r="W31" s="2" t="str">
        <f>Ale!I31</f>
        <v/>
      </c>
      <c r="X31" s="2">
        <v>26</v>
      </c>
      <c r="Z31" s="2" t="str">
        <f t="shared" si="2"/>
        <v>'Lanç (26)'!$F$49</v>
      </c>
      <c r="AA31" s="2" t="str">
        <f t="shared" si="3"/>
        <v>'Lanç (26)'!$F$52</v>
      </c>
      <c r="AC31" s="2" t="e">
        <f t="shared" si="1"/>
        <v>#N/A</v>
      </c>
      <c r="AD31" s="2" t="e">
        <f t="shared" si="1"/>
        <v>#N/A</v>
      </c>
      <c r="AE31" s="2" t="e">
        <f t="shared" si="1"/>
        <v>#N/A</v>
      </c>
      <c r="AF31" s="2" t="e">
        <f t="shared" si="1"/>
        <v>#N/A</v>
      </c>
      <c r="AG31" s="2" t="e">
        <f t="shared" si="1"/>
        <v>#N/A</v>
      </c>
      <c r="AH31" s="2" t="e">
        <f t="shared" si="1"/>
        <v>#N/A</v>
      </c>
      <c r="AI31" s="2" t="e">
        <f t="shared" si="1"/>
        <v>#N/A</v>
      </c>
      <c r="AJ31" s="2" t="e">
        <f t="shared" si="1"/>
        <v>#N/A</v>
      </c>
    </row>
    <row r="32" spans="3:36" ht="15" customHeight="1" thickTop="1" thickBot="1" x14ac:dyDescent="0.25">
      <c r="C32" s="129">
        <f>'Lanç (30)'!E21</f>
        <v>14</v>
      </c>
      <c r="D32" s="114" t="str">
        <f>'Lanç (30)'!F21</f>
        <v>Sáb</v>
      </c>
      <c r="E32" s="150" t="e">
        <f t="shared" ca="1" si="9"/>
        <v>#N/A</v>
      </c>
      <c r="F32" s="151" t="e">
        <f t="shared" ca="1" si="4"/>
        <v>#N/A</v>
      </c>
      <c r="G32" s="151" t="e">
        <f t="shared" ca="1" si="5"/>
        <v>#N/A</v>
      </c>
      <c r="H32" s="151" t="e">
        <f t="shared" ca="1" si="6"/>
        <v>#N/A</v>
      </c>
      <c r="I32" s="151" t="e">
        <f t="shared" ca="1" si="7"/>
        <v>#N/A</v>
      </c>
      <c r="J32" s="151" t="e">
        <f t="shared" ca="1" si="8"/>
        <v>#N/A</v>
      </c>
      <c r="K32" s="151" t="e">
        <f t="shared" ca="1" si="10"/>
        <v>#N/A</v>
      </c>
      <c r="L32" s="151" t="e">
        <f t="shared" ca="1" si="11"/>
        <v>#N/A</v>
      </c>
      <c r="M32" s="151" t="e">
        <f t="shared" ca="1" si="12"/>
        <v>#N/A</v>
      </c>
      <c r="N32" s="151" t="e">
        <f t="shared" ca="1" si="13"/>
        <v>#REF!</v>
      </c>
      <c r="O32" s="151" t="e">
        <f t="shared" ca="1" si="14"/>
        <v>#N/A</v>
      </c>
      <c r="Q32" s="330"/>
      <c r="R32" s="330"/>
      <c r="S32" s="330"/>
      <c r="T32" s="330"/>
      <c r="U32" s="330"/>
      <c r="V32" s="2">
        <v>27</v>
      </c>
      <c r="W32" s="2" t="str">
        <f>Ale!I32</f>
        <v/>
      </c>
      <c r="X32" s="2">
        <v>27</v>
      </c>
      <c r="Z32" s="2" t="str">
        <f t="shared" si="2"/>
        <v>'Lanç (27)'!$F$49</v>
      </c>
      <c r="AA32" s="2" t="str">
        <f t="shared" si="3"/>
        <v>'Lanç (27)'!$F$52</v>
      </c>
      <c r="AC32" s="2" t="e">
        <f t="shared" si="1"/>
        <v>#N/A</v>
      </c>
      <c r="AD32" s="2" t="e">
        <f t="shared" si="1"/>
        <v>#N/A</v>
      </c>
      <c r="AE32" s="2" t="e">
        <f t="shared" si="1"/>
        <v>#N/A</v>
      </c>
      <c r="AF32" s="2" t="e">
        <f t="shared" si="1"/>
        <v>#N/A</v>
      </c>
      <c r="AG32" s="2" t="e">
        <f t="shared" si="1"/>
        <v>#N/A</v>
      </c>
      <c r="AH32" s="2" t="e">
        <f t="shared" si="1"/>
        <v>#N/A</v>
      </c>
      <c r="AI32" s="2" t="e">
        <f t="shared" si="1"/>
        <v>#N/A</v>
      </c>
      <c r="AJ32" s="2" t="e">
        <f t="shared" si="1"/>
        <v>#N/A</v>
      </c>
    </row>
    <row r="33" spans="3:36" ht="15" customHeight="1" thickTop="1" thickBot="1" x14ac:dyDescent="0.25">
      <c r="C33" s="129">
        <f>'Lanç (30)'!E22</f>
        <v>15</v>
      </c>
      <c r="D33" s="114" t="str">
        <f>'Lanç (30)'!F22</f>
        <v>Dom</v>
      </c>
      <c r="E33" s="150" t="e">
        <f t="shared" ca="1" si="9"/>
        <v>#N/A</v>
      </c>
      <c r="F33" s="151" t="e">
        <f t="shared" ca="1" si="4"/>
        <v>#N/A</v>
      </c>
      <c r="G33" s="151" t="e">
        <f t="shared" ca="1" si="5"/>
        <v>#N/A</v>
      </c>
      <c r="H33" s="151" t="e">
        <f t="shared" ca="1" si="6"/>
        <v>#N/A</v>
      </c>
      <c r="I33" s="151" t="e">
        <f t="shared" ca="1" si="7"/>
        <v>#N/A</v>
      </c>
      <c r="J33" s="151" t="e">
        <f t="shared" ca="1" si="8"/>
        <v>#N/A</v>
      </c>
      <c r="K33" s="151" t="e">
        <f t="shared" ca="1" si="10"/>
        <v>#N/A</v>
      </c>
      <c r="L33" s="151" t="e">
        <f t="shared" ca="1" si="11"/>
        <v>#N/A</v>
      </c>
      <c r="M33" s="151" t="e">
        <f t="shared" ca="1" si="12"/>
        <v>#N/A</v>
      </c>
      <c r="N33" s="151" t="e">
        <f t="shared" ca="1" si="13"/>
        <v>#REF!</v>
      </c>
      <c r="O33" s="151" t="e">
        <f t="shared" ca="1" si="14"/>
        <v>#N/A</v>
      </c>
      <c r="Q33" s="330"/>
      <c r="R33" s="330"/>
      <c r="S33" s="330"/>
      <c r="T33" s="330"/>
      <c r="U33" s="330"/>
      <c r="V33" s="2">
        <v>28</v>
      </c>
      <c r="W33" s="2" t="str">
        <f>Ale!I33</f>
        <v/>
      </c>
      <c r="X33" s="2">
        <v>28</v>
      </c>
      <c r="Z33" s="2" t="str">
        <f t="shared" si="2"/>
        <v>'Lanç (28)'!$F$49</v>
      </c>
      <c r="AA33" s="2" t="str">
        <f t="shared" si="3"/>
        <v>'Lanç (28)'!$F$52</v>
      </c>
      <c r="AC33" s="2" t="e">
        <f t="shared" si="1"/>
        <v>#N/A</v>
      </c>
      <c r="AD33" s="2" t="e">
        <f t="shared" si="1"/>
        <v>#N/A</v>
      </c>
      <c r="AE33" s="2" t="e">
        <f t="shared" si="1"/>
        <v>#N/A</v>
      </c>
      <c r="AF33" s="2" t="e">
        <f t="shared" si="1"/>
        <v>#N/A</v>
      </c>
      <c r="AG33" s="2" t="e">
        <f t="shared" si="1"/>
        <v>#N/A</v>
      </c>
      <c r="AH33" s="2" t="e">
        <f t="shared" si="1"/>
        <v>#N/A</v>
      </c>
      <c r="AI33" s="2" t="e">
        <f t="shared" si="1"/>
        <v>#N/A</v>
      </c>
      <c r="AJ33" s="2" t="e">
        <f t="shared" si="1"/>
        <v>#N/A</v>
      </c>
    </row>
    <row r="34" spans="3:36" ht="15" customHeight="1" thickTop="1" thickBot="1" x14ac:dyDescent="0.25">
      <c r="C34" s="129">
        <f>'Lanç (30)'!E23</f>
        <v>16</v>
      </c>
      <c r="D34" s="114" t="str">
        <f>'Lanç (30)'!F23</f>
        <v>Seg</v>
      </c>
      <c r="E34" s="150" t="e">
        <f t="shared" ca="1" si="9"/>
        <v>#N/A</v>
      </c>
      <c r="F34" s="151" t="e">
        <f t="shared" ca="1" si="4"/>
        <v>#N/A</v>
      </c>
      <c r="G34" s="151" t="e">
        <f t="shared" ca="1" si="5"/>
        <v>#N/A</v>
      </c>
      <c r="H34" s="151" t="e">
        <f t="shared" ca="1" si="6"/>
        <v>#N/A</v>
      </c>
      <c r="I34" s="151" t="e">
        <f t="shared" ca="1" si="7"/>
        <v>#N/A</v>
      </c>
      <c r="J34" s="151" t="e">
        <f t="shared" ca="1" si="8"/>
        <v>#N/A</v>
      </c>
      <c r="K34" s="151" t="e">
        <f t="shared" ca="1" si="10"/>
        <v>#N/A</v>
      </c>
      <c r="L34" s="151" t="e">
        <f t="shared" ca="1" si="11"/>
        <v>#N/A</v>
      </c>
      <c r="M34" s="151" t="e">
        <f t="shared" ca="1" si="12"/>
        <v>#N/A</v>
      </c>
      <c r="N34" s="151" t="e">
        <f t="shared" ca="1" si="13"/>
        <v>#REF!</v>
      </c>
      <c r="O34" s="151" t="e">
        <f t="shared" ca="1" si="14"/>
        <v>#N/A</v>
      </c>
      <c r="Q34" s="330"/>
      <c r="R34" s="330"/>
      <c r="S34" s="330"/>
      <c r="T34" s="330"/>
      <c r="U34" s="330"/>
      <c r="V34" s="2">
        <v>29</v>
      </c>
      <c r="W34" s="2" t="str">
        <f>Ale!I34</f>
        <v/>
      </c>
      <c r="X34" s="2">
        <v>29</v>
      </c>
      <c r="Z34" s="2" t="str">
        <f t="shared" si="2"/>
        <v>'Lanç (29)'!$F$49</v>
      </c>
      <c r="AA34" s="2" t="str">
        <f t="shared" si="3"/>
        <v>'Lanç (29)'!$F$52</v>
      </c>
      <c r="AC34" s="2" t="e">
        <f t="shared" si="1"/>
        <v>#N/A</v>
      </c>
      <c r="AD34" s="2" t="e">
        <f t="shared" si="1"/>
        <v>#N/A</v>
      </c>
      <c r="AE34" s="2" t="e">
        <f t="shared" si="1"/>
        <v>#N/A</v>
      </c>
      <c r="AF34" s="2" t="e">
        <f t="shared" si="1"/>
        <v>#N/A</v>
      </c>
      <c r="AG34" s="2" t="e">
        <f t="shared" si="1"/>
        <v>#N/A</v>
      </c>
      <c r="AH34" s="2" t="e">
        <f t="shared" si="1"/>
        <v>#N/A</v>
      </c>
      <c r="AI34" s="2" t="e">
        <f t="shared" si="1"/>
        <v>#N/A</v>
      </c>
      <c r="AJ34" s="2" t="e">
        <f t="shared" si="1"/>
        <v>#N/A</v>
      </c>
    </row>
    <row r="35" spans="3:36" ht="15" customHeight="1" thickTop="1" thickBot="1" x14ac:dyDescent="0.25">
      <c r="C35" s="129">
        <f>'Lanç (30)'!E24</f>
        <v>17</v>
      </c>
      <c r="D35" s="114" t="str">
        <f>'Lanç (30)'!F24</f>
        <v>Ter</v>
      </c>
      <c r="E35" s="150" t="e">
        <f t="shared" ca="1" si="9"/>
        <v>#N/A</v>
      </c>
      <c r="F35" s="151" t="e">
        <f t="shared" ref="F35:F49" ca="1" si="15">IF($F$8=0,"",INDIRECT(AD22))</f>
        <v>#N/A</v>
      </c>
      <c r="G35" s="151" t="e">
        <f t="shared" ref="G35:G49" ca="1" si="16">IF($F$8=0,"",INDIRECT(AE22))</f>
        <v>#N/A</v>
      </c>
      <c r="H35" s="151" t="e">
        <f t="shared" ref="H35:H49" ca="1" si="17">IF($F$8=0,"",INDIRECT(AF22))</f>
        <v>#N/A</v>
      </c>
      <c r="I35" s="151" t="e">
        <f t="shared" ref="I35:I49" ca="1" si="18">IF($F$8=0,"",INDIRECT(AG22))</f>
        <v>#N/A</v>
      </c>
      <c r="J35" s="151" t="e">
        <f t="shared" ref="J35:J49" ca="1" si="19">IF($F$8=0,"",INDIRECT(AH22))</f>
        <v>#N/A</v>
      </c>
      <c r="K35" s="151" t="e">
        <f t="shared" ca="1" si="10"/>
        <v>#N/A</v>
      </c>
      <c r="L35" s="151" t="e">
        <f t="shared" ca="1" si="11"/>
        <v>#N/A</v>
      </c>
      <c r="M35" s="151" t="e">
        <f t="shared" ca="1" si="12"/>
        <v>#N/A</v>
      </c>
      <c r="N35" s="151" t="e">
        <f t="shared" ca="1" si="13"/>
        <v>#REF!</v>
      </c>
      <c r="O35" s="151" t="e">
        <f t="shared" ca="1" si="14"/>
        <v>#N/A</v>
      </c>
      <c r="Q35" s="330"/>
      <c r="R35" s="330"/>
      <c r="S35" s="330"/>
      <c r="T35" s="330"/>
      <c r="U35" s="330"/>
      <c r="V35" s="2">
        <v>30</v>
      </c>
      <c r="W35" s="2" t="str">
        <f>Ale!I35</f>
        <v/>
      </c>
      <c r="X35" s="2">
        <v>30</v>
      </c>
      <c r="Z35" s="2" t="str">
        <f t="shared" si="2"/>
        <v>'Lanç (30)'!$F$49</v>
      </c>
      <c r="AA35" s="2" t="str">
        <f t="shared" si="3"/>
        <v>'Lanç (30)'!$F$52</v>
      </c>
      <c r="AC35" s="2" t="e">
        <f t="shared" si="1"/>
        <v>#N/A</v>
      </c>
      <c r="AD35" s="2" t="e">
        <f t="shared" si="1"/>
        <v>#N/A</v>
      </c>
      <c r="AE35" s="2" t="e">
        <f t="shared" si="1"/>
        <v>#N/A</v>
      </c>
      <c r="AF35" s="2" t="e">
        <f t="shared" si="1"/>
        <v>#N/A</v>
      </c>
      <c r="AG35" s="2" t="e">
        <f t="shared" si="1"/>
        <v>#N/A</v>
      </c>
      <c r="AH35" s="2" t="e">
        <f t="shared" si="1"/>
        <v>#N/A</v>
      </c>
      <c r="AI35" s="2" t="e">
        <f t="shared" si="1"/>
        <v>#N/A</v>
      </c>
      <c r="AJ35" s="2" t="e">
        <f t="shared" si="1"/>
        <v>#N/A</v>
      </c>
    </row>
    <row r="36" spans="3:36" ht="15" customHeight="1" thickTop="1" thickBot="1" x14ac:dyDescent="0.25">
      <c r="C36" s="129">
        <f>'Lanç (30)'!E25</f>
        <v>18</v>
      </c>
      <c r="D36" s="114" t="str">
        <f>'Lanç (30)'!F25</f>
        <v>Qua</v>
      </c>
      <c r="E36" s="150" t="e">
        <f t="shared" ca="1" si="9"/>
        <v>#N/A</v>
      </c>
      <c r="F36" s="151" t="e">
        <f t="shared" ca="1" si="15"/>
        <v>#N/A</v>
      </c>
      <c r="G36" s="151" t="e">
        <f t="shared" ca="1" si="16"/>
        <v>#N/A</v>
      </c>
      <c r="H36" s="151" t="e">
        <f t="shared" ca="1" si="17"/>
        <v>#N/A</v>
      </c>
      <c r="I36" s="151" t="e">
        <f t="shared" ca="1" si="18"/>
        <v>#N/A</v>
      </c>
      <c r="J36" s="151" t="e">
        <f t="shared" ca="1" si="19"/>
        <v>#N/A</v>
      </c>
      <c r="K36" s="151" t="e">
        <f t="shared" ca="1" si="10"/>
        <v>#N/A</v>
      </c>
      <c r="L36" s="151" t="e">
        <f t="shared" ca="1" si="11"/>
        <v>#N/A</v>
      </c>
      <c r="M36" s="151" t="e">
        <f t="shared" ca="1" si="12"/>
        <v>#N/A</v>
      </c>
      <c r="N36" s="151" t="e">
        <f t="shared" ca="1" si="13"/>
        <v>#REF!</v>
      </c>
      <c r="O36" s="151" t="e">
        <f t="shared" ca="1" si="14"/>
        <v>#N/A</v>
      </c>
      <c r="Q36" s="330"/>
      <c r="R36" s="330"/>
      <c r="S36" s="330"/>
      <c r="T36" s="330"/>
      <c r="U36" s="330"/>
      <c r="V36" s="2">
        <v>31</v>
      </c>
      <c r="AC36" s="2" t="e">
        <f t="shared" si="1"/>
        <v>#N/A</v>
      </c>
      <c r="AD36" s="2" t="e">
        <f t="shared" si="1"/>
        <v>#N/A</v>
      </c>
      <c r="AE36" s="2" t="e">
        <f t="shared" si="1"/>
        <v>#N/A</v>
      </c>
      <c r="AF36" s="2" t="e">
        <f t="shared" si="1"/>
        <v>#N/A</v>
      </c>
      <c r="AG36" s="2" t="e">
        <f t="shared" si="1"/>
        <v>#N/A</v>
      </c>
      <c r="AH36" s="2" t="e">
        <f t="shared" si="1"/>
        <v>#N/A</v>
      </c>
      <c r="AI36" s="2" t="e">
        <f t="shared" si="1"/>
        <v>#N/A</v>
      </c>
      <c r="AJ36" s="2" t="e">
        <f t="shared" si="1"/>
        <v>#N/A</v>
      </c>
    </row>
    <row r="37" spans="3:36" ht="15" customHeight="1" thickTop="1" thickBot="1" x14ac:dyDescent="0.25">
      <c r="C37" s="129">
        <f>'Lanç (30)'!E26</f>
        <v>19</v>
      </c>
      <c r="D37" s="114" t="str">
        <f>'Lanç (30)'!F26</f>
        <v>Qui</v>
      </c>
      <c r="E37" s="150" t="e">
        <f t="shared" ca="1" si="9"/>
        <v>#N/A</v>
      </c>
      <c r="F37" s="151" t="e">
        <f t="shared" ca="1" si="15"/>
        <v>#N/A</v>
      </c>
      <c r="G37" s="151" t="e">
        <f t="shared" ca="1" si="16"/>
        <v>#N/A</v>
      </c>
      <c r="H37" s="151" t="e">
        <f t="shared" ca="1" si="17"/>
        <v>#N/A</v>
      </c>
      <c r="I37" s="151" t="e">
        <f t="shared" ca="1" si="18"/>
        <v>#N/A</v>
      </c>
      <c r="J37" s="151" t="e">
        <f t="shared" ca="1" si="19"/>
        <v>#N/A</v>
      </c>
      <c r="K37" s="151" t="e">
        <f t="shared" ca="1" si="10"/>
        <v>#N/A</v>
      </c>
      <c r="L37" s="151" t="e">
        <f t="shared" ca="1" si="11"/>
        <v>#N/A</v>
      </c>
      <c r="M37" s="151" t="e">
        <f t="shared" ca="1" si="12"/>
        <v>#N/A</v>
      </c>
      <c r="N37" s="151" t="e">
        <f t="shared" ca="1" si="13"/>
        <v>#REF!</v>
      </c>
      <c r="O37" s="151" t="e">
        <f t="shared" ca="1" si="14"/>
        <v>#N/A</v>
      </c>
      <c r="Q37" s="330"/>
      <c r="R37" s="330"/>
      <c r="S37" s="330"/>
      <c r="T37" s="330"/>
      <c r="U37" s="330"/>
    </row>
    <row r="38" spans="3:36" ht="15" customHeight="1" thickTop="1" thickBot="1" x14ac:dyDescent="0.25">
      <c r="C38" s="129">
        <f>'Lanç (30)'!E27</f>
        <v>20</v>
      </c>
      <c r="D38" s="114" t="str">
        <f>'Lanç (30)'!F27</f>
        <v>Sex</v>
      </c>
      <c r="E38" s="150" t="e">
        <f t="shared" ca="1" si="9"/>
        <v>#N/A</v>
      </c>
      <c r="F38" s="151" t="e">
        <f t="shared" ca="1" si="15"/>
        <v>#N/A</v>
      </c>
      <c r="G38" s="151" t="e">
        <f t="shared" ca="1" si="16"/>
        <v>#N/A</v>
      </c>
      <c r="H38" s="151" t="e">
        <f t="shared" ca="1" si="17"/>
        <v>#N/A</v>
      </c>
      <c r="I38" s="151" t="e">
        <f t="shared" ca="1" si="18"/>
        <v>#N/A</v>
      </c>
      <c r="J38" s="151" t="e">
        <f t="shared" ca="1" si="19"/>
        <v>#N/A</v>
      </c>
      <c r="K38" s="151" t="e">
        <f t="shared" ca="1" si="10"/>
        <v>#N/A</v>
      </c>
      <c r="L38" s="151" t="e">
        <f t="shared" ca="1" si="11"/>
        <v>#N/A</v>
      </c>
      <c r="M38" s="151" t="e">
        <f t="shared" ca="1" si="12"/>
        <v>#N/A</v>
      </c>
      <c r="N38" s="151" t="e">
        <f t="shared" ca="1" si="13"/>
        <v>#REF!</v>
      </c>
      <c r="O38" s="151" t="e">
        <f t="shared" ca="1" si="14"/>
        <v>#N/A</v>
      </c>
      <c r="Q38" s="330"/>
      <c r="R38" s="330"/>
      <c r="S38" s="330"/>
      <c r="T38" s="330"/>
      <c r="U38" s="330"/>
    </row>
    <row r="39" spans="3:36" ht="15" customHeight="1" thickTop="1" thickBot="1" x14ac:dyDescent="0.25">
      <c r="C39" s="129">
        <f>'Lanç (30)'!E28</f>
        <v>21</v>
      </c>
      <c r="D39" s="114" t="str">
        <f>'Lanç (30)'!F28</f>
        <v>Sáb</v>
      </c>
      <c r="E39" s="150" t="e">
        <f t="shared" ca="1" si="9"/>
        <v>#N/A</v>
      </c>
      <c r="F39" s="151" t="e">
        <f t="shared" ca="1" si="15"/>
        <v>#N/A</v>
      </c>
      <c r="G39" s="151" t="e">
        <f t="shared" ca="1" si="16"/>
        <v>#N/A</v>
      </c>
      <c r="H39" s="151" t="e">
        <f t="shared" ca="1" si="17"/>
        <v>#N/A</v>
      </c>
      <c r="I39" s="151" t="e">
        <f t="shared" ca="1" si="18"/>
        <v>#N/A</v>
      </c>
      <c r="J39" s="151" t="e">
        <f t="shared" ca="1" si="19"/>
        <v>#N/A</v>
      </c>
      <c r="K39" s="151" t="e">
        <f t="shared" ca="1" si="10"/>
        <v>#N/A</v>
      </c>
      <c r="L39" s="151" t="e">
        <f t="shared" ca="1" si="11"/>
        <v>#N/A</v>
      </c>
      <c r="M39" s="151" t="e">
        <f t="shared" ca="1" si="12"/>
        <v>#N/A</v>
      </c>
      <c r="N39" s="151" t="e">
        <f t="shared" ca="1" si="13"/>
        <v>#REF!</v>
      </c>
      <c r="O39" s="151" t="e">
        <f t="shared" ca="1" si="14"/>
        <v>#N/A</v>
      </c>
      <c r="Q39" s="330"/>
      <c r="R39" s="330"/>
      <c r="S39" s="330"/>
      <c r="T39" s="330"/>
      <c r="U39" s="330"/>
    </row>
    <row r="40" spans="3:36" ht="15" customHeight="1" thickTop="1" thickBot="1" x14ac:dyDescent="0.25">
      <c r="C40" s="129">
        <f>'Lanç (30)'!E29</f>
        <v>22</v>
      </c>
      <c r="D40" s="114" t="str">
        <f>'Lanç (30)'!F29</f>
        <v>Dom</v>
      </c>
      <c r="E40" s="150" t="e">
        <f t="shared" ca="1" si="9"/>
        <v>#N/A</v>
      </c>
      <c r="F40" s="151" t="e">
        <f t="shared" ca="1" si="15"/>
        <v>#N/A</v>
      </c>
      <c r="G40" s="151" t="e">
        <f t="shared" ca="1" si="16"/>
        <v>#N/A</v>
      </c>
      <c r="H40" s="151" t="e">
        <f t="shared" ca="1" si="17"/>
        <v>#N/A</v>
      </c>
      <c r="I40" s="151" t="e">
        <f t="shared" ca="1" si="18"/>
        <v>#N/A</v>
      </c>
      <c r="J40" s="151" t="e">
        <f t="shared" ca="1" si="19"/>
        <v>#N/A</v>
      </c>
      <c r="K40" s="151" t="e">
        <f t="shared" ca="1" si="10"/>
        <v>#N/A</v>
      </c>
      <c r="L40" s="151" t="e">
        <f t="shared" ca="1" si="11"/>
        <v>#N/A</v>
      </c>
      <c r="M40" s="151" t="e">
        <f t="shared" ca="1" si="12"/>
        <v>#N/A</v>
      </c>
      <c r="N40" s="151" t="e">
        <f t="shared" ca="1" si="13"/>
        <v>#REF!</v>
      </c>
      <c r="O40" s="151" t="e">
        <f t="shared" ca="1" si="14"/>
        <v>#N/A</v>
      </c>
      <c r="Q40" s="330"/>
      <c r="R40" s="330"/>
      <c r="S40" s="330"/>
      <c r="T40" s="330"/>
      <c r="U40" s="330"/>
    </row>
    <row r="41" spans="3:36" ht="15" customHeight="1" thickTop="1" thickBot="1" x14ac:dyDescent="0.25">
      <c r="C41" s="129">
        <f>'Lanç (30)'!E30</f>
        <v>23</v>
      </c>
      <c r="D41" s="114" t="str">
        <f>'Lanç (30)'!F30</f>
        <v>Seg</v>
      </c>
      <c r="E41" s="150" t="e">
        <f t="shared" ca="1" si="9"/>
        <v>#N/A</v>
      </c>
      <c r="F41" s="151" t="e">
        <f t="shared" ca="1" si="15"/>
        <v>#N/A</v>
      </c>
      <c r="G41" s="151" t="e">
        <f t="shared" ca="1" si="16"/>
        <v>#N/A</v>
      </c>
      <c r="H41" s="151" t="e">
        <f t="shared" ca="1" si="17"/>
        <v>#N/A</v>
      </c>
      <c r="I41" s="151" t="e">
        <f t="shared" ca="1" si="18"/>
        <v>#N/A</v>
      </c>
      <c r="J41" s="151" t="e">
        <f t="shared" ca="1" si="19"/>
        <v>#N/A</v>
      </c>
      <c r="K41" s="151" t="e">
        <f t="shared" ca="1" si="10"/>
        <v>#N/A</v>
      </c>
      <c r="L41" s="151" t="e">
        <f t="shared" ca="1" si="11"/>
        <v>#N/A</v>
      </c>
      <c r="M41" s="151" t="e">
        <f t="shared" ca="1" si="12"/>
        <v>#N/A</v>
      </c>
      <c r="N41" s="151" t="e">
        <f t="shared" ca="1" si="13"/>
        <v>#REF!</v>
      </c>
      <c r="O41" s="151" t="e">
        <f t="shared" ca="1" si="14"/>
        <v>#N/A</v>
      </c>
      <c r="Q41" s="330"/>
      <c r="R41" s="330"/>
      <c r="S41" s="330"/>
      <c r="T41" s="330"/>
      <c r="U41" s="330"/>
    </row>
    <row r="42" spans="3:36" ht="15" customHeight="1" thickTop="1" thickBot="1" x14ac:dyDescent="0.25">
      <c r="C42" s="129">
        <f>'Lanç (30)'!E31</f>
        <v>24</v>
      </c>
      <c r="D42" s="114" t="str">
        <f>'Lanç (30)'!F31</f>
        <v>Ter</v>
      </c>
      <c r="E42" s="150" t="e">
        <f t="shared" ca="1" si="9"/>
        <v>#N/A</v>
      </c>
      <c r="F42" s="151" t="e">
        <f t="shared" ca="1" si="15"/>
        <v>#N/A</v>
      </c>
      <c r="G42" s="151" t="e">
        <f t="shared" ca="1" si="16"/>
        <v>#N/A</v>
      </c>
      <c r="H42" s="151" t="e">
        <f t="shared" ca="1" si="17"/>
        <v>#N/A</v>
      </c>
      <c r="I42" s="151" t="e">
        <f t="shared" ca="1" si="18"/>
        <v>#N/A</v>
      </c>
      <c r="J42" s="151" t="e">
        <f t="shared" ca="1" si="19"/>
        <v>#N/A</v>
      </c>
      <c r="K42" s="151" t="e">
        <f t="shared" ca="1" si="10"/>
        <v>#N/A</v>
      </c>
      <c r="L42" s="151" t="e">
        <f t="shared" ca="1" si="11"/>
        <v>#N/A</v>
      </c>
      <c r="M42" s="151" t="e">
        <f t="shared" ca="1" si="12"/>
        <v>#N/A</v>
      </c>
      <c r="N42" s="151" t="e">
        <f t="shared" ca="1" si="13"/>
        <v>#REF!</v>
      </c>
      <c r="O42" s="151" t="e">
        <f t="shared" ca="1" si="14"/>
        <v>#N/A</v>
      </c>
      <c r="Q42" s="330"/>
      <c r="R42" s="330"/>
      <c r="S42" s="330"/>
      <c r="T42" s="330"/>
      <c r="U42" s="330"/>
    </row>
    <row r="43" spans="3:36" ht="15" customHeight="1" thickTop="1" thickBot="1" x14ac:dyDescent="0.25">
      <c r="C43" s="129">
        <f>'Lanç (30)'!E32</f>
        <v>25</v>
      </c>
      <c r="D43" s="114" t="str">
        <f>'Lanç (30)'!F32</f>
        <v>Qua</v>
      </c>
      <c r="E43" s="150" t="e">
        <f t="shared" ca="1" si="9"/>
        <v>#N/A</v>
      </c>
      <c r="F43" s="151" t="e">
        <f t="shared" ca="1" si="15"/>
        <v>#N/A</v>
      </c>
      <c r="G43" s="151" t="e">
        <f t="shared" ca="1" si="16"/>
        <v>#N/A</v>
      </c>
      <c r="H43" s="151" t="e">
        <f t="shared" ca="1" si="17"/>
        <v>#N/A</v>
      </c>
      <c r="I43" s="151" t="e">
        <f t="shared" ca="1" si="18"/>
        <v>#N/A</v>
      </c>
      <c r="J43" s="151" t="e">
        <f t="shared" ca="1" si="19"/>
        <v>#N/A</v>
      </c>
      <c r="K43" s="151" t="e">
        <f t="shared" ca="1" si="10"/>
        <v>#N/A</v>
      </c>
      <c r="L43" s="151" t="e">
        <f t="shared" ca="1" si="11"/>
        <v>#N/A</v>
      </c>
      <c r="M43" s="151" t="e">
        <f t="shared" ca="1" si="12"/>
        <v>#N/A</v>
      </c>
      <c r="N43" s="151" t="e">
        <f t="shared" ca="1" si="13"/>
        <v>#REF!</v>
      </c>
      <c r="O43" s="151" t="e">
        <f t="shared" ca="1" si="14"/>
        <v>#N/A</v>
      </c>
      <c r="Q43" s="330"/>
      <c r="R43" s="330"/>
      <c r="S43" s="330"/>
      <c r="T43" s="330"/>
      <c r="U43" s="330"/>
    </row>
    <row r="44" spans="3:36" ht="15" customHeight="1" thickTop="1" thickBot="1" x14ac:dyDescent="0.25">
      <c r="C44" s="129">
        <f>'Lanç (30)'!E33</f>
        <v>26</v>
      </c>
      <c r="D44" s="114" t="str">
        <f>'Lanç (30)'!F33</f>
        <v>Qui</v>
      </c>
      <c r="E44" s="150" t="e">
        <f t="shared" ca="1" si="9"/>
        <v>#N/A</v>
      </c>
      <c r="F44" s="151" t="e">
        <f t="shared" ca="1" si="15"/>
        <v>#N/A</v>
      </c>
      <c r="G44" s="151" t="e">
        <f t="shared" ca="1" si="16"/>
        <v>#N/A</v>
      </c>
      <c r="H44" s="151" t="e">
        <f t="shared" ca="1" si="17"/>
        <v>#N/A</v>
      </c>
      <c r="I44" s="151" t="e">
        <f t="shared" ca="1" si="18"/>
        <v>#N/A</v>
      </c>
      <c r="J44" s="151" t="e">
        <f t="shared" ca="1" si="19"/>
        <v>#N/A</v>
      </c>
      <c r="K44" s="151" t="e">
        <f t="shared" ca="1" si="10"/>
        <v>#N/A</v>
      </c>
      <c r="L44" s="151" t="e">
        <f t="shared" ca="1" si="11"/>
        <v>#N/A</v>
      </c>
      <c r="M44" s="151" t="e">
        <f t="shared" ca="1" si="12"/>
        <v>#N/A</v>
      </c>
      <c r="N44" s="151" t="e">
        <f t="shared" ca="1" si="13"/>
        <v>#REF!</v>
      </c>
      <c r="O44" s="151" t="e">
        <f t="shared" ca="1" si="14"/>
        <v>#N/A</v>
      </c>
      <c r="Q44" s="330"/>
      <c r="R44" s="330"/>
      <c r="S44" s="330"/>
      <c r="T44" s="330"/>
      <c r="U44" s="330"/>
    </row>
    <row r="45" spans="3:36" ht="15" customHeight="1" thickTop="1" thickBot="1" x14ac:dyDescent="0.25">
      <c r="C45" s="129">
        <f>'Lanç (30)'!E34</f>
        <v>27</v>
      </c>
      <c r="D45" s="114" t="str">
        <f>'Lanç (30)'!F34</f>
        <v>Sex</v>
      </c>
      <c r="E45" s="150" t="e">
        <f t="shared" ca="1" si="9"/>
        <v>#N/A</v>
      </c>
      <c r="F45" s="151" t="e">
        <f t="shared" ca="1" si="15"/>
        <v>#N/A</v>
      </c>
      <c r="G45" s="151" t="e">
        <f t="shared" ca="1" si="16"/>
        <v>#N/A</v>
      </c>
      <c r="H45" s="151" t="e">
        <f t="shared" ca="1" si="17"/>
        <v>#N/A</v>
      </c>
      <c r="I45" s="151" t="e">
        <f t="shared" ca="1" si="18"/>
        <v>#N/A</v>
      </c>
      <c r="J45" s="151" t="e">
        <f t="shared" ca="1" si="19"/>
        <v>#N/A</v>
      </c>
      <c r="K45" s="151" t="e">
        <f t="shared" ca="1" si="10"/>
        <v>#N/A</v>
      </c>
      <c r="L45" s="151" t="e">
        <f t="shared" ca="1" si="11"/>
        <v>#N/A</v>
      </c>
      <c r="M45" s="151" t="e">
        <f t="shared" ca="1" si="12"/>
        <v>#N/A</v>
      </c>
      <c r="N45" s="151" t="e">
        <f t="shared" ca="1" si="13"/>
        <v>#REF!</v>
      </c>
      <c r="O45" s="151" t="e">
        <f t="shared" ca="1" si="14"/>
        <v>#N/A</v>
      </c>
      <c r="Q45" s="330"/>
      <c r="R45" s="330"/>
      <c r="S45" s="330"/>
      <c r="T45" s="330"/>
      <c r="U45" s="330"/>
    </row>
    <row r="46" spans="3:36" ht="15" customHeight="1" thickTop="1" thickBot="1" x14ac:dyDescent="0.25">
      <c r="C46" s="129">
        <f>'Lanç (30)'!E35</f>
        <v>28</v>
      </c>
      <c r="D46" s="114" t="str">
        <f>'Lanç (30)'!F35</f>
        <v>Sáb</v>
      </c>
      <c r="E46" s="150" t="e">
        <f t="shared" ca="1" si="9"/>
        <v>#N/A</v>
      </c>
      <c r="F46" s="151" t="e">
        <f t="shared" ca="1" si="15"/>
        <v>#N/A</v>
      </c>
      <c r="G46" s="151" t="e">
        <f t="shared" ca="1" si="16"/>
        <v>#N/A</v>
      </c>
      <c r="H46" s="151" t="e">
        <f t="shared" ca="1" si="17"/>
        <v>#N/A</v>
      </c>
      <c r="I46" s="151" t="e">
        <f t="shared" ca="1" si="18"/>
        <v>#N/A</v>
      </c>
      <c r="J46" s="151" t="e">
        <f t="shared" ca="1" si="19"/>
        <v>#N/A</v>
      </c>
      <c r="K46" s="151" t="e">
        <f t="shared" ca="1" si="10"/>
        <v>#N/A</v>
      </c>
      <c r="L46" s="151" t="e">
        <f t="shared" ca="1" si="11"/>
        <v>#N/A</v>
      </c>
      <c r="M46" s="151" t="e">
        <f t="shared" ca="1" si="12"/>
        <v>#N/A</v>
      </c>
      <c r="N46" s="151" t="e">
        <f t="shared" ca="1" si="13"/>
        <v>#REF!</v>
      </c>
      <c r="O46" s="151" t="e">
        <f t="shared" ca="1" si="14"/>
        <v>#N/A</v>
      </c>
      <c r="Q46" s="330"/>
      <c r="R46" s="330"/>
      <c r="S46" s="330"/>
      <c r="T46" s="330"/>
      <c r="U46" s="330"/>
    </row>
    <row r="47" spans="3:36" ht="15" customHeight="1" thickTop="1" x14ac:dyDescent="0.2">
      <c r="C47" s="73">
        <f>'Lanç (30)'!E36</f>
        <v>29</v>
      </c>
      <c r="D47" s="73" t="str">
        <f>'Lanç (30)'!F36</f>
        <v>Dom</v>
      </c>
      <c r="E47" s="150" t="e">
        <f ca="1">IF($F$8=0,"",IF(INDIRECT(AC34)=0,"",INDIRECT(AC34)))</f>
        <v>#N/A</v>
      </c>
      <c r="F47" s="151" t="e">
        <f t="shared" ref="F47:J48" ca="1" si="20">IF($F$8=0,"",INDIRECT(AD34))</f>
        <v>#N/A</v>
      </c>
      <c r="G47" s="151" t="e">
        <f t="shared" ca="1" si="20"/>
        <v>#N/A</v>
      </c>
      <c r="H47" s="151" t="e">
        <f t="shared" ca="1" si="20"/>
        <v>#N/A</v>
      </c>
      <c r="I47" s="151" t="e">
        <f t="shared" ca="1" si="20"/>
        <v>#N/A</v>
      </c>
      <c r="J47" s="151" t="e">
        <f t="shared" ca="1" si="20"/>
        <v>#N/A</v>
      </c>
      <c r="K47" s="151" t="e">
        <f ca="1">IF($F$8=0,"",INDIRECT(AH34))</f>
        <v>#N/A</v>
      </c>
      <c r="L47" s="151" t="e">
        <f ca="1">IF($F$8=0,"",INDIRECT(AJ34))</f>
        <v>#N/A</v>
      </c>
      <c r="M47" s="151" t="e">
        <f ca="1">IF($F$8=0,"",INDIRECT(AI34))</f>
        <v>#N/A</v>
      </c>
      <c r="N47" s="151" t="e">
        <f ca="1">IF($F$8=0,"",INDIRECT(AL34))</f>
        <v>#REF!</v>
      </c>
      <c r="O47" s="151" t="e">
        <f ca="1">IF($F$8=0,"",INDIRECT(AJ34))</f>
        <v>#N/A</v>
      </c>
      <c r="Q47" s="330"/>
      <c r="R47" s="330"/>
      <c r="S47" s="330"/>
      <c r="T47" s="330"/>
      <c r="U47" s="330"/>
    </row>
    <row r="48" spans="3:36" ht="15" customHeight="1" thickBot="1" x14ac:dyDescent="0.25">
      <c r="C48" s="191">
        <f>'Lanç (30)'!E37</f>
        <v>30</v>
      </c>
      <c r="D48" s="192" t="str">
        <f>'Lanç (30)'!F37</f>
        <v>Seg</v>
      </c>
      <c r="E48" s="150" t="e">
        <f ca="1">IF($F$8=0,"",IF(INDIRECT(AC35)=0,"",INDIRECT(AC35)))</f>
        <v>#N/A</v>
      </c>
      <c r="F48" s="151" t="e">
        <f t="shared" ca="1" si="20"/>
        <v>#N/A</v>
      </c>
      <c r="G48" s="151" t="e">
        <f t="shared" ca="1" si="20"/>
        <v>#N/A</v>
      </c>
      <c r="H48" s="151" t="e">
        <f t="shared" ca="1" si="20"/>
        <v>#N/A</v>
      </c>
      <c r="I48" s="151" t="e">
        <f t="shared" ca="1" si="20"/>
        <v>#N/A</v>
      </c>
      <c r="J48" s="151" t="e">
        <f t="shared" ca="1" si="20"/>
        <v>#N/A</v>
      </c>
      <c r="K48" s="151" t="e">
        <f ca="1">IF($F$8=0,"",INDIRECT(AH35))</f>
        <v>#N/A</v>
      </c>
      <c r="L48" s="151" t="e">
        <f ca="1">IF($F$8=0,"",INDIRECT(AJ35))</f>
        <v>#N/A</v>
      </c>
      <c r="M48" s="151" t="e">
        <f ca="1">IF($F$8=0,"",INDIRECT(AI35))</f>
        <v>#N/A</v>
      </c>
      <c r="N48" s="151" t="e">
        <f ca="1">IF($F$8=0,"",INDIRECT(AL35))</f>
        <v>#REF!</v>
      </c>
      <c r="O48" s="151" t="e">
        <f ca="1">IF($F$8=0,"",INDIRECT(AJ35))</f>
        <v>#N/A</v>
      </c>
      <c r="Q48" s="330"/>
      <c r="R48" s="330"/>
      <c r="S48" s="330"/>
      <c r="T48" s="330"/>
      <c r="U48" s="330"/>
    </row>
    <row r="49" spans="3:21" ht="15" customHeight="1" thickTop="1" thickBot="1" x14ac:dyDescent="0.25">
      <c r="C49" s="129">
        <f>'Lanç (30)'!E38</f>
        <v>31</v>
      </c>
      <c r="D49" s="188" t="str">
        <f>'Lanç (30)'!F38</f>
        <v>Ter</v>
      </c>
      <c r="E49" s="152" t="e">
        <f t="shared" ca="1" si="9"/>
        <v>#N/A</v>
      </c>
      <c r="F49" s="153" t="e">
        <f t="shared" ca="1" si="15"/>
        <v>#N/A</v>
      </c>
      <c r="G49" s="153" t="e">
        <f t="shared" ca="1" si="16"/>
        <v>#N/A</v>
      </c>
      <c r="H49" s="153" t="e">
        <f t="shared" ca="1" si="17"/>
        <v>#N/A</v>
      </c>
      <c r="I49" s="153" t="e">
        <f t="shared" ca="1" si="18"/>
        <v>#N/A</v>
      </c>
      <c r="J49" s="154" t="e">
        <f t="shared" ca="1" si="19"/>
        <v>#N/A</v>
      </c>
      <c r="K49" s="153" t="e">
        <f t="shared" ca="1" si="10"/>
        <v>#N/A</v>
      </c>
      <c r="L49" s="153" t="e">
        <f t="shared" ca="1" si="11"/>
        <v>#N/A</v>
      </c>
      <c r="M49" s="153" t="e">
        <f t="shared" ca="1" si="12"/>
        <v>#N/A</v>
      </c>
      <c r="N49" s="153" t="e">
        <f t="shared" ca="1" si="13"/>
        <v>#REF!</v>
      </c>
      <c r="O49" s="153" t="e">
        <f t="shared" ca="1" si="14"/>
        <v>#N/A</v>
      </c>
      <c r="Q49" s="330"/>
      <c r="R49" s="330"/>
      <c r="S49" s="330"/>
      <c r="T49" s="330"/>
      <c r="U49" s="330"/>
    </row>
    <row r="50" spans="3:21" ht="8" customHeight="1" thickTop="1" x14ac:dyDescent="0.2">
      <c r="G50" s="170" t="e">
        <f ca="1">IF($F$8=0,"",INDIRECT(VLOOKUP($F$8,$W$6:$AA$35,4,0)))</f>
        <v>#N/A</v>
      </c>
      <c r="H50" s="48"/>
      <c r="I50" s="170" t="e">
        <f ca="1">IF($F$8=0,"",INDIRECT(VLOOKUP($F$8,$W$6:$AA$35,4,0)))</f>
        <v>#N/A</v>
      </c>
    </row>
    <row r="51" spans="3:21" ht="15" customHeight="1" x14ac:dyDescent="0.2">
      <c r="C51" s="349" t="s">
        <v>120</v>
      </c>
      <c r="D51" s="350"/>
      <c r="E51" s="350"/>
      <c r="F51" s="350"/>
      <c r="G51" s="350"/>
      <c r="H51" s="350"/>
      <c r="I51" s="350"/>
      <c r="J51" s="303"/>
      <c r="K51" s="350"/>
      <c r="L51" s="350"/>
      <c r="M51" s="350"/>
      <c r="N51" s="350"/>
      <c r="O51" s="350"/>
      <c r="P51" s="350"/>
      <c r="Q51" s="350"/>
      <c r="R51" s="350"/>
      <c r="S51" s="350"/>
      <c r="T51" s="350"/>
      <c r="U51" s="350"/>
    </row>
    <row r="52" spans="3:21" ht="15" customHeight="1" thickBot="1" x14ac:dyDescent="0.25">
      <c r="C52" s="342" t="s">
        <v>121</v>
      </c>
      <c r="D52" s="342"/>
      <c r="E52" s="342" t="s">
        <v>63</v>
      </c>
      <c r="F52" s="342"/>
      <c r="G52" s="342" t="s">
        <v>122</v>
      </c>
      <c r="H52" s="342"/>
      <c r="I52" s="222" t="s">
        <v>123</v>
      </c>
      <c r="J52" s="125"/>
      <c r="K52" s="227"/>
      <c r="L52" s="227"/>
      <c r="M52" s="227"/>
      <c r="N52" s="227"/>
      <c r="O52" s="227"/>
      <c r="P52" s="227"/>
      <c r="Q52" s="227"/>
      <c r="R52" s="227"/>
      <c r="S52" s="227"/>
      <c r="T52" s="227"/>
      <c r="U52" s="228"/>
    </row>
    <row r="53" spans="3:21" ht="15" customHeight="1" thickTop="1" x14ac:dyDescent="0.2">
      <c r="C53" s="343" t="e">
        <f ca="1">SUM(K19:K49)</f>
        <v>#N/A</v>
      </c>
      <c r="D53" s="344"/>
      <c r="E53" s="344" t="e">
        <f ca="1">SUM(O19:O49)</f>
        <v>#N/A</v>
      </c>
      <c r="F53" s="344"/>
      <c r="G53" s="345" t="e">
        <f ca="1">G50</f>
        <v>#N/A</v>
      </c>
      <c r="H53" s="345"/>
      <c r="I53" s="39"/>
      <c r="J53" s="22"/>
      <c r="K53" s="40"/>
      <c r="L53" s="40"/>
      <c r="M53" s="40"/>
      <c r="N53" s="40"/>
      <c r="O53" s="40"/>
      <c r="P53" s="40"/>
      <c r="Q53" s="40"/>
      <c r="R53" s="40"/>
      <c r="S53" s="40"/>
      <c r="T53" s="40"/>
      <c r="U53" s="41"/>
    </row>
    <row r="54" spans="3:21" ht="15" customHeight="1" x14ac:dyDescent="0.2">
      <c r="C54" s="339" t="s">
        <v>119</v>
      </c>
      <c r="D54" s="340"/>
      <c r="E54" s="340"/>
      <c r="F54" s="340"/>
      <c r="G54" s="340"/>
      <c r="H54" s="340"/>
      <c r="I54" s="340"/>
      <c r="J54" s="340"/>
      <c r="K54" s="340"/>
      <c r="L54" s="340"/>
      <c r="M54" s="340"/>
      <c r="N54" s="340"/>
      <c r="O54" s="340"/>
      <c r="P54" s="340"/>
      <c r="Q54" s="340"/>
      <c r="R54" s="340"/>
      <c r="S54" s="340"/>
      <c r="T54" s="340"/>
      <c r="U54" s="341"/>
    </row>
    <row r="55" spans="3:21" ht="47.25" customHeight="1" x14ac:dyDescent="0.2">
      <c r="C55" s="336"/>
      <c r="D55" s="337"/>
      <c r="E55" s="337"/>
      <c r="F55" s="337"/>
      <c r="G55" s="337"/>
      <c r="H55" s="337"/>
      <c r="I55" s="337"/>
      <c r="J55" s="337"/>
      <c r="K55" s="337"/>
      <c r="L55" s="337"/>
      <c r="M55" s="337"/>
      <c r="N55" s="337"/>
      <c r="O55" s="337"/>
      <c r="P55" s="337"/>
      <c r="Q55" s="337"/>
      <c r="R55" s="337"/>
      <c r="S55" s="337"/>
      <c r="T55" s="337"/>
      <c r="U55" s="338"/>
    </row>
    <row r="56" spans="3:21" ht="30" customHeight="1" x14ac:dyDescent="0.2"/>
    <row r="57" spans="3:21" ht="30" customHeight="1" x14ac:dyDescent="0.2"/>
    <row r="58" spans="3:21" ht="30" customHeight="1" x14ac:dyDescent="0.2"/>
    <row r="59" spans="3:21" ht="30" customHeight="1" x14ac:dyDescent="0.2"/>
    <row r="60" spans="3:21" ht="30" customHeight="1" x14ac:dyDescent="0.2"/>
    <row r="61" spans="3:21" ht="30" customHeight="1" x14ac:dyDescent="0.2"/>
    <row r="62" spans="3:21" ht="30" customHeight="1" x14ac:dyDescent="0.2"/>
    <row r="63" spans="3:21" ht="30" customHeight="1" x14ac:dyDescent="0.2"/>
    <row r="64" spans="3:21" ht="30" customHeight="1" x14ac:dyDescent="0.2"/>
    <row r="65" ht="30" customHeight="1" x14ac:dyDescent="0.2"/>
    <row r="66" ht="30" customHeight="1" x14ac:dyDescent="0.2"/>
    <row r="67" ht="30" customHeight="1" x14ac:dyDescent="0.2"/>
    <row r="68" ht="30" customHeight="1" x14ac:dyDescent="0.2"/>
    <row r="69" ht="30" customHeight="1" x14ac:dyDescent="0.2"/>
    <row r="70" ht="30" customHeight="1" x14ac:dyDescent="0.2"/>
    <row r="71" ht="30" customHeight="1" x14ac:dyDescent="0.2"/>
    <row r="72" ht="30" customHeight="1" x14ac:dyDescent="0.2"/>
    <row r="73" ht="30" customHeight="1" x14ac:dyDescent="0.2"/>
    <row r="74" ht="30" customHeight="1" x14ac:dyDescent="0.2"/>
    <row r="75" ht="30" customHeight="1" x14ac:dyDescent="0.2"/>
    <row r="76" ht="30" customHeight="1" x14ac:dyDescent="0.2"/>
    <row r="77" ht="30" customHeight="1" x14ac:dyDescent="0.2"/>
    <row r="78" ht="30" customHeight="1" x14ac:dyDescent="0.2"/>
    <row r="79" ht="30" customHeight="1" x14ac:dyDescent="0.2"/>
    <row r="80" ht="30" customHeight="1" x14ac:dyDescent="0.2"/>
    <row r="81" ht="30" customHeight="1" x14ac:dyDescent="0.2"/>
    <row r="82" ht="30" customHeight="1" x14ac:dyDescent="0.2"/>
    <row r="83" ht="30" customHeight="1" x14ac:dyDescent="0.2"/>
    <row r="84" ht="30" customHeight="1" x14ac:dyDescent="0.2"/>
    <row r="85" ht="30" customHeight="1" x14ac:dyDescent="0.2"/>
    <row r="86" ht="30" customHeight="1" x14ac:dyDescent="0.2"/>
    <row r="87" ht="30" customHeight="1" x14ac:dyDescent="0.2"/>
    <row r="88" ht="30" customHeight="1" x14ac:dyDescent="0.2"/>
    <row r="89" ht="30" customHeight="1" x14ac:dyDescent="0.2"/>
    <row r="90" ht="30" customHeight="1" x14ac:dyDescent="0.2"/>
    <row r="91" ht="30" customHeight="1" x14ac:dyDescent="0.2"/>
    <row r="92" ht="30" customHeight="1" x14ac:dyDescent="0.2"/>
    <row r="93" ht="30" customHeight="1" x14ac:dyDescent="0.2"/>
    <row r="94" ht="30" customHeight="1" x14ac:dyDescent="0.2"/>
    <row r="95" ht="30" customHeight="1" x14ac:dyDescent="0.2"/>
    <row r="96" ht="30" customHeight="1" x14ac:dyDescent="0.2"/>
    <row r="97" ht="30" customHeight="1" x14ac:dyDescent="0.2"/>
    <row r="98" ht="30" customHeight="1" x14ac:dyDescent="0.2"/>
    <row r="99" ht="30" customHeight="1" x14ac:dyDescent="0.2"/>
    <row r="100" ht="30" customHeight="1" x14ac:dyDescent="0.2"/>
    <row r="101" ht="30" customHeight="1" x14ac:dyDescent="0.2"/>
    <row r="102" ht="30" customHeight="1" x14ac:dyDescent="0.2"/>
    <row r="103" ht="30" customHeight="1" x14ac:dyDescent="0.2"/>
    <row r="104" ht="30" customHeight="1" x14ac:dyDescent="0.2"/>
    <row r="105" ht="30" customHeight="1" x14ac:dyDescent="0.2"/>
    <row r="106" ht="30" customHeight="1" x14ac:dyDescent="0.2"/>
    <row r="107" ht="30" customHeight="1" x14ac:dyDescent="0.2"/>
    <row r="108" ht="30" customHeight="1" x14ac:dyDescent="0.2"/>
    <row r="109" ht="30" customHeight="1" x14ac:dyDescent="0.2"/>
    <row r="110" ht="30" customHeight="1" x14ac:dyDescent="0.2"/>
  </sheetData>
  <sheetProtection sheet="1" objects="1" scenarios="1" selectLockedCells="1"/>
  <mergeCells count="47">
    <mergeCell ref="Q49:U49"/>
    <mergeCell ref="Q18:U18"/>
    <mergeCell ref="C51:U51"/>
    <mergeCell ref="Q44:U44"/>
    <mergeCell ref="Q47:U47"/>
    <mergeCell ref="Q45:U45"/>
    <mergeCell ref="Q48:U48"/>
    <mergeCell ref="Q39:U39"/>
    <mergeCell ref="Q37:U37"/>
    <mergeCell ref="Q38:U38"/>
    <mergeCell ref="Q46:U46"/>
    <mergeCell ref="Q28:U28"/>
    <mergeCell ref="Q29:U29"/>
    <mergeCell ref="Q30:U30"/>
    <mergeCell ref="Q31:U31"/>
    <mergeCell ref="Q43:U43"/>
    <mergeCell ref="C55:U55"/>
    <mergeCell ref="C54:U54"/>
    <mergeCell ref="C52:D52"/>
    <mergeCell ref="E52:F52"/>
    <mergeCell ref="G52:H52"/>
    <mergeCell ref="C53:D53"/>
    <mergeCell ref="E53:F53"/>
    <mergeCell ref="G53:H53"/>
    <mergeCell ref="Q32:U32"/>
    <mergeCell ref="Q33:U33"/>
    <mergeCell ref="F8:O8"/>
    <mergeCell ref="C10:O10"/>
    <mergeCell ref="C8:E8"/>
    <mergeCell ref="Q26:U26"/>
    <mergeCell ref="Q27:U27"/>
    <mergeCell ref="C18:D18"/>
    <mergeCell ref="G18:H18"/>
    <mergeCell ref="H11:M11"/>
    <mergeCell ref="Q19:U19"/>
    <mergeCell ref="Q20:U20"/>
    <mergeCell ref="Q21:U21"/>
    <mergeCell ref="Q22:U22"/>
    <mergeCell ref="Q23:U23"/>
    <mergeCell ref="Q24:U24"/>
    <mergeCell ref="Q25:U25"/>
    <mergeCell ref="Q40:U40"/>
    <mergeCell ref="Q41:U41"/>
    <mergeCell ref="Q42:U42"/>
    <mergeCell ref="Q34:U34"/>
    <mergeCell ref="Q35:U35"/>
    <mergeCell ref="Q36:U36"/>
  </mergeCells>
  <conditionalFormatting sqref="D19:D46">
    <cfRule type="containsText" dxfId="3" priority="20" operator="containsText" text="Dom">
      <formula>NOT(ISERROR(SEARCH("Dom",D19)))</formula>
    </cfRule>
    <cfRule type="containsText" dxfId="2" priority="21" operator="containsText" text="Sáb">
      <formula>NOT(ISERROR(SEARCH("Sáb",D19)))</formula>
    </cfRule>
  </conditionalFormatting>
  <conditionalFormatting sqref="C49:O49 C47:D48 Q49:U49">
    <cfRule type="expression" dxfId="1" priority="1">
      <formula>AND($C47&gt;=$C$19,$C$19&lt;&gt;1)</formula>
    </cfRule>
    <cfRule type="expression" dxfId="0" priority="2">
      <formula>AND($C47&lt;$C$47,$C$19=1)</formula>
    </cfRule>
  </conditionalFormatting>
  <dataValidations count="1">
    <dataValidation type="list" allowBlank="1" showInputMessage="1" showErrorMessage="1" sqref="F8:O8">
      <formula1>OFFSET($W$6,,,30-COUNTBLANK($W$6:$W$35))</formula1>
    </dataValidation>
  </dataValidations>
  <printOptions horizontalCentered="1"/>
  <pageMargins left="0.23622047244094491" right="0.23622047244094491" top="0.74803149606299213" bottom="0.74803149606299213" header="0.31496062992125984" footer="0.31496062992125984"/>
  <pageSetup paperSize="9" scale="57" fitToWidth="0" orientation="portrait"/>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9" enableFormatConditionsCalculation="0"/>
  <dimension ref="A1:AD100"/>
  <sheetViews>
    <sheetView showGridLines="0" zoomScale="90" zoomScaleNormal="90" zoomScalePageLayoutView="90" workbookViewId="0">
      <selection activeCell="B1" sqref="B1"/>
    </sheetView>
  </sheetViews>
  <sheetFormatPr baseColWidth="10" defaultColWidth="0" defaultRowHeight="15" zeroHeight="1" x14ac:dyDescent="0.2"/>
  <cols>
    <col min="1" max="1" width="27.83203125" style="9" customWidth="1"/>
    <col min="2" max="2" width="3.83203125" style="2" customWidth="1"/>
    <col min="3" max="30" width="9.1640625" style="2" customWidth="1"/>
    <col min="31" max="16384" width="9.1640625" style="2" hidden="1"/>
  </cols>
  <sheetData>
    <row r="1" spans="1:11" s="3" customFormat="1" ht="33.75" customHeight="1" x14ac:dyDescent="0.3">
      <c r="A1" s="56" t="s">
        <v>148</v>
      </c>
      <c r="C1" s="4" t="s">
        <v>35</v>
      </c>
    </row>
    <row r="2" spans="1:11" s="3" customFormat="1" ht="21.5" customHeight="1" x14ac:dyDescent="0.2">
      <c r="A2" s="1"/>
    </row>
    <row r="3" spans="1:11" s="3" customFormat="1" ht="21.5" customHeight="1" x14ac:dyDescent="0.2">
      <c r="A3" s="1"/>
    </row>
    <row r="4" spans="1:11" customFormat="1" ht="30" customHeight="1" x14ac:dyDescent="0.2">
      <c r="A4" s="1"/>
      <c r="C4" s="355" t="s">
        <v>41</v>
      </c>
      <c r="D4" s="355"/>
      <c r="E4" s="355"/>
      <c r="F4" s="355"/>
      <c r="G4" s="355"/>
      <c r="H4" s="355"/>
      <c r="I4" s="355"/>
      <c r="J4" s="355"/>
      <c r="K4" s="355"/>
    </row>
    <row r="5" spans="1:11" customFormat="1" ht="30" customHeight="1" x14ac:dyDescent="0.2">
      <c r="A5" s="1"/>
      <c r="C5" s="351" t="s">
        <v>43</v>
      </c>
      <c r="D5" s="352"/>
      <c r="E5" s="352"/>
      <c r="F5" s="352"/>
      <c r="G5" s="352"/>
      <c r="H5" s="352"/>
      <c r="I5" s="352"/>
      <c r="J5" s="352"/>
      <c r="K5" s="353"/>
    </row>
    <row r="6" spans="1:11" customFormat="1" ht="30" customHeight="1" x14ac:dyDescent="0.2">
      <c r="A6" s="1"/>
      <c r="C6" s="356" t="s">
        <v>42</v>
      </c>
      <c r="D6" s="356"/>
      <c r="E6" s="356"/>
      <c r="F6" s="356"/>
      <c r="G6" s="356"/>
      <c r="H6" s="356"/>
      <c r="I6" s="356"/>
      <c r="J6" s="356"/>
      <c r="K6" s="356"/>
    </row>
    <row r="7" spans="1:11" customFormat="1" ht="30" customHeight="1" x14ac:dyDescent="0.2">
      <c r="A7" s="1"/>
      <c r="C7" s="354" t="str">
        <f>IFERROR(VLOOKUP(C5,C59:J73,8,FALSE),"")</f>
        <v xml:space="preserve">Nós recomendamos fortemente que você utilize a estrutura pronta apresentada, pois existem diversas fórmulas que podem ser afetadas pela adição de linhas e colunas. Além disso, para facilitar o preenchimento mantemos a planilha desbloqueada apenas nos locais para preenchimento. </v>
      </c>
      <c r="D7" s="354"/>
      <c r="E7" s="354"/>
      <c r="F7" s="354"/>
      <c r="G7" s="354"/>
      <c r="H7" s="354"/>
      <c r="I7" s="354"/>
      <c r="J7" s="354"/>
      <c r="K7" s="354"/>
    </row>
    <row r="8" spans="1:11" customFormat="1" ht="30" customHeight="1" x14ac:dyDescent="0.2">
      <c r="A8" s="1"/>
      <c r="C8" s="354"/>
      <c r="D8" s="354"/>
      <c r="E8" s="354"/>
      <c r="F8" s="354"/>
      <c r="G8" s="354"/>
      <c r="H8" s="354"/>
      <c r="I8" s="354"/>
      <c r="J8" s="354"/>
      <c r="K8" s="354"/>
    </row>
    <row r="9" spans="1:11" customFormat="1" ht="30" customHeight="1" x14ac:dyDescent="0.2">
      <c r="A9" s="1"/>
      <c r="C9" s="354"/>
      <c r="D9" s="354"/>
      <c r="E9" s="354"/>
      <c r="F9" s="354"/>
      <c r="G9" s="354"/>
      <c r="H9" s="354"/>
      <c r="I9" s="354"/>
      <c r="J9" s="354"/>
      <c r="K9" s="354"/>
    </row>
    <row r="10" spans="1:11" customFormat="1" ht="30" customHeight="1" x14ac:dyDescent="0.2">
      <c r="A10" s="1"/>
      <c r="C10" s="354"/>
      <c r="D10" s="354"/>
      <c r="E10" s="354"/>
      <c r="F10" s="354"/>
      <c r="G10" s="354"/>
      <c r="H10" s="354"/>
      <c r="I10" s="354"/>
      <c r="J10" s="354"/>
      <c r="K10" s="354"/>
    </row>
    <row r="11" spans="1:11" customFormat="1" ht="30" customHeight="1" x14ac:dyDescent="0.2">
      <c r="A11" s="1"/>
      <c r="C11" s="354"/>
      <c r="D11" s="354"/>
      <c r="E11" s="354"/>
      <c r="F11" s="354"/>
      <c r="G11" s="354"/>
      <c r="H11" s="354"/>
      <c r="I11" s="354"/>
      <c r="J11" s="354"/>
      <c r="K11" s="354"/>
    </row>
    <row r="12" spans="1:11" customFormat="1" ht="30" customHeight="1" x14ac:dyDescent="0.2">
      <c r="A12" s="1"/>
    </row>
    <row r="13" spans="1:11" customFormat="1" ht="30" customHeight="1" x14ac:dyDescent="0.2">
      <c r="A13" s="1"/>
    </row>
    <row r="14" spans="1:11" customFormat="1" ht="30" customHeight="1" x14ac:dyDescent="0.2">
      <c r="A14" s="1"/>
    </row>
    <row r="15" spans="1:11" customFormat="1" ht="30" customHeight="1" x14ac:dyDescent="0.2">
      <c r="A15" s="1"/>
    </row>
    <row r="16" spans="1:11" customFormat="1" ht="30" customHeight="1" x14ac:dyDescent="0.2">
      <c r="A16" s="1"/>
    </row>
    <row r="17" spans="1:1" customFormat="1" ht="30" customHeight="1" x14ac:dyDescent="0.2">
      <c r="A17" s="1"/>
    </row>
    <row r="18" spans="1:1" customFormat="1" ht="30" customHeight="1" x14ac:dyDescent="0.2">
      <c r="A18" s="1"/>
    </row>
    <row r="19" spans="1:1" customFormat="1" ht="30" customHeight="1" x14ac:dyDescent="0.2">
      <c r="A19" s="1"/>
    </row>
    <row r="20" spans="1:1" customFormat="1" ht="30" customHeight="1" x14ac:dyDescent="0.2">
      <c r="A20" s="1"/>
    </row>
    <row r="21" spans="1:1" customFormat="1" ht="30" customHeight="1" x14ac:dyDescent="0.2">
      <c r="A21" s="1"/>
    </row>
    <row r="22" spans="1:1" customFormat="1" ht="30" customHeight="1" x14ac:dyDescent="0.2">
      <c r="A22" s="1"/>
    </row>
    <row r="23" spans="1:1" customFormat="1" ht="30" customHeight="1" x14ac:dyDescent="0.2">
      <c r="A23" s="1"/>
    </row>
    <row r="24" spans="1:1" customFormat="1" ht="30" customHeight="1" x14ac:dyDescent="0.2">
      <c r="A24" s="1"/>
    </row>
    <row r="25" spans="1:1" customFormat="1" ht="30" customHeight="1" x14ac:dyDescent="0.2">
      <c r="A25" s="1"/>
    </row>
    <row r="26" spans="1:1" customFormat="1" ht="30" customHeight="1" x14ac:dyDescent="0.2">
      <c r="A26" s="1"/>
    </row>
    <row r="27" spans="1:1" customFormat="1" ht="30" customHeight="1" x14ac:dyDescent="0.2">
      <c r="A27" s="1"/>
    </row>
    <row r="28" spans="1:1" customFormat="1" ht="30" customHeight="1" x14ac:dyDescent="0.2">
      <c r="A28" s="1"/>
    </row>
    <row r="29" spans="1:1" customFormat="1" ht="30" customHeight="1" x14ac:dyDescent="0.2">
      <c r="A29" s="1"/>
    </row>
    <row r="30" spans="1:1" customFormat="1" ht="30" customHeight="1" x14ac:dyDescent="0.2">
      <c r="A30" s="1"/>
    </row>
    <row r="31" spans="1:1" customFormat="1" ht="30" customHeight="1" x14ac:dyDescent="0.2">
      <c r="A31" s="1"/>
    </row>
    <row r="32" spans="1:1" customFormat="1" ht="30" customHeight="1" x14ac:dyDescent="0.2">
      <c r="A32" s="1"/>
    </row>
    <row r="33" spans="1:1" customFormat="1" ht="30" customHeight="1" x14ac:dyDescent="0.2">
      <c r="A33" s="1"/>
    </row>
    <row r="34" spans="1:1" customFormat="1" ht="30" customHeight="1" x14ac:dyDescent="0.2">
      <c r="A34" s="1"/>
    </row>
    <row r="35" spans="1:1" customFormat="1" ht="30" customHeight="1" x14ac:dyDescent="0.2">
      <c r="A35" s="1"/>
    </row>
    <row r="36" spans="1:1" customFormat="1" ht="30" customHeight="1" x14ac:dyDescent="0.2">
      <c r="A36" s="1"/>
    </row>
    <row r="37" spans="1:1" customFormat="1" ht="30" customHeight="1" x14ac:dyDescent="0.2">
      <c r="A37" s="1"/>
    </row>
    <row r="38" spans="1:1" customFormat="1" ht="30" customHeight="1" x14ac:dyDescent="0.2">
      <c r="A38" s="1"/>
    </row>
    <row r="39" spans="1:1" customFormat="1" ht="30" customHeight="1" x14ac:dyDescent="0.2">
      <c r="A39" s="1"/>
    </row>
    <row r="40" spans="1:1" customFormat="1" ht="30" customHeight="1" x14ac:dyDescent="0.2">
      <c r="A40" s="1"/>
    </row>
    <row r="41" spans="1:1" customFormat="1" ht="30" customHeight="1" x14ac:dyDescent="0.2">
      <c r="A41" s="1"/>
    </row>
    <row r="42" spans="1:1" customFormat="1" ht="30" customHeight="1" x14ac:dyDescent="0.2">
      <c r="A42" s="1"/>
    </row>
    <row r="43" spans="1:1" customFormat="1" ht="30" customHeight="1" x14ac:dyDescent="0.2">
      <c r="A43" s="1"/>
    </row>
    <row r="44" spans="1:1" customFormat="1" ht="30" customHeight="1" x14ac:dyDescent="0.2">
      <c r="A44" s="1"/>
    </row>
    <row r="45" spans="1:1" customFormat="1" ht="30" customHeight="1" x14ac:dyDescent="0.2">
      <c r="A45" s="1"/>
    </row>
    <row r="46" spans="1:1" customFormat="1" ht="30" customHeight="1" x14ac:dyDescent="0.2">
      <c r="A46" s="1"/>
    </row>
    <row r="47" spans="1:1" customFormat="1" ht="30" customHeight="1" x14ac:dyDescent="0.2">
      <c r="A47" s="1"/>
    </row>
    <row r="48" spans="1:1" customFormat="1" ht="30" customHeight="1" x14ac:dyDescent="0.2">
      <c r="A48" s="1"/>
    </row>
    <row r="49" spans="1:10" customFormat="1" ht="30" customHeight="1" x14ac:dyDescent="0.2">
      <c r="A49" s="1"/>
    </row>
    <row r="50" spans="1:10" customFormat="1" ht="30" customHeight="1" x14ac:dyDescent="0.2">
      <c r="A50" s="1"/>
    </row>
    <row r="51" spans="1:10" customFormat="1" ht="30" customHeight="1" x14ac:dyDescent="0.2">
      <c r="A51" s="1"/>
    </row>
    <row r="52" spans="1:10" customFormat="1" ht="30" customHeight="1" x14ac:dyDescent="0.2">
      <c r="A52" s="1"/>
    </row>
    <row r="53" spans="1:10" customFormat="1" ht="30" customHeight="1" x14ac:dyDescent="0.2">
      <c r="A53" s="1"/>
    </row>
    <row r="54" spans="1:10" customFormat="1" ht="30" customHeight="1" x14ac:dyDescent="0.2">
      <c r="A54" s="1"/>
    </row>
    <row r="55" spans="1:10" customFormat="1" ht="30" customHeight="1" x14ac:dyDescent="0.2">
      <c r="A55" s="1"/>
    </row>
    <row r="56" spans="1:10" customFormat="1" ht="30" customHeight="1" x14ac:dyDescent="0.2">
      <c r="A56" s="1"/>
    </row>
    <row r="57" spans="1:10" customFormat="1" ht="30" customHeight="1" x14ac:dyDescent="0.2">
      <c r="A57" s="1"/>
    </row>
    <row r="58" spans="1:10" ht="30" hidden="1" customHeight="1" x14ac:dyDescent="0.2"/>
    <row r="59" spans="1:10" ht="30" hidden="1" customHeight="1" x14ac:dyDescent="0.2">
      <c r="C59" s="2" t="str">
        <f>IF(E59="","",D59&amp;". "&amp;E59)</f>
        <v>1. Posso adicionar mais linhas e colunas na planilha?</v>
      </c>
      <c r="D59" s="2">
        <v>1</v>
      </c>
      <c r="E59" s="2" t="s">
        <v>14</v>
      </c>
      <c r="J59" s="2" t="s">
        <v>15</v>
      </c>
    </row>
    <row r="60" spans="1:10" ht="30" hidden="1" customHeight="1" x14ac:dyDescent="0.2">
      <c r="C60" s="2" t="str">
        <f t="shared" ref="C60:C73" si="0">IF(E60="","",D60&amp;". "&amp;E60)</f>
        <v>2. Posso remover linhas?</v>
      </c>
      <c r="D60" s="2">
        <v>2</v>
      </c>
      <c r="E60" s="2" t="s">
        <v>16</v>
      </c>
      <c r="J60" s="2" t="s">
        <v>15</v>
      </c>
    </row>
    <row r="61" spans="1:10" ht="30" hidden="1" customHeight="1" x14ac:dyDescent="0.2">
      <c r="C61" s="2" t="str">
        <f t="shared" si="0"/>
        <v>3. Para que servem os alertas?</v>
      </c>
      <c r="D61" s="2">
        <v>3</v>
      </c>
      <c r="E61" s="2" t="s">
        <v>18</v>
      </c>
      <c r="J61" s="2" t="s">
        <v>17</v>
      </c>
    </row>
    <row r="62" spans="1:10" ht="30" hidden="1" customHeight="1" x14ac:dyDescent="0.2">
      <c r="C62" s="2" t="str">
        <f t="shared" si="0"/>
        <v>4. Essa planilha pode ser apresentada para instituições financeiras?</v>
      </c>
      <c r="D62" s="2">
        <v>4</v>
      </c>
      <c r="E62" s="2" t="s">
        <v>21</v>
      </c>
      <c r="J62" s="2" t="s">
        <v>22</v>
      </c>
    </row>
    <row r="63" spans="1:10" ht="30" hidden="1" customHeight="1" x14ac:dyDescent="0.2">
      <c r="C63" s="2" t="str">
        <f t="shared" si="0"/>
        <v>5. Como desbloquear a planilha?</v>
      </c>
      <c r="D63" s="2">
        <v>5</v>
      </c>
      <c r="E63" s="2" t="s">
        <v>19</v>
      </c>
      <c r="J63" s="2" t="s">
        <v>20</v>
      </c>
    </row>
    <row r="64" spans="1:10" ht="30" hidden="1" customHeight="1" x14ac:dyDescent="0.2">
      <c r="C64" s="2" t="str">
        <f t="shared" si="0"/>
        <v>6. Como redimensiono uma coluna ou linha da planilha?</v>
      </c>
      <c r="D64" s="2">
        <v>6</v>
      </c>
      <c r="E64" s="2" t="s">
        <v>23</v>
      </c>
      <c r="J64" s="2" t="s">
        <v>24</v>
      </c>
    </row>
    <row r="65" spans="3:10" ht="30" hidden="1" customHeight="1" x14ac:dyDescent="0.2">
      <c r="C65" s="2" t="str">
        <f t="shared" si="0"/>
        <v>7. Como faço para imprimir uma planilha?</v>
      </c>
      <c r="D65" s="2">
        <v>7</v>
      </c>
      <c r="E65" s="2" t="s">
        <v>25</v>
      </c>
      <c r="J65" s="2" t="s">
        <v>27</v>
      </c>
    </row>
    <row r="66" spans="3:10" ht="30" hidden="1" customHeight="1" x14ac:dyDescent="0.2">
      <c r="C66" s="2" t="str">
        <f t="shared" si="0"/>
        <v>8. Como mudo a moeda da planilha?</v>
      </c>
      <c r="D66" s="2">
        <v>8</v>
      </c>
      <c r="E66" s="2" t="s">
        <v>26</v>
      </c>
      <c r="J66" s="2" t="s">
        <v>28</v>
      </c>
    </row>
    <row r="67" spans="3:10" ht="30" hidden="1" customHeight="1" x14ac:dyDescent="0.2">
      <c r="C67" s="2" t="str">
        <f t="shared" si="0"/>
        <v/>
      </c>
      <c r="D67" s="2">
        <v>9</v>
      </c>
    </row>
    <row r="68" spans="3:10" ht="30" hidden="1" customHeight="1" x14ac:dyDescent="0.2">
      <c r="C68" s="2" t="str">
        <f t="shared" si="0"/>
        <v/>
      </c>
      <c r="D68" s="2">
        <v>10</v>
      </c>
    </row>
    <row r="69" spans="3:10" ht="30" hidden="1" customHeight="1" x14ac:dyDescent="0.2">
      <c r="C69" s="2" t="str">
        <f t="shared" si="0"/>
        <v/>
      </c>
      <c r="D69" s="2">
        <v>11</v>
      </c>
    </row>
    <row r="70" spans="3:10" ht="30" hidden="1" customHeight="1" x14ac:dyDescent="0.2">
      <c r="C70" s="2" t="str">
        <f t="shared" si="0"/>
        <v/>
      </c>
      <c r="D70" s="2">
        <v>12</v>
      </c>
    </row>
    <row r="71" spans="3:10" ht="30" hidden="1" customHeight="1" x14ac:dyDescent="0.2">
      <c r="C71" s="2" t="str">
        <f t="shared" si="0"/>
        <v/>
      </c>
      <c r="D71" s="2">
        <v>13</v>
      </c>
    </row>
    <row r="72" spans="3:10" ht="30" hidden="1" customHeight="1" x14ac:dyDescent="0.2">
      <c r="C72" s="2" t="str">
        <f t="shared" si="0"/>
        <v/>
      </c>
      <c r="D72" s="2">
        <v>14</v>
      </c>
    </row>
    <row r="73" spans="3:10" ht="30" hidden="1" customHeight="1" x14ac:dyDescent="0.2">
      <c r="C73" s="2" t="str">
        <f t="shared" si="0"/>
        <v/>
      </c>
      <c r="D73" s="2">
        <v>15</v>
      </c>
    </row>
    <row r="74" spans="3:10" ht="30" hidden="1" customHeight="1" x14ac:dyDescent="0.2"/>
    <row r="75" spans="3:10" ht="30" hidden="1" customHeight="1" x14ac:dyDescent="0.2"/>
    <row r="76" spans="3:10" ht="30" hidden="1" customHeight="1" x14ac:dyDescent="0.2"/>
    <row r="77" spans="3:10" ht="30" hidden="1" customHeight="1" x14ac:dyDescent="0.2"/>
    <row r="78" spans="3:10" ht="30" hidden="1" customHeight="1" x14ac:dyDescent="0.2"/>
    <row r="79" spans="3:10" ht="30" hidden="1" customHeight="1" x14ac:dyDescent="0.2"/>
    <row r="80" spans="3:10" ht="30" hidden="1" customHeight="1" x14ac:dyDescent="0.2"/>
    <row r="81" ht="30" hidden="1" customHeight="1" x14ac:dyDescent="0.2"/>
    <row r="82" ht="30" hidden="1" customHeight="1" x14ac:dyDescent="0.2"/>
    <row r="83" ht="30" hidden="1" customHeight="1" x14ac:dyDescent="0.2"/>
    <row r="84" ht="30" hidden="1" customHeight="1" x14ac:dyDescent="0.2"/>
    <row r="85" ht="30" hidden="1" customHeight="1" x14ac:dyDescent="0.2"/>
    <row r="86" ht="30" hidden="1" customHeight="1" x14ac:dyDescent="0.2"/>
    <row r="87" ht="30" hidden="1" customHeight="1" x14ac:dyDescent="0.2"/>
    <row r="88" ht="30" hidden="1" customHeight="1" x14ac:dyDescent="0.2"/>
    <row r="89" ht="30" hidden="1" customHeight="1" x14ac:dyDescent="0.2"/>
    <row r="90" ht="30" hidden="1" customHeight="1" x14ac:dyDescent="0.2"/>
    <row r="91" ht="30" hidden="1" customHeight="1" x14ac:dyDescent="0.2"/>
    <row r="92" ht="30" hidden="1" customHeight="1" x14ac:dyDescent="0.2"/>
    <row r="93" ht="30" hidden="1" customHeight="1" x14ac:dyDescent="0.2"/>
    <row r="94" ht="30" hidden="1" customHeight="1" x14ac:dyDescent="0.2"/>
    <row r="95" ht="30" hidden="1" customHeight="1" x14ac:dyDescent="0.2"/>
    <row r="96" ht="30" hidden="1" customHeight="1" x14ac:dyDescent="0.2"/>
    <row r="97" ht="30" hidden="1" customHeight="1" x14ac:dyDescent="0.2"/>
    <row r="98" ht="30" hidden="1" customHeight="1" x14ac:dyDescent="0.2"/>
    <row r="99" ht="30" hidden="1" customHeight="1" x14ac:dyDescent="0.2"/>
    <row r="100" x14ac:dyDescent="0.2"/>
  </sheetData>
  <sheetProtection sheet="1" objects="1" scenarios="1"/>
  <mergeCells count="4">
    <mergeCell ref="C5:K5"/>
    <mergeCell ref="C7:K11"/>
    <mergeCell ref="C4:K4"/>
    <mergeCell ref="C6:K6"/>
  </mergeCells>
  <dataValidations count="1">
    <dataValidation type="list" allowBlank="1" showInputMessage="1" showErrorMessage="1" sqref="C5:K5">
      <formula1>$C$59:$C$73</formula1>
    </dataValidation>
  </dataValidations>
  <printOptions verticalCentered="1"/>
  <pageMargins left="0.25" right="0.25" top="0.984251969" bottom="0.984251969" header="0.3" footer="0.3"/>
  <pageSetup paperSize="9" scale="86" orientation="landscape" horizontalDpi="4294967293" verticalDpi="0"/>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10" enableFormatConditionsCalculation="0"/>
  <dimension ref="A1:Z98"/>
  <sheetViews>
    <sheetView showGridLines="0" zoomScale="90" zoomScaleNormal="90" zoomScalePageLayoutView="90" workbookViewId="0"/>
  </sheetViews>
  <sheetFormatPr baseColWidth="10" defaultColWidth="0" defaultRowHeight="15" zeroHeight="1" x14ac:dyDescent="0.2"/>
  <cols>
    <col min="1" max="1" width="27.83203125" style="1" customWidth="1"/>
    <col min="2" max="2" width="3.83203125" customWidth="1"/>
    <col min="3" max="3" width="8.83203125" customWidth="1"/>
    <col min="4" max="4" width="61.33203125" customWidth="1"/>
    <col min="5" max="5" width="4.33203125" customWidth="1"/>
    <col min="6" max="6" width="8.83203125" customWidth="1"/>
    <col min="7" max="7" width="61.33203125" customWidth="1"/>
    <col min="8" max="26" width="8.83203125" customWidth="1"/>
    <col min="27" max="16384" width="8.83203125" hidden="1"/>
  </cols>
  <sheetData>
    <row r="1" spans="1:7" s="3" customFormat="1" ht="33.75" customHeight="1" x14ac:dyDescent="0.3">
      <c r="A1" s="56" t="s">
        <v>148</v>
      </c>
      <c r="C1" s="4" t="s">
        <v>36</v>
      </c>
    </row>
    <row r="2" spans="1:7" s="3" customFormat="1" ht="21.5" customHeight="1" x14ac:dyDescent="0.2">
      <c r="A2" s="1"/>
    </row>
    <row r="3" spans="1:7" s="3" customFormat="1" ht="21.5" customHeight="1" x14ac:dyDescent="0.2">
      <c r="A3" s="1"/>
      <c r="C3" s="8" t="s">
        <v>40</v>
      </c>
    </row>
    <row r="4" spans="1:7" ht="15" customHeight="1" x14ac:dyDescent="0.2"/>
    <row r="5" spans="1:7" ht="18" customHeight="1" x14ac:dyDescent="0.2">
      <c r="F5" s="357">
        <v>1</v>
      </c>
      <c r="G5" s="6" t="s">
        <v>1</v>
      </c>
    </row>
    <row r="6" spans="1:7" ht="30" customHeight="1" x14ac:dyDescent="0.2">
      <c r="F6" s="357"/>
      <c r="G6" s="5" t="s">
        <v>5</v>
      </c>
    </row>
    <row r="7" spans="1:7" ht="18" customHeight="1" x14ac:dyDescent="0.2">
      <c r="F7" s="357"/>
      <c r="G7" s="7" t="s">
        <v>38</v>
      </c>
    </row>
    <row r="8" spans="1:7" ht="15" customHeight="1" x14ac:dyDescent="0.2"/>
    <row r="9" spans="1:7" ht="18" customHeight="1" x14ac:dyDescent="0.2">
      <c r="F9" s="357">
        <v>2</v>
      </c>
      <c r="G9" s="6" t="s">
        <v>2</v>
      </c>
    </row>
    <row r="10" spans="1:7" ht="30" customHeight="1" x14ac:dyDescent="0.2">
      <c r="F10" s="357"/>
      <c r="G10" s="5" t="s">
        <v>6</v>
      </c>
    </row>
    <row r="11" spans="1:7" ht="18" customHeight="1" x14ac:dyDescent="0.2">
      <c r="F11" s="357"/>
      <c r="G11" s="7" t="s">
        <v>38</v>
      </c>
    </row>
    <row r="12" spans="1:7" ht="15" customHeight="1" x14ac:dyDescent="0.2"/>
    <row r="13" spans="1:7" ht="18" customHeight="1" x14ac:dyDescent="0.2">
      <c r="F13" s="357">
        <v>3</v>
      </c>
      <c r="G13" s="6" t="s">
        <v>3</v>
      </c>
    </row>
    <row r="14" spans="1:7" ht="30" customHeight="1" x14ac:dyDescent="0.2">
      <c r="F14" s="357"/>
      <c r="G14" s="5" t="s">
        <v>13</v>
      </c>
    </row>
    <row r="15" spans="1:7" ht="18" customHeight="1" x14ac:dyDescent="0.2">
      <c r="F15" s="357"/>
      <c r="G15" s="7" t="s">
        <v>38</v>
      </c>
    </row>
    <row r="16" spans="1:7" ht="15" customHeight="1" x14ac:dyDescent="0.2"/>
    <row r="17" spans="6:7" ht="18" customHeight="1" x14ac:dyDescent="0.2">
      <c r="F17" s="357">
        <v>4</v>
      </c>
      <c r="G17" s="6" t="s">
        <v>4</v>
      </c>
    </row>
    <row r="18" spans="6:7" ht="30" customHeight="1" x14ac:dyDescent="0.2">
      <c r="F18" s="357"/>
      <c r="G18" s="5" t="s">
        <v>7</v>
      </c>
    </row>
    <row r="19" spans="6:7" ht="18" customHeight="1" x14ac:dyDescent="0.2">
      <c r="F19" s="357"/>
      <c r="G19" s="7" t="s">
        <v>38</v>
      </c>
    </row>
    <row r="20" spans="6:7" ht="15" customHeight="1" x14ac:dyDescent="0.2"/>
    <row r="21" spans="6:7" ht="18" customHeight="1" x14ac:dyDescent="0.2">
      <c r="F21" s="357">
        <v>5</v>
      </c>
      <c r="G21" s="6" t="s">
        <v>8</v>
      </c>
    </row>
    <row r="22" spans="6:7" ht="30" customHeight="1" x14ac:dyDescent="0.2">
      <c r="F22" s="357"/>
      <c r="G22" s="5" t="s">
        <v>9</v>
      </c>
    </row>
    <row r="23" spans="6:7" ht="18" customHeight="1" x14ac:dyDescent="0.2">
      <c r="F23" s="357"/>
      <c r="G23" s="7" t="s">
        <v>38</v>
      </c>
    </row>
    <row r="24" spans="6:7" ht="30" customHeight="1" x14ac:dyDescent="0.2"/>
    <row r="25" spans="6:7" ht="30" customHeight="1" x14ac:dyDescent="0.2"/>
    <row r="26" spans="6:7" ht="30" customHeight="1" x14ac:dyDescent="0.2"/>
    <row r="27" spans="6:7" ht="30" customHeight="1" x14ac:dyDescent="0.2"/>
    <row r="28" spans="6:7" ht="30" customHeight="1" x14ac:dyDescent="0.2"/>
    <row r="29" spans="6:7" ht="30" customHeight="1" x14ac:dyDescent="0.2"/>
    <row r="30" spans="6:7" ht="30" customHeight="1" x14ac:dyDescent="0.2"/>
    <row r="31" spans="6:7" ht="30" customHeight="1" x14ac:dyDescent="0.2"/>
    <row r="32" spans="6:7" ht="30" customHeight="1" x14ac:dyDescent="0.2"/>
    <row r="33" spans="1:24" s="2" customFormat="1" ht="30" customHeight="1" x14ac:dyDescent="0.2">
      <c r="A33" s="9"/>
      <c r="C33" s="2">
        <v>10</v>
      </c>
      <c r="D33" s="2" t="s">
        <v>10</v>
      </c>
      <c r="I33" s="2" t="s">
        <v>11</v>
      </c>
      <c r="O33" s="2" t="s">
        <v>12</v>
      </c>
      <c r="X33" s="2" t="s">
        <v>39</v>
      </c>
    </row>
    <row r="34" spans="1:24" ht="30" customHeight="1" x14ac:dyDescent="0.2"/>
    <row r="35" spans="1:24" ht="30" customHeight="1" x14ac:dyDescent="0.2"/>
    <row r="36" spans="1:24" ht="30" customHeight="1" x14ac:dyDescent="0.2"/>
    <row r="37" spans="1:24" ht="30" customHeight="1" x14ac:dyDescent="0.2"/>
    <row r="38" spans="1:24" ht="30" customHeight="1" x14ac:dyDescent="0.2"/>
    <row r="39" spans="1:24" ht="30" customHeight="1" x14ac:dyDescent="0.2"/>
    <row r="40" spans="1:24" ht="30" customHeight="1" x14ac:dyDescent="0.2"/>
    <row r="41" spans="1:24" ht="30" customHeight="1" x14ac:dyDescent="0.2"/>
    <row r="42" spans="1:24" ht="30" customHeight="1" x14ac:dyDescent="0.2"/>
    <row r="43" spans="1:24" ht="30" customHeight="1" x14ac:dyDescent="0.2"/>
    <row r="44" spans="1:24" ht="30" customHeight="1" x14ac:dyDescent="0.2"/>
    <row r="45" spans="1:24" ht="30" customHeight="1" x14ac:dyDescent="0.2"/>
    <row r="46" spans="1:24" ht="30" hidden="1" customHeight="1" x14ac:dyDescent="0.2"/>
    <row r="47" spans="1:24" ht="30" hidden="1" customHeight="1" x14ac:dyDescent="0.2"/>
    <row r="48" spans="1:24" ht="30" hidden="1" customHeight="1" x14ac:dyDescent="0.2"/>
    <row r="49" ht="30" hidden="1" customHeight="1" x14ac:dyDescent="0.2"/>
    <row r="50" ht="30" hidden="1" customHeight="1" x14ac:dyDescent="0.2"/>
    <row r="51" ht="30" hidden="1" customHeight="1" x14ac:dyDescent="0.2"/>
    <row r="52" ht="30" hidden="1" customHeight="1" x14ac:dyDescent="0.2"/>
    <row r="53" ht="30" hidden="1" customHeight="1" x14ac:dyDescent="0.2"/>
    <row r="54" ht="30" hidden="1" customHeight="1" x14ac:dyDescent="0.2"/>
    <row r="55" ht="30" hidden="1" customHeight="1" x14ac:dyDescent="0.2"/>
    <row r="56" ht="30" hidden="1" customHeight="1" x14ac:dyDescent="0.2"/>
    <row r="57" ht="30" hidden="1" customHeight="1" x14ac:dyDescent="0.2"/>
    <row r="58" ht="30" hidden="1" customHeight="1" x14ac:dyDescent="0.2"/>
    <row r="59" ht="30" hidden="1" customHeight="1" x14ac:dyDescent="0.2"/>
    <row r="60" ht="30" hidden="1" customHeight="1" x14ac:dyDescent="0.2"/>
    <row r="61" ht="30" hidden="1" customHeight="1" x14ac:dyDescent="0.2"/>
    <row r="62" ht="30" hidden="1" customHeight="1" x14ac:dyDescent="0.2"/>
    <row r="63" ht="30" hidden="1" customHeight="1" x14ac:dyDescent="0.2"/>
    <row r="64" ht="30" hidden="1" customHeight="1" x14ac:dyDescent="0.2"/>
    <row r="65" ht="30" hidden="1" customHeight="1" x14ac:dyDescent="0.2"/>
    <row r="66" ht="30" hidden="1" customHeight="1" x14ac:dyDescent="0.2"/>
    <row r="67" ht="30" hidden="1" customHeight="1" x14ac:dyDescent="0.2"/>
    <row r="68" ht="30" hidden="1" customHeight="1" x14ac:dyDescent="0.2"/>
    <row r="69" ht="30" hidden="1" customHeight="1" x14ac:dyDescent="0.2"/>
    <row r="70" ht="30" hidden="1" customHeight="1" x14ac:dyDescent="0.2"/>
    <row r="71" ht="30" hidden="1" customHeight="1" x14ac:dyDescent="0.2"/>
    <row r="72" ht="30" hidden="1" customHeight="1" x14ac:dyDescent="0.2"/>
    <row r="73" ht="30" hidden="1" customHeight="1" x14ac:dyDescent="0.2"/>
    <row r="74" ht="30" hidden="1" customHeight="1" x14ac:dyDescent="0.2"/>
    <row r="75" ht="30" hidden="1" customHeight="1" x14ac:dyDescent="0.2"/>
    <row r="76" ht="30" hidden="1" customHeight="1" x14ac:dyDescent="0.2"/>
    <row r="77" ht="30" hidden="1" customHeight="1" x14ac:dyDescent="0.2"/>
    <row r="78" ht="30" hidden="1" customHeight="1" x14ac:dyDescent="0.2"/>
    <row r="79" ht="30" hidden="1" customHeight="1" x14ac:dyDescent="0.2"/>
    <row r="80" ht="30" hidden="1" customHeight="1" x14ac:dyDescent="0.2"/>
    <row r="81" ht="30" hidden="1" customHeight="1" x14ac:dyDescent="0.2"/>
    <row r="82" ht="30" hidden="1" customHeight="1" x14ac:dyDescent="0.2"/>
    <row r="83" ht="30" hidden="1" customHeight="1" x14ac:dyDescent="0.2"/>
    <row r="84" ht="30" hidden="1" customHeight="1" x14ac:dyDescent="0.2"/>
    <row r="85" ht="30" hidden="1" customHeight="1" x14ac:dyDescent="0.2"/>
    <row r="86" ht="30" hidden="1" customHeight="1" x14ac:dyDescent="0.2"/>
    <row r="87" ht="30" hidden="1" customHeight="1" x14ac:dyDescent="0.2"/>
    <row r="88" ht="30" hidden="1" customHeight="1" x14ac:dyDescent="0.2"/>
    <row r="89" ht="30" hidden="1" customHeight="1" x14ac:dyDescent="0.2"/>
    <row r="90" ht="30" hidden="1" customHeight="1" x14ac:dyDescent="0.2"/>
    <row r="91" ht="30" hidden="1" customHeight="1" x14ac:dyDescent="0.2"/>
    <row r="92" ht="30" hidden="1" customHeight="1" x14ac:dyDescent="0.2"/>
    <row r="93" ht="30" hidden="1" customHeight="1" x14ac:dyDescent="0.2"/>
    <row r="94" ht="30" hidden="1" customHeight="1" x14ac:dyDescent="0.2"/>
    <row r="95" ht="30" hidden="1" customHeight="1" x14ac:dyDescent="0.2"/>
    <row r="96" ht="30" hidden="1" customHeight="1" x14ac:dyDescent="0.2"/>
    <row r="97" ht="30" hidden="1" customHeight="1" x14ac:dyDescent="0.2"/>
    <row r="98" ht="30" hidden="1" customHeight="1" x14ac:dyDescent="0.2"/>
  </sheetData>
  <sheetProtection sheet="1" objects="1" scenarios="1"/>
  <mergeCells count="5">
    <mergeCell ref="F5:F7"/>
    <mergeCell ref="F9:F11"/>
    <mergeCell ref="F13:F15"/>
    <mergeCell ref="F17:F19"/>
    <mergeCell ref="F21:F23"/>
  </mergeCells>
  <hyperlinks>
    <hyperlink ref="G5" r:id="rId1"/>
    <hyperlink ref="G7" r:id="rId2"/>
    <hyperlink ref="G9" r:id="rId3"/>
    <hyperlink ref="G11" r:id="rId4"/>
    <hyperlink ref="G13" r:id="rId5"/>
    <hyperlink ref="G15" r:id="rId6"/>
    <hyperlink ref="G17" r:id="rId7"/>
    <hyperlink ref="G19" r:id="rId8"/>
    <hyperlink ref="G21" r:id="rId9"/>
    <hyperlink ref="G23" r:id="rId10"/>
  </hyperlinks>
  <printOptions verticalCentered="1"/>
  <pageMargins left="0.25" right="0.25" top="0.984251969" bottom="0.984251969" header="0.3" footer="0.3"/>
  <pageSetup paperSize="9" scale="96" orientation="landscape" horizontalDpi="4294967293" verticalDpi="0"/>
  <drawing r:id="rId1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11" enableFormatConditionsCalculation="0"/>
  <dimension ref="A1:AE100"/>
  <sheetViews>
    <sheetView showGridLines="0" zoomScale="90" zoomScaleNormal="90" zoomScalePageLayoutView="90" workbookViewId="0"/>
  </sheetViews>
  <sheetFormatPr baseColWidth="10" defaultColWidth="0" defaultRowHeight="15" zeroHeight="1" x14ac:dyDescent="0.2"/>
  <cols>
    <col min="1" max="1" width="27.83203125" style="1" customWidth="1"/>
    <col min="2" max="2" width="3.83203125" customWidth="1"/>
    <col min="3" max="31" width="8.83203125" customWidth="1"/>
    <col min="32" max="16384" width="8.83203125" hidden="1"/>
  </cols>
  <sheetData>
    <row r="1" spans="1:3" s="3" customFormat="1" ht="33.75" customHeight="1" x14ac:dyDescent="0.3">
      <c r="A1" s="56"/>
      <c r="C1" s="4" t="s">
        <v>37</v>
      </c>
    </row>
    <row r="2" spans="1:3" s="3" customFormat="1" ht="21.5" customHeight="1" x14ac:dyDescent="0.2">
      <c r="A2" s="1"/>
    </row>
    <row r="3" spans="1:3" s="3" customFormat="1" ht="21.5" customHeight="1" x14ac:dyDescent="0.2">
      <c r="A3" s="1"/>
    </row>
    <row r="4" spans="1:3" ht="30" customHeight="1" x14ac:dyDescent="0.2"/>
    <row r="5" spans="1:3" ht="30" customHeight="1" x14ac:dyDescent="0.2"/>
    <row r="6" spans="1:3" ht="30" customHeight="1" x14ac:dyDescent="0.2"/>
    <row r="7" spans="1:3" ht="30" customHeight="1" x14ac:dyDescent="0.2"/>
    <row r="8" spans="1:3" ht="30" customHeight="1" x14ac:dyDescent="0.2"/>
    <row r="9" spans="1:3" ht="30" customHeight="1" x14ac:dyDescent="0.2"/>
    <row r="10" spans="1:3" ht="30" customHeight="1" x14ac:dyDescent="0.2"/>
    <row r="11" spans="1:3" ht="30" customHeight="1" x14ac:dyDescent="0.2"/>
    <row r="12" spans="1:3" ht="30" customHeight="1" x14ac:dyDescent="0.2"/>
    <row r="13" spans="1:3" ht="30" customHeight="1" x14ac:dyDescent="0.2"/>
    <row r="14" spans="1:3" ht="30" customHeight="1" x14ac:dyDescent="0.2"/>
    <row r="15" spans="1:3" ht="30" customHeight="1" x14ac:dyDescent="0.2"/>
    <row r="16" spans="1:3" ht="30" customHeight="1" x14ac:dyDescent="0.2"/>
    <row r="17" ht="30" customHeight="1" x14ac:dyDescent="0.2"/>
    <row r="18" ht="30" customHeight="1" x14ac:dyDescent="0.2"/>
    <row r="19" ht="30" customHeight="1" x14ac:dyDescent="0.2"/>
    <row r="20" ht="30" customHeight="1" x14ac:dyDescent="0.2"/>
    <row r="21" ht="30" customHeight="1" x14ac:dyDescent="0.2"/>
    <row r="22" ht="30" customHeight="1" x14ac:dyDescent="0.2"/>
    <row r="23" ht="30" customHeight="1" x14ac:dyDescent="0.2"/>
    <row r="24" ht="30" customHeight="1" x14ac:dyDescent="0.2"/>
    <row r="25" ht="30" customHeight="1" x14ac:dyDescent="0.2"/>
    <row r="26" ht="30" customHeight="1" x14ac:dyDescent="0.2"/>
    <row r="27" ht="30" customHeight="1" x14ac:dyDescent="0.2"/>
    <row r="28" ht="30" customHeight="1" x14ac:dyDescent="0.2"/>
    <row r="29" ht="30" customHeight="1" x14ac:dyDescent="0.2"/>
    <row r="30" ht="30" customHeight="1" x14ac:dyDescent="0.2"/>
    <row r="31" ht="30" customHeight="1" x14ac:dyDescent="0.2"/>
    <row r="32" ht="30" customHeight="1" x14ac:dyDescent="0.2"/>
    <row r="33" ht="30" customHeight="1" x14ac:dyDescent="0.2"/>
    <row r="34" ht="30" customHeight="1" x14ac:dyDescent="0.2"/>
    <row r="35" ht="30" customHeight="1" x14ac:dyDescent="0.2"/>
    <row r="36" ht="30" customHeight="1" x14ac:dyDescent="0.2"/>
    <row r="37" ht="30" hidden="1" customHeight="1" x14ac:dyDescent="0.2"/>
    <row r="38" ht="30" hidden="1" customHeight="1" x14ac:dyDescent="0.2"/>
    <row r="39" ht="30" hidden="1" customHeight="1" x14ac:dyDescent="0.2"/>
    <row r="40" ht="30" hidden="1" customHeight="1" x14ac:dyDescent="0.2"/>
    <row r="41" ht="30" hidden="1" customHeight="1" x14ac:dyDescent="0.2"/>
    <row r="42" ht="30" hidden="1" customHeight="1" x14ac:dyDescent="0.2"/>
    <row r="43" ht="30" hidden="1" customHeight="1" x14ac:dyDescent="0.2"/>
    <row r="44" ht="30" hidden="1" customHeight="1" x14ac:dyDescent="0.2"/>
    <row r="45" ht="30" hidden="1" customHeight="1" x14ac:dyDescent="0.2"/>
    <row r="46" ht="30" hidden="1" customHeight="1" x14ac:dyDescent="0.2"/>
    <row r="47" ht="30" hidden="1" customHeight="1" x14ac:dyDescent="0.2"/>
    <row r="48" ht="30" hidden="1" customHeight="1" x14ac:dyDescent="0.2"/>
    <row r="49" ht="30" hidden="1" customHeight="1" x14ac:dyDescent="0.2"/>
    <row r="50" ht="30" hidden="1" customHeight="1" x14ac:dyDescent="0.2"/>
    <row r="51" ht="30" hidden="1" customHeight="1" x14ac:dyDescent="0.2"/>
    <row r="52" ht="30" hidden="1" customHeight="1" x14ac:dyDescent="0.2"/>
    <row r="53" ht="30" hidden="1" customHeight="1" x14ac:dyDescent="0.2"/>
    <row r="54" ht="30" hidden="1" customHeight="1" x14ac:dyDescent="0.2"/>
    <row r="55" ht="30" hidden="1" customHeight="1" x14ac:dyDescent="0.2"/>
    <row r="56" ht="30" hidden="1" customHeight="1" x14ac:dyDescent="0.2"/>
    <row r="57" ht="30" hidden="1" customHeight="1" x14ac:dyDescent="0.2"/>
    <row r="58" ht="30" hidden="1" customHeight="1" x14ac:dyDescent="0.2"/>
    <row r="59" ht="30" hidden="1" customHeight="1" x14ac:dyDescent="0.2"/>
    <row r="60" ht="30" hidden="1" customHeight="1" x14ac:dyDescent="0.2"/>
    <row r="61" ht="30" hidden="1" customHeight="1" x14ac:dyDescent="0.2"/>
    <row r="62" ht="30" hidden="1" customHeight="1" x14ac:dyDescent="0.2"/>
    <row r="63" ht="30" hidden="1" customHeight="1" x14ac:dyDescent="0.2"/>
    <row r="64" ht="30" hidden="1" customHeight="1" x14ac:dyDescent="0.2"/>
    <row r="65" ht="30" hidden="1" customHeight="1" x14ac:dyDescent="0.2"/>
    <row r="66" ht="30" hidden="1" customHeight="1" x14ac:dyDescent="0.2"/>
    <row r="67" ht="30" hidden="1" customHeight="1" x14ac:dyDescent="0.2"/>
    <row r="68" ht="30" hidden="1" customHeight="1" x14ac:dyDescent="0.2"/>
    <row r="69" ht="30" hidden="1" customHeight="1" x14ac:dyDescent="0.2"/>
    <row r="70" ht="30" hidden="1" customHeight="1" x14ac:dyDescent="0.2"/>
    <row r="71" ht="30" hidden="1" customHeight="1" x14ac:dyDescent="0.2"/>
    <row r="72" ht="30" hidden="1" customHeight="1" x14ac:dyDescent="0.2"/>
    <row r="73" ht="30" hidden="1" customHeight="1" x14ac:dyDescent="0.2"/>
    <row r="74" ht="30" hidden="1" customHeight="1" x14ac:dyDescent="0.2"/>
    <row r="75" ht="30" hidden="1" customHeight="1" x14ac:dyDescent="0.2"/>
    <row r="76" ht="30" hidden="1" customHeight="1" x14ac:dyDescent="0.2"/>
    <row r="77" ht="30" hidden="1" customHeight="1" x14ac:dyDescent="0.2"/>
    <row r="78" ht="30" hidden="1" customHeight="1" x14ac:dyDescent="0.2"/>
    <row r="79" ht="30" hidden="1" customHeight="1" x14ac:dyDescent="0.2"/>
    <row r="80" ht="30" hidden="1" customHeight="1" x14ac:dyDescent="0.2"/>
    <row r="81" ht="30" hidden="1" customHeight="1" x14ac:dyDescent="0.2"/>
    <row r="82" ht="30" hidden="1" customHeight="1" x14ac:dyDescent="0.2"/>
    <row r="83" ht="30" hidden="1" customHeight="1" x14ac:dyDescent="0.2"/>
    <row r="84" ht="30" hidden="1" customHeight="1" x14ac:dyDescent="0.2"/>
    <row r="85" ht="30" hidden="1" customHeight="1" x14ac:dyDescent="0.2"/>
    <row r="86" ht="30" hidden="1" customHeight="1" x14ac:dyDescent="0.2"/>
    <row r="87" ht="30" hidden="1" customHeight="1" x14ac:dyDescent="0.2"/>
    <row r="88" ht="30" hidden="1" customHeight="1" x14ac:dyDescent="0.2"/>
    <row r="89" ht="30" hidden="1" customHeight="1" x14ac:dyDescent="0.2"/>
    <row r="90" ht="30" hidden="1" customHeight="1" x14ac:dyDescent="0.2"/>
    <row r="91" ht="30" hidden="1" customHeight="1" x14ac:dyDescent="0.2"/>
    <row r="92" ht="30" hidden="1" customHeight="1" x14ac:dyDescent="0.2"/>
    <row r="93" ht="30" hidden="1" customHeight="1" x14ac:dyDescent="0.2"/>
    <row r="94" ht="30" hidden="1" customHeight="1" x14ac:dyDescent="0.2"/>
    <row r="95" ht="30" hidden="1" customHeight="1" x14ac:dyDescent="0.2"/>
    <row r="96" ht="30" hidden="1" customHeight="1" x14ac:dyDescent="0.2"/>
    <row r="97" ht="30" hidden="1" customHeight="1" x14ac:dyDescent="0.2"/>
    <row r="98" ht="30" hidden="1" customHeight="1" x14ac:dyDescent="0.2"/>
    <row r="99" ht="30" hidden="1" customHeight="1" x14ac:dyDescent="0.2"/>
    <row r="100" ht="30" hidden="1" customHeight="1" x14ac:dyDescent="0.2"/>
  </sheetData>
  <sheetProtection sheet="1" objects="1" scenarios="1"/>
  <printOptions verticalCentered="1"/>
  <pageMargins left="0.25" right="0.25" top="0.984251969" bottom="0.984251969" header="0.3" footer="0.3"/>
  <pageSetup paperSize="9" scale="89" orientation="landscape" horizontalDpi="4294967293"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46</vt:i4>
      </vt:variant>
    </vt:vector>
  </HeadingPairs>
  <TitlesOfParts>
    <vt:vector size="46" baseType="lpstr">
      <vt:lpstr>Ini</vt:lpstr>
      <vt:lpstr>P Gerais</vt:lpstr>
      <vt:lpstr>Departamentos</vt:lpstr>
      <vt:lpstr>Funcionários</vt:lpstr>
      <vt:lpstr>Jornada</vt:lpstr>
      <vt:lpstr>Lanç</vt:lpstr>
      <vt:lpstr>Lanç (2)</vt:lpstr>
      <vt:lpstr>Lanç (3)</vt:lpstr>
      <vt:lpstr>Lanç (4)</vt:lpstr>
      <vt:lpstr>Lanç (5)</vt:lpstr>
      <vt:lpstr>Lanç (6)</vt:lpstr>
      <vt:lpstr>Lanç (7)</vt:lpstr>
      <vt:lpstr>Lanç (8)</vt:lpstr>
      <vt:lpstr>Lanç (9)</vt:lpstr>
      <vt:lpstr>Lanç (10)</vt:lpstr>
      <vt:lpstr>Lanç (11)</vt:lpstr>
      <vt:lpstr>Lanç (12)</vt:lpstr>
      <vt:lpstr>Lanç (13)</vt:lpstr>
      <vt:lpstr>Lanç (14)</vt:lpstr>
      <vt:lpstr>Lanç (15)</vt:lpstr>
      <vt:lpstr>Lanç (16)</vt:lpstr>
      <vt:lpstr>Lanç (17)</vt:lpstr>
      <vt:lpstr>Lanç (18)</vt:lpstr>
      <vt:lpstr>Lanç (19)</vt:lpstr>
      <vt:lpstr>Lanç (20)</vt:lpstr>
      <vt:lpstr>Lanç (21)</vt:lpstr>
      <vt:lpstr>Lanç (22)</vt:lpstr>
      <vt:lpstr>Lanç (23)</vt:lpstr>
      <vt:lpstr>Lanç (24)</vt:lpstr>
      <vt:lpstr>Lanç (25)</vt:lpstr>
      <vt:lpstr>Lanç (26)</vt:lpstr>
      <vt:lpstr>Lanç (27)</vt:lpstr>
      <vt:lpstr>Lanç (28)</vt:lpstr>
      <vt:lpstr>Lanç (29)</vt:lpstr>
      <vt:lpstr>Lanç (30)</vt:lpstr>
      <vt:lpstr>Resul</vt:lpstr>
      <vt:lpstr>Geral</vt:lpstr>
      <vt:lpstr>ResÁrea</vt:lpstr>
      <vt:lpstr>Gra</vt:lpstr>
      <vt:lpstr>GrÁrea</vt:lpstr>
      <vt:lpstr>Ale</vt:lpstr>
      <vt:lpstr>Rel</vt:lpstr>
      <vt:lpstr>Fol</vt:lpstr>
      <vt:lpstr>Dúvidas</vt:lpstr>
      <vt:lpstr>Sugestões</vt:lpstr>
      <vt:lpstr>Sobre a LUZ</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Fernand6</dc:creator>
  <cp:lastModifiedBy>Ruy França</cp:lastModifiedBy>
  <cp:lastPrinted>2016-06-01T13:53:16Z</cp:lastPrinted>
  <dcterms:created xsi:type="dcterms:W3CDTF">2014-08-23T07:21:08Z</dcterms:created>
  <dcterms:modified xsi:type="dcterms:W3CDTF">2017-07-27T18:13:40Z</dcterms:modified>
</cp:coreProperties>
</file>