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0650" yWindow="-120" windowWidth="7680" windowHeight="8895" tabRatio="927" firstSheet="1" activeTab="4"/>
  </bookViews>
  <sheets>
    <sheet name="LOT" sheetId="1" r:id="rId1"/>
    <sheet name="Dem-Bat" sheetId="31" r:id="rId2"/>
    <sheet name="Dem-Rec" sheetId="2" r:id="rId3"/>
    <sheet name="Gr-Pds-F" sheetId="17" r:id="rId4"/>
    <sheet name="Gr-Pds-M" sheetId="18" r:id="rId5"/>
    <sheet name="Prod-Bat" sheetId="32" r:id="rId6"/>
    <sheet name="Prod-Rec" sheetId="13" r:id="rId7"/>
    <sheet name="Pon-Bat" sheetId="33" r:id="rId8"/>
    <sheet name="Oeuf-Bat%" sheetId="34" r:id="rId9"/>
    <sheet name="Gr-Prod-F" sheetId="19" r:id="rId10"/>
    <sheet name="Gr-Prod-M" sheetId="20" r:id="rId11"/>
    <sheet name="Gr-Mort" sheetId="29" r:id="rId12"/>
    <sheet name="Pon-Rec" sheetId="14" r:id="rId13"/>
    <sheet name="Inc" sheetId="16" r:id="rId14"/>
    <sheet name="Gr-Pon" sheetId="23" r:id="rId15"/>
    <sheet name="Gr-Pds-Oef" sheetId="22" r:id="rId16"/>
    <sheet name="Gr-M-Rat" sheetId="30" r:id="rId17"/>
    <sheet name="Gr-Oef-Pous" sheetId="26" r:id="rId18"/>
    <sheet name="Aliment" sheetId="27" r:id="rId19"/>
    <sheet name="Lumiere" sheetId="15" r:id="rId20"/>
    <sheet name="Visit" sheetId="25" r:id="rId21"/>
  </sheets>
  <definedNames>
    <definedName name="ACwvu.TITLES." localSheetId="0" hidden="1">LOT!$A$3</definedName>
    <definedName name="FARM">#REF!</definedName>
    <definedName name="_xlnm.Print_Titles" localSheetId="18">Aliment!$1:$9</definedName>
    <definedName name="_xlnm.Print_Titles" localSheetId="13">Inc!$1:$6</definedName>
    <definedName name="_xlnm.Print_Titles" localSheetId="12">'Pon-Rec'!$1:$6</definedName>
    <definedName name="_xlnm.Print_Titles" localSheetId="6">'Prod-Rec'!$1:$7</definedName>
    <definedName name="_xlnm.Print_Titles" localSheetId="20">Visit!$1:$4</definedName>
    <definedName name="Swvu.TITLES." localSheetId="0" hidden="1">LOT!$A$3</definedName>
    <definedName name="wvu.TITLES." localSheetId="0" hidden="1">{TRUE,TRUE,-1.25,-15.5,484.5,253.5,FALSE,TRUE,TRUE,TRUE,0,1,#N/A,1,#N/A,2.01769911504425,14.4166666666667,1,FALSE,FALSE,3,TRUE,1,FALSE,70,"Swvu.TITLES.","ACwvu.TITLES.",#N/A,FALSE,FALSE,0.75,0.75,1,1,1,"&amp;CFLOCK REPORT","Prepared by LIONEL HALLS &amp;D&amp;RPage &amp;P",FALSE,FALSE,FALSE,FALSE,1,#N/A,1,1,FALSE,FALSE,#N/A,#N/A,FALSE,FALSE,FALSE,9,180,180,FALSE,FALSE,TRUE,TRUE,TRUE}</definedName>
    <definedName name="_xlnm.Print_Area" localSheetId="18">Aliment!$A$10:$L$80</definedName>
    <definedName name="_xlnm.Print_Area" localSheetId="2">'Dem-Rec'!$A$1:$R$29</definedName>
    <definedName name="_xlnm.Print_Area" localSheetId="13">Inc!$A$7:$P$59</definedName>
    <definedName name="_xlnm.Print_Area" localSheetId="0">LOT!$A$1:$H$41</definedName>
    <definedName name="_xlnm.Print_Area" localSheetId="12">'Pon-Rec'!$A$1:$Q$60</definedName>
    <definedName name="_xlnm.Print_Area" localSheetId="6">'Prod-Rec'!$A$1:$P$61</definedName>
    <definedName name="_xlnm.Print_Area" localSheetId="20">Visit!$A$1:$J$99</definedName>
  </definedNames>
  <calcPr calcId="145621"/>
  <customWorkbookViews>
    <customWorkbookView name="TITLES (TITLE)" guid="{C68E5F61-A3F5-11D2-8BB4-0080C77DE7BF}" maximized="1" xWindow="2" yWindow="2" windowWidth="636" windowHeight="309" tabRatio="949" activeSheetId="1"/>
  </customWorkbookViews>
</workbook>
</file>

<file path=xl/calcChain.xml><?xml version="1.0" encoding="utf-8"?>
<calcChain xmlns="http://schemas.openxmlformats.org/spreadsheetml/2006/main">
  <c r="BB9" i="31" l="1"/>
  <c r="BC9" i="31"/>
  <c r="BD9" i="31"/>
  <c r="BB10" i="31"/>
  <c r="BC10" i="31"/>
  <c r="BD10" i="31"/>
  <c r="BB11" i="31"/>
  <c r="BC11" i="31"/>
  <c r="BD11" i="31"/>
  <c r="BB12" i="31"/>
  <c r="BC12" i="31"/>
  <c r="BD12" i="31"/>
  <c r="BB13" i="31"/>
  <c r="BC13" i="31"/>
  <c r="BD13" i="31"/>
  <c r="BB14" i="31"/>
  <c r="BC14" i="31"/>
  <c r="BD14" i="31"/>
  <c r="BB15" i="31"/>
  <c r="BC15" i="31"/>
  <c r="BD15" i="31"/>
  <c r="BB16" i="31"/>
  <c r="BC16" i="31"/>
  <c r="BD16" i="31"/>
  <c r="BB17" i="31"/>
  <c r="BC17" i="31"/>
  <c r="BD17" i="31"/>
  <c r="BB18" i="31"/>
  <c r="BC18" i="31"/>
  <c r="BD18" i="31"/>
  <c r="BB19" i="31"/>
  <c r="BC19" i="31"/>
  <c r="BD19" i="31"/>
  <c r="BB20" i="31"/>
  <c r="BC20" i="31"/>
  <c r="BD20" i="31"/>
  <c r="BB21" i="31"/>
  <c r="BC21" i="31"/>
  <c r="BD21" i="31"/>
  <c r="BB22" i="31"/>
  <c r="BC22" i="31"/>
  <c r="BD22" i="31"/>
  <c r="BB23" i="31"/>
  <c r="BC23" i="31"/>
  <c r="BD23" i="31"/>
  <c r="BB24" i="31"/>
  <c r="BC24" i="31"/>
  <c r="BD24" i="31"/>
  <c r="BB25" i="31"/>
  <c r="BC25" i="31"/>
  <c r="BD25" i="31"/>
  <c r="BB26" i="31"/>
  <c r="BC26" i="31"/>
  <c r="BD26" i="31"/>
  <c r="BB27" i="31"/>
  <c r="BC27" i="31"/>
  <c r="BD27" i="31"/>
  <c r="BB28" i="31"/>
  <c r="BC28" i="31"/>
  <c r="BD28" i="31"/>
  <c r="BB29" i="31"/>
  <c r="BC29" i="31"/>
  <c r="BD29" i="31"/>
  <c r="BD8" i="31"/>
  <c r="BC8" i="31"/>
  <c r="BB8" i="31"/>
  <c r="AA9" i="31"/>
  <c r="AB9" i="31"/>
  <c r="AC9" i="31"/>
  <c r="AA10" i="31"/>
  <c r="AB10" i="31"/>
  <c r="AC10" i="31"/>
  <c r="AA11" i="31"/>
  <c r="AB11" i="31"/>
  <c r="AC11" i="31"/>
  <c r="AA12" i="31"/>
  <c r="AB12" i="31"/>
  <c r="AC12" i="31"/>
  <c r="AA13" i="31"/>
  <c r="AB13" i="31"/>
  <c r="AC13" i="31"/>
  <c r="AA14" i="31"/>
  <c r="AB14" i="31"/>
  <c r="AC14" i="31"/>
  <c r="AA15" i="31"/>
  <c r="AB15" i="31"/>
  <c r="AC15" i="31"/>
  <c r="AA16" i="31"/>
  <c r="AB16" i="31"/>
  <c r="AC16" i="31"/>
  <c r="AA17" i="31"/>
  <c r="AB17" i="31"/>
  <c r="AC17" i="31"/>
  <c r="AA18" i="31"/>
  <c r="AB18" i="31"/>
  <c r="AC18" i="31"/>
  <c r="AA19" i="31"/>
  <c r="AB19" i="31"/>
  <c r="AC19" i="31"/>
  <c r="AA20" i="31"/>
  <c r="AB20" i="31"/>
  <c r="AC20" i="31"/>
  <c r="AA21" i="31"/>
  <c r="AB21" i="31"/>
  <c r="AC21" i="31"/>
  <c r="AA22" i="31"/>
  <c r="AB22" i="31"/>
  <c r="AC22" i="31"/>
  <c r="AA23" i="31"/>
  <c r="AB23" i="31"/>
  <c r="F23" i="2" s="1"/>
  <c r="AC23" i="31"/>
  <c r="AA24" i="31"/>
  <c r="AB24" i="31"/>
  <c r="F24" i="2" s="1"/>
  <c r="AC24" i="31"/>
  <c r="H24" i="2" s="1"/>
  <c r="AA25" i="31"/>
  <c r="AB25" i="31"/>
  <c r="F25" i="2" s="1"/>
  <c r="AC25" i="31"/>
  <c r="H25" i="2" s="1"/>
  <c r="AA26" i="31"/>
  <c r="AB26" i="31"/>
  <c r="AC26" i="31"/>
  <c r="AA27" i="31"/>
  <c r="AB27" i="31"/>
  <c r="AC27" i="31"/>
  <c r="AA28" i="31"/>
  <c r="AB28" i="31"/>
  <c r="AC28" i="31"/>
  <c r="AA29" i="31"/>
  <c r="C29" i="2" s="1"/>
  <c r="AB29" i="31"/>
  <c r="AC29" i="31"/>
  <c r="AC8" i="31"/>
  <c r="AB8" i="31"/>
  <c r="AA8" i="31"/>
  <c r="K2" i="13"/>
  <c r="N13" i="13" l="1"/>
  <c r="F4" i="1"/>
  <c r="BU56" i="32"/>
  <c r="BU55" i="32"/>
  <c r="L54" i="13" s="1"/>
  <c r="BU54" i="32"/>
  <c r="L53" i="13" s="1"/>
  <c r="BU53" i="32"/>
  <c r="L52" i="13" s="1"/>
  <c r="BU52" i="32"/>
  <c r="BU51" i="32"/>
  <c r="L50" i="13" s="1"/>
  <c r="BU50" i="32"/>
  <c r="BU49" i="32"/>
  <c r="BU48" i="32"/>
  <c r="BU47" i="32"/>
  <c r="L46" i="13" s="1"/>
  <c r="BU46" i="32"/>
  <c r="L45" i="13" s="1"/>
  <c r="BU45" i="32"/>
  <c r="BU44" i="32"/>
  <c r="BU43" i="32"/>
  <c r="L42" i="13" s="1"/>
  <c r="BU42" i="32"/>
  <c r="L41" i="13" s="1"/>
  <c r="BU41" i="32"/>
  <c r="BU40" i="32"/>
  <c r="BU39" i="32"/>
  <c r="L38" i="13" s="1"/>
  <c r="BU38" i="32"/>
  <c r="BU37" i="32"/>
  <c r="BU36" i="32"/>
  <c r="L35" i="13" s="1"/>
  <c r="BU35" i="32"/>
  <c r="L34" i="13" s="1"/>
  <c r="BU34" i="32"/>
  <c r="L33" i="13" s="1"/>
  <c r="BU33" i="32"/>
  <c r="L32" i="13" s="1"/>
  <c r="BU32" i="32"/>
  <c r="BU31" i="32"/>
  <c r="L30" i="13" s="1"/>
  <c r="BU30" i="32"/>
  <c r="L29" i="13" s="1"/>
  <c r="BU29" i="32"/>
  <c r="BU28" i="32"/>
  <c r="L27" i="13" s="1"/>
  <c r="BU27" i="32"/>
  <c r="L26" i="13" s="1"/>
  <c r="BU26" i="32"/>
  <c r="L25" i="13" s="1"/>
  <c r="BU25" i="32"/>
  <c r="L24" i="13" s="1"/>
  <c r="BU24" i="32"/>
  <c r="BU23" i="32"/>
  <c r="L22" i="13" s="1"/>
  <c r="BU22" i="32"/>
  <c r="L21" i="13" s="1"/>
  <c r="BU21" i="32"/>
  <c r="BU20" i="32"/>
  <c r="L19" i="13" s="1"/>
  <c r="BU19" i="32"/>
  <c r="L18" i="13" s="1"/>
  <c r="BU18" i="32"/>
  <c r="L17" i="13" s="1"/>
  <c r="BU17" i="32"/>
  <c r="L16" i="13" s="1"/>
  <c r="BU16" i="32"/>
  <c r="BU15" i="32"/>
  <c r="L14" i="13" s="1"/>
  <c r="BU14" i="32"/>
  <c r="L13" i="13" s="1"/>
  <c r="BU13" i="32"/>
  <c r="BU12" i="32"/>
  <c r="BU11" i="32"/>
  <c r="BU10" i="32"/>
  <c r="BU9" i="32"/>
  <c r="AN56" i="32"/>
  <c r="F55" i="13" s="1"/>
  <c r="AN55" i="32"/>
  <c r="F54" i="13" s="1"/>
  <c r="AN54" i="32"/>
  <c r="F53" i="13" s="1"/>
  <c r="AN53" i="32"/>
  <c r="F52" i="13" s="1"/>
  <c r="AN52" i="32"/>
  <c r="F51" i="13" s="1"/>
  <c r="AN51" i="32"/>
  <c r="F50" i="13" s="1"/>
  <c r="AN50" i="32"/>
  <c r="F49" i="13" s="1"/>
  <c r="AN49" i="32"/>
  <c r="F48" i="13" s="1"/>
  <c r="AN48" i="32"/>
  <c r="F47" i="13" s="1"/>
  <c r="AN47" i="32"/>
  <c r="F46" i="13" s="1"/>
  <c r="AN46" i="32"/>
  <c r="F45" i="13" s="1"/>
  <c r="AN45" i="32"/>
  <c r="F44" i="13" s="1"/>
  <c r="AN44" i="32"/>
  <c r="F43" i="13" s="1"/>
  <c r="AN43" i="32"/>
  <c r="F42" i="13" s="1"/>
  <c r="AN42" i="32"/>
  <c r="F41" i="13" s="1"/>
  <c r="AN41" i="32"/>
  <c r="F40" i="13" s="1"/>
  <c r="AN40" i="32"/>
  <c r="F39" i="13" s="1"/>
  <c r="AN39" i="32"/>
  <c r="F38" i="13" s="1"/>
  <c r="AN38" i="32"/>
  <c r="F37" i="13" s="1"/>
  <c r="AN37" i="32"/>
  <c r="F36" i="13" s="1"/>
  <c r="AN36" i="32"/>
  <c r="F35" i="13" s="1"/>
  <c r="AN35" i="32"/>
  <c r="F34" i="13" s="1"/>
  <c r="AN34" i="32"/>
  <c r="F33" i="13" s="1"/>
  <c r="AN33" i="32"/>
  <c r="F32" i="13" s="1"/>
  <c r="AN32" i="32"/>
  <c r="F31" i="13" s="1"/>
  <c r="AN31" i="32"/>
  <c r="F30" i="13" s="1"/>
  <c r="AN30" i="32"/>
  <c r="F29" i="13" s="1"/>
  <c r="AN29" i="32"/>
  <c r="F28" i="13" s="1"/>
  <c r="AN28" i="32"/>
  <c r="F27" i="13" s="1"/>
  <c r="AN27" i="32"/>
  <c r="F26" i="13" s="1"/>
  <c r="AN26" i="32"/>
  <c r="F25" i="13" s="1"/>
  <c r="AN25" i="32"/>
  <c r="F24" i="13" s="1"/>
  <c r="AN24" i="32"/>
  <c r="F23" i="13" s="1"/>
  <c r="AN23" i="32"/>
  <c r="F22" i="13" s="1"/>
  <c r="AN22" i="32"/>
  <c r="F21" i="13" s="1"/>
  <c r="AN21" i="32"/>
  <c r="F20" i="13" s="1"/>
  <c r="AN20" i="32"/>
  <c r="F19" i="13" s="1"/>
  <c r="AN19" i="32"/>
  <c r="F18" i="13" s="1"/>
  <c r="AN18" i="32"/>
  <c r="F17" i="13" s="1"/>
  <c r="AN17" i="32"/>
  <c r="F16" i="13" s="1"/>
  <c r="AN16" i="32"/>
  <c r="F15" i="13" s="1"/>
  <c r="AN15" i="32"/>
  <c r="F14" i="13" s="1"/>
  <c r="AN14" i="32"/>
  <c r="F13" i="13" s="1"/>
  <c r="AN13" i="32"/>
  <c r="AN12" i="32"/>
  <c r="AN11" i="32"/>
  <c r="AN10" i="32"/>
  <c r="AN9" i="32"/>
  <c r="BV56" i="32"/>
  <c r="N55" i="13" s="1"/>
  <c r="BV55" i="32"/>
  <c r="N54" i="13" s="1"/>
  <c r="BV54" i="32"/>
  <c r="N53" i="13" s="1"/>
  <c r="BV53" i="32"/>
  <c r="N52" i="13" s="1"/>
  <c r="BV52" i="32"/>
  <c r="N51" i="13" s="1"/>
  <c r="BV51" i="32"/>
  <c r="N50" i="13" s="1"/>
  <c r="BV50" i="32"/>
  <c r="N49" i="13" s="1"/>
  <c r="BV49" i="32"/>
  <c r="N48" i="13" s="1"/>
  <c r="BV48" i="32"/>
  <c r="N47" i="13" s="1"/>
  <c r="BV47" i="32"/>
  <c r="N46" i="13" s="1"/>
  <c r="BV46" i="32"/>
  <c r="N45" i="13" s="1"/>
  <c r="BV45" i="32"/>
  <c r="N44" i="13" s="1"/>
  <c r="BV44" i="32"/>
  <c r="N43" i="13" s="1"/>
  <c r="BV43" i="32"/>
  <c r="N42" i="13" s="1"/>
  <c r="BV42" i="32"/>
  <c r="N41" i="13" s="1"/>
  <c r="BV41" i="32"/>
  <c r="N40" i="13" s="1"/>
  <c r="BV40" i="32"/>
  <c r="N39" i="13" s="1"/>
  <c r="BV39" i="32"/>
  <c r="N38" i="13" s="1"/>
  <c r="BV38" i="32"/>
  <c r="N37" i="13" s="1"/>
  <c r="BV37" i="32"/>
  <c r="N36" i="13" s="1"/>
  <c r="BV36" i="32"/>
  <c r="N35" i="13" s="1"/>
  <c r="BV35" i="32"/>
  <c r="N34" i="13" s="1"/>
  <c r="BV34" i="32"/>
  <c r="N33" i="13" s="1"/>
  <c r="BV33" i="32"/>
  <c r="N32" i="13" s="1"/>
  <c r="BV32" i="32"/>
  <c r="N31" i="13" s="1"/>
  <c r="BV31" i="32"/>
  <c r="N30" i="13" s="1"/>
  <c r="BV30" i="32"/>
  <c r="N29" i="13" s="1"/>
  <c r="BV29" i="32"/>
  <c r="N28" i="13" s="1"/>
  <c r="BV28" i="32"/>
  <c r="N27" i="13" s="1"/>
  <c r="BV27" i="32"/>
  <c r="N26" i="13" s="1"/>
  <c r="BV26" i="32"/>
  <c r="N25" i="13" s="1"/>
  <c r="BV25" i="32"/>
  <c r="N24" i="13" s="1"/>
  <c r="BV24" i="32"/>
  <c r="N23" i="13" s="1"/>
  <c r="BV23" i="32"/>
  <c r="N22" i="13" s="1"/>
  <c r="BV22" i="32"/>
  <c r="N21" i="13" s="1"/>
  <c r="BV21" i="32"/>
  <c r="N20" i="13" s="1"/>
  <c r="BV20" i="32"/>
  <c r="N19" i="13" s="1"/>
  <c r="BV19" i="32"/>
  <c r="N18" i="13" s="1"/>
  <c r="BV18" i="32"/>
  <c r="N17" i="13" s="1"/>
  <c r="BV17" i="32"/>
  <c r="N16" i="13" s="1"/>
  <c r="BV16" i="32"/>
  <c r="N15" i="13" s="1"/>
  <c r="BV15" i="32"/>
  <c r="N14" i="13" s="1"/>
  <c r="BV14" i="32"/>
  <c r="BV13" i="32"/>
  <c r="BV12" i="32"/>
  <c r="BV11" i="32"/>
  <c r="BV10" i="32"/>
  <c r="BV9" i="32"/>
  <c r="AO56" i="32"/>
  <c r="AO55" i="32"/>
  <c r="H54" i="13" s="1"/>
  <c r="T54" i="13" s="1"/>
  <c r="U54" i="13" s="1"/>
  <c r="AO54" i="32"/>
  <c r="H53" i="13" s="1"/>
  <c r="T53" i="13" s="1"/>
  <c r="U53" i="13" s="1"/>
  <c r="AO53" i="32"/>
  <c r="H52" i="13" s="1"/>
  <c r="T52" i="13" s="1"/>
  <c r="U52" i="13" s="1"/>
  <c r="AO52" i="32"/>
  <c r="H51" i="13" s="1"/>
  <c r="T51" i="13" s="1"/>
  <c r="U51" i="13" s="1"/>
  <c r="AO51" i="32"/>
  <c r="H50" i="13" s="1"/>
  <c r="T50" i="13" s="1"/>
  <c r="U50" i="13" s="1"/>
  <c r="AO50" i="32"/>
  <c r="AO49" i="32"/>
  <c r="H48" i="13" s="1"/>
  <c r="T48" i="13" s="1"/>
  <c r="U48" i="13" s="1"/>
  <c r="AO48" i="32"/>
  <c r="AO47" i="32"/>
  <c r="AO46" i="32"/>
  <c r="H45" i="13" s="1"/>
  <c r="T45" i="13" s="1"/>
  <c r="U45" i="13" s="1"/>
  <c r="AO45" i="32"/>
  <c r="H44" i="13" s="1"/>
  <c r="T44" i="13" s="1"/>
  <c r="U44" i="13" s="1"/>
  <c r="AO44" i="32"/>
  <c r="AO43" i="32"/>
  <c r="AO42" i="32"/>
  <c r="H41" i="13" s="1"/>
  <c r="T41" i="13" s="1"/>
  <c r="U41" i="13" s="1"/>
  <c r="AO41" i="32"/>
  <c r="AO40" i="32"/>
  <c r="AO39" i="32"/>
  <c r="H38" i="13" s="1"/>
  <c r="T38" i="13" s="1"/>
  <c r="U38" i="13" s="1"/>
  <c r="AO38" i="32"/>
  <c r="H37" i="13" s="1"/>
  <c r="T37" i="13" s="1"/>
  <c r="U37" i="13" s="1"/>
  <c r="AO37" i="32"/>
  <c r="H36" i="13" s="1"/>
  <c r="T36" i="13" s="1"/>
  <c r="U36" i="13" s="1"/>
  <c r="AO36" i="32"/>
  <c r="H35" i="13" s="1"/>
  <c r="T35" i="13" s="1"/>
  <c r="U35" i="13" s="1"/>
  <c r="AO35" i="32"/>
  <c r="AO34" i="32"/>
  <c r="AO33" i="32"/>
  <c r="AO32" i="32"/>
  <c r="H31" i="13" s="1"/>
  <c r="T31" i="13" s="1"/>
  <c r="U31" i="13" s="1"/>
  <c r="AO31" i="32"/>
  <c r="AO30" i="32"/>
  <c r="H29" i="13" s="1"/>
  <c r="T29" i="13" s="1"/>
  <c r="U29" i="13" s="1"/>
  <c r="AO29" i="32"/>
  <c r="H28" i="13" s="1"/>
  <c r="T28" i="13" s="1"/>
  <c r="U28" i="13" s="1"/>
  <c r="AO28" i="32"/>
  <c r="AO27" i="32"/>
  <c r="AO26" i="32"/>
  <c r="AO25" i="32"/>
  <c r="H24" i="13" s="1"/>
  <c r="T24" i="13" s="1"/>
  <c r="U24" i="13" s="1"/>
  <c r="AO24" i="32"/>
  <c r="H23" i="13" s="1"/>
  <c r="T23" i="13" s="1"/>
  <c r="U23" i="13" s="1"/>
  <c r="AO23" i="32"/>
  <c r="AO22" i="32"/>
  <c r="H21" i="13" s="1"/>
  <c r="T21" i="13" s="1"/>
  <c r="U21" i="13" s="1"/>
  <c r="AO21" i="32"/>
  <c r="H20" i="13" s="1"/>
  <c r="T20" i="13" s="1"/>
  <c r="U20" i="13" s="1"/>
  <c r="AO20" i="32"/>
  <c r="AO19" i="32"/>
  <c r="H18" i="13" s="1"/>
  <c r="T18" i="13" s="1"/>
  <c r="U18" i="13" s="1"/>
  <c r="AO18" i="32"/>
  <c r="AO17" i="32"/>
  <c r="AO16" i="32"/>
  <c r="H15" i="13" s="1"/>
  <c r="T15" i="13" s="1"/>
  <c r="U15" i="13" s="1"/>
  <c r="AO15" i="32"/>
  <c r="H14" i="13" s="1"/>
  <c r="AO14" i="32"/>
  <c r="H13" i="13" s="1"/>
  <c r="T13" i="13" s="1"/>
  <c r="U13" i="13" s="1"/>
  <c r="AO13" i="32"/>
  <c r="AO12" i="32"/>
  <c r="AO11" i="32"/>
  <c r="AO10" i="32"/>
  <c r="AO9" i="32"/>
  <c r="CN55" i="34"/>
  <c r="CM55" i="34"/>
  <c r="CL55" i="34"/>
  <c r="CK55" i="34"/>
  <c r="CJ55" i="34"/>
  <c r="CI55" i="34"/>
  <c r="CH55" i="34"/>
  <c r="CG55" i="34"/>
  <c r="CF55" i="34"/>
  <c r="CE55" i="34"/>
  <c r="CN54" i="34"/>
  <c r="CM54" i="34"/>
  <c r="CL54" i="34"/>
  <c r="CK54" i="34"/>
  <c r="CJ54" i="34"/>
  <c r="CI54" i="34"/>
  <c r="CH54" i="34"/>
  <c r="CG54" i="34"/>
  <c r="CF54" i="34"/>
  <c r="CE54" i="34"/>
  <c r="CN53" i="34"/>
  <c r="CM53" i="34"/>
  <c r="CL53" i="34"/>
  <c r="CK53" i="34"/>
  <c r="CJ53" i="34"/>
  <c r="CI53" i="34"/>
  <c r="CH53" i="34"/>
  <c r="CG53" i="34"/>
  <c r="CF53" i="34"/>
  <c r="CE53" i="34"/>
  <c r="CN52" i="34"/>
  <c r="CM52" i="34"/>
  <c r="CL52" i="34"/>
  <c r="CK52" i="34"/>
  <c r="CJ52" i="34"/>
  <c r="CI52" i="34"/>
  <c r="CH52" i="34"/>
  <c r="CG52" i="34"/>
  <c r="CF52" i="34"/>
  <c r="CE52" i="34"/>
  <c r="CN51" i="34"/>
  <c r="CM51" i="34"/>
  <c r="CL51" i="34"/>
  <c r="CK51" i="34"/>
  <c r="CJ51" i="34"/>
  <c r="CI51" i="34"/>
  <c r="CH51" i="34"/>
  <c r="CG51" i="34"/>
  <c r="CF51" i="34"/>
  <c r="CE51" i="34"/>
  <c r="CN50" i="34"/>
  <c r="CM50" i="34"/>
  <c r="CL50" i="34"/>
  <c r="CK50" i="34"/>
  <c r="CJ50" i="34"/>
  <c r="CI50" i="34"/>
  <c r="CH50" i="34"/>
  <c r="CG50" i="34"/>
  <c r="CF50" i="34"/>
  <c r="CE50" i="34"/>
  <c r="CN49" i="34"/>
  <c r="CM49" i="34"/>
  <c r="CL49" i="34"/>
  <c r="CK49" i="34"/>
  <c r="CJ49" i="34"/>
  <c r="CI49" i="34"/>
  <c r="CH49" i="34"/>
  <c r="CG49" i="34"/>
  <c r="CF49" i="34"/>
  <c r="CE49" i="34"/>
  <c r="CN48" i="34"/>
  <c r="CM48" i="34"/>
  <c r="CL48" i="34"/>
  <c r="CK48" i="34"/>
  <c r="CJ48" i="34"/>
  <c r="CI48" i="34"/>
  <c r="CH48" i="34"/>
  <c r="CG48" i="34"/>
  <c r="CF48" i="34"/>
  <c r="CE48" i="34"/>
  <c r="CN47" i="34"/>
  <c r="CM47" i="34"/>
  <c r="CL47" i="34"/>
  <c r="CK47" i="34"/>
  <c r="CJ47" i="34"/>
  <c r="CI47" i="34"/>
  <c r="CH47" i="34"/>
  <c r="CG47" i="34"/>
  <c r="CF47" i="34"/>
  <c r="CE47" i="34"/>
  <c r="CN46" i="34"/>
  <c r="CM46" i="34"/>
  <c r="CL46" i="34"/>
  <c r="CK46" i="34"/>
  <c r="CJ46" i="34"/>
  <c r="CI46" i="34"/>
  <c r="CH46" i="34"/>
  <c r="CG46" i="34"/>
  <c r="CF46" i="34"/>
  <c r="CE46" i="34"/>
  <c r="CN45" i="34"/>
  <c r="CM45" i="34"/>
  <c r="CL45" i="34"/>
  <c r="CK45" i="34"/>
  <c r="CJ45" i="34"/>
  <c r="CI45" i="34"/>
  <c r="CH45" i="34"/>
  <c r="CG45" i="34"/>
  <c r="CF45" i="34"/>
  <c r="CE45" i="34"/>
  <c r="CN44" i="34"/>
  <c r="CM44" i="34"/>
  <c r="CL44" i="34"/>
  <c r="CK44" i="34"/>
  <c r="CJ44" i="34"/>
  <c r="CI44" i="34"/>
  <c r="CH44" i="34"/>
  <c r="CG44" i="34"/>
  <c r="CF44" i="34"/>
  <c r="CE44" i="34"/>
  <c r="CN43" i="34"/>
  <c r="CM43" i="34"/>
  <c r="CL43" i="34"/>
  <c r="CK43" i="34"/>
  <c r="CJ43" i="34"/>
  <c r="CI43" i="34"/>
  <c r="CH43" i="34"/>
  <c r="CG43" i="34"/>
  <c r="CF43" i="34"/>
  <c r="CE43" i="34"/>
  <c r="CN42" i="34"/>
  <c r="CM42" i="34"/>
  <c r="CL42" i="34"/>
  <c r="CK42" i="34"/>
  <c r="CJ42" i="34"/>
  <c r="CI42" i="34"/>
  <c r="CH42" i="34"/>
  <c r="CG42" i="34"/>
  <c r="CF42" i="34"/>
  <c r="CE42" i="34"/>
  <c r="CN41" i="34"/>
  <c r="CM41" i="34"/>
  <c r="CL41" i="34"/>
  <c r="CK41" i="34"/>
  <c r="CJ41" i="34"/>
  <c r="CI41" i="34"/>
  <c r="CH41" i="34"/>
  <c r="CG41" i="34"/>
  <c r="CF41" i="34"/>
  <c r="CE41" i="34"/>
  <c r="CN40" i="34"/>
  <c r="CM40" i="34"/>
  <c r="CL40" i="34"/>
  <c r="CK40" i="34"/>
  <c r="CJ40" i="34"/>
  <c r="CI40" i="34"/>
  <c r="CH40" i="34"/>
  <c r="CG40" i="34"/>
  <c r="CF40" i="34"/>
  <c r="CE40" i="34"/>
  <c r="CN39" i="34"/>
  <c r="CM39" i="34"/>
  <c r="CL39" i="34"/>
  <c r="CK39" i="34"/>
  <c r="CJ39" i="34"/>
  <c r="CI39" i="34"/>
  <c r="CH39" i="34"/>
  <c r="CG39" i="34"/>
  <c r="CF39" i="34"/>
  <c r="CE39" i="34"/>
  <c r="CN38" i="34"/>
  <c r="CM38" i="34"/>
  <c r="CL38" i="34"/>
  <c r="CK38" i="34"/>
  <c r="CJ38" i="34"/>
  <c r="CI38" i="34"/>
  <c r="CH38" i="34"/>
  <c r="CG38" i="34"/>
  <c r="CF38" i="34"/>
  <c r="CE38" i="34"/>
  <c r="CN37" i="34"/>
  <c r="CM37" i="34"/>
  <c r="CL37" i="34"/>
  <c r="CK37" i="34"/>
  <c r="CJ37" i="34"/>
  <c r="CI37" i="34"/>
  <c r="CH37" i="34"/>
  <c r="CG37" i="34"/>
  <c r="CF37" i="34"/>
  <c r="CE37" i="34"/>
  <c r="CN36" i="34"/>
  <c r="CM36" i="34"/>
  <c r="CL36" i="34"/>
  <c r="CK36" i="34"/>
  <c r="CJ36" i="34"/>
  <c r="CI36" i="34"/>
  <c r="CH36" i="34"/>
  <c r="CG36" i="34"/>
  <c r="CF36" i="34"/>
  <c r="CE36" i="34"/>
  <c r="CN35" i="34"/>
  <c r="CM35" i="34"/>
  <c r="CL35" i="34"/>
  <c r="CK35" i="34"/>
  <c r="CJ35" i="34"/>
  <c r="CI35" i="34"/>
  <c r="CH35" i="34"/>
  <c r="CG35" i="34"/>
  <c r="CF35" i="34"/>
  <c r="CE35" i="34"/>
  <c r="CN34" i="34"/>
  <c r="CM34" i="34"/>
  <c r="CL34" i="34"/>
  <c r="CK34" i="34"/>
  <c r="CJ34" i="34"/>
  <c r="CI34" i="34"/>
  <c r="CH34" i="34"/>
  <c r="CG34" i="34"/>
  <c r="CF34" i="34"/>
  <c r="CE34" i="34"/>
  <c r="CN33" i="34"/>
  <c r="CM33" i="34"/>
  <c r="CL33" i="34"/>
  <c r="CK33" i="34"/>
  <c r="CJ33" i="34"/>
  <c r="CI33" i="34"/>
  <c r="CH33" i="34"/>
  <c r="CG33" i="34"/>
  <c r="CF33" i="34"/>
  <c r="CE33" i="34"/>
  <c r="CN32" i="34"/>
  <c r="CM32" i="34"/>
  <c r="CL32" i="34"/>
  <c r="CK32" i="34"/>
  <c r="CJ32" i="34"/>
  <c r="CI32" i="34"/>
  <c r="CH32" i="34"/>
  <c r="CG32" i="34"/>
  <c r="CF32" i="34"/>
  <c r="CE32" i="34"/>
  <c r="CN31" i="34"/>
  <c r="CM31" i="34"/>
  <c r="CL31" i="34"/>
  <c r="CK31" i="34"/>
  <c r="CJ31" i="34"/>
  <c r="CI31" i="34"/>
  <c r="CH31" i="34"/>
  <c r="CG31" i="34"/>
  <c r="CF31" i="34"/>
  <c r="CE31" i="34"/>
  <c r="CN30" i="34"/>
  <c r="CM30" i="34"/>
  <c r="CL30" i="34"/>
  <c r="CK30" i="34"/>
  <c r="CJ30" i="34"/>
  <c r="CI30" i="34"/>
  <c r="CH30" i="34"/>
  <c r="CG30" i="34"/>
  <c r="CF30" i="34"/>
  <c r="CE30" i="34"/>
  <c r="CN29" i="34"/>
  <c r="CM29" i="34"/>
  <c r="CL29" i="34"/>
  <c r="CK29" i="34"/>
  <c r="CJ29" i="34"/>
  <c r="CI29" i="34"/>
  <c r="CH29" i="34"/>
  <c r="CG29" i="34"/>
  <c r="CF29" i="34"/>
  <c r="CE29" i="34"/>
  <c r="CN28" i="34"/>
  <c r="CM28" i="34"/>
  <c r="CL28" i="34"/>
  <c r="CK28" i="34"/>
  <c r="CJ28" i="34"/>
  <c r="CI28" i="34"/>
  <c r="CH28" i="34"/>
  <c r="CG28" i="34"/>
  <c r="CF28" i="34"/>
  <c r="CE28" i="34"/>
  <c r="CN27" i="34"/>
  <c r="CM27" i="34"/>
  <c r="CL27" i="34"/>
  <c r="CK27" i="34"/>
  <c r="CJ27" i="34"/>
  <c r="CI27" i="34"/>
  <c r="CH27" i="34"/>
  <c r="CG27" i="34"/>
  <c r="CF27" i="34"/>
  <c r="CE27" i="34"/>
  <c r="CN26" i="34"/>
  <c r="CM26" i="34"/>
  <c r="CL26" i="34"/>
  <c r="CK26" i="34"/>
  <c r="CJ26" i="34"/>
  <c r="CI26" i="34"/>
  <c r="CH26" i="34"/>
  <c r="CG26" i="34"/>
  <c r="CF26" i="34"/>
  <c r="CE26" i="34"/>
  <c r="CN25" i="34"/>
  <c r="CM25" i="34"/>
  <c r="CL25" i="34"/>
  <c r="CK25" i="34"/>
  <c r="CJ25" i="34"/>
  <c r="CI25" i="34"/>
  <c r="CH25" i="34"/>
  <c r="CG25" i="34"/>
  <c r="CF25" i="34"/>
  <c r="CE25" i="34"/>
  <c r="CN24" i="34"/>
  <c r="CM24" i="34"/>
  <c r="CL24" i="34"/>
  <c r="CK24" i="34"/>
  <c r="CJ24" i="34"/>
  <c r="CI24" i="34"/>
  <c r="CH24" i="34"/>
  <c r="CG24" i="34"/>
  <c r="CF24" i="34"/>
  <c r="CE24" i="34"/>
  <c r="CN23" i="34"/>
  <c r="CM23" i="34"/>
  <c r="CL23" i="34"/>
  <c r="CK23" i="34"/>
  <c r="CJ23" i="34"/>
  <c r="CI23" i="34"/>
  <c r="CH23" i="34"/>
  <c r="CG23" i="34"/>
  <c r="CF23" i="34"/>
  <c r="CE23" i="34"/>
  <c r="CN22" i="34"/>
  <c r="CM22" i="34"/>
  <c r="CL22" i="34"/>
  <c r="CK22" i="34"/>
  <c r="CJ22" i="34"/>
  <c r="CI22" i="34"/>
  <c r="CH22" i="34"/>
  <c r="CG22" i="34"/>
  <c r="CF22" i="34"/>
  <c r="CE22" i="34"/>
  <c r="CN21" i="34"/>
  <c r="CM21" i="34"/>
  <c r="CL21" i="34"/>
  <c r="CK21" i="34"/>
  <c r="CJ21" i="34"/>
  <c r="CI21" i="34"/>
  <c r="CH21" i="34"/>
  <c r="CG21" i="34"/>
  <c r="CF21" i="34"/>
  <c r="CE21" i="34"/>
  <c r="CN20" i="34"/>
  <c r="CM20" i="34"/>
  <c r="CL20" i="34"/>
  <c r="CK20" i="34"/>
  <c r="CJ20" i="34"/>
  <c r="CI20" i="34"/>
  <c r="CH20" i="34"/>
  <c r="CG20" i="34"/>
  <c r="CF20" i="34"/>
  <c r="CE20" i="34"/>
  <c r="CN19" i="34"/>
  <c r="CM19" i="34"/>
  <c r="CL19" i="34"/>
  <c r="CK19" i="34"/>
  <c r="CJ19" i="34"/>
  <c r="CI19" i="34"/>
  <c r="CH19" i="34"/>
  <c r="CG19" i="34"/>
  <c r="CF19" i="34"/>
  <c r="CE19" i="34"/>
  <c r="CN18" i="34"/>
  <c r="CM18" i="34"/>
  <c r="CL18" i="34"/>
  <c r="CK18" i="34"/>
  <c r="CJ18" i="34"/>
  <c r="CI18" i="34"/>
  <c r="CH18" i="34"/>
  <c r="CG18" i="34"/>
  <c r="CF18" i="34"/>
  <c r="CE18" i="34"/>
  <c r="CN17" i="34"/>
  <c r="CM17" i="34"/>
  <c r="CL17" i="34"/>
  <c r="CK17" i="34"/>
  <c r="CJ17" i="34"/>
  <c r="CI17" i="34"/>
  <c r="CH17" i="34"/>
  <c r="CG17" i="34"/>
  <c r="CF17" i="34"/>
  <c r="CE17" i="34"/>
  <c r="CN16" i="34"/>
  <c r="CM16" i="34"/>
  <c r="CL16" i="34"/>
  <c r="CK16" i="34"/>
  <c r="CJ16" i="34"/>
  <c r="CI16" i="34"/>
  <c r="CH16" i="34"/>
  <c r="CG16" i="34"/>
  <c r="CF16" i="34"/>
  <c r="CE16" i="34"/>
  <c r="CN15" i="34"/>
  <c r="CM15" i="34"/>
  <c r="CL15" i="34"/>
  <c r="CK15" i="34"/>
  <c r="CJ15" i="34"/>
  <c r="CI15" i="34"/>
  <c r="CH15" i="34"/>
  <c r="CG15" i="34"/>
  <c r="CF15" i="34"/>
  <c r="CE15" i="34"/>
  <c r="CN14" i="34"/>
  <c r="CM14" i="34"/>
  <c r="CL14" i="34"/>
  <c r="CK14" i="34"/>
  <c r="CJ14" i="34"/>
  <c r="CI14" i="34"/>
  <c r="CH14" i="34"/>
  <c r="CG14" i="34"/>
  <c r="CF14" i="34"/>
  <c r="CE14" i="34"/>
  <c r="CN13" i="34"/>
  <c r="CM13" i="34"/>
  <c r="CL13" i="34"/>
  <c r="CK13" i="34"/>
  <c r="CJ13" i="34"/>
  <c r="CI13" i="34"/>
  <c r="CH13" i="34"/>
  <c r="CG13" i="34"/>
  <c r="CF13" i="34"/>
  <c r="CE13" i="34"/>
  <c r="CN12" i="34"/>
  <c r="CM12" i="34"/>
  <c r="CL12" i="34"/>
  <c r="CK12" i="34"/>
  <c r="CJ12" i="34"/>
  <c r="CI12" i="34"/>
  <c r="CH12" i="34"/>
  <c r="CG12" i="34"/>
  <c r="CF12" i="34"/>
  <c r="CE12" i="34"/>
  <c r="CN11" i="34"/>
  <c r="CM11" i="34"/>
  <c r="CL11" i="34"/>
  <c r="CK11" i="34"/>
  <c r="CJ11" i="34"/>
  <c r="CI11" i="34"/>
  <c r="CH11" i="34"/>
  <c r="CG11" i="34"/>
  <c r="CF11" i="34"/>
  <c r="CE11" i="34"/>
  <c r="CN10" i="34"/>
  <c r="CM10" i="34"/>
  <c r="CL10" i="34"/>
  <c r="CK10" i="34"/>
  <c r="CJ10" i="34"/>
  <c r="CI10" i="34"/>
  <c r="CH10" i="34"/>
  <c r="CG10" i="34"/>
  <c r="CF10" i="34"/>
  <c r="CE10" i="34"/>
  <c r="CN9" i="34"/>
  <c r="CM9" i="34"/>
  <c r="CM8" i="34"/>
  <c r="CN8" i="34" s="1"/>
  <c r="CL9" i="34"/>
  <c r="CK9" i="34"/>
  <c r="CK8" i="34"/>
  <c r="CL8" i="34" s="1"/>
  <c r="CJ9" i="34"/>
  <c r="CI8" i="34"/>
  <c r="CJ8" i="34" s="1"/>
  <c r="CI9" i="34"/>
  <c r="CH9" i="34"/>
  <c r="CG9" i="34"/>
  <c r="CG8" i="34"/>
  <c r="CH8" i="34" s="1"/>
  <c r="CE8" i="34"/>
  <c r="CF8" i="34" s="1"/>
  <c r="CF9" i="34"/>
  <c r="CE9" i="34"/>
  <c r="CD55" i="34"/>
  <c r="CC55" i="34"/>
  <c r="CB55" i="34"/>
  <c r="CA55" i="34"/>
  <c r="BZ55" i="34"/>
  <c r="BY55" i="34"/>
  <c r="BX55" i="34"/>
  <c r="BW55" i="34"/>
  <c r="BV55" i="34"/>
  <c r="BU55" i="34"/>
  <c r="CD54" i="34"/>
  <c r="CC54" i="34"/>
  <c r="CB54" i="34"/>
  <c r="CA54" i="34"/>
  <c r="BZ54" i="34"/>
  <c r="BY54" i="34"/>
  <c r="BX54" i="34"/>
  <c r="BW54" i="34"/>
  <c r="BV54" i="34"/>
  <c r="BU54" i="34"/>
  <c r="CD53" i="34"/>
  <c r="CC53" i="34"/>
  <c r="CB53" i="34"/>
  <c r="CA53" i="34"/>
  <c r="BZ53" i="34"/>
  <c r="BY53" i="34"/>
  <c r="BX53" i="34"/>
  <c r="BW53" i="34"/>
  <c r="BV53" i="34"/>
  <c r="BU53" i="34"/>
  <c r="CD52" i="34"/>
  <c r="CC52" i="34"/>
  <c r="CB52" i="34"/>
  <c r="CA52" i="34"/>
  <c r="BZ52" i="34"/>
  <c r="BY52" i="34"/>
  <c r="BX52" i="34"/>
  <c r="BW52" i="34"/>
  <c r="BV52" i="34"/>
  <c r="BU52" i="34"/>
  <c r="CD51" i="34"/>
  <c r="CC51" i="34"/>
  <c r="CB51" i="34"/>
  <c r="CA51" i="34"/>
  <c r="BZ51" i="34"/>
  <c r="BY51" i="34"/>
  <c r="BX51" i="34"/>
  <c r="BW51" i="34"/>
  <c r="BV51" i="34"/>
  <c r="BU51" i="34"/>
  <c r="CD50" i="34"/>
  <c r="CC50" i="34"/>
  <c r="CB50" i="34"/>
  <c r="CA50" i="34"/>
  <c r="BZ50" i="34"/>
  <c r="BY50" i="34"/>
  <c r="BX50" i="34"/>
  <c r="BW50" i="34"/>
  <c r="BV50" i="34"/>
  <c r="BU50" i="34"/>
  <c r="CD49" i="34"/>
  <c r="CC49" i="34"/>
  <c r="CB49" i="34"/>
  <c r="CA49" i="34"/>
  <c r="BZ49" i="34"/>
  <c r="BY49" i="34"/>
  <c r="BX49" i="34"/>
  <c r="BW49" i="34"/>
  <c r="BV49" i="34"/>
  <c r="BU49" i="34"/>
  <c r="CD48" i="34"/>
  <c r="CC48" i="34"/>
  <c r="CB48" i="34"/>
  <c r="CA48" i="34"/>
  <c r="BZ48" i="34"/>
  <c r="BY48" i="34"/>
  <c r="BX48" i="34"/>
  <c r="BW48" i="34"/>
  <c r="BV48" i="34"/>
  <c r="BU48" i="34"/>
  <c r="CD47" i="34"/>
  <c r="CC47" i="34"/>
  <c r="CB47" i="34"/>
  <c r="CA47" i="34"/>
  <c r="BZ47" i="34"/>
  <c r="BY47" i="34"/>
  <c r="BX47" i="34"/>
  <c r="BW47" i="34"/>
  <c r="BV47" i="34"/>
  <c r="BU47" i="34"/>
  <c r="CD46" i="34"/>
  <c r="CC46" i="34"/>
  <c r="CB46" i="34"/>
  <c r="CA46" i="34"/>
  <c r="BZ46" i="34"/>
  <c r="BY46" i="34"/>
  <c r="BX46" i="34"/>
  <c r="BW46" i="34"/>
  <c r="BV46" i="34"/>
  <c r="BU46" i="34"/>
  <c r="CD45" i="34"/>
  <c r="CC45" i="34"/>
  <c r="CB45" i="34"/>
  <c r="CA45" i="34"/>
  <c r="BZ45" i="34"/>
  <c r="BY45" i="34"/>
  <c r="BX45" i="34"/>
  <c r="BW45" i="34"/>
  <c r="BV45" i="34"/>
  <c r="BU45" i="34"/>
  <c r="CD44" i="34"/>
  <c r="CC44" i="34"/>
  <c r="CB44" i="34"/>
  <c r="CA44" i="34"/>
  <c r="BZ44" i="34"/>
  <c r="BY44" i="34"/>
  <c r="BX44" i="34"/>
  <c r="BW44" i="34"/>
  <c r="BV44" i="34"/>
  <c r="BU44" i="34"/>
  <c r="CD43" i="34"/>
  <c r="CC43" i="34"/>
  <c r="CB43" i="34"/>
  <c r="CA43" i="34"/>
  <c r="BZ43" i="34"/>
  <c r="BY43" i="34"/>
  <c r="BX43" i="34"/>
  <c r="BW43" i="34"/>
  <c r="BV43" i="34"/>
  <c r="BU43" i="34"/>
  <c r="CD42" i="34"/>
  <c r="CC42" i="34"/>
  <c r="CB42" i="34"/>
  <c r="CA42" i="34"/>
  <c r="BZ42" i="34"/>
  <c r="BY42" i="34"/>
  <c r="BX42" i="34"/>
  <c r="BW42" i="34"/>
  <c r="BV42" i="34"/>
  <c r="BU42" i="34"/>
  <c r="CD41" i="34"/>
  <c r="CC41" i="34"/>
  <c r="CB41" i="34"/>
  <c r="CA41" i="34"/>
  <c r="BZ41" i="34"/>
  <c r="BY41" i="34"/>
  <c r="BX41" i="34"/>
  <c r="BW41" i="34"/>
  <c r="BV41" i="34"/>
  <c r="BU41" i="34"/>
  <c r="CD40" i="34"/>
  <c r="CC40" i="34"/>
  <c r="CB40" i="34"/>
  <c r="CA40" i="34"/>
  <c r="BZ40" i="34"/>
  <c r="BY40" i="34"/>
  <c r="BX40" i="34"/>
  <c r="BW40" i="34"/>
  <c r="BV40" i="34"/>
  <c r="BU40" i="34"/>
  <c r="CD39" i="34"/>
  <c r="CC39" i="34"/>
  <c r="CB39" i="34"/>
  <c r="CA39" i="34"/>
  <c r="BZ39" i="34"/>
  <c r="BY39" i="34"/>
  <c r="BX39" i="34"/>
  <c r="BW39" i="34"/>
  <c r="BV39" i="34"/>
  <c r="BU39" i="34"/>
  <c r="CD38" i="34"/>
  <c r="CC38" i="34"/>
  <c r="CB38" i="34"/>
  <c r="CA38" i="34"/>
  <c r="BZ38" i="34"/>
  <c r="BY38" i="34"/>
  <c r="BX38" i="34"/>
  <c r="BW38" i="34"/>
  <c r="BV38" i="34"/>
  <c r="BU38" i="34"/>
  <c r="CD37" i="34"/>
  <c r="CC37" i="34"/>
  <c r="CB37" i="34"/>
  <c r="CA37" i="34"/>
  <c r="BZ37" i="34"/>
  <c r="BY37" i="34"/>
  <c r="BX37" i="34"/>
  <c r="BW37" i="34"/>
  <c r="BV37" i="34"/>
  <c r="BU37" i="34"/>
  <c r="CD36" i="34"/>
  <c r="CC36" i="34"/>
  <c r="CB36" i="34"/>
  <c r="CA36" i="34"/>
  <c r="BZ36" i="34"/>
  <c r="BY36" i="34"/>
  <c r="BX36" i="34"/>
  <c r="BW36" i="34"/>
  <c r="BV36" i="34"/>
  <c r="BU36" i="34"/>
  <c r="CD35" i="34"/>
  <c r="CC35" i="34"/>
  <c r="CB35" i="34"/>
  <c r="CA35" i="34"/>
  <c r="BZ35" i="34"/>
  <c r="BY35" i="34"/>
  <c r="BX35" i="34"/>
  <c r="BW35" i="34"/>
  <c r="BV35" i="34"/>
  <c r="BU35" i="34"/>
  <c r="CD34" i="34"/>
  <c r="CC34" i="34"/>
  <c r="CB34" i="34"/>
  <c r="CA34" i="34"/>
  <c r="BZ34" i="34"/>
  <c r="BY34" i="34"/>
  <c r="BX34" i="34"/>
  <c r="BW34" i="34"/>
  <c r="BV34" i="34"/>
  <c r="BU34" i="34"/>
  <c r="CD33" i="34"/>
  <c r="CC33" i="34"/>
  <c r="CB33" i="34"/>
  <c r="CA33" i="34"/>
  <c r="BZ33" i="34"/>
  <c r="BY33" i="34"/>
  <c r="BX33" i="34"/>
  <c r="BW33" i="34"/>
  <c r="BV33" i="34"/>
  <c r="BU33" i="34"/>
  <c r="CD32" i="34"/>
  <c r="CC32" i="34"/>
  <c r="CB32" i="34"/>
  <c r="CA32" i="34"/>
  <c r="BZ32" i="34"/>
  <c r="BY32" i="34"/>
  <c r="BX32" i="34"/>
  <c r="BW32" i="34"/>
  <c r="BV32" i="34"/>
  <c r="BU32" i="34"/>
  <c r="CD31" i="34"/>
  <c r="CC31" i="34"/>
  <c r="CB31" i="34"/>
  <c r="CA31" i="34"/>
  <c r="BZ31" i="34"/>
  <c r="BY31" i="34"/>
  <c r="BX31" i="34"/>
  <c r="BW31" i="34"/>
  <c r="BV31" i="34"/>
  <c r="BU31" i="34"/>
  <c r="CD30" i="34"/>
  <c r="CC30" i="34"/>
  <c r="CB30" i="34"/>
  <c r="CA30" i="34"/>
  <c r="BZ30" i="34"/>
  <c r="BY30" i="34"/>
  <c r="BX30" i="34"/>
  <c r="BW30" i="34"/>
  <c r="BV30" i="34"/>
  <c r="BU30" i="34"/>
  <c r="CD29" i="34"/>
  <c r="CC29" i="34"/>
  <c r="CB29" i="34"/>
  <c r="CA29" i="34"/>
  <c r="BZ29" i="34"/>
  <c r="BY29" i="34"/>
  <c r="BX29" i="34"/>
  <c r="BW29" i="34"/>
  <c r="BV29" i="34"/>
  <c r="BU29" i="34"/>
  <c r="CD28" i="34"/>
  <c r="CC28" i="34"/>
  <c r="CB28" i="34"/>
  <c r="CA28" i="34"/>
  <c r="BZ28" i="34"/>
  <c r="BY28" i="34"/>
  <c r="BX28" i="34"/>
  <c r="BW28" i="34"/>
  <c r="BV28" i="34"/>
  <c r="BU28" i="34"/>
  <c r="CD27" i="34"/>
  <c r="CC27" i="34"/>
  <c r="CB27" i="34"/>
  <c r="CA27" i="34"/>
  <c r="BZ27" i="34"/>
  <c r="BY27" i="34"/>
  <c r="BX27" i="34"/>
  <c r="BW27" i="34"/>
  <c r="BV27" i="34"/>
  <c r="BU27" i="34"/>
  <c r="CD26" i="34"/>
  <c r="CC26" i="34"/>
  <c r="CB26" i="34"/>
  <c r="CA26" i="34"/>
  <c r="BZ26" i="34"/>
  <c r="BY26" i="34"/>
  <c r="BX26" i="34"/>
  <c r="BW26" i="34"/>
  <c r="BV26" i="34"/>
  <c r="BU26" i="34"/>
  <c r="CD25" i="34"/>
  <c r="CC25" i="34"/>
  <c r="CB25" i="34"/>
  <c r="CA25" i="34"/>
  <c r="BZ25" i="34"/>
  <c r="BY25" i="34"/>
  <c r="BX25" i="34"/>
  <c r="BW25" i="34"/>
  <c r="BV25" i="34"/>
  <c r="BU25" i="34"/>
  <c r="CD24" i="34"/>
  <c r="CC24" i="34"/>
  <c r="CB24" i="34"/>
  <c r="CA24" i="34"/>
  <c r="BZ24" i="34"/>
  <c r="BY24" i="34"/>
  <c r="BX24" i="34"/>
  <c r="BW24" i="34"/>
  <c r="BV24" i="34"/>
  <c r="BU24" i="34"/>
  <c r="CD23" i="34"/>
  <c r="CC23" i="34"/>
  <c r="CB23" i="34"/>
  <c r="CA23" i="34"/>
  <c r="BZ23" i="34"/>
  <c r="BY23" i="34"/>
  <c r="BX23" i="34"/>
  <c r="BW23" i="34"/>
  <c r="BV23" i="34"/>
  <c r="BU23" i="34"/>
  <c r="CD22" i="34"/>
  <c r="CC22" i="34"/>
  <c r="CB22" i="34"/>
  <c r="CA22" i="34"/>
  <c r="BZ22" i="34"/>
  <c r="BY22" i="34"/>
  <c r="BX22" i="34"/>
  <c r="BW22" i="34"/>
  <c r="BV22" i="34"/>
  <c r="BU22" i="34"/>
  <c r="CD21" i="34"/>
  <c r="CC21" i="34"/>
  <c r="CB21" i="34"/>
  <c r="CA21" i="34"/>
  <c r="BZ21" i="34"/>
  <c r="BY21" i="34"/>
  <c r="BX21" i="34"/>
  <c r="BW21" i="34"/>
  <c r="BV21" i="34"/>
  <c r="BU21" i="34"/>
  <c r="CD20" i="34"/>
  <c r="CC20" i="34"/>
  <c r="CB20" i="34"/>
  <c r="CA20" i="34"/>
  <c r="BZ20" i="34"/>
  <c r="BY20" i="34"/>
  <c r="BX20" i="34"/>
  <c r="BW20" i="34"/>
  <c r="BV20" i="34"/>
  <c r="BU20" i="34"/>
  <c r="CD19" i="34"/>
  <c r="CC19" i="34"/>
  <c r="CB19" i="34"/>
  <c r="CA19" i="34"/>
  <c r="BZ19" i="34"/>
  <c r="BY19" i="34"/>
  <c r="BX19" i="34"/>
  <c r="BW19" i="34"/>
  <c r="BV19" i="34"/>
  <c r="BU19" i="34"/>
  <c r="CD18" i="34"/>
  <c r="CC18" i="34"/>
  <c r="CB18" i="34"/>
  <c r="CA18" i="34"/>
  <c r="BZ18" i="34"/>
  <c r="BY18" i="34"/>
  <c r="BX18" i="34"/>
  <c r="BW18" i="34"/>
  <c r="BV18" i="34"/>
  <c r="BU18" i="34"/>
  <c r="CD17" i="34"/>
  <c r="CC17" i="34"/>
  <c r="CB17" i="34"/>
  <c r="CA17" i="34"/>
  <c r="BZ17" i="34"/>
  <c r="BY17" i="34"/>
  <c r="BX17" i="34"/>
  <c r="BW17" i="34"/>
  <c r="BV17" i="34"/>
  <c r="BU17" i="34"/>
  <c r="CD16" i="34"/>
  <c r="CC16" i="34"/>
  <c r="CB16" i="34"/>
  <c r="CA16" i="34"/>
  <c r="BZ16" i="34"/>
  <c r="BY16" i="34"/>
  <c r="BX16" i="34"/>
  <c r="BW16" i="34"/>
  <c r="BV16" i="34"/>
  <c r="BU16" i="34"/>
  <c r="CD15" i="34"/>
  <c r="CC15" i="34"/>
  <c r="CB15" i="34"/>
  <c r="CA15" i="34"/>
  <c r="BZ15" i="34"/>
  <c r="BY15" i="34"/>
  <c r="BX15" i="34"/>
  <c r="BW15" i="34"/>
  <c r="BV15" i="34"/>
  <c r="BU15" i="34"/>
  <c r="CD14" i="34"/>
  <c r="CC14" i="34"/>
  <c r="CB14" i="34"/>
  <c r="CA14" i="34"/>
  <c r="BZ14" i="34"/>
  <c r="BY14" i="34"/>
  <c r="BX14" i="34"/>
  <c r="BW14" i="34"/>
  <c r="BV14" i="34"/>
  <c r="BU14" i="34"/>
  <c r="CD13" i="34"/>
  <c r="CC13" i="34"/>
  <c r="CB13" i="34"/>
  <c r="CA13" i="34"/>
  <c r="BZ13" i="34"/>
  <c r="BY13" i="34"/>
  <c r="BX13" i="34"/>
  <c r="BW13" i="34"/>
  <c r="BV13" i="34"/>
  <c r="BU13" i="34"/>
  <c r="CD12" i="34"/>
  <c r="CC12" i="34"/>
  <c r="CB12" i="34"/>
  <c r="CA12" i="34"/>
  <c r="BZ12" i="34"/>
  <c r="BY12" i="34"/>
  <c r="BX12" i="34"/>
  <c r="BW12" i="34"/>
  <c r="BV12" i="34"/>
  <c r="BU12" i="34"/>
  <c r="CD11" i="34"/>
  <c r="CC11" i="34"/>
  <c r="CB11" i="34"/>
  <c r="CA11" i="34"/>
  <c r="BZ11" i="34"/>
  <c r="BY11" i="34"/>
  <c r="BX11" i="34"/>
  <c r="BW11" i="34"/>
  <c r="BV11" i="34"/>
  <c r="BU11" i="34"/>
  <c r="CD10" i="34"/>
  <c r="CC10" i="34"/>
  <c r="CB10" i="34"/>
  <c r="CA10" i="34"/>
  <c r="BZ10" i="34"/>
  <c r="BY10" i="34"/>
  <c r="BX10" i="34"/>
  <c r="BW10" i="34"/>
  <c r="BV10" i="34"/>
  <c r="BU10" i="34"/>
  <c r="CD9" i="34"/>
  <c r="CC9" i="34"/>
  <c r="CC8" i="34"/>
  <c r="CD8" i="34" s="1"/>
  <c r="CB9" i="34"/>
  <c r="CA8" i="34"/>
  <c r="CB8" i="34" s="1"/>
  <c r="CA9" i="34"/>
  <c r="BZ9" i="34"/>
  <c r="BY8" i="34"/>
  <c r="BZ8" i="34" s="1"/>
  <c r="BY9" i="34"/>
  <c r="BX9" i="34"/>
  <c r="BW8" i="34"/>
  <c r="BX8" i="34" s="1"/>
  <c r="BW9" i="34"/>
  <c r="BV9" i="34"/>
  <c r="V55" i="34"/>
  <c r="U55" i="34"/>
  <c r="T55" i="34"/>
  <c r="S55" i="34"/>
  <c r="R55" i="34"/>
  <c r="Q55" i="34"/>
  <c r="P55" i="34"/>
  <c r="O55" i="34"/>
  <c r="N55" i="34"/>
  <c r="V54" i="34"/>
  <c r="U54" i="34"/>
  <c r="T54" i="34"/>
  <c r="S54" i="34"/>
  <c r="R54" i="34"/>
  <c r="Q54" i="34"/>
  <c r="P54" i="34"/>
  <c r="O54" i="34"/>
  <c r="N54" i="34"/>
  <c r="V53" i="34"/>
  <c r="U53" i="34"/>
  <c r="T53" i="34"/>
  <c r="S53" i="34"/>
  <c r="R53" i="34"/>
  <c r="Q53" i="34"/>
  <c r="P53" i="34"/>
  <c r="O53" i="34"/>
  <c r="N53" i="34"/>
  <c r="V52" i="34"/>
  <c r="U52" i="34"/>
  <c r="T52" i="34"/>
  <c r="S52" i="34"/>
  <c r="R52" i="34"/>
  <c r="Q52" i="34"/>
  <c r="P52" i="34"/>
  <c r="O52" i="34"/>
  <c r="N52" i="34"/>
  <c r="V51" i="34"/>
  <c r="U51" i="34"/>
  <c r="T51" i="34"/>
  <c r="S51" i="34"/>
  <c r="R51" i="34"/>
  <c r="Q51" i="34"/>
  <c r="P51" i="34"/>
  <c r="O51" i="34"/>
  <c r="N51" i="34"/>
  <c r="V50" i="34"/>
  <c r="U50" i="34"/>
  <c r="T50" i="34"/>
  <c r="S50" i="34"/>
  <c r="R50" i="34"/>
  <c r="Q50" i="34"/>
  <c r="P50" i="34"/>
  <c r="O50" i="34"/>
  <c r="N50" i="34"/>
  <c r="V49" i="34"/>
  <c r="U49" i="34"/>
  <c r="T49" i="34"/>
  <c r="S49" i="34"/>
  <c r="R49" i="34"/>
  <c r="Q49" i="34"/>
  <c r="P49" i="34"/>
  <c r="O49" i="34"/>
  <c r="N49" i="34"/>
  <c r="V48" i="34"/>
  <c r="U48" i="34"/>
  <c r="T48" i="34"/>
  <c r="S48" i="34"/>
  <c r="R48" i="34"/>
  <c r="Q48" i="34"/>
  <c r="P48" i="34"/>
  <c r="O48" i="34"/>
  <c r="N48" i="34"/>
  <c r="V47" i="34"/>
  <c r="U47" i="34"/>
  <c r="T47" i="34"/>
  <c r="S47" i="34"/>
  <c r="R47" i="34"/>
  <c r="Q47" i="34"/>
  <c r="P47" i="34"/>
  <c r="O47" i="34"/>
  <c r="N47" i="34"/>
  <c r="V46" i="34"/>
  <c r="U46" i="34"/>
  <c r="T46" i="34"/>
  <c r="S46" i="34"/>
  <c r="R46" i="34"/>
  <c r="Q46" i="34"/>
  <c r="P46" i="34"/>
  <c r="O46" i="34"/>
  <c r="N46" i="34"/>
  <c r="V45" i="34"/>
  <c r="U45" i="34"/>
  <c r="T45" i="34"/>
  <c r="S45" i="34"/>
  <c r="R45" i="34"/>
  <c r="Q45" i="34"/>
  <c r="P45" i="34"/>
  <c r="O45" i="34"/>
  <c r="N45" i="34"/>
  <c r="V44" i="34"/>
  <c r="U44" i="34"/>
  <c r="T44" i="34"/>
  <c r="S44" i="34"/>
  <c r="R44" i="34"/>
  <c r="Q44" i="34"/>
  <c r="P44" i="34"/>
  <c r="O44" i="34"/>
  <c r="N44" i="34"/>
  <c r="V43" i="34"/>
  <c r="U43" i="34"/>
  <c r="T43" i="34"/>
  <c r="S43" i="34"/>
  <c r="R43" i="34"/>
  <c r="Q43" i="34"/>
  <c r="P43" i="34"/>
  <c r="O43" i="34"/>
  <c r="N43" i="34"/>
  <c r="V42" i="34"/>
  <c r="U42" i="34"/>
  <c r="T42" i="34"/>
  <c r="S42" i="34"/>
  <c r="R42" i="34"/>
  <c r="Q42" i="34"/>
  <c r="P42" i="34"/>
  <c r="O42" i="34"/>
  <c r="N42" i="34"/>
  <c r="V41" i="34"/>
  <c r="U41" i="34"/>
  <c r="T41" i="34"/>
  <c r="S41" i="34"/>
  <c r="R41" i="34"/>
  <c r="Q41" i="34"/>
  <c r="P41" i="34"/>
  <c r="O41" i="34"/>
  <c r="N41" i="34"/>
  <c r="V40" i="34"/>
  <c r="U40" i="34"/>
  <c r="T40" i="34"/>
  <c r="S40" i="34"/>
  <c r="R40" i="34"/>
  <c r="Q40" i="34"/>
  <c r="P40" i="34"/>
  <c r="O40" i="34"/>
  <c r="N40" i="34"/>
  <c r="V39" i="34"/>
  <c r="U39" i="34"/>
  <c r="T39" i="34"/>
  <c r="S39" i="34"/>
  <c r="R39" i="34"/>
  <c r="Q39" i="34"/>
  <c r="P39" i="34"/>
  <c r="O39" i="34"/>
  <c r="N39" i="34"/>
  <c r="V38" i="34"/>
  <c r="U38" i="34"/>
  <c r="T38" i="34"/>
  <c r="S38" i="34"/>
  <c r="R38" i="34"/>
  <c r="Q38" i="34"/>
  <c r="P38" i="34"/>
  <c r="O38" i="34"/>
  <c r="N38" i="34"/>
  <c r="V37" i="34"/>
  <c r="U37" i="34"/>
  <c r="T37" i="34"/>
  <c r="S37" i="34"/>
  <c r="R37" i="34"/>
  <c r="Q37" i="34"/>
  <c r="P37" i="34"/>
  <c r="O37" i="34"/>
  <c r="N37" i="34"/>
  <c r="V36" i="34"/>
  <c r="U36" i="34"/>
  <c r="T36" i="34"/>
  <c r="S36" i="34"/>
  <c r="R36" i="34"/>
  <c r="Q36" i="34"/>
  <c r="P36" i="34"/>
  <c r="O36" i="34"/>
  <c r="N36" i="34"/>
  <c r="V35" i="34"/>
  <c r="U35" i="34"/>
  <c r="T35" i="34"/>
  <c r="S35" i="34"/>
  <c r="R35" i="34"/>
  <c r="Q35" i="34"/>
  <c r="P35" i="34"/>
  <c r="O35" i="34"/>
  <c r="N35" i="34"/>
  <c r="V34" i="34"/>
  <c r="U34" i="34"/>
  <c r="T34" i="34"/>
  <c r="S34" i="34"/>
  <c r="R34" i="34"/>
  <c r="Q34" i="34"/>
  <c r="P34" i="34"/>
  <c r="O34" i="34"/>
  <c r="N34" i="34"/>
  <c r="V33" i="34"/>
  <c r="U33" i="34"/>
  <c r="T33" i="34"/>
  <c r="S33" i="34"/>
  <c r="R33" i="34"/>
  <c r="Q33" i="34"/>
  <c r="P33" i="34"/>
  <c r="O33" i="34"/>
  <c r="N33" i="34"/>
  <c r="V32" i="34"/>
  <c r="U32" i="34"/>
  <c r="T32" i="34"/>
  <c r="S32" i="34"/>
  <c r="R32" i="34"/>
  <c r="Q32" i="34"/>
  <c r="P32" i="34"/>
  <c r="O32" i="34"/>
  <c r="N32" i="34"/>
  <c r="V31" i="34"/>
  <c r="U31" i="34"/>
  <c r="T31" i="34"/>
  <c r="S31" i="34"/>
  <c r="R31" i="34"/>
  <c r="Q31" i="34"/>
  <c r="P31" i="34"/>
  <c r="O31" i="34"/>
  <c r="N31" i="34"/>
  <c r="V30" i="34"/>
  <c r="U30" i="34"/>
  <c r="T30" i="34"/>
  <c r="S30" i="34"/>
  <c r="R30" i="34"/>
  <c r="Q30" i="34"/>
  <c r="P30" i="34"/>
  <c r="O30" i="34"/>
  <c r="N30" i="34"/>
  <c r="V29" i="34"/>
  <c r="U29" i="34"/>
  <c r="T29" i="34"/>
  <c r="S29" i="34"/>
  <c r="R29" i="34"/>
  <c r="Q29" i="34"/>
  <c r="P29" i="34"/>
  <c r="O29" i="34"/>
  <c r="N29" i="34"/>
  <c r="V28" i="34"/>
  <c r="U28" i="34"/>
  <c r="T28" i="34"/>
  <c r="S28" i="34"/>
  <c r="R28" i="34"/>
  <c r="Q28" i="34"/>
  <c r="P28" i="34"/>
  <c r="O28" i="34"/>
  <c r="N28" i="34"/>
  <c r="V27" i="34"/>
  <c r="U27" i="34"/>
  <c r="T27" i="34"/>
  <c r="S27" i="34"/>
  <c r="R27" i="34"/>
  <c r="Q27" i="34"/>
  <c r="P27" i="34"/>
  <c r="O27" i="34"/>
  <c r="N27" i="34"/>
  <c r="V26" i="34"/>
  <c r="U26" i="34"/>
  <c r="T26" i="34"/>
  <c r="S26" i="34"/>
  <c r="R26" i="34"/>
  <c r="Q26" i="34"/>
  <c r="P26" i="34"/>
  <c r="O26" i="34"/>
  <c r="N26" i="34"/>
  <c r="V25" i="34"/>
  <c r="U25" i="34"/>
  <c r="T25" i="34"/>
  <c r="S25" i="34"/>
  <c r="R25" i="34"/>
  <c r="Q25" i="34"/>
  <c r="P25" i="34"/>
  <c r="O25" i="34"/>
  <c r="N25" i="34"/>
  <c r="V24" i="34"/>
  <c r="U24" i="34"/>
  <c r="T24" i="34"/>
  <c r="S24" i="34"/>
  <c r="R24" i="34"/>
  <c r="Q24" i="34"/>
  <c r="P24" i="34"/>
  <c r="O24" i="34"/>
  <c r="N24" i="34"/>
  <c r="V23" i="34"/>
  <c r="U23" i="34"/>
  <c r="T23" i="34"/>
  <c r="S23" i="34"/>
  <c r="R23" i="34"/>
  <c r="Q23" i="34"/>
  <c r="P23" i="34"/>
  <c r="O23" i="34"/>
  <c r="N23" i="34"/>
  <c r="V22" i="34"/>
  <c r="U22" i="34"/>
  <c r="T22" i="34"/>
  <c r="S22" i="34"/>
  <c r="R22" i="34"/>
  <c r="Q22" i="34"/>
  <c r="P22" i="34"/>
  <c r="O22" i="34"/>
  <c r="N22" i="34"/>
  <c r="V21" i="34"/>
  <c r="U21" i="34"/>
  <c r="T21" i="34"/>
  <c r="S21" i="34"/>
  <c r="R21" i="34"/>
  <c r="Q21" i="34"/>
  <c r="P21" i="34"/>
  <c r="O21" i="34"/>
  <c r="N21" i="34"/>
  <c r="V20" i="34"/>
  <c r="U20" i="34"/>
  <c r="T20" i="34"/>
  <c r="S20" i="34"/>
  <c r="R20" i="34"/>
  <c r="Q20" i="34"/>
  <c r="P20" i="34"/>
  <c r="O20" i="34"/>
  <c r="N20" i="34"/>
  <c r="V19" i="34"/>
  <c r="U19" i="34"/>
  <c r="T19" i="34"/>
  <c r="S19" i="34"/>
  <c r="R19" i="34"/>
  <c r="Q19" i="34"/>
  <c r="P19" i="34"/>
  <c r="O19" i="34"/>
  <c r="N19" i="34"/>
  <c r="V18" i="34"/>
  <c r="U18" i="34"/>
  <c r="T18" i="34"/>
  <c r="S18" i="34"/>
  <c r="R18" i="34"/>
  <c r="Q18" i="34"/>
  <c r="P18" i="34"/>
  <c r="O18" i="34"/>
  <c r="N18" i="34"/>
  <c r="V17" i="34"/>
  <c r="U17" i="34"/>
  <c r="T17" i="34"/>
  <c r="S17" i="34"/>
  <c r="R17" i="34"/>
  <c r="Q17" i="34"/>
  <c r="P17" i="34"/>
  <c r="O17" i="34"/>
  <c r="N17" i="34"/>
  <c r="V16" i="34"/>
  <c r="U16" i="34"/>
  <c r="T16" i="34"/>
  <c r="S16" i="34"/>
  <c r="R16" i="34"/>
  <c r="Q16" i="34"/>
  <c r="P16" i="34"/>
  <c r="O16" i="34"/>
  <c r="N16" i="34"/>
  <c r="V15" i="34"/>
  <c r="U15" i="34"/>
  <c r="T15" i="34"/>
  <c r="S15" i="34"/>
  <c r="R15" i="34"/>
  <c r="Q15" i="34"/>
  <c r="P15" i="34"/>
  <c r="O15" i="34"/>
  <c r="N15" i="34"/>
  <c r="V14" i="34"/>
  <c r="U14" i="34"/>
  <c r="T14" i="34"/>
  <c r="S14" i="34"/>
  <c r="R14" i="34"/>
  <c r="Q14" i="34"/>
  <c r="P14" i="34"/>
  <c r="O14" i="34"/>
  <c r="N14" i="34"/>
  <c r="V13" i="34"/>
  <c r="U13" i="34"/>
  <c r="T13" i="34"/>
  <c r="S13" i="34"/>
  <c r="R13" i="34"/>
  <c r="Q13" i="34"/>
  <c r="P13" i="34"/>
  <c r="O13" i="34"/>
  <c r="N13" i="34"/>
  <c r="V12" i="34"/>
  <c r="U12" i="34"/>
  <c r="T12" i="34"/>
  <c r="S12" i="34"/>
  <c r="R12" i="34"/>
  <c r="Q12" i="34"/>
  <c r="P12" i="34"/>
  <c r="O12" i="34"/>
  <c r="N12" i="34"/>
  <c r="V11" i="34"/>
  <c r="U11" i="34"/>
  <c r="T11" i="34"/>
  <c r="S11" i="34"/>
  <c r="R11" i="34"/>
  <c r="Q11" i="34"/>
  <c r="P11" i="34"/>
  <c r="O11" i="34"/>
  <c r="N11" i="34"/>
  <c r="V10" i="34"/>
  <c r="U10" i="34"/>
  <c r="T10" i="34"/>
  <c r="S10" i="34"/>
  <c r="R10" i="34"/>
  <c r="Q10" i="34"/>
  <c r="P10" i="34"/>
  <c r="O10" i="34"/>
  <c r="N10" i="34"/>
  <c r="V9" i="34"/>
  <c r="T9" i="34"/>
  <c r="R9" i="34"/>
  <c r="P9" i="34"/>
  <c r="N9" i="34"/>
  <c r="L55" i="34"/>
  <c r="K55" i="34"/>
  <c r="J55" i="34"/>
  <c r="I55" i="34"/>
  <c r="H55" i="34"/>
  <c r="G55" i="34"/>
  <c r="F55" i="34"/>
  <c r="E55" i="34"/>
  <c r="D55" i="34"/>
  <c r="L54" i="34"/>
  <c r="K54" i="34"/>
  <c r="J54" i="34"/>
  <c r="I54" i="34"/>
  <c r="H54" i="34"/>
  <c r="G54" i="34"/>
  <c r="F54" i="34"/>
  <c r="E54" i="34"/>
  <c r="D54" i="34"/>
  <c r="L53" i="34"/>
  <c r="K53" i="34"/>
  <c r="J53" i="34"/>
  <c r="I53" i="34"/>
  <c r="H53" i="34"/>
  <c r="G53" i="34"/>
  <c r="F53" i="34"/>
  <c r="E53" i="34"/>
  <c r="D53" i="34"/>
  <c r="L52" i="34"/>
  <c r="K52" i="34"/>
  <c r="J52" i="34"/>
  <c r="I52" i="34"/>
  <c r="H52" i="34"/>
  <c r="G52" i="34"/>
  <c r="F52" i="34"/>
  <c r="E52" i="34"/>
  <c r="D52" i="34"/>
  <c r="L51" i="34"/>
  <c r="K51" i="34"/>
  <c r="J51" i="34"/>
  <c r="I51" i="34"/>
  <c r="H51" i="34"/>
  <c r="G51" i="34"/>
  <c r="F51" i="34"/>
  <c r="E51" i="34"/>
  <c r="D51" i="34"/>
  <c r="L50" i="34"/>
  <c r="K50" i="34"/>
  <c r="J50" i="34"/>
  <c r="I50" i="34"/>
  <c r="H50" i="34"/>
  <c r="G50" i="34"/>
  <c r="F50" i="34"/>
  <c r="E50" i="34"/>
  <c r="D50" i="34"/>
  <c r="L49" i="34"/>
  <c r="K49" i="34"/>
  <c r="J49" i="34"/>
  <c r="I49" i="34"/>
  <c r="H49" i="34"/>
  <c r="G49" i="34"/>
  <c r="F49" i="34"/>
  <c r="E49" i="34"/>
  <c r="D49" i="34"/>
  <c r="L48" i="34"/>
  <c r="K48" i="34"/>
  <c r="J48" i="34"/>
  <c r="I48" i="34"/>
  <c r="H48" i="34"/>
  <c r="G48" i="34"/>
  <c r="F48" i="34"/>
  <c r="E48" i="34"/>
  <c r="D48" i="34"/>
  <c r="L47" i="34"/>
  <c r="K47" i="34"/>
  <c r="J47" i="34"/>
  <c r="I47" i="34"/>
  <c r="H47" i="34"/>
  <c r="G47" i="34"/>
  <c r="F47" i="34"/>
  <c r="E47" i="34"/>
  <c r="D47" i="34"/>
  <c r="L46" i="34"/>
  <c r="K46" i="34"/>
  <c r="J46" i="34"/>
  <c r="I46" i="34"/>
  <c r="H46" i="34"/>
  <c r="G46" i="34"/>
  <c r="F46" i="34"/>
  <c r="E46" i="34"/>
  <c r="D46" i="34"/>
  <c r="L45" i="34"/>
  <c r="K45" i="34"/>
  <c r="J45" i="34"/>
  <c r="I45" i="34"/>
  <c r="H45" i="34"/>
  <c r="G45" i="34"/>
  <c r="F45" i="34"/>
  <c r="E45" i="34"/>
  <c r="D45" i="34"/>
  <c r="L44" i="34"/>
  <c r="K44" i="34"/>
  <c r="J44" i="34"/>
  <c r="I44" i="34"/>
  <c r="H44" i="34"/>
  <c r="G44" i="34"/>
  <c r="F44" i="34"/>
  <c r="E44" i="34"/>
  <c r="D44" i="34"/>
  <c r="L43" i="34"/>
  <c r="K43" i="34"/>
  <c r="J43" i="34"/>
  <c r="I43" i="34"/>
  <c r="H43" i="34"/>
  <c r="G43" i="34"/>
  <c r="F43" i="34"/>
  <c r="E43" i="34"/>
  <c r="D43" i="34"/>
  <c r="L42" i="34"/>
  <c r="K42" i="34"/>
  <c r="J42" i="34"/>
  <c r="I42" i="34"/>
  <c r="H42" i="34"/>
  <c r="G42" i="34"/>
  <c r="F42" i="34"/>
  <c r="E42" i="34"/>
  <c r="D42" i="34"/>
  <c r="L41" i="34"/>
  <c r="K41" i="34"/>
  <c r="J41" i="34"/>
  <c r="I41" i="34"/>
  <c r="H41" i="34"/>
  <c r="G41" i="34"/>
  <c r="F41" i="34"/>
  <c r="E41" i="34"/>
  <c r="D41" i="34"/>
  <c r="L40" i="34"/>
  <c r="K40" i="34"/>
  <c r="J40" i="34"/>
  <c r="I40" i="34"/>
  <c r="H40" i="34"/>
  <c r="G40" i="34"/>
  <c r="F40" i="34"/>
  <c r="E40" i="34"/>
  <c r="D40" i="34"/>
  <c r="L39" i="34"/>
  <c r="K39" i="34"/>
  <c r="J39" i="34"/>
  <c r="I39" i="34"/>
  <c r="H39" i="34"/>
  <c r="G39" i="34"/>
  <c r="F39" i="34"/>
  <c r="E39" i="34"/>
  <c r="D39" i="34"/>
  <c r="L38" i="34"/>
  <c r="K38" i="34"/>
  <c r="J38" i="34"/>
  <c r="I38" i="34"/>
  <c r="H38" i="34"/>
  <c r="G38" i="34"/>
  <c r="F38" i="34"/>
  <c r="E38" i="34"/>
  <c r="D38" i="34"/>
  <c r="L37" i="34"/>
  <c r="K37" i="34"/>
  <c r="J37" i="34"/>
  <c r="I37" i="34"/>
  <c r="H37" i="34"/>
  <c r="G37" i="34"/>
  <c r="F37" i="34"/>
  <c r="E37" i="34"/>
  <c r="D37" i="34"/>
  <c r="L36" i="34"/>
  <c r="K36" i="34"/>
  <c r="J36" i="34"/>
  <c r="I36" i="34"/>
  <c r="H36" i="34"/>
  <c r="G36" i="34"/>
  <c r="F36" i="34"/>
  <c r="E36" i="34"/>
  <c r="D36" i="34"/>
  <c r="L35" i="34"/>
  <c r="K35" i="34"/>
  <c r="J35" i="34"/>
  <c r="I35" i="34"/>
  <c r="H35" i="34"/>
  <c r="G35" i="34"/>
  <c r="F35" i="34"/>
  <c r="E35" i="34"/>
  <c r="D35" i="34"/>
  <c r="L34" i="34"/>
  <c r="K34" i="34"/>
  <c r="J34" i="34"/>
  <c r="I34" i="34"/>
  <c r="H34" i="34"/>
  <c r="G34" i="34"/>
  <c r="F34" i="34"/>
  <c r="E34" i="34"/>
  <c r="D34" i="34"/>
  <c r="L33" i="34"/>
  <c r="K33" i="34"/>
  <c r="J33" i="34"/>
  <c r="I33" i="34"/>
  <c r="H33" i="34"/>
  <c r="G33" i="34"/>
  <c r="F33" i="34"/>
  <c r="E33" i="34"/>
  <c r="D33" i="34"/>
  <c r="L32" i="34"/>
  <c r="K32" i="34"/>
  <c r="J32" i="34"/>
  <c r="I32" i="34"/>
  <c r="H32" i="34"/>
  <c r="G32" i="34"/>
  <c r="F32" i="34"/>
  <c r="E32" i="34"/>
  <c r="D32" i="34"/>
  <c r="L31" i="34"/>
  <c r="K31" i="34"/>
  <c r="J31" i="34"/>
  <c r="I31" i="34"/>
  <c r="H31" i="34"/>
  <c r="G31" i="34"/>
  <c r="F31" i="34"/>
  <c r="E31" i="34"/>
  <c r="D31" i="34"/>
  <c r="L30" i="34"/>
  <c r="K30" i="34"/>
  <c r="J30" i="34"/>
  <c r="I30" i="34"/>
  <c r="H30" i="34"/>
  <c r="G30" i="34"/>
  <c r="F30" i="34"/>
  <c r="E30" i="34"/>
  <c r="D30" i="34"/>
  <c r="L29" i="34"/>
  <c r="K29" i="34"/>
  <c r="J29" i="34"/>
  <c r="I29" i="34"/>
  <c r="H29" i="34"/>
  <c r="G29" i="34"/>
  <c r="F29" i="34"/>
  <c r="E29" i="34"/>
  <c r="D29" i="34"/>
  <c r="L28" i="34"/>
  <c r="K28" i="34"/>
  <c r="J28" i="34"/>
  <c r="I28" i="34"/>
  <c r="H28" i="34"/>
  <c r="G28" i="34"/>
  <c r="F28" i="34"/>
  <c r="E28" i="34"/>
  <c r="D28" i="34"/>
  <c r="L27" i="34"/>
  <c r="K27" i="34"/>
  <c r="J27" i="34"/>
  <c r="I27" i="34"/>
  <c r="H27" i="34"/>
  <c r="G27" i="34"/>
  <c r="F27" i="34"/>
  <c r="E27" i="34"/>
  <c r="D27" i="34"/>
  <c r="L26" i="34"/>
  <c r="K26" i="34"/>
  <c r="J26" i="34"/>
  <c r="I26" i="34"/>
  <c r="H26" i="34"/>
  <c r="G26" i="34"/>
  <c r="F26" i="34"/>
  <c r="E26" i="34"/>
  <c r="D26" i="34"/>
  <c r="L25" i="34"/>
  <c r="K25" i="34"/>
  <c r="J25" i="34"/>
  <c r="I25" i="34"/>
  <c r="H25" i="34"/>
  <c r="G25" i="34"/>
  <c r="F25" i="34"/>
  <c r="E25" i="34"/>
  <c r="D25" i="34"/>
  <c r="L24" i="34"/>
  <c r="K24" i="34"/>
  <c r="J24" i="34"/>
  <c r="I24" i="34"/>
  <c r="H24" i="34"/>
  <c r="G24" i="34"/>
  <c r="F24" i="34"/>
  <c r="E24" i="34"/>
  <c r="D24" i="34"/>
  <c r="L23" i="34"/>
  <c r="K23" i="34"/>
  <c r="J23" i="34"/>
  <c r="I23" i="34"/>
  <c r="H23" i="34"/>
  <c r="G23" i="34"/>
  <c r="F23" i="34"/>
  <c r="E23" i="34"/>
  <c r="D23" i="34"/>
  <c r="L22" i="34"/>
  <c r="K22" i="34"/>
  <c r="J22" i="34"/>
  <c r="I22" i="34"/>
  <c r="H22" i="34"/>
  <c r="G22" i="34"/>
  <c r="F22" i="34"/>
  <c r="E22" i="34"/>
  <c r="D22" i="34"/>
  <c r="L21" i="34"/>
  <c r="K21" i="34"/>
  <c r="J21" i="34"/>
  <c r="I21" i="34"/>
  <c r="H21" i="34"/>
  <c r="G21" i="34"/>
  <c r="F21" i="34"/>
  <c r="E21" i="34"/>
  <c r="D21" i="34"/>
  <c r="L20" i="34"/>
  <c r="K20" i="34"/>
  <c r="J20" i="34"/>
  <c r="I20" i="34"/>
  <c r="H20" i="34"/>
  <c r="G20" i="34"/>
  <c r="F20" i="34"/>
  <c r="E20" i="34"/>
  <c r="D20" i="34"/>
  <c r="L19" i="34"/>
  <c r="K19" i="34"/>
  <c r="J19" i="34"/>
  <c r="I19" i="34"/>
  <c r="H19" i="34"/>
  <c r="G19" i="34"/>
  <c r="F19" i="34"/>
  <c r="E19" i="34"/>
  <c r="D19" i="34"/>
  <c r="L18" i="34"/>
  <c r="K18" i="34"/>
  <c r="J18" i="34"/>
  <c r="I18" i="34"/>
  <c r="H18" i="34"/>
  <c r="G18" i="34"/>
  <c r="F18" i="34"/>
  <c r="E18" i="34"/>
  <c r="D18" i="34"/>
  <c r="L17" i="34"/>
  <c r="K17" i="34"/>
  <c r="J17" i="34"/>
  <c r="I17" i="34"/>
  <c r="H17" i="34"/>
  <c r="G17" i="34"/>
  <c r="F17" i="34"/>
  <c r="E17" i="34"/>
  <c r="D17" i="34"/>
  <c r="L16" i="34"/>
  <c r="K16" i="34"/>
  <c r="J16" i="34"/>
  <c r="I16" i="34"/>
  <c r="H16" i="34"/>
  <c r="G16" i="34"/>
  <c r="F16" i="34"/>
  <c r="E16" i="34"/>
  <c r="D16" i="34"/>
  <c r="L15" i="34"/>
  <c r="K15" i="34"/>
  <c r="J15" i="34"/>
  <c r="I15" i="34"/>
  <c r="H15" i="34"/>
  <c r="G15" i="34"/>
  <c r="F15" i="34"/>
  <c r="E15" i="34"/>
  <c r="D15" i="34"/>
  <c r="L14" i="34"/>
  <c r="K14" i="34"/>
  <c r="J14" i="34"/>
  <c r="I14" i="34"/>
  <c r="H14" i="34"/>
  <c r="G14" i="34"/>
  <c r="F14" i="34"/>
  <c r="E14" i="34"/>
  <c r="D14" i="34"/>
  <c r="L13" i="34"/>
  <c r="K13" i="34"/>
  <c r="J13" i="34"/>
  <c r="I13" i="34"/>
  <c r="H13" i="34"/>
  <c r="G13" i="34"/>
  <c r="F13" i="34"/>
  <c r="E13" i="34"/>
  <c r="D13" i="34"/>
  <c r="L12" i="34"/>
  <c r="K12" i="34"/>
  <c r="J12" i="34"/>
  <c r="I12" i="34"/>
  <c r="H12" i="34"/>
  <c r="G12" i="34"/>
  <c r="F12" i="34"/>
  <c r="E12" i="34"/>
  <c r="D12" i="34"/>
  <c r="L11" i="34"/>
  <c r="K11" i="34"/>
  <c r="J11" i="34"/>
  <c r="I11" i="34"/>
  <c r="H11" i="34"/>
  <c r="G11" i="34"/>
  <c r="F11" i="34"/>
  <c r="E11" i="34"/>
  <c r="D11" i="34"/>
  <c r="L10" i="34"/>
  <c r="K10" i="34"/>
  <c r="J10" i="34"/>
  <c r="I10" i="34"/>
  <c r="H10" i="34"/>
  <c r="G10" i="34"/>
  <c r="F10" i="34"/>
  <c r="E10" i="34"/>
  <c r="D10" i="34"/>
  <c r="L9" i="34"/>
  <c r="J9" i="34"/>
  <c r="H9" i="34"/>
  <c r="D9" i="34"/>
  <c r="AF55" i="34"/>
  <c r="AE55" i="34"/>
  <c r="AD55" i="34"/>
  <c r="AC55" i="34"/>
  <c r="AB55" i="34"/>
  <c r="AA55" i="34"/>
  <c r="Z55" i="34"/>
  <c r="Y55" i="34"/>
  <c r="X55" i="34"/>
  <c r="AF54" i="34"/>
  <c r="AE54" i="34"/>
  <c r="AD54" i="34"/>
  <c r="AC54" i="34"/>
  <c r="AB54" i="34"/>
  <c r="AA54" i="34"/>
  <c r="Z54" i="34"/>
  <c r="Y54" i="34"/>
  <c r="X54" i="34"/>
  <c r="AF53" i="34"/>
  <c r="AE53" i="34"/>
  <c r="AD53" i="34"/>
  <c r="AC53" i="34"/>
  <c r="AB53" i="34"/>
  <c r="AA53" i="34"/>
  <c r="Z53" i="34"/>
  <c r="Y53" i="34"/>
  <c r="X53" i="34"/>
  <c r="AF52" i="34"/>
  <c r="AE52" i="34"/>
  <c r="AD52" i="34"/>
  <c r="AC52" i="34"/>
  <c r="AB52" i="34"/>
  <c r="AA52" i="34"/>
  <c r="Z52" i="34"/>
  <c r="Y52" i="34"/>
  <c r="X52" i="34"/>
  <c r="AF51" i="34"/>
  <c r="AE51" i="34"/>
  <c r="AD51" i="34"/>
  <c r="AC51" i="34"/>
  <c r="AB51" i="34"/>
  <c r="AA51" i="34"/>
  <c r="Z51" i="34"/>
  <c r="Y51" i="34"/>
  <c r="X51" i="34"/>
  <c r="AF50" i="34"/>
  <c r="AE50" i="34"/>
  <c r="AD50" i="34"/>
  <c r="AC50" i="34"/>
  <c r="AB50" i="34"/>
  <c r="AA50" i="34"/>
  <c r="Z50" i="34"/>
  <c r="Y50" i="34"/>
  <c r="X50" i="34"/>
  <c r="AF49" i="34"/>
  <c r="AE49" i="34"/>
  <c r="AD49" i="34"/>
  <c r="AC49" i="34"/>
  <c r="AB49" i="34"/>
  <c r="AA49" i="34"/>
  <c r="Z49" i="34"/>
  <c r="Y49" i="34"/>
  <c r="X49" i="34"/>
  <c r="AF48" i="34"/>
  <c r="AE48" i="34"/>
  <c r="AD48" i="34"/>
  <c r="AC48" i="34"/>
  <c r="AB48" i="34"/>
  <c r="AA48" i="34"/>
  <c r="Z48" i="34"/>
  <c r="Y48" i="34"/>
  <c r="X48" i="34"/>
  <c r="AF47" i="34"/>
  <c r="AE47" i="34"/>
  <c r="AD47" i="34"/>
  <c r="AC47" i="34"/>
  <c r="AB47" i="34"/>
  <c r="AA47" i="34"/>
  <c r="Z47" i="34"/>
  <c r="Y47" i="34"/>
  <c r="X47" i="34"/>
  <c r="AF46" i="34"/>
  <c r="AE46" i="34"/>
  <c r="AD46" i="34"/>
  <c r="AC46" i="34"/>
  <c r="AB46" i="34"/>
  <c r="AA46" i="34"/>
  <c r="Z46" i="34"/>
  <c r="Y46" i="34"/>
  <c r="X46" i="34"/>
  <c r="AF45" i="34"/>
  <c r="AE45" i="34"/>
  <c r="AD45" i="34"/>
  <c r="AC45" i="34"/>
  <c r="AB45" i="34"/>
  <c r="AA45" i="34"/>
  <c r="Z45" i="34"/>
  <c r="Y45" i="34"/>
  <c r="X45" i="34"/>
  <c r="AF44" i="34"/>
  <c r="AE44" i="34"/>
  <c r="AD44" i="34"/>
  <c r="AC44" i="34"/>
  <c r="AB44" i="34"/>
  <c r="AA44" i="34"/>
  <c r="Z44" i="34"/>
  <c r="Y44" i="34"/>
  <c r="X44" i="34"/>
  <c r="AF43" i="34"/>
  <c r="AE43" i="34"/>
  <c r="AD43" i="34"/>
  <c r="AC43" i="34"/>
  <c r="AB43" i="34"/>
  <c r="AA43" i="34"/>
  <c r="Z43" i="34"/>
  <c r="Y43" i="34"/>
  <c r="X43" i="34"/>
  <c r="AF42" i="34"/>
  <c r="AE42" i="34"/>
  <c r="AD42" i="34"/>
  <c r="AC42" i="34"/>
  <c r="AB42" i="34"/>
  <c r="AA42" i="34"/>
  <c r="Z42" i="34"/>
  <c r="Y42" i="34"/>
  <c r="X42" i="34"/>
  <c r="AF41" i="34"/>
  <c r="AE41" i="34"/>
  <c r="AD41" i="34"/>
  <c r="AC41" i="34"/>
  <c r="AB41" i="34"/>
  <c r="AA41" i="34"/>
  <c r="Z41" i="34"/>
  <c r="Y41" i="34"/>
  <c r="X41" i="34"/>
  <c r="AF40" i="34"/>
  <c r="AE40" i="34"/>
  <c r="AD40" i="34"/>
  <c r="AC40" i="34"/>
  <c r="AB40" i="34"/>
  <c r="AA40" i="34"/>
  <c r="Z40" i="34"/>
  <c r="Y40" i="34"/>
  <c r="X40" i="34"/>
  <c r="AF39" i="34"/>
  <c r="AE39" i="34"/>
  <c r="AD39" i="34"/>
  <c r="AC39" i="34"/>
  <c r="AB39" i="34"/>
  <c r="AA39" i="34"/>
  <c r="Z39" i="34"/>
  <c r="Y39" i="34"/>
  <c r="X39" i="34"/>
  <c r="AF38" i="34"/>
  <c r="AE38" i="34"/>
  <c r="AD38" i="34"/>
  <c r="AC38" i="34"/>
  <c r="AB38" i="34"/>
  <c r="AA38" i="34"/>
  <c r="Z38" i="34"/>
  <c r="Y38" i="34"/>
  <c r="X38" i="34"/>
  <c r="AF37" i="34"/>
  <c r="AE37" i="34"/>
  <c r="AD37" i="34"/>
  <c r="AC37" i="34"/>
  <c r="AB37" i="34"/>
  <c r="AA37" i="34"/>
  <c r="Z37" i="34"/>
  <c r="Y37" i="34"/>
  <c r="X37" i="34"/>
  <c r="AF36" i="34"/>
  <c r="AE36" i="34"/>
  <c r="AD36" i="34"/>
  <c r="AC36" i="34"/>
  <c r="AB36" i="34"/>
  <c r="AA36" i="34"/>
  <c r="Z36" i="34"/>
  <c r="Y36" i="34"/>
  <c r="X36" i="34"/>
  <c r="AF35" i="34"/>
  <c r="AE35" i="34"/>
  <c r="AD35" i="34"/>
  <c r="AC35" i="34"/>
  <c r="AB35" i="34"/>
  <c r="AA35" i="34"/>
  <c r="Z35" i="34"/>
  <c r="Y35" i="34"/>
  <c r="X35" i="34"/>
  <c r="AF34" i="34"/>
  <c r="AE34" i="34"/>
  <c r="AD34" i="34"/>
  <c r="AC34" i="34"/>
  <c r="AB34" i="34"/>
  <c r="AA34" i="34"/>
  <c r="Z34" i="34"/>
  <c r="Y34" i="34"/>
  <c r="X34" i="34"/>
  <c r="AF33" i="34"/>
  <c r="AE33" i="34"/>
  <c r="AD33" i="34"/>
  <c r="AC33" i="34"/>
  <c r="AB33" i="34"/>
  <c r="AA33" i="34"/>
  <c r="Z33" i="34"/>
  <c r="Y33" i="34"/>
  <c r="X33" i="34"/>
  <c r="AF32" i="34"/>
  <c r="AE32" i="34"/>
  <c r="AD32" i="34"/>
  <c r="AC32" i="34"/>
  <c r="AB32" i="34"/>
  <c r="AA32" i="34"/>
  <c r="Z32" i="34"/>
  <c r="Y32" i="34"/>
  <c r="X32" i="34"/>
  <c r="AF31" i="34"/>
  <c r="AE31" i="34"/>
  <c r="AD31" i="34"/>
  <c r="AC31" i="34"/>
  <c r="AB31" i="34"/>
  <c r="AA31" i="34"/>
  <c r="Z31" i="34"/>
  <c r="Y31" i="34"/>
  <c r="X31" i="34"/>
  <c r="AF30" i="34"/>
  <c r="AE30" i="34"/>
  <c r="AD30" i="34"/>
  <c r="AC30" i="34"/>
  <c r="AB30" i="34"/>
  <c r="AA30" i="34"/>
  <c r="Z30" i="34"/>
  <c r="Y30" i="34"/>
  <c r="X30" i="34"/>
  <c r="AF29" i="34"/>
  <c r="AE29" i="34"/>
  <c r="AD29" i="34"/>
  <c r="AC29" i="34"/>
  <c r="AB29" i="34"/>
  <c r="AA29" i="34"/>
  <c r="Z29" i="34"/>
  <c r="Y29" i="34"/>
  <c r="X29" i="34"/>
  <c r="AF28" i="34"/>
  <c r="AE28" i="34"/>
  <c r="AD28" i="34"/>
  <c r="AC28" i="34"/>
  <c r="AB28" i="34"/>
  <c r="AA28" i="34"/>
  <c r="Z28" i="34"/>
  <c r="Y28" i="34"/>
  <c r="X28" i="34"/>
  <c r="AF27" i="34"/>
  <c r="AE27" i="34"/>
  <c r="AD27" i="34"/>
  <c r="AC27" i="34"/>
  <c r="AB27" i="34"/>
  <c r="AA27" i="34"/>
  <c r="Z27" i="34"/>
  <c r="Y27" i="34"/>
  <c r="X27" i="34"/>
  <c r="AF26" i="34"/>
  <c r="AE26" i="34"/>
  <c r="AD26" i="34"/>
  <c r="AC26" i="34"/>
  <c r="AB26" i="34"/>
  <c r="AA26" i="34"/>
  <c r="Z26" i="34"/>
  <c r="Y26" i="34"/>
  <c r="X26" i="34"/>
  <c r="AF25" i="34"/>
  <c r="AE25" i="34"/>
  <c r="AD25" i="34"/>
  <c r="AC25" i="34"/>
  <c r="AB25" i="34"/>
  <c r="AA25" i="34"/>
  <c r="Z25" i="34"/>
  <c r="Y25" i="34"/>
  <c r="X25" i="34"/>
  <c r="AF24" i="34"/>
  <c r="AE24" i="34"/>
  <c r="AD24" i="34"/>
  <c r="AC24" i="34"/>
  <c r="AB24" i="34"/>
  <c r="AA24" i="34"/>
  <c r="Z24" i="34"/>
  <c r="Y24" i="34"/>
  <c r="X24" i="34"/>
  <c r="AF23" i="34"/>
  <c r="AE23" i="34"/>
  <c r="AD23" i="34"/>
  <c r="AC23" i="34"/>
  <c r="AB23" i="34"/>
  <c r="AA23" i="34"/>
  <c r="Z23" i="34"/>
  <c r="Y23" i="34"/>
  <c r="X23" i="34"/>
  <c r="AF22" i="34"/>
  <c r="AE22" i="34"/>
  <c r="AD22" i="34"/>
  <c r="AC22" i="34"/>
  <c r="AB22" i="34"/>
  <c r="AA22" i="34"/>
  <c r="Z22" i="34"/>
  <c r="Y22" i="34"/>
  <c r="X22" i="34"/>
  <c r="AF21" i="34"/>
  <c r="AE21" i="34"/>
  <c r="AD21" i="34"/>
  <c r="AC21" i="34"/>
  <c r="AB21" i="34"/>
  <c r="AA21" i="34"/>
  <c r="Z21" i="34"/>
  <c r="Y21" i="34"/>
  <c r="X21" i="34"/>
  <c r="AF20" i="34"/>
  <c r="AE20" i="34"/>
  <c r="AD20" i="34"/>
  <c r="AC20" i="34"/>
  <c r="AB20" i="34"/>
  <c r="AA20" i="34"/>
  <c r="Z20" i="34"/>
  <c r="Y20" i="34"/>
  <c r="X20" i="34"/>
  <c r="AF19" i="34"/>
  <c r="AE19" i="34"/>
  <c r="AD19" i="34"/>
  <c r="AC19" i="34"/>
  <c r="AB19" i="34"/>
  <c r="AA19" i="34"/>
  <c r="Z19" i="34"/>
  <c r="Y19" i="34"/>
  <c r="X19" i="34"/>
  <c r="AF18" i="34"/>
  <c r="AE18" i="34"/>
  <c r="AD18" i="34"/>
  <c r="AC18" i="34"/>
  <c r="AB18" i="34"/>
  <c r="AA18" i="34"/>
  <c r="Z18" i="34"/>
  <c r="Y18" i="34"/>
  <c r="X18" i="34"/>
  <c r="AF17" i="34"/>
  <c r="AE17" i="34"/>
  <c r="AD17" i="34"/>
  <c r="AC17" i="34"/>
  <c r="AB17" i="34"/>
  <c r="AA17" i="34"/>
  <c r="Z17" i="34"/>
  <c r="Y17" i="34"/>
  <c r="X17" i="34"/>
  <c r="AF16" i="34"/>
  <c r="AE16" i="34"/>
  <c r="AD16" i="34"/>
  <c r="AC16" i="34"/>
  <c r="AB16" i="34"/>
  <c r="AA16" i="34"/>
  <c r="Z16" i="34"/>
  <c r="Y16" i="34"/>
  <c r="X16" i="34"/>
  <c r="AF15" i="34"/>
  <c r="AE15" i="34"/>
  <c r="AD15" i="34"/>
  <c r="AC15" i="34"/>
  <c r="AB15" i="34"/>
  <c r="AA15" i="34"/>
  <c r="Z15" i="34"/>
  <c r="Y15" i="34"/>
  <c r="X15" i="34"/>
  <c r="AF14" i="34"/>
  <c r="AE14" i="34"/>
  <c r="AD14" i="34"/>
  <c r="AC14" i="34"/>
  <c r="AB14" i="34"/>
  <c r="AA14" i="34"/>
  <c r="Z14" i="34"/>
  <c r="Y14" i="34"/>
  <c r="X14" i="34"/>
  <c r="AF13" i="34"/>
  <c r="AE13" i="34"/>
  <c r="AD13" i="34"/>
  <c r="AC13" i="34"/>
  <c r="AB13" i="34"/>
  <c r="AA13" i="34"/>
  <c r="Z13" i="34"/>
  <c r="Y13" i="34"/>
  <c r="X13" i="34"/>
  <c r="AF12" i="34"/>
  <c r="AE12" i="34"/>
  <c r="AD12" i="34"/>
  <c r="AC12" i="34"/>
  <c r="AB12" i="34"/>
  <c r="AA12" i="34"/>
  <c r="Z12" i="34"/>
  <c r="Y12" i="34"/>
  <c r="X12" i="34"/>
  <c r="AF11" i="34"/>
  <c r="AE11" i="34"/>
  <c r="AD11" i="34"/>
  <c r="AC11" i="34"/>
  <c r="AB11" i="34"/>
  <c r="AA11" i="34"/>
  <c r="Z11" i="34"/>
  <c r="Y11" i="34"/>
  <c r="X11" i="34"/>
  <c r="AF10" i="34"/>
  <c r="AE10" i="34"/>
  <c r="AD10" i="34"/>
  <c r="AC10" i="34"/>
  <c r="AB10" i="34"/>
  <c r="AA10" i="34"/>
  <c r="Z10" i="34"/>
  <c r="Y10" i="34"/>
  <c r="X10" i="34"/>
  <c r="AF9" i="34"/>
  <c r="AD9" i="34"/>
  <c r="AB9" i="34"/>
  <c r="Z9" i="34"/>
  <c r="X9" i="34"/>
  <c r="AP55" i="34"/>
  <c r="AO55" i="34"/>
  <c r="AN55" i="34"/>
  <c r="AM55" i="34"/>
  <c r="AL55" i="34"/>
  <c r="AK55" i="34"/>
  <c r="AJ55" i="34"/>
  <c r="AI55" i="34"/>
  <c r="AH55" i="34"/>
  <c r="AP54" i="34"/>
  <c r="AO54" i="34"/>
  <c r="AN54" i="34"/>
  <c r="AM54" i="34"/>
  <c r="AL54" i="34"/>
  <c r="AK54" i="34"/>
  <c r="AJ54" i="34"/>
  <c r="AI54" i="34"/>
  <c r="AH54" i="34"/>
  <c r="AP53" i="34"/>
  <c r="AO53" i="34"/>
  <c r="AN53" i="34"/>
  <c r="AM53" i="34"/>
  <c r="AL53" i="34"/>
  <c r="AK53" i="34"/>
  <c r="AJ53" i="34"/>
  <c r="AI53" i="34"/>
  <c r="AH53" i="34"/>
  <c r="AP52" i="34"/>
  <c r="AO52" i="34"/>
  <c r="AN52" i="34"/>
  <c r="AM52" i="34"/>
  <c r="AL52" i="34"/>
  <c r="AK52" i="34"/>
  <c r="AJ52" i="34"/>
  <c r="AI52" i="34"/>
  <c r="AH52" i="34"/>
  <c r="AP51" i="34"/>
  <c r="AO51" i="34"/>
  <c r="AN51" i="34"/>
  <c r="AM51" i="34"/>
  <c r="AL51" i="34"/>
  <c r="AK51" i="34"/>
  <c r="AJ51" i="34"/>
  <c r="AI51" i="34"/>
  <c r="AH51" i="34"/>
  <c r="AP50" i="34"/>
  <c r="AO50" i="34"/>
  <c r="AN50" i="34"/>
  <c r="AM50" i="34"/>
  <c r="AL50" i="34"/>
  <c r="AK50" i="34"/>
  <c r="AJ50" i="34"/>
  <c r="AI50" i="34"/>
  <c r="AH50" i="34"/>
  <c r="AP49" i="34"/>
  <c r="AO49" i="34"/>
  <c r="AN49" i="34"/>
  <c r="AM49" i="34"/>
  <c r="AL49" i="34"/>
  <c r="AK49" i="34"/>
  <c r="AJ49" i="34"/>
  <c r="AI49" i="34"/>
  <c r="AH49" i="34"/>
  <c r="AP48" i="34"/>
  <c r="AO48" i="34"/>
  <c r="AN48" i="34"/>
  <c r="AM48" i="34"/>
  <c r="AL48" i="34"/>
  <c r="AK48" i="34"/>
  <c r="AJ48" i="34"/>
  <c r="AI48" i="34"/>
  <c r="AH48" i="34"/>
  <c r="AP47" i="34"/>
  <c r="AO47" i="34"/>
  <c r="AN47" i="34"/>
  <c r="AM47" i="34"/>
  <c r="AL47" i="34"/>
  <c r="AK47" i="34"/>
  <c r="AJ47" i="34"/>
  <c r="AI47" i="34"/>
  <c r="AH47" i="34"/>
  <c r="AP46" i="34"/>
  <c r="AO46" i="34"/>
  <c r="AN46" i="34"/>
  <c r="AM46" i="34"/>
  <c r="AL46" i="34"/>
  <c r="AK46" i="34"/>
  <c r="AJ46" i="34"/>
  <c r="AI46" i="34"/>
  <c r="AH46" i="34"/>
  <c r="AP45" i="34"/>
  <c r="AO45" i="34"/>
  <c r="AN45" i="34"/>
  <c r="AM45" i="34"/>
  <c r="AL45" i="34"/>
  <c r="AK45" i="34"/>
  <c r="AJ45" i="34"/>
  <c r="AI45" i="34"/>
  <c r="AH45" i="34"/>
  <c r="AP44" i="34"/>
  <c r="AO44" i="34"/>
  <c r="AN44" i="34"/>
  <c r="AM44" i="34"/>
  <c r="AL44" i="34"/>
  <c r="AK44" i="34"/>
  <c r="AJ44" i="34"/>
  <c r="AI44" i="34"/>
  <c r="AH44" i="34"/>
  <c r="AP43" i="34"/>
  <c r="AO43" i="34"/>
  <c r="AN43" i="34"/>
  <c r="AM43" i="34"/>
  <c r="AL43" i="34"/>
  <c r="AK43" i="34"/>
  <c r="AJ43" i="34"/>
  <c r="AI43" i="34"/>
  <c r="AH43" i="34"/>
  <c r="AP42" i="34"/>
  <c r="AO42" i="34"/>
  <c r="AN42" i="34"/>
  <c r="AM42" i="34"/>
  <c r="AL42" i="34"/>
  <c r="AK42" i="34"/>
  <c r="AJ42" i="34"/>
  <c r="AI42" i="34"/>
  <c r="AH42" i="34"/>
  <c r="AP41" i="34"/>
  <c r="AO41" i="34"/>
  <c r="AN41" i="34"/>
  <c r="AM41" i="34"/>
  <c r="AL41" i="34"/>
  <c r="AK41" i="34"/>
  <c r="AJ41" i="34"/>
  <c r="AI41" i="34"/>
  <c r="AH41" i="34"/>
  <c r="AP40" i="34"/>
  <c r="AO40" i="34"/>
  <c r="AN40" i="34"/>
  <c r="AM40" i="34"/>
  <c r="AL40" i="34"/>
  <c r="AK40" i="34"/>
  <c r="AJ40" i="34"/>
  <c r="AI40" i="34"/>
  <c r="AH40" i="34"/>
  <c r="AP39" i="34"/>
  <c r="AO39" i="34"/>
  <c r="AN39" i="34"/>
  <c r="AM39" i="34"/>
  <c r="AL39" i="34"/>
  <c r="AK39" i="34"/>
  <c r="AJ39" i="34"/>
  <c r="AI39" i="34"/>
  <c r="AH39" i="34"/>
  <c r="AP38" i="34"/>
  <c r="AO38" i="34"/>
  <c r="AN38" i="34"/>
  <c r="AM38" i="34"/>
  <c r="AL38" i="34"/>
  <c r="AK38" i="34"/>
  <c r="AJ38" i="34"/>
  <c r="AI38" i="34"/>
  <c r="AH38" i="34"/>
  <c r="AP37" i="34"/>
  <c r="AO37" i="34"/>
  <c r="AN37" i="34"/>
  <c r="AM37" i="34"/>
  <c r="AL37" i="34"/>
  <c r="AK37" i="34"/>
  <c r="AJ37" i="34"/>
  <c r="AI37" i="34"/>
  <c r="AH37" i="34"/>
  <c r="AP36" i="34"/>
  <c r="AO36" i="34"/>
  <c r="AN36" i="34"/>
  <c r="AM36" i="34"/>
  <c r="AL36" i="34"/>
  <c r="AK36" i="34"/>
  <c r="AJ36" i="34"/>
  <c r="AI36" i="34"/>
  <c r="AH36" i="34"/>
  <c r="AP35" i="34"/>
  <c r="AO35" i="34"/>
  <c r="AN35" i="34"/>
  <c r="AM35" i="34"/>
  <c r="AL35" i="34"/>
  <c r="AK35" i="34"/>
  <c r="AJ35" i="34"/>
  <c r="AI35" i="34"/>
  <c r="AH35" i="34"/>
  <c r="AP34" i="34"/>
  <c r="AO34" i="34"/>
  <c r="AN34" i="34"/>
  <c r="AM34" i="34"/>
  <c r="AL34" i="34"/>
  <c r="AK34" i="34"/>
  <c r="AJ34" i="34"/>
  <c r="AI34" i="34"/>
  <c r="AH34" i="34"/>
  <c r="AP33" i="34"/>
  <c r="AO33" i="34"/>
  <c r="AN33" i="34"/>
  <c r="AM33" i="34"/>
  <c r="AL33" i="34"/>
  <c r="AK33" i="34"/>
  <c r="AJ33" i="34"/>
  <c r="AI33" i="34"/>
  <c r="AH33" i="34"/>
  <c r="AP32" i="34"/>
  <c r="AO32" i="34"/>
  <c r="AN32" i="34"/>
  <c r="AM32" i="34"/>
  <c r="AL32" i="34"/>
  <c r="AK32" i="34"/>
  <c r="AJ32" i="34"/>
  <c r="AI32" i="34"/>
  <c r="AH32" i="34"/>
  <c r="AP31" i="34"/>
  <c r="AO31" i="34"/>
  <c r="AN31" i="34"/>
  <c r="AM31" i="34"/>
  <c r="AL31" i="34"/>
  <c r="AK31" i="34"/>
  <c r="AJ31" i="34"/>
  <c r="AI31" i="34"/>
  <c r="AH31" i="34"/>
  <c r="AP30" i="34"/>
  <c r="AO30" i="34"/>
  <c r="AN30" i="34"/>
  <c r="AM30" i="34"/>
  <c r="AL30" i="34"/>
  <c r="AK30" i="34"/>
  <c r="AJ30" i="34"/>
  <c r="AI30" i="34"/>
  <c r="AH30" i="34"/>
  <c r="AP29" i="34"/>
  <c r="AO29" i="34"/>
  <c r="AN29" i="34"/>
  <c r="AM29" i="34"/>
  <c r="AL29" i="34"/>
  <c r="AK29" i="34"/>
  <c r="AJ29" i="34"/>
  <c r="AI29" i="34"/>
  <c r="AH29" i="34"/>
  <c r="AP28" i="34"/>
  <c r="AO28" i="34"/>
  <c r="AN28" i="34"/>
  <c r="AM28" i="34"/>
  <c r="AL28" i="34"/>
  <c r="AK28" i="34"/>
  <c r="AJ28" i="34"/>
  <c r="AI28" i="34"/>
  <c r="AH28" i="34"/>
  <c r="AP27" i="34"/>
  <c r="AO27" i="34"/>
  <c r="AN27" i="34"/>
  <c r="AM27" i="34"/>
  <c r="AL27" i="34"/>
  <c r="AK27" i="34"/>
  <c r="AJ27" i="34"/>
  <c r="AI27" i="34"/>
  <c r="AH27" i="34"/>
  <c r="AP26" i="34"/>
  <c r="AO26" i="34"/>
  <c r="AN26" i="34"/>
  <c r="AM26" i="34"/>
  <c r="AL26" i="34"/>
  <c r="AK26" i="34"/>
  <c r="AJ26" i="34"/>
  <c r="AI26" i="34"/>
  <c r="AH26" i="34"/>
  <c r="AP25" i="34"/>
  <c r="AO25" i="34"/>
  <c r="AN25" i="34"/>
  <c r="AM25" i="34"/>
  <c r="AL25" i="34"/>
  <c r="AK25" i="34"/>
  <c r="AJ25" i="34"/>
  <c r="AI25" i="34"/>
  <c r="AH25" i="34"/>
  <c r="AP24" i="34"/>
  <c r="AO24" i="34"/>
  <c r="AN24" i="34"/>
  <c r="AM24" i="34"/>
  <c r="AL24" i="34"/>
  <c r="AK24" i="34"/>
  <c r="AJ24" i="34"/>
  <c r="AI24" i="34"/>
  <c r="AH24" i="34"/>
  <c r="AP23" i="34"/>
  <c r="AO23" i="34"/>
  <c r="AN23" i="34"/>
  <c r="AM23" i="34"/>
  <c r="AL23" i="34"/>
  <c r="AK23" i="34"/>
  <c r="AJ23" i="34"/>
  <c r="AI23" i="34"/>
  <c r="AH23" i="34"/>
  <c r="AP22" i="34"/>
  <c r="AO22" i="34"/>
  <c r="AN22" i="34"/>
  <c r="AM22" i="34"/>
  <c r="AL22" i="34"/>
  <c r="AK22" i="34"/>
  <c r="AJ22" i="34"/>
  <c r="AI22" i="34"/>
  <c r="AH22" i="34"/>
  <c r="AP21" i="34"/>
  <c r="AO21" i="34"/>
  <c r="AN21" i="34"/>
  <c r="AM21" i="34"/>
  <c r="AL21" i="34"/>
  <c r="AK21" i="34"/>
  <c r="AJ21" i="34"/>
  <c r="AI21" i="34"/>
  <c r="AH21" i="34"/>
  <c r="AP20" i="34"/>
  <c r="AO20" i="34"/>
  <c r="AN20" i="34"/>
  <c r="AM20" i="34"/>
  <c r="AL20" i="34"/>
  <c r="AK20" i="34"/>
  <c r="AJ20" i="34"/>
  <c r="AI20" i="34"/>
  <c r="AH20" i="34"/>
  <c r="AP19" i="34"/>
  <c r="AO19" i="34"/>
  <c r="AN19" i="34"/>
  <c r="AM19" i="34"/>
  <c r="AL19" i="34"/>
  <c r="AK19" i="34"/>
  <c r="AJ19" i="34"/>
  <c r="AI19" i="34"/>
  <c r="AH19" i="34"/>
  <c r="AP18" i="34"/>
  <c r="AO18" i="34"/>
  <c r="AN18" i="34"/>
  <c r="AM18" i="34"/>
  <c r="AL18" i="34"/>
  <c r="AK18" i="34"/>
  <c r="AJ18" i="34"/>
  <c r="AI18" i="34"/>
  <c r="AH18" i="34"/>
  <c r="AP17" i="34"/>
  <c r="AO17" i="34"/>
  <c r="AN17" i="34"/>
  <c r="AM17" i="34"/>
  <c r="AL17" i="34"/>
  <c r="AK17" i="34"/>
  <c r="AJ17" i="34"/>
  <c r="AI17" i="34"/>
  <c r="AH17" i="34"/>
  <c r="AP16" i="34"/>
  <c r="AO16" i="34"/>
  <c r="AN16" i="34"/>
  <c r="AM16" i="34"/>
  <c r="AL16" i="34"/>
  <c r="AK16" i="34"/>
  <c r="AJ16" i="34"/>
  <c r="AI16" i="34"/>
  <c r="AH16" i="34"/>
  <c r="AP15" i="34"/>
  <c r="AO15" i="34"/>
  <c r="AN15" i="34"/>
  <c r="AM15" i="34"/>
  <c r="AL15" i="34"/>
  <c r="AK15" i="34"/>
  <c r="AJ15" i="34"/>
  <c r="AI15" i="34"/>
  <c r="AH15" i="34"/>
  <c r="AP14" i="34"/>
  <c r="AO14" i="34"/>
  <c r="AN14" i="34"/>
  <c r="AM14" i="34"/>
  <c r="AL14" i="34"/>
  <c r="AK14" i="34"/>
  <c r="AJ14" i="34"/>
  <c r="AI14" i="34"/>
  <c r="AH14" i="34"/>
  <c r="AP13" i="34"/>
  <c r="AO13" i="34"/>
  <c r="AN13" i="34"/>
  <c r="AM13" i="34"/>
  <c r="AL13" i="34"/>
  <c r="AK13" i="34"/>
  <c r="AJ13" i="34"/>
  <c r="AI13" i="34"/>
  <c r="AH13" i="34"/>
  <c r="AP12" i="34"/>
  <c r="AO12" i="34"/>
  <c r="AN12" i="34"/>
  <c r="AM12" i="34"/>
  <c r="AL12" i="34"/>
  <c r="AK12" i="34"/>
  <c r="AJ12" i="34"/>
  <c r="AI12" i="34"/>
  <c r="AH12" i="34"/>
  <c r="AP11" i="34"/>
  <c r="AO11" i="34"/>
  <c r="AN11" i="34"/>
  <c r="AM11" i="34"/>
  <c r="AL11" i="34"/>
  <c r="AK11" i="34"/>
  <c r="AJ11" i="34"/>
  <c r="AI11" i="34"/>
  <c r="AH11" i="34"/>
  <c r="AP10" i="34"/>
  <c r="AO10" i="34"/>
  <c r="AN10" i="34"/>
  <c r="AM10" i="34"/>
  <c r="AL10" i="34"/>
  <c r="AK10" i="34"/>
  <c r="AJ10" i="34"/>
  <c r="AI10" i="34"/>
  <c r="AH10" i="34"/>
  <c r="AP9" i="34"/>
  <c r="AN9" i="34"/>
  <c r="AL9" i="34"/>
  <c r="AH9" i="34"/>
  <c r="AZ55" i="34"/>
  <c r="AY55" i="34"/>
  <c r="AX55" i="34"/>
  <c r="AW55" i="34"/>
  <c r="AV55" i="34"/>
  <c r="AU55" i="34"/>
  <c r="AT55" i="34"/>
  <c r="AS55" i="34"/>
  <c r="AR55" i="34"/>
  <c r="AZ54" i="34"/>
  <c r="AY54" i="34"/>
  <c r="AX54" i="34"/>
  <c r="AW54" i="34"/>
  <c r="AV54" i="34"/>
  <c r="AU54" i="34"/>
  <c r="AT54" i="34"/>
  <c r="AS54" i="34"/>
  <c r="AR54" i="34"/>
  <c r="AZ53" i="34"/>
  <c r="AY53" i="34"/>
  <c r="AX53" i="34"/>
  <c r="AW53" i="34"/>
  <c r="AV53" i="34"/>
  <c r="AU53" i="34"/>
  <c r="AT53" i="34"/>
  <c r="AS53" i="34"/>
  <c r="AR53" i="34"/>
  <c r="AZ52" i="34"/>
  <c r="AY52" i="34"/>
  <c r="AX52" i="34"/>
  <c r="AW52" i="34"/>
  <c r="AV52" i="34"/>
  <c r="AU52" i="34"/>
  <c r="AT52" i="34"/>
  <c r="AS52" i="34"/>
  <c r="AR52" i="34"/>
  <c r="AZ51" i="34"/>
  <c r="AY51" i="34"/>
  <c r="AX51" i="34"/>
  <c r="AW51" i="34"/>
  <c r="AV51" i="34"/>
  <c r="AU51" i="34"/>
  <c r="AT51" i="34"/>
  <c r="AS51" i="34"/>
  <c r="AR51" i="34"/>
  <c r="AZ50" i="34"/>
  <c r="AY50" i="34"/>
  <c r="AX50" i="34"/>
  <c r="AW50" i="34"/>
  <c r="AV50" i="34"/>
  <c r="AU50" i="34"/>
  <c r="AT50" i="34"/>
  <c r="AS50" i="34"/>
  <c r="AR50" i="34"/>
  <c r="AZ49" i="34"/>
  <c r="AY49" i="34"/>
  <c r="AX49" i="34"/>
  <c r="AW49" i="34"/>
  <c r="AV49" i="34"/>
  <c r="AU49" i="34"/>
  <c r="AT49" i="34"/>
  <c r="AS49" i="34"/>
  <c r="AR49" i="34"/>
  <c r="AZ48" i="34"/>
  <c r="AY48" i="34"/>
  <c r="AX48" i="34"/>
  <c r="AW48" i="34"/>
  <c r="AV48" i="34"/>
  <c r="AU48" i="34"/>
  <c r="AT48" i="34"/>
  <c r="AS48" i="34"/>
  <c r="AR48" i="34"/>
  <c r="AZ47" i="34"/>
  <c r="AY47" i="34"/>
  <c r="AX47" i="34"/>
  <c r="AW47" i="34"/>
  <c r="AV47" i="34"/>
  <c r="AU47" i="34"/>
  <c r="AT47" i="34"/>
  <c r="AS47" i="34"/>
  <c r="AR47" i="34"/>
  <c r="AZ46" i="34"/>
  <c r="AY46" i="34"/>
  <c r="AX46" i="34"/>
  <c r="AW46" i="34"/>
  <c r="AV46" i="34"/>
  <c r="AU46" i="34"/>
  <c r="AT46" i="34"/>
  <c r="AS46" i="34"/>
  <c r="AR46" i="34"/>
  <c r="AZ45" i="34"/>
  <c r="AY45" i="34"/>
  <c r="AX45" i="34"/>
  <c r="AW45" i="34"/>
  <c r="AV45" i="34"/>
  <c r="AU45" i="34"/>
  <c r="AT45" i="34"/>
  <c r="AS45" i="34"/>
  <c r="AR45" i="34"/>
  <c r="AZ44" i="34"/>
  <c r="AY44" i="34"/>
  <c r="AX44" i="34"/>
  <c r="AW44" i="34"/>
  <c r="AV44" i="34"/>
  <c r="AU44" i="34"/>
  <c r="AT44" i="34"/>
  <c r="AS44" i="34"/>
  <c r="AR44" i="34"/>
  <c r="AZ43" i="34"/>
  <c r="AY43" i="34"/>
  <c r="AX43" i="34"/>
  <c r="AW43" i="34"/>
  <c r="AV43" i="34"/>
  <c r="AU43" i="34"/>
  <c r="AT43" i="34"/>
  <c r="AS43" i="34"/>
  <c r="AR43" i="34"/>
  <c r="AZ42" i="34"/>
  <c r="AY42" i="34"/>
  <c r="AX42" i="34"/>
  <c r="AW42" i="34"/>
  <c r="AV42" i="34"/>
  <c r="AU42" i="34"/>
  <c r="AT42" i="34"/>
  <c r="AS42" i="34"/>
  <c r="AR42" i="34"/>
  <c r="AZ41" i="34"/>
  <c r="AY41" i="34"/>
  <c r="AX41" i="34"/>
  <c r="AW41" i="34"/>
  <c r="AV41" i="34"/>
  <c r="AU41" i="34"/>
  <c r="AT41" i="34"/>
  <c r="AS41" i="34"/>
  <c r="AR41" i="34"/>
  <c r="AZ40" i="34"/>
  <c r="AY40" i="34"/>
  <c r="AX40" i="34"/>
  <c r="AW40" i="34"/>
  <c r="AV40" i="34"/>
  <c r="AU40" i="34"/>
  <c r="AT40" i="34"/>
  <c r="AS40" i="34"/>
  <c r="AR40" i="34"/>
  <c r="AZ39" i="34"/>
  <c r="AY39" i="34"/>
  <c r="AX39" i="34"/>
  <c r="AW39" i="34"/>
  <c r="AV39" i="34"/>
  <c r="AU39" i="34"/>
  <c r="AT39" i="34"/>
  <c r="AS39" i="34"/>
  <c r="AR39" i="34"/>
  <c r="AZ38" i="34"/>
  <c r="AY38" i="34"/>
  <c r="AX38" i="34"/>
  <c r="AW38" i="34"/>
  <c r="AV38" i="34"/>
  <c r="AU38" i="34"/>
  <c r="AT38" i="34"/>
  <c r="AS38" i="34"/>
  <c r="AR38" i="34"/>
  <c r="AZ37" i="34"/>
  <c r="AY37" i="34"/>
  <c r="AX37" i="34"/>
  <c r="AW37" i="34"/>
  <c r="AV37" i="34"/>
  <c r="AU37" i="34"/>
  <c r="AT37" i="34"/>
  <c r="AS37" i="34"/>
  <c r="AR37" i="34"/>
  <c r="AZ36" i="34"/>
  <c r="AY36" i="34"/>
  <c r="AX36" i="34"/>
  <c r="AW36" i="34"/>
  <c r="AV36" i="34"/>
  <c r="AU36" i="34"/>
  <c r="AT36" i="34"/>
  <c r="AS36" i="34"/>
  <c r="AR36" i="34"/>
  <c r="AZ35" i="34"/>
  <c r="AY35" i="34"/>
  <c r="AX35" i="34"/>
  <c r="AW35" i="34"/>
  <c r="AV35" i="34"/>
  <c r="AU35" i="34"/>
  <c r="AT35" i="34"/>
  <c r="AS35" i="34"/>
  <c r="AR35" i="34"/>
  <c r="AZ34" i="34"/>
  <c r="AY34" i="34"/>
  <c r="AX34" i="34"/>
  <c r="AW34" i="34"/>
  <c r="AV34" i="34"/>
  <c r="AU34" i="34"/>
  <c r="AT34" i="34"/>
  <c r="AS34" i="34"/>
  <c r="AR34" i="34"/>
  <c r="AZ33" i="34"/>
  <c r="AY33" i="34"/>
  <c r="AX33" i="34"/>
  <c r="AW33" i="34"/>
  <c r="AV33" i="34"/>
  <c r="AU33" i="34"/>
  <c r="AT33" i="34"/>
  <c r="AS33" i="34"/>
  <c r="AR33" i="34"/>
  <c r="AZ32" i="34"/>
  <c r="AY32" i="34"/>
  <c r="AX32" i="34"/>
  <c r="AW32" i="34"/>
  <c r="AV32" i="34"/>
  <c r="AU32" i="34"/>
  <c r="AT32" i="34"/>
  <c r="AS32" i="34"/>
  <c r="AR32" i="34"/>
  <c r="AZ31" i="34"/>
  <c r="AY31" i="34"/>
  <c r="AX31" i="34"/>
  <c r="AW31" i="34"/>
  <c r="AV31" i="34"/>
  <c r="AU31" i="34"/>
  <c r="AT31" i="34"/>
  <c r="AS31" i="34"/>
  <c r="AR31" i="34"/>
  <c r="AZ30" i="34"/>
  <c r="AY30" i="34"/>
  <c r="AX30" i="34"/>
  <c r="AW30" i="34"/>
  <c r="AV30" i="34"/>
  <c r="AU30" i="34"/>
  <c r="AT30" i="34"/>
  <c r="AS30" i="34"/>
  <c r="AR30" i="34"/>
  <c r="AZ29" i="34"/>
  <c r="AY29" i="34"/>
  <c r="AX29" i="34"/>
  <c r="AW29" i="34"/>
  <c r="AV29" i="34"/>
  <c r="AU29" i="34"/>
  <c r="AT29" i="34"/>
  <c r="AS29" i="34"/>
  <c r="AR29" i="34"/>
  <c r="AZ28" i="34"/>
  <c r="AY28" i="34"/>
  <c r="AX28" i="34"/>
  <c r="AW28" i="34"/>
  <c r="AV28" i="34"/>
  <c r="AU28" i="34"/>
  <c r="AT28" i="34"/>
  <c r="AS28" i="34"/>
  <c r="AR28" i="34"/>
  <c r="AZ27" i="34"/>
  <c r="AY27" i="34"/>
  <c r="AX27" i="34"/>
  <c r="AW27" i="34"/>
  <c r="AV27" i="34"/>
  <c r="AU27" i="34"/>
  <c r="AT27" i="34"/>
  <c r="AS27" i="34"/>
  <c r="AR27" i="34"/>
  <c r="AZ26" i="34"/>
  <c r="AY26" i="34"/>
  <c r="AX26" i="34"/>
  <c r="AW26" i="34"/>
  <c r="AV26" i="34"/>
  <c r="AU26" i="34"/>
  <c r="AT26" i="34"/>
  <c r="AS26" i="34"/>
  <c r="AR26" i="34"/>
  <c r="AZ25" i="34"/>
  <c r="AY25" i="34"/>
  <c r="AX25" i="34"/>
  <c r="AW25" i="34"/>
  <c r="AV25" i="34"/>
  <c r="AU25" i="34"/>
  <c r="AT25" i="34"/>
  <c r="AS25" i="34"/>
  <c r="AR25" i="34"/>
  <c r="AZ24" i="34"/>
  <c r="AY24" i="34"/>
  <c r="AX24" i="34"/>
  <c r="AW24" i="34"/>
  <c r="AV24" i="34"/>
  <c r="AU24" i="34"/>
  <c r="AT24" i="34"/>
  <c r="AS24" i="34"/>
  <c r="AR24" i="34"/>
  <c r="AZ23" i="34"/>
  <c r="AY23" i="34"/>
  <c r="AX23" i="34"/>
  <c r="AW23" i="34"/>
  <c r="AV23" i="34"/>
  <c r="AU23" i="34"/>
  <c r="AT23" i="34"/>
  <c r="AS23" i="34"/>
  <c r="AR23" i="34"/>
  <c r="AZ22" i="34"/>
  <c r="AY22" i="34"/>
  <c r="AX22" i="34"/>
  <c r="AW22" i="34"/>
  <c r="AV22" i="34"/>
  <c r="AU22" i="34"/>
  <c r="AT22" i="34"/>
  <c r="AS22" i="34"/>
  <c r="AR22" i="34"/>
  <c r="AZ21" i="34"/>
  <c r="AY21" i="34"/>
  <c r="AX21" i="34"/>
  <c r="AW21" i="34"/>
  <c r="AV21" i="34"/>
  <c r="AU21" i="34"/>
  <c r="AT21" i="34"/>
  <c r="AS21" i="34"/>
  <c r="AR21" i="34"/>
  <c r="AZ20" i="34"/>
  <c r="AY20" i="34"/>
  <c r="AX20" i="34"/>
  <c r="AW20" i="34"/>
  <c r="AV20" i="34"/>
  <c r="AU20" i="34"/>
  <c r="AT20" i="34"/>
  <c r="AS20" i="34"/>
  <c r="AR20" i="34"/>
  <c r="AZ19" i="34"/>
  <c r="AY19" i="34"/>
  <c r="AX19" i="34"/>
  <c r="AW19" i="34"/>
  <c r="AV19" i="34"/>
  <c r="AU19" i="34"/>
  <c r="AT19" i="34"/>
  <c r="AS19" i="34"/>
  <c r="AR19" i="34"/>
  <c r="AZ18" i="34"/>
  <c r="AY18" i="34"/>
  <c r="AX18" i="34"/>
  <c r="AW18" i="34"/>
  <c r="AV18" i="34"/>
  <c r="AU18" i="34"/>
  <c r="AT18" i="34"/>
  <c r="AS18" i="34"/>
  <c r="AR18" i="34"/>
  <c r="AZ17" i="34"/>
  <c r="AY17" i="34"/>
  <c r="AX17" i="34"/>
  <c r="AW17" i="34"/>
  <c r="AV17" i="34"/>
  <c r="AU17" i="34"/>
  <c r="AT17" i="34"/>
  <c r="AS17" i="34"/>
  <c r="AR17" i="34"/>
  <c r="AZ16" i="34"/>
  <c r="AY16" i="34"/>
  <c r="AX16" i="34"/>
  <c r="AW16" i="34"/>
  <c r="AV16" i="34"/>
  <c r="AU16" i="34"/>
  <c r="AT16" i="34"/>
  <c r="AS16" i="34"/>
  <c r="AR16" i="34"/>
  <c r="AZ15" i="34"/>
  <c r="AY15" i="34"/>
  <c r="AX15" i="34"/>
  <c r="AW15" i="34"/>
  <c r="AV15" i="34"/>
  <c r="AU15" i="34"/>
  <c r="AT15" i="34"/>
  <c r="AS15" i="34"/>
  <c r="AR15" i="34"/>
  <c r="AZ14" i="34"/>
  <c r="AY14" i="34"/>
  <c r="AX14" i="34"/>
  <c r="AW14" i="34"/>
  <c r="AV14" i="34"/>
  <c r="AU14" i="34"/>
  <c r="AT14" i="34"/>
  <c r="AS14" i="34"/>
  <c r="AR14" i="34"/>
  <c r="AZ13" i="34"/>
  <c r="AY13" i="34"/>
  <c r="AX13" i="34"/>
  <c r="AW13" i="34"/>
  <c r="AV13" i="34"/>
  <c r="AU13" i="34"/>
  <c r="AT13" i="34"/>
  <c r="AS13" i="34"/>
  <c r="AR13" i="34"/>
  <c r="AZ12" i="34"/>
  <c r="AY12" i="34"/>
  <c r="AX12" i="34"/>
  <c r="AW12" i="34"/>
  <c r="AV12" i="34"/>
  <c r="AU12" i="34"/>
  <c r="AT12" i="34"/>
  <c r="AS12" i="34"/>
  <c r="AR12" i="34"/>
  <c r="AZ11" i="34"/>
  <c r="AY11" i="34"/>
  <c r="AX11" i="34"/>
  <c r="AW11" i="34"/>
  <c r="AV11" i="34"/>
  <c r="AU11" i="34"/>
  <c r="AT11" i="34"/>
  <c r="AS11" i="34"/>
  <c r="AR11" i="34"/>
  <c r="AZ10" i="34"/>
  <c r="AY10" i="34"/>
  <c r="AX10" i="34"/>
  <c r="AW10" i="34"/>
  <c r="AV10" i="34"/>
  <c r="AU10" i="34"/>
  <c r="AT10" i="34"/>
  <c r="AS10" i="34"/>
  <c r="AR10" i="34"/>
  <c r="AR9" i="34"/>
  <c r="AT9" i="34"/>
  <c r="AV9" i="34"/>
  <c r="AX9" i="34"/>
  <c r="AZ9" i="34"/>
  <c r="BT55" i="34"/>
  <c r="BS55" i="34"/>
  <c r="BR55" i="34"/>
  <c r="BQ55" i="34"/>
  <c r="BP55" i="34"/>
  <c r="BO55" i="34"/>
  <c r="BN55" i="34"/>
  <c r="BM55" i="34"/>
  <c r="BL55" i="34"/>
  <c r="BT54" i="34"/>
  <c r="BS54" i="34"/>
  <c r="BR54" i="34"/>
  <c r="BQ54" i="34"/>
  <c r="BP54" i="34"/>
  <c r="BO54" i="34"/>
  <c r="BN54" i="34"/>
  <c r="BM54" i="34"/>
  <c r="BL54" i="34"/>
  <c r="BT53" i="34"/>
  <c r="BS53" i="34"/>
  <c r="BR53" i="34"/>
  <c r="BQ53" i="34"/>
  <c r="BP53" i="34"/>
  <c r="BO53" i="34"/>
  <c r="BN53" i="34"/>
  <c r="BM53" i="34"/>
  <c r="BL53" i="34"/>
  <c r="BT52" i="34"/>
  <c r="BS52" i="34"/>
  <c r="BR52" i="34"/>
  <c r="BQ52" i="34"/>
  <c r="BP52" i="34"/>
  <c r="BO52" i="34"/>
  <c r="BN52" i="34"/>
  <c r="BM52" i="34"/>
  <c r="BL52" i="34"/>
  <c r="BT51" i="34"/>
  <c r="BS51" i="34"/>
  <c r="BR51" i="34"/>
  <c r="BQ51" i="34"/>
  <c r="BP51" i="34"/>
  <c r="BO51" i="34"/>
  <c r="BN51" i="34"/>
  <c r="BM51" i="34"/>
  <c r="BL51" i="34"/>
  <c r="BT50" i="34"/>
  <c r="BS50" i="34"/>
  <c r="BR50" i="34"/>
  <c r="BQ50" i="34"/>
  <c r="BP50" i="34"/>
  <c r="BO50" i="34"/>
  <c r="BN50" i="34"/>
  <c r="BM50" i="34"/>
  <c r="BL50" i="34"/>
  <c r="BT49" i="34"/>
  <c r="BS49" i="34"/>
  <c r="BR49" i="34"/>
  <c r="BQ49" i="34"/>
  <c r="BP49" i="34"/>
  <c r="BO49" i="34"/>
  <c r="BN49" i="34"/>
  <c r="BM49" i="34"/>
  <c r="BL49" i="34"/>
  <c r="BT48" i="34"/>
  <c r="BS48" i="34"/>
  <c r="BR48" i="34"/>
  <c r="BQ48" i="34"/>
  <c r="BP48" i="34"/>
  <c r="BO48" i="34"/>
  <c r="BN48" i="34"/>
  <c r="BM48" i="34"/>
  <c r="BL48" i="34"/>
  <c r="BT47" i="34"/>
  <c r="BS47" i="34"/>
  <c r="BR47" i="34"/>
  <c r="BQ47" i="34"/>
  <c r="BP47" i="34"/>
  <c r="BO47" i="34"/>
  <c r="BN47" i="34"/>
  <c r="BM47" i="34"/>
  <c r="BL47" i="34"/>
  <c r="BT46" i="34"/>
  <c r="BS46" i="34"/>
  <c r="BR46" i="34"/>
  <c r="BQ46" i="34"/>
  <c r="BP46" i="34"/>
  <c r="BO46" i="34"/>
  <c r="BN46" i="34"/>
  <c r="BM46" i="34"/>
  <c r="BL46" i="34"/>
  <c r="BT45" i="34"/>
  <c r="BS45" i="34"/>
  <c r="BR45" i="34"/>
  <c r="BQ45" i="34"/>
  <c r="BP45" i="34"/>
  <c r="BO45" i="34"/>
  <c r="BN45" i="34"/>
  <c r="BM45" i="34"/>
  <c r="BL45" i="34"/>
  <c r="BT44" i="34"/>
  <c r="BS44" i="34"/>
  <c r="BR44" i="34"/>
  <c r="BQ44" i="34"/>
  <c r="BP44" i="34"/>
  <c r="BO44" i="34"/>
  <c r="BN44" i="34"/>
  <c r="BM44" i="34"/>
  <c r="BL44" i="34"/>
  <c r="BT43" i="34"/>
  <c r="BS43" i="34"/>
  <c r="BR43" i="34"/>
  <c r="BQ43" i="34"/>
  <c r="BP43" i="34"/>
  <c r="BO43" i="34"/>
  <c r="BN43" i="34"/>
  <c r="BM43" i="34"/>
  <c r="BL43" i="34"/>
  <c r="BT42" i="34"/>
  <c r="BS42" i="34"/>
  <c r="BR42" i="34"/>
  <c r="BQ42" i="34"/>
  <c r="BP42" i="34"/>
  <c r="BO42" i="34"/>
  <c r="BN42" i="34"/>
  <c r="BM42" i="34"/>
  <c r="BL42" i="34"/>
  <c r="BT41" i="34"/>
  <c r="BS41" i="34"/>
  <c r="BR41" i="34"/>
  <c r="BQ41" i="34"/>
  <c r="BP41" i="34"/>
  <c r="BO41" i="34"/>
  <c r="BN41" i="34"/>
  <c r="BM41" i="34"/>
  <c r="BL41" i="34"/>
  <c r="BT40" i="34"/>
  <c r="BS40" i="34"/>
  <c r="BR40" i="34"/>
  <c r="BQ40" i="34"/>
  <c r="BP40" i="34"/>
  <c r="BO40" i="34"/>
  <c r="BN40" i="34"/>
  <c r="BM40" i="34"/>
  <c r="BL40" i="34"/>
  <c r="BT39" i="34"/>
  <c r="BS39" i="34"/>
  <c r="BR39" i="34"/>
  <c r="BQ39" i="34"/>
  <c r="BP39" i="34"/>
  <c r="BO39" i="34"/>
  <c r="BN39" i="34"/>
  <c r="BM39" i="34"/>
  <c r="BL39" i="34"/>
  <c r="BT38" i="34"/>
  <c r="BS38" i="34"/>
  <c r="BR38" i="34"/>
  <c r="BQ38" i="34"/>
  <c r="BP38" i="34"/>
  <c r="BO38" i="34"/>
  <c r="BN38" i="34"/>
  <c r="BM38" i="34"/>
  <c r="BL38" i="34"/>
  <c r="BT37" i="34"/>
  <c r="BS37" i="34"/>
  <c r="BR37" i="34"/>
  <c r="BQ37" i="34"/>
  <c r="BP37" i="34"/>
  <c r="BO37" i="34"/>
  <c r="BN37" i="34"/>
  <c r="BM37" i="34"/>
  <c r="BL37" i="34"/>
  <c r="BT36" i="34"/>
  <c r="BS36" i="34"/>
  <c r="BR36" i="34"/>
  <c r="BQ36" i="34"/>
  <c r="BP36" i="34"/>
  <c r="BO36" i="34"/>
  <c r="BN36" i="34"/>
  <c r="BM36" i="34"/>
  <c r="BL36" i="34"/>
  <c r="BT35" i="34"/>
  <c r="BS35" i="34"/>
  <c r="BR35" i="34"/>
  <c r="BQ35" i="34"/>
  <c r="BP35" i="34"/>
  <c r="BO35" i="34"/>
  <c r="BN35" i="34"/>
  <c r="BM35" i="34"/>
  <c r="BL35" i="34"/>
  <c r="BT34" i="34"/>
  <c r="BS34" i="34"/>
  <c r="BR34" i="34"/>
  <c r="BQ34" i="34"/>
  <c r="BP34" i="34"/>
  <c r="BO34" i="34"/>
  <c r="BN34" i="34"/>
  <c r="BM34" i="34"/>
  <c r="BL34" i="34"/>
  <c r="BT33" i="34"/>
  <c r="BS33" i="34"/>
  <c r="BR33" i="34"/>
  <c r="BQ33" i="34"/>
  <c r="BP33" i="34"/>
  <c r="BO33" i="34"/>
  <c r="BN33" i="34"/>
  <c r="BM33" i="34"/>
  <c r="BL33" i="34"/>
  <c r="BT32" i="34"/>
  <c r="BS32" i="34"/>
  <c r="BR32" i="34"/>
  <c r="BQ32" i="34"/>
  <c r="BP32" i="34"/>
  <c r="BO32" i="34"/>
  <c r="BN32" i="34"/>
  <c r="BM32" i="34"/>
  <c r="BL32" i="34"/>
  <c r="BT31" i="34"/>
  <c r="BS31" i="34"/>
  <c r="BR31" i="34"/>
  <c r="BQ31" i="34"/>
  <c r="BP31" i="34"/>
  <c r="BO31" i="34"/>
  <c r="BN31" i="34"/>
  <c r="BM31" i="34"/>
  <c r="BL31" i="34"/>
  <c r="BT30" i="34"/>
  <c r="BS30" i="34"/>
  <c r="BR30" i="34"/>
  <c r="BQ30" i="34"/>
  <c r="BP30" i="34"/>
  <c r="BO30" i="34"/>
  <c r="BN30" i="34"/>
  <c r="BM30" i="34"/>
  <c r="BL30" i="34"/>
  <c r="BT29" i="34"/>
  <c r="BS29" i="34"/>
  <c r="BR29" i="34"/>
  <c r="BQ29" i="34"/>
  <c r="BP29" i="34"/>
  <c r="BO29" i="34"/>
  <c r="BN29" i="34"/>
  <c r="BM29" i="34"/>
  <c r="BL29" i="34"/>
  <c r="BT28" i="34"/>
  <c r="BS28" i="34"/>
  <c r="BR28" i="34"/>
  <c r="BQ28" i="34"/>
  <c r="BP28" i="34"/>
  <c r="BO28" i="34"/>
  <c r="BN28" i="34"/>
  <c r="BM28" i="34"/>
  <c r="BL28" i="34"/>
  <c r="BT27" i="34"/>
  <c r="BS27" i="34"/>
  <c r="BR27" i="34"/>
  <c r="BQ27" i="34"/>
  <c r="BP27" i="34"/>
  <c r="BO27" i="34"/>
  <c r="BN27" i="34"/>
  <c r="BM27" i="34"/>
  <c r="BL27" i="34"/>
  <c r="BT26" i="34"/>
  <c r="BS26" i="34"/>
  <c r="BR26" i="34"/>
  <c r="BQ26" i="34"/>
  <c r="BP26" i="34"/>
  <c r="BO26" i="34"/>
  <c r="BN26" i="34"/>
  <c r="BM26" i="34"/>
  <c r="BL26" i="34"/>
  <c r="BT25" i="34"/>
  <c r="BS25" i="34"/>
  <c r="BR25" i="34"/>
  <c r="BQ25" i="34"/>
  <c r="BP25" i="34"/>
  <c r="BO25" i="34"/>
  <c r="BN25" i="34"/>
  <c r="BM25" i="34"/>
  <c r="BL25" i="34"/>
  <c r="BT24" i="34"/>
  <c r="BS24" i="34"/>
  <c r="BR24" i="34"/>
  <c r="BQ24" i="34"/>
  <c r="BP24" i="34"/>
  <c r="BO24" i="34"/>
  <c r="BN24" i="34"/>
  <c r="BM24" i="34"/>
  <c r="BL24" i="34"/>
  <c r="BT23" i="34"/>
  <c r="BS23" i="34"/>
  <c r="BR23" i="34"/>
  <c r="BQ23" i="34"/>
  <c r="BP23" i="34"/>
  <c r="BO23" i="34"/>
  <c r="BN23" i="34"/>
  <c r="BM23" i="34"/>
  <c r="BL23" i="34"/>
  <c r="BT22" i="34"/>
  <c r="BS22" i="34"/>
  <c r="BR22" i="34"/>
  <c r="BQ22" i="34"/>
  <c r="BP22" i="34"/>
  <c r="BO22" i="34"/>
  <c r="BN22" i="34"/>
  <c r="BM22" i="34"/>
  <c r="BL22" i="34"/>
  <c r="BT21" i="34"/>
  <c r="BS21" i="34"/>
  <c r="BR21" i="34"/>
  <c r="BQ21" i="34"/>
  <c r="BP21" i="34"/>
  <c r="BO21" i="34"/>
  <c r="BN21" i="34"/>
  <c r="BM21" i="34"/>
  <c r="BL21" i="34"/>
  <c r="BT20" i="34"/>
  <c r="BS20" i="34"/>
  <c r="BR20" i="34"/>
  <c r="BQ20" i="34"/>
  <c r="BP20" i="34"/>
  <c r="BO20" i="34"/>
  <c r="BN20" i="34"/>
  <c r="BM20" i="34"/>
  <c r="BL20" i="34"/>
  <c r="BT19" i="34"/>
  <c r="BS19" i="34"/>
  <c r="BR19" i="34"/>
  <c r="BQ19" i="34"/>
  <c r="BP19" i="34"/>
  <c r="BO19" i="34"/>
  <c r="BN19" i="34"/>
  <c r="BM19" i="34"/>
  <c r="BL19" i="34"/>
  <c r="BT18" i="34"/>
  <c r="BS18" i="34"/>
  <c r="BR18" i="34"/>
  <c r="BQ18" i="34"/>
  <c r="BP18" i="34"/>
  <c r="BO18" i="34"/>
  <c r="BN18" i="34"/>
  <c r="BM18" i="34"/>
  <c r="BL18" i="34"/>
  <c r="BT17" i="34"/>
  <c r="BS17" i="34"/>
  <c r="BR17" i="34"/>
  <c r="BQ17" i="34"/>
  <c r="BP17" i="34"/>
  <c r="BO17" i="34"/>
  <c r="BN17" i="34"/>
  <c r="BM17" i="34"/>
  <c r="BL17" i="34"/>
  <c r="BT16" i="34"/>
  <c r="BS16" i="34"/>
  <c r="BR16" i="34"/>
  <c r="BQ16" i="34"/>
  <c r="BP16" i="34"/>
  <c r="BO16" i="34"/>
  <c r="BN16" i="34"/>
  <c r="BM16" i="34"/>
  <c r="BL16" i="34"/>
  <c r="BT15" i="34"/>
  <c r="BS15" i="34"/>
  <c r="BR15" i="34"/>
  <c r="BQ15" i="34"/>
  <c r="BP15" i="34"/>
  <c r="BO15" i="34"/>
  <c r="BN15" i="34"/>
  <c r="BM15" i="34"/>
  <c r="BL15" i="34"/>
  <c r="BT14" i="34"/>
  <c r="BS14" i="34"/>
  <c r="BR14" i="34"/>
  <c r="BQ14" i="34"/>
  <c r="BP14" i="34"/>
  <c r="BO14" i="34"/>
  <c r="BN14" i="34"/>
  <c r="BM14" i="34"/>
  <c r="BL14" i="34"/>
  <c r="BT13" i="34"/>
  <c r="BS13" i="34"/>
  <c r="BR13" i="34"/>
  <c r="BQ13" i="34"/>
  <c r="BP13" i="34"/>
  <c r="BO13" i="34"/>
  <c r="BN13" i="34"/>
  <c r="BM13" i="34"/>
  <c r="BL13" i="34"/>
  <c r="BT12" i="34"/>
  <c r="BS12" i="34"/>
  <c r="BR12" i="34"/>
  <c r="BQ12" i="34"/>
  <c r="BP12" i="34"/>
  <c r="BO12" i="34"/>
  <c r="BN12" i="34"/>
  <c r="BM12" i="34"/>
  <c r="BL12" i="34"/>
  <c r="BT11" i="34"/>
  <c r="BS11" i="34"/>
  <c r="BR11" i="34"/>
  <c r="BQ11" i="34"/>
  <c r="BP11" i="34"/>
  <c r="BO11" i="34"/>
  <c r="BN11" i="34"/>
  <c r="BM11" i="34"/>
  <c r="BL11" i="34"/>
  <c r="BT10" i="34"/>
  <c r="BS10" i="34"/>
  <c r="BR10" i="34"/>
  <c r="BQ10" i="34"/>
  <c r="BP10" i="34"/>
  <c r="BO10" i="34"/>
  <c r="BN10" i="34"/>
  <c r="BM10" i="34"/>
  <c r="BL10" i="34"/>
  <c r="BT9" i="34"/>
  <c r="BR9" i="34"/>
  <c r="BP9" i="34"/>
  <c r="BN9" i="34"/>
  <c r="BL9" i="34"/>
  <c r="BJ55" i="34"/>
  <c r="BI55" i="34"/>
  <c r="BH55" i="34"/>
  <c r="BG55" i="34"/>
  <c r="BF55" i="34"/>
  <c r="BE55" i="34"/>
  <c r="BD55" i="34"/>
  <c r="BC55" i="34"/>
  <c r="BJ54" i="34"/>
  <c r="BI54" i="34"/>
  <c r="BH54" i="34"/>
  <c r="BG54" i="34"/>
  <c r="BF54" i="34"/>
  <c r="BE54" i="34"/>
  <c r="BD54" i="34"/>
  <c r="BC54" i="34"/>
  <c r="BJ53" i="34"/>
  <c r="BI53" i="34"/>
  <c r="BH53" i="34"/>
  <c r="BG53" i="34"/>
  <c r="BF53" i="34"/>
  <c r="BE53" i="34"/>
  <c r="BD53" i="34"/>
  <c r="BC53" i="34"/>
  <c r="BJ52" i="34"/>
  <c r="BI52" i="34"/>
  <c r="BH52" i="34"/>
  <c r="BG52" i="34"/>
  <c r="BF52" i="34"/>
  <c r="BE52" i="34"/>
  <c r="BD52" i="34"/>
  <c r="BC52" i="34"/>
  <c r="BJ51" i="34"/>
  <c r="BI51" i="34"/>
  <c r="BH51" i="34"/>
  <c r="BG51" i="34"/>
  <c r="BF51" i="34"/>
  <c r="BE51" i="34"/>
  <c r="BD51" i="34"/>
  <c r="BC51" i="34"/>
  <c r="BJ50" i="34"/>
  <c r="BI50" i="34"/>
  <c r="BH50" i="34"/>
  <c r="BG50" i="34"/>
  <c r="BF50" i="34"/>
  <c r="BE50" i="34"/>
  <c r="BD50" i="34"/>
  <c r="BC50" i="34"/>
  <c r="BJ49" i="34"/>
  <c r="BI49" i="34"/>
  <c r="BH49" i="34"/>
  <c r="BG49" i="34"/>
  <c r="BF49" i="34"/>
  <c r="BE49" i="34"/>
  <c r="BD49" i="34"/>
  <c r="BC49" i="34"/>
  <c r="BJ48" i="34"/>
  <c r="BI48" i="34"/>
  <c r="BH48" i="34"/>
  <c r="BG48" i="34"/>
  <c r="BF48" i="34"/>
  <c r="BE48" i="34"/>
  <c r="BD48" i="34"/>
  <c r="BC48" i="34"/>
  <c r="BJ47" i="34"/>
  <c r="BI47" i="34"/>
  <c r="BH47" i="34"/>
  <c r="BG47" i="34"/>
  <c r="BF47" i="34"/>
  <c r="BE47" i="34"/>
  <c r="BD47" i="34"/>
  <c r="BC47" i="34"/>
  <c r="BJ46" i="34"/>
  <c r="BI46" i="34"/>
  <c r="BH46" i="34"/>
  <c r="BG46" i="34"/>
  <c r="BF46" i="34"/>
  <c r="BE46" i="34"/>
  <c r="BD46" i="34"/>
  <c r="BC46" i="34"/>
  <c r="BJ45" i="34"/>
  <c r="BI45" i="34"/>
  <c r="BH45" i="34"/>
  <c r="BG45" i="34"/>
  <c r="BF45" i="34"/>
  <c r="BE45" i="34"/>
  <c r="BD45" i="34"/>
  <c r="BC45" i="34"/>
  <c r="BJ44" i="34"/>
  <c r="BI44" i="34"/>
  <c r="BH44" i="34"/>
  <c r="BG44" i="34"/>
  <c r="BF44" i="34"/>
  <c r="BE44" i="34"/>
  <c r="BD44" i="34"/>
  <c r="BC44" i="34"/>
  <c r="BJ43" i="34"/>
  <c r="BI43" i="34"/>
  <c r="BH43" i="34"/>
  <c r="BG43" i="34"/>
  <c r="BF43" i="34"/>
  <c r="BE43" i="34"/>
  <c r="BD43" i="34"/>
  <c r="BC43" i="34"/>
  <c r="BJ42" i="34"/>
  <c r="BI42" i="34"/>
  <c r="BH42" i="34"/>
  <c r="BG42" i="34"/>
  <c r="BF42" i="34"/>
  <c r="BE42" i="34"/>
  <c r="BD42" i="34"/>
  <c r="BC42" i="34"/>
  <c r="BJ41" i="34"/>
  <c r="BI41" i="34"/>
  <c r="BH41" i="34"/>
  <c r="BG41" i="34"/>
  <c r="BF41" i="34"/>
  <c r="BE41" i="34"/>
  <c r="BD41" i="34"/>
  <c r="BC41" i="34"/>
  <c r="BJ40" i="34"/>
  <c r="BI40" i="34"/>
  <c r="BH40" i="34"/>
  <c r="BG40" i="34"/>
  <c r="BF40" i="34"/>
  <c r="BE40" i="34"/>
  <c r="BD40" i="34"/>
  <c r="BC40" i="34"/>
  <c r="BJ39" i="34"/>
  <c r="BI39" i="34"/>
  <c r="BH39" i="34"/>
  <c r="BG39" i="34"/>
  <c r="BF39" i="34"/>
  <c r="BE39" i="34"/>
  <c r="BD39" i="34"/>
  <c r="BC39" i="34"/>
  <c r="BJ38" i="34"/>
  <c r="BI38" i="34"/>
  <c r="BH38" i="34"/>
  <c r="BG38" i="34"/>
  <c r="BF38" i="34"/>
  <c r="BE38" i="34"/>
  <c r="BD38" i="34"/>
  <c r="BC38" i="34"/>
  <c r="BJ37" i="34"/>
  <c r="BI37" i="34"/>
  <c r="BH37" i="34"/>
  <c r="BG37" i="34"/>
  <c r="BF37" i="34"/>
  <c r="BE37" i="34"/>
  <c r="BD37" i="34"/>
  <c r="BC37" i="34"/>
  <c r="BJ36" i="34"/>
  <c r="BI36" i="34"/>
  <c r="BH36" i="34"/>
  <c r="BG36" i="34"/>
  <c r="BF36" i="34"/>
  <c r="BE36" i="34"/>
  <c r="BD36" i="34"/>
  <c r="BC36" i="34"/>
  <c r="BJ35" i="34"/>
  <c r="BI35" i="34"/>
  <c r="BH35" i="34"/>
  <c r="BG35" i="34"/>
  <c r="BF35" i="34"/>
  <c r="BE35" i="34"/>
  <c r="BD35" i="34"/>
  <c r="BC35" i="34"/>
  <c r="BJ34" i="34"/>
  <c r="BI34" i="34"/>
  <c r="BH34" i="34"/>
  <c r="BG34" i="34"/>
  <c r="BF34" i="34"/>
  <c r="BE34" i="34"/>
  <c r="BD34" i="34"/>
  <c r="BC34" i="34"/>
  <c r="BJ33" i="34"/>
  <c r="BI33" i="34"/>
  <c r="BH33" i="34"/>
  <c r="BG33" i="34"/>
  <c r="BF33" i="34"/>
  <c r="BE33" i="34"/>
  <c r="BD33" i="34"/>
  <c r="BC33" i="34"/>
  <c r="BJ32" i="34"/>
  <c r="BI32" i="34"/>
  <c r="BH32" i="34"/>
  <c r="BG32" i="34"/>
  <c r="BF32" i="34"/>
  <c r="BE32" i="34"/>
  <c r="BD32" i="34"/>
  <c r="BC32" i="34"/>
  <c r="BJ31" i="34"/>
  <c r="BI31" i="34"/>
  <c r="BH31" i="34"/>
  <c r="BG31" i="34"/>
  <c r="BF31" i="34"/>
  <c r="BE31" i="34"/>
  <c r="BD31" i="34"/>
  <c r="BC31" i="34"/>
  <c r="BJ30" i="34"/>
  <c r="BI30" i="34"/>
  <c r="BH30" i="34"/>
  <c r="BG30" i="34"/>
  <c r="BF30" i="34"/>
  <c r="BE30" i="34"/>
  <c r="BD30" i="34"/>
  <c r="BC30" i="34"/>
  <c r="BJ29" i="34"/>
  <c r="BI29" i="34"/>
  <c r="BH29" i="34"/>
  <c r="BG29" i="34"/>
  <c r="BF29" i="34"/>
  <c r="BE29" i="34"/>
  <c r="BD29" i="34"/>
  <c r="BC29" i="34"/>
  <c r="BJ28" i="34"/>
  <c r="BI28" i="34"/>
  <c r="BH28" i="34"/>
  <c r="BG28" i="34"/>
  <c r="BF28" i="34"/>
  <c r="BE28" i="34"/>
  <c r="BD28" i="34"/>
  <c r="BC28" i="34"/>
  <c r="BJ27" i="34"/>
  <c r="BI27" i="34"/>
  <c r="BH27" i="34"/>
  <c r="BG27" i="34"/>
  <c r="BF27" i="34"/>
  <c r="BE27" i="34"/>
  <c r="BD27" i="34"/>
  <c r="BC27" i="34"/>
  <c r="BJ26" i="34"/>
  <c r="BI26" i="34"/>
  <c r="BH26" i="34"/>
  <c r="BG26" i="34"/>
  <c r="BF26" i="34"/>
  <c r="BE26" i="34"/>
  <c r="BD26" i="34"/>
  <c r="BC26" i="34"/>
  <c r="BJ25" i="34"/>
  <c r="BI25" i="34"/>
  <c r="BH25" i="34"/>
  <c r="BG25" i="34"/>
  <c r="BF25" i="34"/>
  <c r="BE25" i="34"/>
  <c r="BD25" i="34"/>
  <c r="BC25" i="34"/>
  <c r="BJ24" i="34"/>
  <c r="BI24" i="34"/>
  <c r="BH24" i="34"/>
  <c r="BG24" i="34"/>
  <c r="BF24" i="34"/>
  <c r="BE24" i="34"/>
  <c r="BD24" i="34"/>
  <c r="BC24" i="34"/>
  <c r="BJ23" i="34"/>
  <c r="BI23" i="34"/>
  <c r="BH23" i="34"/>
  <c r="BG23" i="34"/>
  <c r="BF23" i="34"/>
  <c r="BE23" i="34"/>
  <c r="BD23" i="34"/>
  <c r="BC23" i="34"/>
  <c r="BJ22" i="34"/>
  <c r="BI22" i="34"/>
  <c r="BH22" i="34"/>
  <c r="BG22" i="34"/>
  <c r="BF22" i="34"/>
  <c r="BE22" i="34"/>
  <c r="BD22" i="34"/>
  <c r="BC22" i="34"/>
  <c r="BJ21" i="34"/>
  <c r="BI21" i="34"/>
  <c r="BH21" i="34"/>
  <c r="BG21" i="34"/>
  <c r="BF21" i="34"/>
  <c r="BE21" i="34"/>
  <c r="BD21" i="34"/>
  <c r="BC21" i="34"/>
  <c r="BJ20" i="34"/>
  <c r="BI20" i="34"/>
  <c r="BH20" i="34"/>
  <c r="BG20" i="34"/>
  <c r="BF20" i="34"/>
  <c r="BE20" i="34"/>
  <c r="BD20" i="34"/>
  <c r="BC20" i="34"/>
  <c r="BJ19" i="34"/>
  <c r="BI19" i="34"/>
  <c r="BH19" i="34"/>
  <c r="BG19" i="34"/>
  <c r="BF19" i="34"/>
  <c r="BE19" i="34"/>
  <c r="BD19" i="34"/>
  <c r="BC19" i="34"/>
  <c r="BJ18" i="34"/>
  <c r="BI18" i="34"/>
  <c r="BH18" i="34"/>
  <c r="BG18" i="34"/>
  <c r="BF18" i="34"/>
  <c r="BE18" i="34"/>
  <c r="BD18" i="34"/>
  <c r="BC18" i="34"/>
  <c r="BJ17" i="34"/>
  <c r="BI17" i="34"/>
  <c r="BH17" i="34"/>
  <c r="BG17" i="34"/>
  <c r="BF17" i="34"/>
  <c r="BE17" i="34"/>
  <c r="BD17" i="34"/>
  <c r="BC17" i="34"/>
  <c r="BJ16" i="34"/>
  <c r="BI16" i="34"/>
  <c r="BH16" i="34"/>
  <c r="BG16" i="34"/>
  <c r="BF16" i="34"/>
  <c r="BE16" i="34"/>
  <c r="BD16" i="34"/>
  <c r="BC16" i="34"/>
  <c r="BJ15" i="34"/>
  <c r="BI15" i="34"/>
  <c r="BH15" i="34"/>
  <c r="BG15" i="34"/>
  <c r="BF15" i="34"/>
  <c r="BE15" i="34"/>
  <c r="BD15" i="34"/>
  <c r="BC15" i="34"/>
  <c r="BJ14" i="34"/>
  <c r="BI14" i="34"/>
  <c r="BH14" i="34"/>
  <c r="BG14" i="34"/>
  <c r="BF14" i="34"/>
  <c r="BE14" i="34"/>
  <c r="BD14" i="34"/>
  <c r="BC14" i="34"/>
  <c r="BJ13" i="34"/>
  <c r="BI13" i="34"/>
  <c r="BH13" i="34"/>
  <c r="BG13" i="34"/>
  <c r="BF13" i="34"/>
  <c r="BE13" i="34"/>
  <c r="BD13" i="34"/>
  <c r="BC13" i="34"/>
  <c r="BJ12" i="34"/>
  <c r="BI12" i="34"/>
  <c r="BH12" i="34"/>
  <c r="BG12" i="34"/>
  <c r="BF12" i="34"/>
  <c r="BE12" i="34"/>
  <c r="BD12" i="34"/>
  <c r="BC12" i="34"/>
  <c r="BJ11" i="34"/>
  <c r="BI11" i="34"/>
  <c r="BH11" i="34"/>
  <c r="BG11" i="34"/>
  <c r="BF11" i="34"/>
  <c r="BE11" i="34"/>
  <c r="BD11" i="34"/>
  <c r="BC11" i="34"/>
  <c r="BJ10" i="34"/>
  <c r="BI10" i="34"/>
  <c r="BH10" i="34"/>
  <c r="BG10" i="34"/>
  <c r="BF10" i="34"/>
  <c r="BE10" i="34"/>
  <c r="BD10" i="34"/>
  <c r="BC10" i="34"/>
  <c r="BB55" i="34"/>
  <c r="BB54" i="34"/>
  <c r="BB53" i="34"/>
  <c r="BB52" i="34"/>
  <c r="BB51" i="34"/>
  <c r="BB50" i="34"/>
  <c r="BB49" i="34"/>
  <c r="BB48" i="34"/>
  <c r="BB47" i="34"/>
  <c r="BB46" i="34"/>
  <c r="BB45" i="34"/>
  <c r="BB44" i="34"/>
  <c r="BB43" i="34"/>
  <c r="BB42" i="34"/>
  <c r="BB41" i="34"/>
  <c r="BB40" i="34"/>
  <c r="BB39" i="34"/>
  <c r="BB38" i="34"/>
  <c r="BB37" i="34"/>
  <c r="BB36" i="34"/>
  <c r="BB35" i="34"/>
  <c r="BB34" i="34"/>
  <c r="BB33" i="34"/>
  <c r="BB32" i="34"/>
  <c r="BB31" i="34"/>
  <c r="BB30" i="34"/>
  <c r="BB29" i="34"/>
  <c r="BB28" i="34"/>
  <c r="BB27" i="34"/>
  <c r="BB26" i="34"/>
  <c r="BB25" i="34"/>
  <c r="BB24" i="34"/>
  <c r="BB23" i="34"/>
  <c r="BB22" i="34"/>
  <c r="BB21" i="34"/>
  <c r="BB20" i="34"/>
  <c r="BB19" i="34"/>
  <c r="BB18" i="34"/>
  <c r="BB17" i="34"/>
  <c r="BB16" i="34"/>
  <c r="BB15" i="34"/>
  <c r="BB14" i="34"/>
  <c r="BB13" i="34"/>
  <c r="BB12" i="34"/>
  <c r="BB11" i="34"/>
  <c r="BB10" i="34"/>
  <c r="BJ9" i="34"/>
  <c r="BH9" i="34"/>
  <c r="BF9" i="34"/>
  <c r="BD9" i="34"/>
  <c r="BB9" i="34"/>
  <c r="BU9" i="34"/>
  <c r="BU8" i="34"/>
  <c r="BV8" i="34" s="1"/>
  <c r="BS9" i="34"/>
  <c r="BQ9" i="34"/>
  <c r="BO9" i="34"/>
  <c r="BM9" i="34"/>
  <c r="BK55" i="34"/>
  <c r="BK54" i="34"/>
  <c r="BK53" i="34"/>
  <c r="BK52" i="34"/>
  <c r="BK51" i="34"/>
  <c r="BK50" i="34"/>
  <c r="BK49" i="34"/>
  <c r="BK48" i="34"/>
  <c r="BK47" i="34"/>
  <c r="BK46" i="34"/>
  <c r="BK45" i="34"/>
  <c r="BK44" i="34"/>
  <c r="BK43" i="34"/>
  <c r="BK42" i="34"/>
  <c r="BK41" i="34"/>
  <c r="BK40" i="34"/>
  <c r="BK39" i="34"/>
  <c r="BK38" i="34"/>
  <c r="BK37" i="34"/>
  <c r="BK36" i="34"/>
  <c r="BK35" i="34"/>
  <c r="BK34" i="34"/>
  <c r="BK33" i="34"/>
  <c r="BK32" i="34"/>
  <c r="BK31" i="34"/>
  <c r="BK30" i="34"/>
  <c r="BK29" i="34"/>
  <c r="BK28" i="34"/>
  <c r="BK27" i="34"/>
  <c r="BK26" i="34"/>
  <c r="BK25" i="34"/>
  <c r="BK24" i="34"/>
  <c r="BK23" i="34"/>
  <c r="BK22" i="34"/>
  <c r="BK21" i="34"/>
  <c r="BK20" i="34"/>
  <c r="BK19" i="34"/>
  <c r="BK18" i="34"/>
  <c r="BK17" i="34"/>
  <c r="BK16" i="34"/>
  <c r="BK15" i="34"/>
  <c r="BK14" i="34"/>
  <c r="BK13" i="34"/>
  <c r="BK12" i="34"/>
  <c r="BK11" i="34"/>
  <c r="BK10" i="34"/>
  <c r="BK9" i="34"/>
  <c r="BS8" i="34"/>
  <c r="BT8" i="34" s="1"/>
  <c r="BQ8" i="34"/>
  <c r="BR8" i="34" s="1"/>
  <c r="BO8" i="34"/>
  <c r="BP8" i="34" s="1"/>
  <c r="BM8" i="34"/>
  <c r="BN8" i="34" s="1"/>
  <c r="BK8" i="34"/>
  <c r="BL8" i="34" s="1"/>
  <c r="BJ55" i="33"/>
  <c r="BJ54" i="33"/>
  <c r="BJ53" i="33"/>
  <c r="BJ52" i="33"/>
  <c r="BJ51" i="33"/>
  <c r="BJ50" i="33"/>
  <c r="BJ49" i="33"/>
  <c r="BJ48" i="33"/>
  <c r="BJ47" i="33"/>
  <c r="BJ46" i="33"/>
  <c r="BJ45" i="33"/>
  <c r="BJ44" i="33"/>
  <c r="BJ43" i="33"/>
  <c r="BJ42" i="33"/>
  <c r="BJ41" i="33"/>
  <c r="BJ40" i="33"/>
  <c r="BJ39" i="33"/>
  <c r="BJ38" i="33"/>
  <c r="BJ37" i="33"/>
  <c r="BJ36" i="33"/>
  <c r="BJ35" i="33"/>
  <c r="BJ34" i="33"/>
  <c r="BJ33" i="33"/>
  <c r="BJ32" i="33"/>
  <c r="BJ31" i="33"/>
  <c r="BJ30" i="33"/>
  <c r="BJ29" i="33"/>
  <c r="BJ28" i="33"/>
  <c r="BJ27" i="33"/>
  <c r="BJ26" i="33"/>
  <c r="BJ25" i="33"/>
  <c r="BJ24" i="33"/>
  <c r="BJ23" i="33"/>
  <c r="BJ22" i="33"/>
  <c r="BJ21" i="33"/>
  <c r="BJ20" i="33"/>
  <c r="BJ19" i="33"/>
  <c r="BJ18" i="33"/>
  <c r="BJ17" i="33"/>
  <c r="BJ16" i="33"/>
  <c r="BJ15" i="33"/>
  <c r="BJ14" i="33"/>
  <c r="BJ13" i="33"/>
  <c r="BJ12" i="33"/>
  <c r="BJ11" i="33"/>
  <c r="BJ10" i="33"/>
  <c r="BJ9" i="33"/>
  <c r="BJ8" i="33"/>
  <c r="BI55" i="33"/>
  <c r="BI54" i="33"/>
  <c r="BI53" i="33"/>
  <c r="BI52" i="33"/>
  <c r="BI51" i="33"/>
  <c r="BI50" i="33"/>
  <c r="BI49" i="33"/>
  <c r="BI48" i="33"/>
  <c r="BI47" i="33"/>
  <c r="BI46" i="33"/>
  <c r="BI45" i="33"/>
  <c r="BI44" i="33"/>
  <c r="BI43" i="33"/>
  <c r="BI42" i="33"/>
  <c r="BI41" i="33"/>
  <c r="BI40" i="33"/>
  <c r="BI39" i="33"/>
  <c r="BI38" i="33"/>
  <c r="BI37" i="33"/>
  <c r="BI36" i="33"/>
  <c r="BI35" i="33"/>
  <c r="BI34" i="33"/>
  <c r="BI33" i="33"/>
  <c r="BI32" i="33"/>
  <c r="BI31" i="33"/>
  <c r="BI30" i="33"/>
  <c r="BI29" i="33"/>
  <c r="BI28" i="33"/>
  <c r="BI27" i="33"/>
  <c r="BI26" i="33"/>
  <c r="BI25" i="33"/>
  <c r="BI24" i="33"/>
  <c r="BI23" i="33"/>
  <c r="BI22" i="33"/>
  <c r="BI21" i="33"/>
  <c r="BI20" i="33"/>
  <c r="BI19" i="33"/>
  <c r="BI18" i="33"/>
  <c r="BI17" i="33"/>
  <c r="BI16" i="33"/>
  <c r="BI15" i="33"/>
  <c r="BI14" i="33"/>
  <c r="BI13" i="33"/>
  <c r="BI12" i="33"/>
  <c r="BI11" i="33"/>
  <c r="BI10" i="33"/>
  <c r="BI9" i="33"/>
  <c r="BI8" i="33"/>
  <c r="BH55" i="33"/>
  <c r="BH54" i="33"/>
  <c r="BH53" i="33"/>
  <c r="BH52" i="33"/>
  <c r="BH51" i="33"/>
  <c r="BH50" i="33"/>
  <c r="BH49" i="33"/>
  <c r="BH48" i="33"/>
  <c r="BH47" i="33"/>
  <c r="BH46" i="33"/>
  <c r="BH45" i="33"/>
  <c r="BH44" i="33"/>
  <c r="BH43" i="33"/>
  <c r="BH42" i="33"/>
  <c r="BH41" i="33"/>
  <c r="BH40" i="33"/>
  <c r="BH39" i="33"/>
  <c r="BH38" i="33"/>
  <c r="BH37" i="33"/>
  <c r="BH36" i="33"/>
  <c r="BH35" i="33"/>
  <c r="BH34" i="33"/>
  <c r="BH33" i="33"/>
  <c r="BH32" i="33"/>
  <c r="BH31" i="33"/>
  <c r="BH30" i="33"/>
  <c r="BH29" i="33"/>
  <c r="BH28" i="33"/>
  <c r="BH27" i="33"/>
  <c r="BH26" i="33"/>
  <c r="BH25" i="33"/>
  <c r="BH24" i="33"/>
  <c r="BH23" i="33"/>
  <c r="BH22" i="33"/>
  <c r="BH21" i="33"/>
  <c r="BH20" i="33"/>
  <c r="BH19" i="33"/>
  <c r="BH18" i="33"/>
  <c r="BH17" i="33"/>
  <c r="BH16" i="33"/>
  <c r="BH15" i="33"/>
  <c r="BH14" i="33"/>
  <c r="BH13" i="33"/>
  <c r="BH12" i="33"/>
  <c r="BH11" i="33"/>
  <c r="BH10" i="33"/>
  <c r="BH9" i="33"/>
  <c r="BH8" i="33"/>
  <c r="BG55" i="33"/>
  <c r="BG54" i="33"/>
  <c r="BG53" i="33"/>
  <c r="BG52" i="33"/>
  <c r="BG51" i="33"/>
  <c r="BG50" i="33"/>
  <c r="BG49" i="33"/>
  <c r="BG48" i="33"/>
  <c r="BG47" i="33"/>
  <c r="BG46" i="33"/>
  <c r="BG45" i="33"/>
  <c r="BG44" i="33"/>
  <c r="BG43" i="33"/>
  <c r="BG42" i="33"/>
  <c r="BG41" i="33"/>
  <c r="BG40" i="33"/>
  <c r="BG39" i="33"/>
  <c r="BG38" i="33"/>
  <c r="BG37" i="33"/>
  <c r="BG36" i="33"/>
  <c r="BG35" i="33"/>
  <c r="BG34" i="33"/>
  <c r="BG33" i="33"/>
  <c r="BG32" i="33"/>
  <c r="BG31" i="33"/>
  <c r="BG30" i="33"/>
  <c r="BG29" i="33"/>
  <c r="BG28" i="33"/>
  <c r="BG27" i="33"/>
  <c r="BG26" i="33"/>
  <c r="BG25" i="33"/>
  <c r="BG24" i="33"/>
  <c r="BG23" i="33"/>
  <c r="BG22" i="33"/>
  <c r="BG21" i="33"/>
  <c r="BG20" i="33"/>
  <c r="BG19" i="33"/>
  <c r="BG18" i="33"/>
  <c r="BG17" i="33"/>
  <c r="BG16" i="33"/>
  <c r="BG15" i="33"/>
  <c r="BG14" i="33"/>
  <c r="BG13" i="33"/>
  <c r="BG12" i="33"/>
  <c r="BG11" i="33"/>
  <c r="BG10" i="33"/>
  <c r="BG9" i="33"/>
  <c r="BG8" i="33"/>
  <c r="BF55" i="33"/>
  <c r="BF54" i="33"/>
  <c r="BF53" i="33"/>
  <c r="BF52" i="33"/>
  <c r="BF51" i="33"/>
  <c r="BF50" i="33"/>
  <c r="BF49" i="33"/>
  <c r="BF48" i="33"/>
  <c r="BF47" i="33"/>
  <c r="BF46" i="33"/>
  <c r="BF45" i="33"/>
  <c r="BF44" i="33"/>
  <c r="BF43" i="33"/>
  <c r="BF42" i="33"/>
  <c r="BF41" i="33"/>
  <c r="BF40" i="33"/>
  <c r="BF39" i="33"/>
  <c r="BF38" i="33"/>
  <c r="BF37" i="33"/>
  <c r="BF36" i="33"/>
  <c r="BF35" i="33"/>
  <c r="BF34" i="33"/>
  <c r="BF33" i="33"/>
  <c r="BF32" i="33"/>
  <c r="BF31" i="33"/>
  <c r="BF30" i="33"/>
  <c r="BF29" i="33"/>
  <c r="BF28" i="33"/>
  <c r="BF27" i="33"/>
  <c r="BF26" i="33"/>
  <c r="BF25" i="33"/>
  <c r="BF24" i="33"/>
  <c r="BF23" i="33"/>
  <c r="BF22" i="33"/>
  <c r="BF21" i="33"/>
  <c r="BF20" i="33"/>
  <c r="BF19" i="33"/>
  <c r="BF18" i="33"/>
  <c r="BF17" i="33"/>
  <c r="BF16" i="33"/>
  <c r="BF15" i="33"/>
  <c r="BF14" i="33"/>
  <c r="BF13" i="33"/>
  <c r="BF12" i="33"/>
  <c r="BF11" i="33"/>
  <c r="BF10" i="33"/>
  <c r="BF9" i="33"/>
  <c r="BF8" i="33"/>
  <c r="BE55" i="33"/>
  <c r="BE54" i="33"/>
  <c r="BE53" i="33"/>
  <c r="BE52" i="33"/>
  <c r="BE51" i="33"/>
  <c r="BE50" i="33"/>
  <c r="BW50" i="33" s="1"/>
  <c r="BE49" i="33"/>
  <c r="BE48" i="33"/>
  <c r="BE47" i="33"/>
  <c r="BE46" i="33"/>
  <c r="BE45" i="33"/>
  <c r="BE44" i="33"/>
  <c r="BE43" i="33"/>
  <c r="BE42" i="33"/>
  <c r="BE41" i="33"/>
  <c r="BS41" i="33"/>
  <c r="BE40" i="33"/>
  <c r="BE39" i="33"/>
  <c r="BE38" i="33"/>
  <c r="BE37" i="33"/>
  <c r="BL37" i="33" s="1"/>
  <c r="BE36" i="33"/>
  <c r="BE35" i="33"/>
  <c r="BE34" i="33"/>
  <c r="BE33" i="33"/>
  <c r="BW33" i="33" s="1"/>
  <c r="BE32" i="33"/>
  <c r="BE31" i="33"/>
  <c r="BE30" i="33"/>
  <c r="BE29" i="33"/>
  <c r="BE28" i="33"/>
  <c r="BE27" i="33"/>
  <c r="BE26" i="33"/>
  <c r="BE25" i="33"/>
  <c r="BE24" i="33"/>
  <c r="BE23" i="33"/>
  <c r="BM23" i="33" s="1"/>
  <c r="BE22" i="33"/>
  <c r="BE21" i="33"/>
  <c r="BE20" i="33"/>
  <c r="BE19" i="33"/>
  <c r="BE18" i="33"/>
  <c r="BE17" i="33"/>
  <c r="BE16" i="33"/>
  <c r="BE15" i="33"/>
  <c r="BE14" i="33"/>
  <c r="BE13" i="33"/>
  <c r="BE12" i="33"/>
  <c r="BE11" i="33"/>
  <c r="BE10" i="33"/>
  <c r="BE9" i="33"/>
  <c r="BK9" i="33" s="1"/>
  <c r="C13" i="16" s="1"/>
  <c r="D13" i="16" s="1"/>
  <c r="BE8" i="33"/>
  <c r="AL61" i="32"/>
  <c r="AL60" i="32"/>
  <c r="AL59" i="32"/>
  <c r="AL58" i="32"/>
  <c r="AL57" i="32"/>
  <c r="AL56" i="32"/>
  <c r="AL55" i="32"/>
  <c r="AL54" i="32"/>
  <c r="AL53" i="32"/>
  <c r="AL52" i="32"/>
  <c r="AL51" i="32"/>
  <c r="AL50" i="32"/>
  <c r="AL49" i="32"/>
  <c r="AL48" i="32"/>
  <c r="AL47" i="32"/>
  <c r="AL46" i="32"/>
  <c r="AL45" i="32"/>
  <c r="AL44" i="32"/>
  <c r="AL43" i="32"/>
  <c r="AL42" i="32"/>
  <c r="AL41" i="32"/>
  <c r="AL40" i="32"/>
  <c r="AL39" i="32"/>
  <c r="AL38" i="32"/>
  <c r="AL37" i="32"/>
  <c r="AL36" i="32"/>
  <c r="AL35" i="32"/>
  <c r="AL34" i="32"/>
  <c r="AL33" i="32"/>
  <c r="AL32" i="32"/>
  <c r="AL31" i="32"/>
  <c r="AL30" i="32"/>
  <c r="AL29" i="32"/>
  <c r="AL28" i="32"/>
  <c r="AL27" i="32"/>
  <c r="AL26" i="32"/>
  <c r="AL25" i="32"/>
  <c r="AL24" i="32"/>
  <c r="AL23" i="32"/>
  <c r="AL22" i="32"/>
  <c r="AL21" i="32"/>
  <c r="AL20" i="32"/>
  <c r="AL19" i="32"/>
  <c r="AL18" i="32"/>
  <c r="AL17" i="32"/>
  <c r="AL16" i="32"/>
  <c r="AL15" i="32"/>
  <c r="AL14" i="32"/>
  <c r="AH61" i="32"/>
  <c r="AH60" i="32"/>
  <c r="AH59" i="32"/>
  <c r="AH58" i="32"/>
  <c r="AH57" i="32"/>
  <c r="AH56" i="32"/>
  <c r="AH55" i="32"/>
  <c r="AH54" i="32"/>
  <c r="AH53" i="32"/>
  <c r="AH52" i="32"/>
  <c r="AH51" i="32"/>
  <c r="AH50" i="32"/>
  <c r="AH49" i="32"/>
  <c r="AH48" i="32"/>
  <c r="AH47" i="32"/>
  <c r="AH46" i="32"/>
  <c r="AH45" i="32"/>
  <c r="AH44" i="32"/>
  <c r="AH43" i="32"/>
  <c r="AH42" i="32"/>
  <c r="AH41" i="32"/>
  <c r="AH40" i="32"/>
  <c r="AH39" i="32"/>
  <c r="AH38" i="32"/>
  <c r="AH37" i="32"/>
  <c r="AH36" i="32"/>
  <c r="AH35" i="32"/>
  <c r="AH34" i="32"/>
  <c r="AH33" i="32"/>
  <c r="AH32" i="32"/>
  <c r="AH31" i="32"/>
  <c r="AH30" i="32"/>
  <c r="AH29" i="32"/>
  <c r="AH28" i="32"/>
  <c r="AH27" i="32"/>
  <c r="AH26" i="32"/>
  <c r="AH25" i="32"/>
  <c r="AH24" i="32"/>
  <c r="AH23" i="32"/>
  <c r="AH22" i="32"/>
  <c r="AH21" i="32"/>
  <c r="AH20" i="32"/>
  <c r="AH19" i="32"/>
  <c r="AH18" i="32"/>
  <c r="AH17" i="32"/>
  <c r="AH16" i="32"/>
  <c r="AH15" i="32"/>
  <c r="AH14" i="32"/>
  <c r="J19" i="32"/>
  <c r="F14" i="32"/>
  <c r="AO61" i="32"/>
  <c r="H60" i="13" s="1"/>
  <c r="T60" i="13" s="1"/>
  <c r="U60" i="13" s="1"/>
  <c r="AN61" i="32"/>
  <c r="F60" i="13" s="1"/>
  <c r="AO60" i="32"/>
  <c r="H59" i="13"/>
  <c r="T59" i="13" s="1"/>
  <c r="U59" i="13" s="1"/>
  <c r="AN60" i="32"/>
  <c r="F59" i="13"/>
  <c r="AO59" i="32"/>
  <c r="AN59" i="32"/>
  <c r="F58" i="13" s="1"/>
  <c r="AO58" i="32"/>
  <c r="H57" i="13" s="1"/>
  <c r="T57" i="13" s="1"/>
  <c r="U57" i="13" s="1"/>
  <c r="AN58" i="32"/>
  <c r="F57" i="13" s="1"/>
  <c r="AO57" i="32"/>
  <c r="H56" i="13" s="1"/>
  <c r="T56" i="13" s="1"/>
  <c r="U56" i="13" s="1"/>
  <c r="AN57" i="32"/>
  <c r="AM9" i="32"/>
  <c r="AM61" i="32"/>
  <c r="C60" i="13" s="1"/>
  <c r="AM60" i="32"/>
  <c r="C59" i="13" s="1"/>
  <c r="AM59" i="32"/>
  <c r="C58" i="13" s="1"/>
  <c r="D58" i="13" s="1"/>
  <c r="AM58" i="32"/>
  <c r="C57" i="13" s="1"/>
  <c r="C56" i="14" s="1"/>
  <c r="G56" i="14" s="1"/>
  <c r="AM57" i="32"/>
  <c r="C56" i="13" s="1"/>
  <c r="C55" i="14" s="1"/>
  <c r="AM56" i="32"/>
  <c r="C55" i="13" s="1"/>
  <c r="AM55" i="32"/>
  <c r="C54" i="13"/>
  <c r="D54" i="13" s="1"/>
  <c r="AM54" i="32"/>
  <c r="C53" i="13" s="1"/>
  <c r="C52" i="14" s="1"/>
  <c r="F52" i="14" s="1"/>
  <c r="AM53" i="32"/>
  <c r="AM52" i="32"/>
  <c r="C51" i="13"/>
  <c r="C50" i="14" s="1"/>
  <c r="F50" i="14" s="1"/>
  <c r="AM51" i="32"/>
  <c r="C50" i="13" s="1"/>
  <c r="AM50" i="32"/>
  <c r="C49" i="13" s="1"/>
  <c r="D49" i="13" s="1"/>
  <c r="AM49" i="32"/>
  <c r="C48" i="13" s="1"/>
  <c r="D48" i="13" s="1"/>
  <c r="AM48" i="32"/>
  <c r="C47" i="13" s="1"/>
  <c r="AM47" i="32"/>
  <c r="C46" i="13"/>
  <c r="D46" i="13" s="1"/>
  <c r="AM46" i="32"/>
  <c r="C45" i="13" s="1"/>
  <c r="C44" i="14" s="1"/>
  <c r="J44" i="14" s="1"/>
  <c r="AM45" i="32"/>
  <c r="AM44" i="32"/>
  <c r="C43" i="13" s="1"/>
  <c r="C42" i="14" s="1"/>
  <c r="AM43" i="32"/>
  <c r="C42" i="13" s="1"/>
  <c r="C41" i="14" s="1"/>
  <c r="AM42" i="32"/>
  <c r="AM41" i="32"/>
  <c r="AM40" i="32"/>
  <c r="C39" i="13" s="1"/>
  <c r="D39" i="13" s="1"/>
  <c r="AM39" i="32"/>
  <c r="C38" i="13" s="1"/>
  <c r="AM38" i="32"/>
  <c r="AM37" i="32"/>
  <c r="AM36" i="32"/>
  <c r="C35" i="13" s="1"/>
  <c r="AM35" i="32"/>
  <c r="C34" i="13" s="1"/>
  <c r="AM34" i="32"/>
  <c r="C33" i="13"/>
  <c r="AM33" i="32"/>
  <c r="AM32" i="32"/>
  <c r="C31" i="13" s="1"/>
  <c r="C30" i="14" s="1"/>
  <c r="AM31" i="32"/>
  <c r="C30" i="13" s="1"/>
  <c r="D30" i="13" s="1"/>
  <c r="AM30" i="32"/>
  <c r="C29" i="13" s="1"/>
  <c r="C28" i="14" s="1"/>
  <c r="F28" i="14" s="1"/>
  <c r="AM29" i="32"/>
  <c r="C28" i="13" s="1"/>
  <c r="C27" i="14" s="1"/>
  <c r="I27" i="14" s="1"/>
  <c r="AM28" i="32"/>
  <c r="C27" i="13" s="1"/>
  <c r="C26" i="14" s="1"/>
  <c r="G26" i="14" s="1"/>
  <c r="AM27" i="32"/>
  <c r="C26" i="13" s="1"/>
  <c r="D26" i="13" s="1"/>
  <c r="AM26" i="32"/>
  <c r="C25" i="13" s="1"/>
  <c r="D25" i="13" s="1"/>
  <c r="AM25" i="32"/>
  <c r="C24" i="13" s="1"/>
  <c r="C23" i="14" s="1"/>
  <c r="I23" i="14" s="1"/>
  <c r="AM24" i="32"/>
  <c r="C23" i="13" s="1"/>
  <c r="C22" i="14" s="1"/>
  <c r="J22" i="14" s="1"/>
  <c r="AM23" i="32"/>
  <c r="C22" i="13" s="1"/>
  <c r="C21" i="14" s="1"/>
  <c r="G21" i="14" s="1"/>
  <c r="AM22" i="32"/>
  <c r="C21" i="13" s="1"/>
  <c r="C20" i="14" s="1"/>
  <c r="G20" i="14" s="1"/>
  <c r="AM21" i="32"/>
  <c r="C20" i="13" s="1"/>
  <c r="D20" i="13" s="1"/>
  <c r="AM20" i="32"/>
  <c r="C19" i="13" s="1"/>
  <c r="C18" i="14" s="1"/>
  <c r="J18" i="14" s="1"/>
  <c r="AM19" i="32"/>
  <c r="C18" i="13" s="1"/>
  <c r="D18" i="13" s="1"/>
  <c r="AM18" i="32"/>
  <c r="C17" i="13" s="1"/>
  <c r="AM17" i="32"/>
  <c r="C16" i="13" s="1"/>
  <c r="C15" i="14" s="1"/>
  <c r="I15" i="14" s="1"/>
  <c r="AM16" i="32"/>
  <c r="C15" i="13" s="1"/>
  <c r="AM15" i="32"/>
  <c r="AM14" i="32"/>
  <c r="C13" i="13" s="1"/>
  <c r="AM13" i="32"/>
  <c r="C12" i="13" s="1"/>
  <c r="AM12" i="32"/>
  <c r="AM11" i="32"/>
  <c r="AM10" i="32"/>
  <c r="BV61" i="32"/>
  <c r="N60" i="13" s="1"/>
  <c r="BU61" i="32"/>
  <c r="L60" i="13" s="1"/>
  <c r="BV60" i="32"/>
  <c r="N59" i="13" s="1"/>
  <c r="BU60" i="32"/>
  <c r="L59" i="13" s="1"/>
  <c r="BV59" i="32"/>
  <c r="N58" i="13" s="1"/>
  <c r="BU59" i="32"/>
  <c r="L58" i="13"/>
  <c r="BV58" i="32"/>
  <c r="N57" i="13" s="1"/>
  <c r="BU58" i="32"/>
  <c r="L57" i="13" s="1"/>
  <c r="BV57" i="32"/>
  <c r="N56" i="13" s="1"/>
  <c r="BU57" i="32"/>
  <c r="L56" i="13" s="1"/>
  <c r="BT61" i="32"/>
  <c r="BT60" i="32"/>
  <c r="I59" i="13" s="1"/>
  <c r="D58" i="14" s="1"/>
  <c r="H58" i="14" s="1"/>
  <c r="BT59" i="32"/>
  <c r="I58" i="13" s="1"/>
  <c r="BT58" i="32"/>
  <c r="I57" i="13" s="1"/>
  <c r="J57" i="13" s="1"/>
  <c r="BT57" i="32"/>
  <c r="I56" i="13" s="1"/>
  <c r="D55" i="14" s="1"/>
  <c r="BT56" i="32"/>
  <c r="I55" i="13" s="1"/>
  <c r="J55" i="13" s="1"/>
  <c r="BT55" i="32"/>
  <c r="BT54" i="32"/>
  <c r="I53" i="13" s="1"/>
  <c r="BT53" i="32"/>
  <c r="I52" i="13" s="1"/>
  <c r="D51" i="14" s="1"/>
  <c r="BT52" i="32"/>
  <c r="I51" i="13" s="1"/>
  <c r="J51" i="13" s="1"/>
  <c r="BT51" i="32"/>
  <c r="I50" i="13"/>
  <c r="D49" i="14" s="1"/>
  <c r="H49" i="14" s="1"/>
  <c r="BT50" i="32"/>
  <c r="I49" i="13"/>
  <c r="BT49" i="32"/>
  <c r="BT48" i="32"/>
  <c r="I47" i="13" s="1"/>
  <c r="BT47" i="32"/>
  <c r="BT46" i="32"/>
  <c r="I45" i="13" s="1"/>
  <c r="BT45" i="32"/>
  <c r="I44" i="13" s="1"/>
  <c r="BT44" i="32"/>
  <c r="I43" i="13" s="1"/>
  <c r="D42" i="14" s="1"/>
  <c r="H42" i="14" s="1"/>
  <c r="BT43" i="32"/>
  <c r="I42" i="13"/>
  <c r="BT42" i="32"/>
  <c r="I41" i="13"/>
  <c r="D40" i="14" s="1"/>
  <c r="H40" i="14" s="1"/>
  <c r="BT41" i="32"/>
  <c r="I40" i="13" s="1"/>
  <c r="D39" i="14" s="1"/>
  <c r="BT40" i="32"/>
  <c r="I39" i="13" s="1"/>
  <c r="BT39" i="32"/>
  <c r="BT38" i="32"/>
  <c r="I37" i="13" s="1"/>
  <c r="J37" i="13" s="1"/>
  <c r="BT37" i="32"/>
  <c r="I36" i="13" s="1"/>
  <c r="D35" i="14" s="1"/>
  <c r="H35" i="14" s="1"/>
  <c r="BT36" i="32"/>
  <c r="I35" i="13" s="1"/>
  <c r="D34" i="14" s="1"/>
  <c r="H34" i="14" s="1"/>
  <c r="BT35" i="32"/>
  <c r="I34" i="13" s="1"/>
  <c r="J34" i="13" s="1"/>
  <c r="BT34" i="32"/>
  <c r="I33" i="13" s="1"/>
  <c r="J33" i="13" s="1"/>
  <c r="BT33" i="32"/>
  <c r="I32" i="13" s="1"/>
  <c r="J32" i="13" s="1"/>
  <c r="BT32" i="32"/>
  <c r="I31" i="13" s="1"/>
  <c r="D30" i="14" s="1"/>
  <c r="H30" i="14" s="1"/>
  <c r="BT31" i="32"/>
  <c r="I30" i="13" s="1"/>
  <c r="D29" i="14" s="1"/>
  <c r="BT30" i="32"/>
  <c r="I29" i="13" s="1"/>
  <c r="D28" i="14" s="1"/>
  <c r="H28" i="14" s="1"/>
  <c r="BT29" i="32"/>
  <c r="I28" i="13" s="1"/>
  <c r="J28" i="13" s="1"/>
  <c r="BT28" i="32"/>
  <c r="I27" i="13" s="1"/>
  <c r="BT27" i="32"/>
  <c r="I26" i="13" s="1"/>
  <c r="D25" i="14" s="1"/>
  <c r="H25" i="14" s="1"/>
  <c r="BT26" i="32"/>
  <c r="I25" i="13" s="1"/>
  <c r="J25" i="13" s="1"/>
  <c r="BT25" i="32"/>
  <c r="I24" i="13" s="1"/>
  <c r="D23" i="14" s="1"/>
  <c r="BT24" i="32"/>
  <c r="I23" i="13" s="1"/>
  <c r="BT23" i="32"/>
  <c r="BT22" i="32"/>
  <c r="I21" i="13" s="1"/>
  <c r="BT21" i="32"/>
  <c r="I20" i="13" s="1"/>
  <c r="BT20" i="32"/>
  <c r="I19" i="13" s="1"/>
  <c r="J19" i="13" s="1"/>
  <c r="BT19" i="32"/>
  <c r="I18" i="13" s="1"/>
  <c r="J18" i="13" s="1"/>
  <c r="BT18" i="32"/>
  <c r="I17" i="13" s="1"/>
  <c r="J17" i="13" s="1"/>
  <c r="BT17" i="32"/>
  <c r="I16" i="13" s="1"/>
  <c r="J16" i="13" s="1"/>
  <c r="BT16" i="32"/>
  <c r="I15" i="13" s="1"/>
  <c r="D14" i="14" s="1"/>
  <c r="BT15" i="32"/>
  <c r="I14" i="13" s="1"/>
  <c r="J14" i="13" s="1"/>
  <c r="BT14" i="32"/>
  <c r="I13" i="13" s="1"/>
  <c r="J13" i="13" s="1"/>
  <c r="BT13" i="32"/>
  <c r="BT12" i="32"/>
  <c r="BT11" i="32"/>
  <c r="BT10" i="32"/>
  <c r="BT9" i="32"/>
  <c r="AD17" i="32"/>
  <c r="AD14" i="32"/>
  <c r="Z14" i="32"/>
  <c r="V14" i="32"/>
  <c r="AD61" i="32"/>
  <c r="AD60" i="32"/>
  <c r="AD59" i="32"/>
  <c r="AD58" i="32"/>
  <c r="AD57" i="32"/>
  <c r="AD56" i="32"/>
  <c r="AD55" i="32"/>
  <c r="AD54" i="32"/>
  <c r="AD53" i="32"/>
  <c r="AD52" i="32"/>
  <c r="AD51" i="32"/>
  <c r="AD50" i="32"/>
  <c r="AD49" i="32"/>
  <c r="AD48" i="32"/>
  <c r="AD47" i="32"/>
  <c r="AD46" i="32"/>
  <c r="AD45" i="32"/>
  <c r="AD44" i="32"/>
  <c r="AD43" i="32"/>
  <c r="AD42" i="32"/>
  <c r="AD41" i="32"/>
  <c r="AD40" i="32"/>
  <c r="AD39" i="32"/>
  <c r="AD38" i="32"/>
  <c r="AD37" i="32"/>
  <c r="AD36" i="32"/>
  <c r="AD35" i="32"/>
  <c r="AD34" i="32"/>
  <c r="AD33" i="32"/>
  <c r="AD32" i="32"/>
  <c r="AD31" i="32"/>
  <c r="AD30" i="32"/>
  <c r="AD29" i="32"/>
  <c r="AD28" i="32"/>
  <c r="AD27" i="32"/>
  <c r="AD26" i="32"/>
  <c r="AD25" i="32"/>
  <c r="AD24" i="32"/>
  <c r="AD23" i="32"/>
  <c r="AD22" i="32"/>
  <c r="AD21" i="32"/>
  <c r="AD20" i="32"/>
  <c r="AD19" i="32"/>
  <c r="AD18" i="32"/>
  <c r="AD16" i="32"/>
  <c r="AD15" i="32"/>
  <c r="Z61" i="32"/>
  <c r="Z60" i="32"/>
  <c r="Z59" i="32"/>
  <c r="Z58" i="32"/>
  <c r="Z57" i="32"/>
  <c r="Z56" i="32"/>
  <c r="Z55" i="32"/>
  <c r="Z54" i="32"/>
  <c r="Z53" i="32"/>
  <c r="Z52" i="32"/>
  <c r="Z51" i="32"/>
  <c r="Z50" i="32"/>
  <c r="Z49" i="32"/>
  <c r="Z48" i="32"/>
  <c r="Z47" i="32"/>
  <c r="Z46" i="32"/>
  <c r="Z45" i="32"/>
  <c r="Z44" i="32"/>
  <c r="Z43" i="32"/>
  <c r="Z42" i="32"/>
  <c r="Z41" i="32"/>
  <c r="Z40" i="32"/>
  <c r="Z39" i="32"/>
  <c r="Z38" i="32"/>
  <c r="Z37" i="32"/>
  <c r="Z36" i="32"/>
  <c r="Z35" i="32"/>
  <c r="Z34" i="32"/>
  <c r="Z33" i="32"/>
  <c r="Z32" i="32"/>
  <c r="Z31" i="32"/>
  <c r="Z30" i="32"/>
  <c r="Z29" i="32"/>
  <c r="Z28" i="32"/>
  <c r="Z27" i="32"/>
  <c r="Z26" i="32"/>
  <c r="Z25" i="32"/>
  <c r="Z24" i="32"/>
  <c r="Z23" i="32"/>
  <c r="Z22" i="32"/>
  <c r="Z21" i="32"/>
  <c r="Z20" i="32"/>
  <c r="Z19" i="32"/>
  <c r="Z18" i="32"/>
  <c r="Z17" i="32"/>
  <c r="Z16" i="32"/>
  <c r="Z15" i="32"/>
  <c r="V61" i="32"/>
  <c r="V60" i="32"/>
  <c r="V59" i="32"/>
  <c r="V58" i="32"/>
  <c r="V57" i="32"/>
  <c r="V56" i="32"/>
  <c r="V55" i="32"/>
  <c r="V54" i="32"/>
  <c r="V53" i="32"/>
  <c r="V52" i="32"/>
  <c r="V51" i="32"/>
  <c r="V50" i="32"/>
  <c r="V49" i="32"/>
  <c r="V48" i="32"/>
  <c r="V47" i="32"/>
  <c r="V46" i="32"/>
  <c r="V45" i="32"/>
  <c r="V44" i="32"/>
  <c r="V43" i="32"/>
  <c r="V42" i="32"/>
  <c r="V41" i="32"/>
  <c r="V40" i="32"/>
  <c r="V39" i="32"/>
  <c r="V38" i="32"/>
  <c r="V37" i="32"/>
  <c r="V36" i="32"/>
  <c r="V35" i="32"/>
  <c r="V34" i="32"/>
  <c r="V33" i="32"/>
  <c r="V32" i="32"/>
  <c r="V31" i="32"/>
  <c r="V30" i="32"/>
  <c r="V29" i="32"/>
  <c r="V28" i="32"/>
  <c r="V27" i="32"/>
  <c r="V26" i="32"/>
  <c r="V25" i="32"/>
  <c r="V24" i="32"/>
  <c r="V23" i="32"/>
  <c r="V22" i="32"/>
  <c r="V21" i="32"/>
  <c r="V20" i="32"/>
  <c r="V19" i="32"/>
  <c r="V18" i="32"/>
  <c r="V17" i="32"/>
  <c r="V16" i="32"/>
  <c r="V15" i="32"/>
  <c r="R61" i="32"/>
  <c r="R60" i="32"/>
  <c r="R59" i="32"/>
  <c r="R58" i="32"/>
  <c r="R57" i="32"/>
  <c r="R56" i="32"/>
  <c r="R55" i="32"/>
  <c r="R54" i="32"/>
  <c r="R53" i="32"/>
  <c r="R52" i="32"/>
  <c r="R51" i="32"/>
  <c r="R50" i="32"/>
  <c r="R49" i="32"/>
  <c r="R48" i="32"/>
  <c r="R47" i="32"/>
  <c r="R46" i="32"/>
  <c r="R45" i="32"/>
  <c r="R44" i="32"/>
  <c r="R43" i="32"/>
  <c r="R42" i="32"/>
  <c r="R41" i="32"/>
  <c r="R40" i="32"/>
  <c r="R39" i="32"/>
  <c r="R38" i="32"/>
  <c r="R37" i="32"/>
  <c r="R36" i="32"/>
  <c r="R35" i="32"/>
  <c r="R34" i="32"/>
  <c r="R33" i="32"/>
  <c r="R32" i="32"/>
  <c r="R31" i="32"/>
  <c r="R30" i="32"/>
  <c r="R29" i="32"/>
  <c r="R28" i="32"/>
  <c r="R27" i="32"/>
  <c r="R26" i="32"/>
  <c r="R25" i="32"/>
  <c r="R24" i="32"/>
  <c r="R23" i="32"/>
  <c r="R22" i="32"/>
  <c r="R21" i="32"/>
  <c r="R20" i="32"/>
  <c r="R19" i="32"/>
  <c r="R18" i="32"/>
  <c r="R17" i="32"/>
  <c r="R16" i="32"/>
  <c r="R15" i="32"/>
  <c r="N61" i="32"/>
  <c r="N60" i="32"/>
  <c r="N59" i="32"/>
  <c r="N58" i="32"/>
  <c r="N57" i="32"/>
  <c r="N56" i="32"/>
  <c r="N55" i="32"/>
  <c r="N54" i="32"/>
  <c r="N53" i="32"/>
  <c r="N52" i="32"/>
  <c r="N51" i="32"/>
  <c r="N50" i="32"/>
  <c r="N49" i="32"/>
  <c r="N48" i="32"/>
  <c r="N47" i="32"/>
  <c r="N46" i="32"/>
  <c r="N45" i="32"/>
  <c r="N44" i="32"/>
  <c r="N43" i="32"/>
  <c r="N42" i="32"/>
  <c r="N41" i="32"/>
  <c r="N40" i="32"/>
  <c r="N39" i="32"/>
  <c r="N38" i="32"/>
  <c r="N37" i="32"/>
  <c r="N36" i="32"/>
  <c r="N35" i="32"/>
  <c r="N34" i="32"/>
  <c r="N33" i="32"/>
  <c r="N32" i="32"/>
  <c r="N31" i="32"/>
  <c r="N30" i="32"/>
  <c r="N29" i="32"/>
  <c r="N28" i="32"/>
  <c r="N27" i="32"/>
  <c r="N26" i="32"/>
  <c r="N25" i="32"/>
  <c r="N24" i="32"/>
  <c r="N23" i="32"/>
  <c r="N22" i="32"/>
  <c r="N21" i="32"/>
  <c r="N20" i="32"/>
  <c r="N19" i="32"/>
  <c r="N18" i="32"/>
  <c r="N17" i="32"/>
  <c r="N16" i="32"/>
  <c r="N15" i="32"/>
  <c r="J61" i="32"/>
  <c r="J60" i="32"/>
  <c r="J59" i="32"/>
  <c r="J58" i="32"/>
  <c r="J57" i="32"/>
  <c r="J56" i="32"/>
  <c r="J55" i="32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8" i="32"/>
  <c r="J17" i="32"/>
  <c r="J16" i="32"/>
  <c r="J15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R14" i="32"/>
  <c r="N14" i="32"/>
  <c r="J14" i="32"/>
  <c r="S42" i="25"/>
  <c r="S41" i="25"/>
  <c r="S40" i="25"/>
  <c r="S39" i="25"/>
  <c r="S38" i="25"/>
  <c r="S37" i="25"/>
  <c r="P42" i="25"/>
  <c r="P41" i="25"/>
  <c r="P40" i="25"/>
  <c r="P39" i="25"/>
  <c r="P38" i="25"/>
  <c r="P37" i="25"/>
  <c r="M42" i="25"/>
  <c r="M41" i="25"/>
  <c r="M40" i="25"/>
  <c r="M39" i="25"/>
  <c r="M38" i="25"/>
  <c r="M37" i="25"/>
  <c r="J42" i="25"/>
  <c r="J41" i="25"/>
  <c r="J40" i="25"/>
  <c r="J39" i="25"/>
  <c r="J38" i="25"/>
  <c r="J37" i="25"/>
  <c r="G42" i="25"/>
  <c r="G41" i="25"/>
  <c r="G40" i="25"/>
  <c r="G39" i="25"/>
  <c r="G38" i="25"/>
  <c r="G37" i="25"/>
  <c r="R33" i="25"/>
  <c r="R32" i="25"/>
  <c r="R31" i="25"/>
  <c r="R30" i="25"/>
  <c r="R29" i="25"/>
  <c r="R28" i="25"/>
  <c r="Q33" i="25"/>
  <c r="Q32" i="25"/>
  <c r="Q31" i="25"/>
  <c r="Q30" i="25"/>
  <c r="S30" i="25" s="1"/>
  <c r="Q29" i="25"/>
  <c r="Q28" i="25"/>
  <c r="L33" i="25"/>
  <c r="L32" i="25"/>
  <c r="L31" i="25"/>
  <c r="L30" i="25"/>
  <c r="L29" i="25"/>
  <c r="L28" i="25"/>
  <c r="G32" i="25"/>
  <c r="K32" i="25" s="1"/>
  <c r="G31" i="25"/>
  <c r="K31" i="25" s="1"/>
  <c r="G30" i="25"/>
  <c r="K30" i="25" s="1"/>
  <c r="G29" i="25"/>
  <c r="K29" i="25" s="1"/>
  <c r="G33" i="25"/>
  <c r="H33" i="25" s="1"/>
  <c r="G28" i="25"/>
  <c r="K28" i="25" s="1"/>
  <c r="F32" i="25"/>
  <c r="F31" i="25"/>
  <c r="H31" i="25" s="1"/>
  <c r="F30" i="25"/>
  <c r="F29" i="25"/>
  <c r="F28" i="25"/>
  <c r="D33" i="25"/>
  <c r="D32" i="25"/>
  <c r="D31" i="25"/>
  <c r="D30" i="25"/>
  <c r="D29" i="25"/>
  <c r="D28" i="25"/>
  <c r="D26" i="25"/>
  <c r="E22" i="25"/>
  <c r="E21" i="25"/>
  <c r="P34" i="25"/>
  <c r="P33" i="25"/>
  <c r="P32" i="25"/>
  <c r="P31" i="25"/>
  <c r="P30" i="25"/>
  <c r="P29" i="25"/>
  <c r="P28" i="25"/>
  <c r="BW54" i="33"/>
  <c r="BW52" i="33"/>
  <c r="BS52" i="33"/>
  <c r="BV51" i="33"/>
  <c r="BV48" i="33"/>
  <c r="BW47" i="33"/>
  <c r="BV47" i="33"/>
  <c r="BS47" i="33"/>
  <c r="BR47" i="33"/>
  <c r="BW44" i="33"/>
  <c r="BW43" i="33"/>
  <c r="BT43" i="33"/>
  <c r="BS43" i="33"/>
  <c r="BW42" i="33"/>
  <c r="BS40" i="33"/>
  <c r="BR40" i="33"/>
  <c r="BV39" i="33"/>
  <c r="BR39" i="33"/>
  <c r="BW38" i="33"/>
  <c r="BT38" i="33"/>
  <c r="BS38" i="33"/>
  <c r="BV36" i="33"/>
  <c r="BS36" i="33"/>
  <c r="BW35" i="33"/>
  <c r="BS35" i="33"/>
  <c r="BW34" i="33"/>
  <c r="BT34" i="33"/>
  <c r="BS34" i="33"/>
  <c r="BW32" i="33"/>
  <c r="BV32" i="33"/>
  <c r="BS32" i="33"/>
  <c r="BR32" i="33"/>
  <c r="BR31" i="33"/>
  <c r="BS28" i="33"/>
  <c r="BS24" i="33"/>
  <c r="BR23" i="33"/>
  <c r="BU22" i="33"/>
  <c r="BR20" i="33"/>
  <c r="BU18" i="33"/>
  <c r="BW16" i="33"/>
  <c r="BT14" i="33"/>
  <c r="BR12" i="33"/>
  <c r="BS11" i="33"/>
  <c r="BT10" i="33"/>
  <c r="BN54" i="33"/>
  <c r="BP52" i="33"/>
  <c r="BL52" i="33"/>
  <c r="BL51" i="33"/>
  <c r="BQ50" i="33"/>
  <c r="BQ47" i="33"/>
  <c r="BP47" i="33"/>
  <c r="BM47" i="33"/>
  <c r="BL47" i="33"/>
  <c r="BQ43" i="33"/>
  <c r="BP43" i="33"/>
  <c r="BM43" i="33"/>
  <c r="BL43" i="33"/>
  <c r="BO42" i="33"/>
  <c r="BQ40" i="33"/>
  <c r="BP40" i="33"/>
  <c r="BO39" i="33"/>
  <c r="BO38" i="33"/>
  <c r="BN38" i="33"/>
  <c r="BQ36" i="33"/>
  <c r="BP36" i="33"/>
  <c r="BQ35" i="33"/>
  <c r="BM35" i="33"/>
  <c r="BO34" i="33"/>
  <c r="BN34" i="33"/>
  <c r="BQ32" i="33"/>
  <c r="BP32" i="33"/>
  <c r="BM32" i="33"/>
  <c r="BL32" i="33"/>
  <c r="BM31" i="33"/>
  <c r="BQ28" i="33"/>
  <c r="BO26" i="33"/>
  <c r="BP20" i="33"/>
  <c r="BO18" i="33"/>
  <c r="BL16" i="33"/>
  <c r="BO14" i="33"/>
  <c r="BM12" i="33"/>
  <c r="BP10" i="33"/>
  <c r="BK39" i="33"/>
  <c r="C43" i="16" s="1"/>
  <c r="H43" i="16" s="1"/>
  <c r="BK38" i="33"/>
  <c r="C42" i="16"/>
  <c r="E42" i="16" s="1"/>
  <c r="BK34" i="33"/>
  <c r="C38" i="16" s="1"/>
  <c r="H38" i="16" s="1"/>
  <c r="P38" i="16" s="1"/>
  <c r="BK30" i="33"/>
  <c r="C34" i="16" s="1"/>
  <c r="BA8" i="34"/>
  <c r="BB8" i="34" s="1"/>
  <c r="AJ9" i="34"/>
  <c r="F9" i="34"/>
  <c r="C8" i="34"/>
  <c r="D8" i="34" s="1"/>
  <c r="I9" i="34"/>
  <c r="I22" i="13"/>
  <c r="J22" i="13" s="1"/>
  <c r="M3" i="14"/>
  <c r="J8" i="2"/>
  <c r="J9" i="2"/>
  <c r="J10" i="2"/>
  <c r="J11" i="2"/>
  <c r="K11" i="2" s="1"/>
  <c r="J12" i="2"/>
  <c r="J13" i="2"/>
  <c r="K13" i="2" s="1"/>
  <c r="J14" i="2"/>
  <c r="K14" i="2" s="1"/>
  <c r="J15" i="2"/>
  <c r="K15" i="2" s="1"/>
  <c r="J16" i="2"/>
  <c r="K16" i="2" s="1"/>
  <c r="J17" i="2"/>
  <c r="K17" i="2" s="1"/>
  <c r="J18" i="2"/>
  <c r="J19" i="2"/>
  <c r="K19" i="2" s="1"/>
  <c r="J20" i="2"/>
  <c r="K20" i="2" s="1"/>
  <c r="J21" i="2"/>
  <c r="J22" i="2"/>
  <c r="K22" i="2" s="1"/>
  <c r="J23" i="2"/>
  <c r="J24" i="2"/>
  <c r="K24" i="2" s="1"/>
  <c r="J25" i="2"/>
  <c r="K25" i="2" s="1"/>
  <c r="J26" i="2"/>
  <c r="J27" i="2"/>
  <c r="K27" i="2" s="1"/>
  <c r="J28" i="2"/>
  <c r="K28" i="2" s="1"/>
  <c r="J29" i="2"/>
  <c r="K29" i="2" s="1"/>
  <c r="L18" i="14"/>
  <c r="M18" i="14" s="1"/>
  <c r="C14" i="13"/>
  <c r="C13" i="14" s="1"/>
  <c r="N47" i="14" s="1"/>
  <c r="M2" i="14"/>
  <c r="C8" i="2"/>
  <c r="C9" i="2"/>
  <c r="C10" i="2"/>
  <c r="C11" i="2"/>
  <c r="C12" i="2"/>
  <c r="C13" i="2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C9" i="13" s="1"/>
  <c r="C27" i="2"/>
  <c r="C28" i="2"/>
  <c r="D28" i="2" s="1"/>
  <c r="P1" i="3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P2" i="31"/>
  <c r="P3" i="31"/>
  <c r="BI9" i="34"/>
  <c r="BI8" i="34"/>
  <c r="BJ8" i="34" s="1"/>
  <c r="BG9" i="34"/>
  <c r="BG8" i="34"/>
  <c r="BH8" i="34" s="1"/>
  <c r="BE9" i="34"/>
  <c r="BE8" i="34"/>
  <c r="BF8" i="34" s="1"/>
  <c r="BC9" i="34"/>
  <c r="BC8" i="34"/>
  <c r="BD8" i="34" s="1"/>
  <c r="BA53" i="34"/>
  <c r="BA52" i="34"/>
  <c r="BA51" i="34"/>
  <c r="BA50" i="34"/>
  <c r="BA49" i="34"/>
  <c r="BA48" i="34"/>
  <c r="BA47" i="34"/>
  <c r="BA46" i="34"/>
  <c r="BA45" i="34"/>
  <c r="BA44" i="34"/>
  <c r="BA43" i="34"/>
  <c r="BA42" i="34"/>
  <c r="BA41" i="34"/>
  <c r="BA40" i="34"/>
  <c r="BA39" i="34"/>
  <c r="BA38" i="34"/>
  <c r="BA37" i="34"/>
  <c r="BA36" i="34"/>
  <c r="BA35" i="34"/>
  <c r="BA34" i="34"/>
  <c r="BA33" i="34"/>
  <c r="BA32" i="34"/>
  <c r="BA31" i="34"/>
  <c r="BA30" i="34"/>
  <c r="BA29" i="34"/>
  <c r="BA28" i="34"/>
  <c r="BA27" i="34"/>
  <c r="BA26" i="34"/>
  <c r="BA25" i="34"/>
  <c r="BA24" i="34"/>
  <c r="BA23" i="34"/>
  <c r="BA22" i="34"/>
  <c r="BA21" i="34"/>
  <c r="BA20" i="34"/>
  <c r="BA19" i="34"/>
  <c r="BA18" i="34"/>
  <c r="BA17" i="34"/>
  <c r="BA16" i="34"/>
  <c r="BA15" i="34"/>
  <c r="BA14" i="34"/>
  <c r="BA13" i="34"/>
  <c r="BA12" i="34"/>
  <c r="BA11" i="34"/>
  <c r="BA10" i="34"/>
  <c r="BA9" i="34"/>
  <c r="AY9" i="34"/>
  <c r="AY8" i="34"/>
  <c r="AZ8" i="34" s="1"/>
  <c r="AW9" i="34"/>
  <c r="AW8" i="34"/>
  <c r="AX8" i="34" s="1"/>
  <c r="AU9" i="34"/>
  <c r="AU8" i="34"/>
  <c r="AV8" i="34" s="1"/>
  <c r="AS9" i="34"/>
  <c r="AS8" i="34"/>
  <c r="AT8" i="34" s="1"/>
  <c r="AQ53" i="34"/>
  <c r="AQ52" i="34"/>
  <c r="AQ51" i="34"/>
  <c r="AQ50" i="34"/>
  <c r="AQ49" i="34"/>
  <c r="AQ48" i="34"/>
  <c r="AQ47" i="34"/>
  <c r="AQ46" i="34"/>
  <c r="AQ45" i="34"/>
  <c r="AQ44" i="34"/>
  <c r="AQ43" i="34"/>
  <c r="AQ42" i="34"/>
  <c r="AQ41" i="34"/>
  <c r="AQ40" i="34"/>
  <c r="AQ39" i="34"/>
  <c r="AQ38" i="34"/>
  <c r="AQ37" i="34"/>
  <c r="AQ36" i="34"/>
  <c r="AQ35" i="34"/>
  <c r="AQ34" i="34"/>
  <c r="AQ33" i="34"/>
  <c r="AQ32" i="34"/>
  <c r="AQ31" i="34"/>
  <c r="AQ30" i="34"/>
  <c r="AQ29" i="34"/>
  <c r="AQ28" i="34"/>
  <c r="AQ27" i="34"/>
  <c r="AQ26" i="34"/>
  <c r="AQ25" i="34"/>
  <c r="AQ24" i="34"/>
  <c r="AQ23" i="34"/>
  <c r="AQ22" i="34"/>
  <c r="AQ21" i="34"/>
  <c r="AQ20" i="34"/>
  <c r="AQ19" i="34"/>
  <c r="AQ18" i="34"/>
  <c r="AQ17" i="34"/>
  <c r="AQ16" i="34"/>
  <c r="AQ15" i="34"/>
  <c r="AQ14" i="34"/>
  <c r="AQ13" i="34"/>
  <c r="AQ12" i="34"/>
  <c r="AQ11" i="34"/>
  <c r="AQ10" i="34"/>
  <c r="AQ9" i="34"/>
  <c r="AQ8" i="34"/>
  <c r="AR8" i="34" s="1"/>
  <c r="AO9" i="34"/>
  <c r="AO8" i="34"/>
  <c r="AP8" i="34" s="1"/>
  <c r="AM9" i="34"/>
  <c r="AM8" i="34"/>
  <c r="AN8" i="34" s="1"/>
  <c r="AK9" i="34"/>
  <c r="AK8" i="34"/>
  <c r="AL8" i="34" s="1"/>
  <c r="AI9" i="34"/>
  <c r="AI8" i="34"/>
  <c r="AJ8" i="34" s="1"/>
  <c r="AG53" i="34"/>
  <c r="AG52" i="34"/>
  <c r="AG51" i="34"/>
  <c r="AG50" i="34"/>
  <c r="AG49" i="34"/>
  <c r="AG48" i="34"/>
  <c r="AG47" i="34"/>
  <c r="AG46" i="34"/>
  <c r="AG45" i="34"/>
  <c r="AG44" i="34"/>
  <c r="AG43" i="34"/>
  <c r="AG42" i="34"/>
  <c r="AG41" i="34"/>
  <c r="AG40" i="34"/>
  <c r="AG39" i="34"/>
  <c r="AG38" i="34"/>
  <c r="AG37" i="34"/>
  <c r="AG36" i="34"/>
  <c r="AG35" i="34"/>
  <c r="AG34" i="34"/>
  <c r="AG33" i="34"/>
  <c r="AG32" i="34"/>
  <c r="AG31" i="34"/>
  <c r="AG30" i="34"/>
  <c r="AG29" i="34"/>
  <c r="AG28" i="34"/>
  <c r="AG27" i="34"/>
  <c r="AG26" i="34"/>
  <c r="AG25" i="34"/>
  <c r="AG24" i="34"/>
  <c r="AG23" i="34"/>
  <c r="AG22" i="34"/>
  <c r="AG21" i="34"/>
  <c r="AG20" i="34"/>
  <c r="AG19" i="34"/>
  <c r="AG18" i="34"/>
  <c r="AG17" i="34"/>
  <c r="AG16" i="34"/>
  <c r="AG15" i="34"/>
  <c r="AG14" i="34"/>
  <c r="AG13" i="34"/>
  <c r="AG12" i="34"/>
  <c r="AG11" i="34"/>
  <c r="AG10" i="34"/>
  <c r="AG9" i="34"/>
  <c r="AG8" i="34"/>
  <c r="AH8" i="34" s="1"/>
  <c r="AE8" i="34"/>
  <c r="AF8" i="34" s="1"/>
  <c r="AE9" i="34"/>
  <c r="AC8" i="34"/>
  <c r="AD8" i="34" s="1"/>
  <c r="AC9" i="34"/>
  <c r="AA8" i="34"/>
  <c r="AB8" i="34" s="1"/>
  <c r="AA9" i="34"/>
  <c r="Y8" i="34"/>
  <c r="Z8" i="34" s="1"/>
  <c r="Y9" i="34"/>
  <c r="W53" i="34"/>
  <c r="W52" i="34"/>
  <c r="W51" i="34"/>
  <c r="W50" i="34"/>
  <c r="W49" i="34"/>
  <c r="W48" i="34"/>
  <c r="W47" i="34"/>
  <c r="W46" i="34"/>
  <c r="W45" i="34"/>
  <c r="W44" i="34"/>
  <c r="W43" i="34"/>
  <c r="W42" i="34"/>
  <c r="W41" i="34"/>
  <c r="W40" i="34"/>
  <c r="W39" i="34"/>
  <c r="W38" i="34"/>
  <c r="W37" i="34"/>
  <c r="W36" i="34"/>
  <c r="W35" i="34"/>
  <c r="W34" i="34"/>
  <c r="W33" i="34"/>
  <c r="W32" i="34"/>
  <c r="W31" i="34"/>
  <c r="W30" i="34"/>
  <c r="W29" i="34"/>
  <c r="W28" i="34"/>
  <c r="W9" i="34"/>
  <c r="W8" i="34"/>
  <c r="X8" i="34" s="1"/>
  <c r="W27" i="34"/>
  <c r="W26" i="34"/>
  <c r="W25" i="34"/>
  <c r="W24" i="34"/>
  <c r="W23" i="34"/>
  <c r="W22" i="34"/>
  <c r="W21" i="34"/>
  <c r="W20" i="34"/>
  <c r="W19" i="34"/>
  <c r="W18" i="34"/>
  <c r="W17" i="34"/>
  <c r="W16" i="34"/>
  <c r="W15" i="34"/>
  <c r="W14" i="34"/>
  <c r="W13" i="34"/>
  <c r="W12" i="34"/>
  <c r="W11" i="34"/>
  <c r="W10" i="34"/>
  <c r="U8" i="34"/>
  <c r="V8" i="34" s="1"/>
  <c r="U9" i="34"/>
  <c r="S8" i="34"/>
  <c r="T8" i="34" s="1"/>
  <c r="S9" i="34"/>
  <c r="Q8" i="34"/>
  <c r="R8" i="34" s="1"/>
  <c r="Q9" i="34"/>
  <c r="O8" i="34"/>
  <c r="P8" i="34" s="1"/>
  <c r="O9" i="34"/>
  <c r="M53" i="34"/>
  <c r="M52" i="34"/>
  <c r="M51" i="34"/>
  <c r="M50" i="34"/>
  <c r="M49" i="34"/>
  <c r="M48" i="34"/>
  <c r="M47" i="34"/>
  <c r="M46" i="34"/>
  <c r="M45" i="34"/>
  <c r="M44" i="34"/>
  <c r="M43" i="34"/>
  <c r="M42" i="34"/>
  <c r="M41" i="34"/>
  <c r="M40" i="34"/>
  <c r="M39" i="34"/>
  <c r="M38" i="34"/>
  <c r="M37" i="34"/>
  <c r="M36" i="34"/>
  <c r="M35" i="34"/>
  <c r="M34" i="34"/>
  <c r="M33" i="34"/>
  <c r="M32" i="34"/>
  <c r="M31" i="34"/>
  <c r="M30" i="34"/>
  <c r="M29" i="34"/>
  <c r="M28" i="34"/>
  <c r="M27" i="34"/>
  <c r="M26" i="34"/>
  <c r="M25" i="34"/>
  <c r="M24" i="34"/>
  <c r="M23" i="34"/>
  <c r="M22" i="34"/>
  <c r="M21" i="34"/>
  <c r="M20" i="34"/>
  <c r="M19" i="34"/>
  <c r="M18" i="34"/>
  <c r="M17" i="34"/>
  <c r="M16" i="34"/>
  <c r="M15" i="34"/>
  <c r="M14" i="34"/>
  <c r="M13" i="34"/>
  <c r="M12" i="34"/>
  <c r="M11" i="34"/>
  <c r="M8" i="34"/>
  <c r="M10" i="34"/>
  <c r="M9" i="34"/>
  <c r="K8" i="34"/>
  <c r="L8" i="34" s="1"/>
  <c r="K9" i="34"/>
  <c r="I8" i="34"/>
  <c r="G8" i="34"/>
  <c r="H8" i="34" s="1"/>
  <c r="G9" i="34"/>
  <c r="E8" i="34"/>
  <c r="F8" i="34" s="1"/>
  <c r="E9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12" i="34"/>
  <c r="C27" i="34"/>
  <c r="C26" i="34"/>
  <c r="C25" i="34"/>
  <c r="C9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1" i="34"/>
  <c r="C10" i="34"/>
  <c r="BA54" i="34"/>
  <c r="AQ54" i="34"/>
  <c r="AG54" i="34"/>
  <c r="W54" i="34"/>
  <c r="M54" i="34"/>
  <c r="C54" i="34"/>
  <c r="C55" i="34"/>
  <c r="B9" i="34"/>
  <c r="B10" i="34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B53" i="34" s="1"/>
  <c r="B54" i="34" s="1"/>
  <c r="B55" i="34" s="1"/>
  <c r="V1" i="34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K3" i="13"/>
  <c r="I38" i="13"/>
  <c r="I46" i="13"/>
  <c r="I48" i="13"/>
  <c r="I54" i="13"/>
  <c r="D53" i="14" s="1"/>
  <c r="N73" i="27" s="1"/>
  <c r="I60" i="13"/>
  <c r="D59" i="14" s="1"/>
  <c r="V3" i="34"/>
  <c r="E3" i="34"/>
  <c r="C32" i="13"/>
  <c r="C36" i="13"/>
  <c r="C37" i="13"/>
  <c r="C36" i="14" s="1"/>
  <c r="C40" i="13"/>
  <c r="D40" i="13" s="1"/>
  <c r="C41" i="13"/>
  <c r="C44" i="13"/>
  <c r="D44" i="13" s="1"/>
  <c r="C52" i="13"/>
  <c r="V2" i="34"/>
  <c r="E2" i="34"/>
  <c r="E1" i="34"/>
  <c r="L56" i="14"/>
  <c r="M56" i="14" s="1"/>
  <c r="L48" i="14"/>
  <c r="M48" i="14" s="1"/>
  <c r="L44" i="14"/>
  <c r="M44" i="14" s="1"/>
  <c r="L40" i="14"/>
  <c r="M40" i="14" s="1"/>
  <c r="L36" i="14"/>
  <c r="M36" i="14" s="1"/>
  <c r="V1" i="33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B9" i="33"/>
  <c r="B10" i="33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V3" i="33"/>
  <c r="E3" i="33"/>
  <c r="V2" i="33"/>
  <c r="E2" i="33"/>
  <c r="E1" i="33"/>
  <c r="G55" i="16"/>
  <c r="G56" i="16" s="1"/>
  <c r="G57" i="16" s="1"/>
  <c r="G58" i="16" s="1"/>
  <c r="G59" i="16" s="1"/>
  <c r="L55" i="13"/>
  <c r="L51" i="13"/>
  <c r="L49" i="13"/>
  <c r="L48" i="13"/>
  <c r="L47" i="13"/>
  <c r="L44" i="13"/>
  <c r="L43" i="13"/>
  <c r="L40" i="13"/>
  <c r="L39" i="13"/>
  <c r="L37" i="13"/>
  <c r="L36" i="13"/>
  <c r="L31" i="13"/>
  <c r="L28" i="13"/>
  <c r="L23" i="13"/>
  <c r="L20" i="13"/>
  <c r="L15" i="13"/>
  <c r="O29" i="2"/>
  <c r="X29" i="2" s="1"/>
  <c r="O28" i="2"/>
  <c r="N11" i="13" s="1"/>
  <c r="O27" i="2"/>
  <c r="Z27" i="2" s="1"/>
  <c r="O26" i="2"/>
  <c r="O25" i="2"/>
  <c r="Z25" i="2" s="1"/>
  <c r="O24" i="2"/>
  <c r="O23" i="2"/>
  <c r="Z23" i="2" s="1"/>
  <c r="O22" i="2"/>
  <c r="Z22" i="2" s="1"/>
  <c r="O21" i="2"/>
  <c r="Z21" i="2" s="1"/>
  <c r="O20" i="2"/>
  <c r="Z20" i="2" s="1"/>
  <c r="O19" i="2"/>
  <c r="Z19" i="2" s="1"/>
  <c r="O18" i="2"/>
  <c r="X18" i="2" s="1"/>
  <c r="O17" i="2"/>
  <c r="Z17" i="2" s="1"/>
  <c r="O16" i="2"/>
  <c r="Z16" i="2" s="1"/>
  <c r="O15" i="2"/>
  <c r="X15" i="2" s="1"/>
  <c r="O14" i="2"/>
  <c r="O13" i="2"/>
  <c r="X13" i="2" s="1"/>
  <c r="O12" i="2"/>
  <c r="Z12" i="2" s="1"/>
  <c r="O11" i="2"/>
  <c r="O10" i="2"/>
  <c r="X10" i="2" s="1"/>
  <c r="O9" i="2"/>
  <c r="O8" i="2"/>
  <c r="Z8" i="2" s="1"/>
  <c r="M29" i="2"/>
  <c r="L12" i="13" s="1"/>
  <c r="M28" i="2"/>
  <c r="L11" i="13" s="1"/>
  <c r="M27" i="2"/>
  <c r="L10" i="13" s="1"/>
  <c r="M26" i="2"/>
  <c r="L9" i="13" s="1"/>
  <c r="M25" i="2"/>
  <c r="L8" i="13" s="1"/>
  <c r="M24" i="2"/>
  <c r="M23" i="2"/>
  <c r="M22" i="2"/>
  <c r="N24" i="27" s="1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U10" i="27"/>
  <c r="V10" i="27" s="1"/>
  <c r="Y55" i="14"/>
  <c r="Y56" i="14" s="1"/>
  <c r="Y57" i="14" s="1"/>
  <c r="Y58" i="14" s="1"/>
  <c r="Y59" i="14" s="1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3" i="14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M55" i="16"/>
  <c r="M56" i="16" s="1"/>
  <c r="M57" i="16" s="1"/>
  <c r="M58" i="16" s="1"/>
  <c r="M59" i="16" s="1"/>
  <c r="O55" i="14"/>
  <c r="O56" i="14" s="1"/>
  <c r="O57" i="14" s="1"/>
  <c r="O58" i="14" s="1"/>
  <c r="O59" i="14" s="1"/>
  <c r="H27" i="2"/>
  <c r="W27" i="2" s="1"/>
  <c r="H26" i="2"/>
  <c r="Y26" i="2" s="1"/>
  <c r="W25" i="2"/>
  <c r="H23" i="2"/>
  <c r="W23" i="2" s="1"/>
  <c r="H22" i="2"/>
  <c r="Y22" i="2" s="1"/>
  <c r="H21" i="2"/>
  <c r="Y21" i="2" s="1"/>
  <c r="H20" i="2"/>
  <c r="H19" i="2"/>
  <c r="H18" i="2"/>
  <c r="H17" i="2"/>
  <c r="W17" i="2" s="1"/>
  <c r="H16" i="2"/>
  <c r="Y16" i="2" s="1"/>
  <c r="H15" i="2"/>
  <c r="Y15" i="2" s="1"/>
  <c r="H14" i="2"/>
  <c r="W14" i="2" s="1"/>
  <c r="H13" i="2"/>
  <c r="Y13" i="2" s="1"/>
  <c r="H12" i="2"/>
  <c r="W12" i="2" s="1"/>
  <c r="H11" i="2"/>
  <c r="Y11" i="2" s="1"/>
  <c r="H10" i="2"/>
  <c r="F28" i="2"/>
  <c r="Y30" i="27" s="1"/>
  <c r="F27" i="2"/>
  <c r="AA29" i="27" s="1"/>
  <c r="F26" i="2"/>
  <c r="F8" i="13"/>
  <c r="W26" i="27"/>
  <c r="AA25" i="27"/>
  <c r="F22" i="2"/>
  <c r="F21" i="2"/>
  <c r="U23" i="27" s="1"/>
  <c r="F20" i="2"/>
  <c r="F19" i="2"/>
  <c r="AA21" i="27" s="1"/>
  <c r="F18" i="2"/>
  <c r="F17" i="2"/>
  <c r="AA19" i="27" s="1"/>
  <c r="F16" i="2"/>
  <c r="F15" i="2"/>
  <c r="W17" i="27" s="1"/>
  <c r="F14" i="2"/>
  <c r="F13" i="2"/>
  <c r="W15" i="27" s="1"/>
  <c r="F12" i="2"/>
  <c r="F11" i="2"/>
  <c r="AA13" i="27" s="1"/>
  <c r="F10" i="2"/>
  <c r="H9" i="2"/>
  <c r="W9" i="2" s="1"/>
  <c r="H8" i="2"/>
  <c r="W8" i="2" s="1"/>
  <c r="F9" i="2"/>
  <c r="U11" i="27" s="1"/>
  <c r="H58" i="13"/>
  <c r="T58" i="13" s="1"/>
  <c r="U58" i="13" s="1"/>
  <c r="H55" i="13"/>
  <c r="T55" i="13" s="1"/>
  <c r="U55" i="13" s="1"/>
  <c r="H49" i="13"/>
  <c r="T49" i="13" s="1"/>
  <c r="U49" i="13" s="1"/>
  <c r="H47" i="13"/>
  <c r="T47" i="13" s="1"/>
  <c r="U47" i="13" s="1"/>
  <c r="H46" i="13"/>
  <c r="T46" i="13" s="1"/>
  <c r="U46" i="13" s="1"/>
  <c r="H43" i="13"/>
  <c r="T43" i="13" s="1"/>
  <c r="U43" i="13" s="1"/>
  <c r="H42" i="13"/>
  <c r="T42" i="13" s="1"/>
  <c r="U42" i="13" s="1"/>
  <c r="H40" i="13"/>
  <c r="T40" i="13" s="1"/>
  <c r="U40" i="13" s="1"/>
  <c r="H39" i="13"/>
  <c r="T39" i="13" s="1"/>
  <c r="U39" i="13" s="1"/>
  <c r="H34" i="13"/>
  <c r="T34" i="13" s="1"/>
  <c r="U34" i="13" s="1"/>
  <c r="H33" i="13"/>
  <c r="T33" i="13" s="1"/>
  <c r="U33" i="13" s="1"/>
  <c r="H32" i="13"/>
  <c r="T32" i="13" s="1"/>
  <c r="U32" i="13" s="1"/>
  <c r="H30" i="13"/>
  <c r="T30" i="13" s="1"/>
  <c r="U30" i="13" s="1"/>
  <c r="H27" i="13"/>
  <c r="T27" i="13" s="1"/>
  <c r="U27" i="13" s="1"/>
  <c r="H26" i="13"/>
  <c r="T26" i="13" s="1"/>
  <c r="U26" i="13" s="1"/>
  <c r="H25" i="13"/>
  <c r="T25" i="13" s="1"/>
  <c r="U25" i="13" s="1"/>
  <c r="H22" i="13"/>
  <c r="T22" i="13" s="1"/>
  <c r="U22" i="13" s="1"/>
  <c r="H19" i="13"/>
  <c r="T19" i="13" s="1"/>
  <c r="U19" i="13" s="1"/>
  <c r="H17" i="13"/>
  <c r="T17" i="13" s="1"/>
  <c r="U17" i="13" s="1"/>
  <c r="H16" i="13"/>
  <c r="T16" i="13" s="1"/>
  <c r="U16" i="13" s="1"/>
  <c r="H29" i="2"/>
  <c r="W29" i="2" s="1"/>
  <c r="H28" i="2"/>
  <c r="Y28" i="2" s="1"/>
  <c r="F56" i="13"/>
  <c r="F29" i="2"/>
  <c r="AA31" i="27" s="1"/>
  <c r="P3" i="32"/>
  <c r="P2" i="32"/>
  <c r="P1" i="32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E3" i="32"/>
  <c r="E2" i="32"/>
  <c r="E1" i="32"/>
  <c r="B10" i="32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4" i="32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B57" i="32" s="1"/>
  <c r="B58" i="32" s="1"/>
  <c r="B59" i="32" s="1"/>
  <c r="B60" i="32" s="1"/>
  <c r="B61" i="32" s="1"/>
  <c r="M3" i="2"/>
  <c r="M2" i="2"/>
  <c r="E3" i="31"/>
  <c r="E2" i="31"/>
  <c r="E1" i="31"/>
  <c r="B9" i="3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AA32" i="27"/>
  <c r="AA33" i="27"/>
  <c r="Y32" i="27"/>
  <c r="Y33" i="27"/>
  <c r="W32" i="27"/>
  <c r="W33" i="27"/>
  <c r="U33" i="27"/>
  <c r="U32" i="27"/>
  <c r="D3" i="16"/>
  <c r="D2" i="16"/>
  <c r="D1" i="16"/>
  <c r="H11" i="16"/>
  <c r="K15" i="16"/>
  <c r="K14" i="16"/>
  <c r="K13" i="16"/>
  <c r="J2" i="27"/>
  <c r="J3" i="27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3" i="16"/>
  <c r="L2" i="16"/>
  <c r="L59" i="16"/>
  <c r="L58" i="16"/>
  <c r="L57" i="16"/>
  <c r="L56" i="16"/>
  <c r="L55" i="16"/>
  <c r="L54" i="16"/>
  <c r="L53" i="16"/>
  <c r="L52" i="16"/>
  <c r="L51" i="16"/>
  <c r="L50" i="16"/>
  <c r="K19" i="16"/>
  <c r="K17" i="16"/>
  <c r="K16" i="16"/>
  <c r="K59" i="16"/>
  <c r="K58" i="16"/>
  <c r="K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8" i="16"/>
  <c r="K12" i="16"/>
  <c r="K11" i="16"/>
  <c r="E11" i="16"/>
  <c r="D11" i="16"/>
  <c r="L1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F12" i="1"/>
  <c r="F11" i="1"/>
  <c r="F10" i="1"/>
  <c r="F9" i="1"/>
  <c r="F8" i="1"/>
  <c r="F7" i="1"/>
  <c r="K12" i="1"/>
  <c r="N1" i="15"/>
  <c r="N5" i="15" s="1"/>
  <c r="L5" i="15" s="1"/>
  <c r="N3" i="15"/>
  <c r="G3" i="15"/>
  <c r="N2" i="15"/>
  <c r="G2" i="15"/>
  <c r="G1" i="15"/>
  <c r="K79" i="27"/>
  <c r="K78" i="27"/>
  <c r="K77" i="27"/>
  <c r="K76" i="27"/>
  <c r="K75" i="27"/>
  <c r="K74" i="27"/>
  <c r="K73" i="27"/>
  <c r="K72" i="27"/>
  <c r="K71" i="27"/>
  <c r="K70" i="27"/>
  <c r="K69" i="27"/>
  <c r="K68" i="27"/>
  <c r="K67" i="27"/>
  <c r="K66" i="27"/>
  <c r="K65" i="27"/>
  <c r="K64" i="27"/>
  <c r="K63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J79" i="27"/>
  <c r="J78" i="27"/>
  <c r="J77" i="27"/>
  <c r="J76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J63" i="27"/>
  <c r="J62" i="27"/>
  <c r="J61" i="27"/>
  <c r="J60" i="27"/>
  <c r="J59" i="27"/>
  <c r="J58" i="27"/>
  <c r="J57" i="27"/>
  <c r="J56" i="27"/>
  <c r="J55" i="27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I79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5" i="27"/>
  <c r="I64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I33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B11" i="27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J1" i="27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D3" i="27"/>
  <c r="D2" i="27"/>
  <c r="D1" i="27"/>
  <c r="J33" i="27"/>
  <c r="J34" i="27"/>
  <c r="D3" i="13"/>
  <c r="D2" i="13"/>
  <c r="D1" i="13"/>
  <c r="D42" i="13"/>
  <c r="B9" i="13"/>
  <c r="B10" i="13" s="1"/>
  <c r="B11" i="13" s="1"/>
  <c r="B12" i="13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K1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D3" i="14"/>
  <c r="D2" i="14"/>
  <c r="D1" i="14"/>
  <c r="M11" i="14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M1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M1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D1" i="2"/>
  <c r="D2" i="2"/>
  <c r="D3" i="2"/>
  <c r="D29" i="2"/>
  <c r="B9" i="2"/>
  <c r="B10" i="2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P9" i="33"/>
  <c r="BU9" i="33"/>
  <c r="BO9" i="33"/>
  <c r="BV9" i="33"/>
  <c r="BR9" i="33"/>
  <c r="BQ9" i="33"/>
  <c r="BL9" i="33"/>
  <c r="BT9" i="33"/>
  <c r="BN9" i="33"/>
  <c r="L13" i="14"/>
  <c r="M13" i="14" s="1"/>
  <c r="BS9" i="33"/>
  <c r="BM9" i="33"/>
  <c r="BV13" i="33"/>
  <c r="BP13" i="33"/>
  <c r="BW13" i="33"/>
  <c r="BQ13" i="33"/>
  <c r="BK13" i="33"/>
  <c r="C17" i="16" s="1"/>
  <c r="D17" i="16" s="1"/>
  <c r="BO13" i="33"/>
  <c r="L17" i="14"/>
  <c r="M17" i="14" s="1"/>
  <c r="BV17" i="33"/>
  <c r="BP17" i="33"/>
  <c r="BW17" i="33"/>
  <c r="BQ17" i="33"/>
  <c r="BU17" i="33"/>
  <c r="L21" i="14"/>
  <c r="M21" i="14" s="1"/>
  <c r="BT17" i="33"/>
  <c r="BR21" i="33"/>
  <c r="BL21" i="33"/>
  <c r="BS21" i="33"/>
  <c r="BM21" i="33"/>
  <c r="BK21" i="33"/>
  <c r="C25" i="16" s="1"/>
  <c r="D25" i="16" s="1"/>
  <c r="L25" i="14"/>
  <c r="M25" i="14" s="1"/>
  <c r="BT21" i="33"/>
  <c r="BR25" i="33"/>
  <c r="BL25" i="33"/>
  <c r="BS25" i="33"/>
  <c r="BM25" i="33"/>
  <c r="L29" i="14"/>
  <c r="M29" i="14" s="1"/>
  <c r="BT25" i="33"/>
  <c r="BV29" i="33"/>
  <c r="BP29" i="33"/>
  <c r="L33" i="14"/>
  <c r="M33" i="14" s="1"/>
  <c r="BS29" i="33"/>
  <c r="BM29" i="33"/>
  <c r="BT29" i="33"/>
  <c r="BN29" i="33"/>
  <c r="BK33" i="33"/>
  <c r="C37" i="16" s="1"/>
  <c r="BL41" i="33"/>
  <c r="L49" i="14"/>
  <c r="M49" i="14" s="1"/>
  <c r="BT45" i="33"/>
  <c r="L53" i="14"/>
  <c r="M53" i="14" s="1"/>
  <c r="BO53" i="33"/>
  <c r="BW9" i="33"/>
  <c r="BT13" i="33"/>
  <c r="BR8" i="33"/>
  <c r="BK12" i="33"/>
  <c r="C16" i="16" s="1"/>
  <c r="H16" i="16" s="1"/>
  <c r="P16" i="16" s="1"/>
  <c r="BT12" i="33"/>
  <c r="BU12" i="33"/>
  <c r="BK16" i="33"/>
  <c r="C20" i="16" s="1"/>
  <c r="BN16" i="33"/>
  <c r="BO16" i="33"/>
  <c r="BK20" i="33"/>
  <c r="C24" i="16" s="1"/>
  <c r="D24" i="16" s="1"/>
  <c r="BT20" i="33"/>
  <c r="BU20" i="33"/>
  <c r="L28" i="14"/>
  <c r="M28" i="14" s="1"/>
  <c r="BT28" i="33"/>
  <c r="BU28" i="33"/>
  <c r="BT32" i="33"/>
  <c r="BN32" i="33"/>
  <c r="BK32" i="33"/>
  <c r="C36" i="16" s="1"/>
  <c r="BU32" i="33"/>
  <c r="BO32" i="33"/>
  <c r="BT36" i="33"/>
  <c r="BN36" i="33"/>
  <c r="BK36" i="33"/>
  <c r="C40" i="16" s="1"/>
  <c r="BU36" i="33"/>
  <c r="BO36" i="33"/>
  <c r="BT40" i="33"/>
  <c r="BN40" i="33"/>
  <c r="BK40" i="33"/>
  <c r="C44" i="16" s="1"/>
  <c r="BU40" i="33"/>
  <c r="BO40" i="33"/>
  <c r="BT44" i="33"/>
  <c r="BN48" i="33"/>
  <c r="BK48" i="33"/>
  <c r="C52" i="16" s="1"/>
  <c r="H52" i="16" s="1"/>
  <c r="BU48" i="33"/>
  <c r="BO48" i="33"/>
  <c r="BT52" i="33"/>
  <c r="BN52" i="33"/>
  <c r="BK52" i="33"/>
  <c r="C56" i="16"/>
  <c r="BU52" i="33"/>
  <c r="BO52" i="33"/>
  <c r="BR37" i="33"/>
  <c r="BM37" i="33"/>
  <c r="BW37" i="33"/>
  <c r="BK37" i="33"/>
  <c r="C41" i="16" s="1"/>
  <c r="F41" i="16" s="1"/>
  <c r="BP45" i="33"/>
  <c r="BW45" i="33"/>
  <c r="BK45" i="33"/>
  <c r="C49" i="16"/>
  <c r="H49" i="16" s="1"/>
  <c r="P49" i="16" s="1"/>
  <c r="BN45" i="33"/>
  <c r="BL45" i="33"/>
  <c r="BS45" i="33"/>
  <c r="BU45" i="33"/>
  <c r="BS53" i="33"/>
  <c r="BV53" i="33"/>
  <c r="BQ53" i="33"/>
  <c r="BO49" i="33"/>
  <c r="BO45" i="33"/>
  <c r="BT41" i="33"/>
  <c r="L41" i="14"/>
  <c r="M41" i="14" s="1"/>
  <c r="I11" i="16"/>
  <c r="BU41" i="33"/>
  <c r="BM53" i="33"/>
  <c r="BQ49" i="33"/>
  <c r="BQ45" i="33"/>
  <c r="BV45" i="33"/>
  <c r="BU33" i="33"/>
  <c r="BV33" i="33"/>
  <c r="L37" i="14"/>
  <c r="M37" i="14" s="1"/>
  <c r="BR33" i="33"/>
  <c r="BM33" i="33"/>
  <c r="BR41" i="33"/>
  <c r="BM41" i="33"/>
  <c r="BO41" i="33"/>
  <c r="BP41" i="33"/>
  <c r="BW41" i="33"/>
  <c r="BK41" i="33"/>
  <c r="C45" i="16" s="1"/>
  <c r="E45" i="16" s="1"/>
  <c r="BN41" i="33"/>
  <c r="BN49" i="33"/>
  <c r="BW49" i="33"/>
  <c r="BL49" i="33"/>
  <c r="BW53" i="33"/>
  <c r="L45" i="14"/>
  <c r="M45" i="14" s="1"/>
  <c r="BK53" i="33"/>
  <c r="C57" i="16" s="1"/>
  <c r="BP53" i="33"/>
  <c r="BR49" i="33"/>
  <c r="BM45" i="33"/>
  <c r="BR45" i="33"/>
  <c r="BQ41" i="33"/>
  <c r="BV41" i="33"/>
  <c r="BQ37" i="33"/>
  <c r="BK8" i="33"/>
  <c r="BT8" i="33" s="1"/>
  <c r="D27" i="13"/>
  <c r="BL8" i="33"/>
  <c r="BO8" i="33"/>
  <c r="L12" i="14"/>
  <c r="M12" i="14" s="1"/>
  <c r="BQ8" i="33"/>
  <c r="BP8" i="33"/>
  <c r="BR10" i="33"/>
  <c r="BW10" i="33"/>
  <c r="BS10" i="33"/>
  <c r="BN10" i="33"/>
  <c r="BV10" i="33"/>
  <c r="BQ10" i="33"/>
  <c r="BM10" i="33"/>
  <c r="BW14" i="33"/>
  <c r="BS14" i="33"/>
  <c r="BN14" i="33"/>
  <c r="BK14" i="33"/>
  <c r="C18" i="16"/>
  <c r="F18" i="16" s="1"/>
  <c r="BV14" i="33"/>
  <c r="BR14" i="33"/>
  <c r="BQ14" i="33"/>
  <c r="BM14" i="33"/>
  <c r="BW18" i="33"/>
  <c r="BS18" i="33"/>
  <c r="BQ18" i="33"/>
  <c r="BM18" i="33"/>
  <c r="BV18" i="33"/>
  <c r="BR18" i="33"/>
  <c r="BP18" i="33"/>
  <c r="BL18" i="33"/>
  <c r="BM22" i="33"/>
  <c r="BV22" i="33"/>
  <c r="BK26" i="33"/>
  <c r="C30" i="16" s="1"/>
  <c r="D30" i="16" s="1"/>
  <c r="BS26" i="33"/>
  <c r="BM26" i="33"/>
  <c r="BR26" i="33"/>
  <c r="BL26" i="33"/>
  <c r="BR30" i="33"/>
  <c r="BM30" i="33"/>
  <c r="BP30" i="33"/>
  <c r="BV34" i="33"/>
  <c r="BR34" i="33"/>
  <c r="BQ34" i="33"/>
  <c r="BM34" i="33"/>
  <c r="L38" i="14"/>
  <c r="M38" i="14" s="1"/>
  <c r="BU34" i="33"/>
  <c r="BP34" i="33"/>
  <c r="BL34" i="33"/>
  <c r="BV38" i="33"/>
  <c r="BR38" i="33"/>
  <c r="BQ38" i="33"/>
  <c r="BM38" i="33"/>
  <c r="BU38" i="33"/>
  <c r="BP38" i="33"/>
  <c r="BL38" i="33"/>
  <c r="L42" i="14"/>
  <c r="M42" i="14" s="1"/>
  <c r="BV42" i="33"/>
  <c r="BR42" i="33"/>
  <c r="BQ42" i="33"/>
  <c r="BM42" i="33"/>
  <c r="BU42" i="33"/>
  <c r="BP42" i="33"/>
  <c r="BL42" i="33"/>
  <c r="BK42" i="33"/>
  <c r="C46" i="16" s="1"/>
  <c r="F46" i="16" s="1"/>
  <c r="BV46" i="33"/>
  <c r="BR46" i="33"/>
  <c r="BQ46" i="33"/>
  <c r="BM46" i="33"/>
  <c r="BU46" i="33"/>
  <c r="BP46" i="33"/>
  <c r="BL46" i="33"/>
  <c r="BK46" i="33"/>
  <c r="C50" i="16" s="1"/>
  <c r="BV50" i="33"/>
  <c r="BR50" i="33"/>
  <c r="BP50" i="33"/>
  <c r="BL50" i="33"/>
  <c r="BK50" i="33"/>
  <c r="C54" i="16" s="1"/>
  <c r="D54" i="16" s="1"/>
  <c r="L54" i="14"/>
  <c r="M54" i="14" s="1"/>
  <c r="BU50" i="33"/>
  <c r="BO50" i="33"/>
  <c r="BV54" i="33"/>
  <c r="BR54" i="33"/>
  <c r="BP54" i="33"/>
  <c r="BL54" i="33"/>
  <c r="BU54" i="33"/>
  <c r="BO54" i="33"/>
  <c r="L58" i="14"/>
  <c r="M58" i="14" s="1"/>
  <c r="L23" i="14"/>
  <c r="M23" i="14" s="1"/>
  <c r="L15" i="14"/>
  <c r="M15" i="14" s="1"/>
  <c r="BP19" i="33"/>
  <c r="BL23" i="33"/>
  <c r="BP27" i="33"/>
  <c r="BL31" i="33"/>
  <c r="BV23" i="33"/>
  <c r="BP11" i="33"/>
  <c r="BL11" i="33"/>
  <c r="BT11" i="33"/>
  <c r="BO11" i="33"/>
  <c r="BP15" i="33"/>
  <c r="BL15" i="33"/>
  <c r="BK19" i="33"/>
  <c r="C23" i="16" s="1"/>
  <c r="BU19" i="33"/>
  <c r="BO19" i="33"/>
  <c r="BT19" i="33"/>
  <c r="BN19" i="33"/>
  <c r="BU23" i="33"/>
  <c r="BO23" i="33"/>
  <c r="L27" i="14"/>
  <c r="M27" i="14" s="1"/>
  <c r="BT23" i="33"/>
  <c r="BN23" i="33"/>
  <c r="BU27" i="33"/>
  <c r="BO27" i="33"/>
  <c r="BT27" i="33"/>
  <c r="BN27" i="33"/>
  <c r="BT31" i="33"/>
  <c r="BO31" i="33"/>
  <c r="BK31" i="33"/>
  <c r="C35" i="16"/>
  <c r="F35" i="16" s="1"/>
  <c r="BW31" i="33"/>
  <c r="BS31" i="33"/>
  <c r="BN31" i="33"/>
  <c r="BU8" i="33"/>
  <c r="D35" i="16"/>
  <c r="C38" i="14"/>
  <c r="F38" i="14" s="1"/>
  <c r="F16" i="16"/>
  <c r="C19" i="14"/>
  <c r="G19" i="14" s="1"/>
  <c r="D57" i="13"/>
  <c r="F13" i="16"/>
  <c r="D31" i="14"/>
  <c r="H31" i="14" s="1"/>
  <c r="J36" i="13"/>
  <c r="D21" i="13"/>
  <c r="C16" i="14"/>
  <c r="I16" i="14" s="1"/>
  <c r="D17" i="13"/>
  <c r="J59" i="13"/>
  <c r="D37" i="13"/>
  <c r="E35" i="16" l="1"/>
  <c r="H18" i="16"/>
  <c r="P18" i="16" s="1"/>
  <c r="D12" i="2"/>
  <c r="J47" i="13"/>
  <c r="D46" i="14"/>
  <c r="H46" i="14" s="1"/>
  <c r="BM8" i="33"/>
  <c r="BN8" i="33"/>
  <c r="BW12" i="33"/>
  <c r="BL12" i="33"/>
  <c r="L16" i="14"/>
  <c r="M16" i="14" s="1"/>
  <c r="BN12" i="33"/>
  <c r="BO12" i="33"/>
  <c r="BU14" i="33"/>
  <c r="BP14" i="33"/>
  <c r="BL14" i="33"/>
  <c r="BT16" i="33"/>
  <c r="BU16" i="33"/>
  <c r="BK18" i="33"/>
  <c r="C22" i="16" s="1"/>
  <c r="F22" i="16" s="1"/>
  <c r="BT18" i="33"/>
  <c r="BN18" i="33"/>
  <c r="L22" i="14"/>
  <c r="M22" i="14" s="1"/>
  <c r="BR19" i="33"/>
  <c r="BV19" i="33"/>
  <c r="BM19" i="33"/>
  <c r="BV21" i="33"/>
  <c r="BP21" i="33"/>
  <c r="BW21" i="33"/>
  <c r="BQ21" i="33"/>
  <c r="BO21" i="33"/>
  <c r="BU21" i="33"/>
  <c r="BN21" i="33"/>
  <c r="BV25" i="33"/>
  <c r="BP25" i="33"/>
  <c r="BW25" i="33"/>
  <c r="BQ25" i="33"/>
  <c r="BU25" i="33"/>
  <c r="BO25" i="33"/>
  <c r="BK25" i="33"/>
  <c r="C29" i="16" s="1"/>
  <c r="H29" i="16" s="1"/>
  <c r="P29" i="16" s="1"/>
  <c r="BN25" i="33"/>
  <c r="BR29" i="33"/>
  <c r="BL29" i="33"/>
  <c r="BW29" i="33"/>
  <c r="BQ29" i="33"/>
  <c r="BK29" i="33"/>
  <c r="C33" i="16" s="1"/>
  <c r="D33" i="16" s="1"/>
  <c r="BO29" i="33"/>
  <c r="BU29" i="33"/>
  <c r="BQ31" i="33"/>
  <c r="L35" i="14"/>
  <c r="M35" i="14" s="1"/>
  <c r="BU35" i="33"/>
  <c r="BO35" i="33"/>
  <c r="L39" i="14"/>
  <c r="M39" i="14" s="1"/>
  <c r="BT39" i="33"/>
  <c r="BQ39" i="33"/>
  <c r="BM39" i="33"/>
  <c r="L43" i="14"/>
  <c r="M43" i="14" s="1"/>
  <c r="BS42" i="33"/>
  <c r="L46" i="14"/>
  <c r="M46" i="14" s="1"/>
  <c r="BP44" i="33"/>
  <c r="BU44" i="33"/>
  <c r="BT46" i="33"/>
  <c r="BO46" i="33"/>
  <c r="L50" i="14"/>
  <c r="M50" i="14" s="1"/>
  <c r="BV52" i="33"/>
  <c r="BR52" i="33"/>
  <c r="BQ52" i="33"/>
  <c r="BM52" i="33"/>
  <c r="BT54" i="33"/>
  <c r="BQ54" i="33"/>
  <c r="BK54" i="33"/>
  <c r="C58" i="16" s="1"/>
  <c r="R3" i="2"/>
  <c r="AB3" i="31" s="1"/>
  <c r="D11" i="2"/>
  <c r="K12" i="2"/>
  <c r="J4" i="27"/>
  <c r="F10" i="27"/>
  <c r="P11" i="16"/>
  <c r="N11" i="16"/>
  <c r="J60" i="13"/>
  <c r="H54" i="16"/>
  <c r="N54" i="16" s="1"/>
  <c r="H35" i="16"/>
  <c r="P35" i="16" s="1"/>
  <c r="H42" i="16"/>
  <c r="P42" i="16" s="1"/>
  <c r="F11" i="27"/>
  <c r="R2" i="2"/>
  <c r="AB2" i="31" s="1"/>
  <c r="BR11" i="33"/>
  <c r="BV11" i="33"/>
  <c r="BM11" i="33"/>
  <c r="BW11" i="33"/>
  <c r="BN11" i="33"/>
  <c r="BQ11" i="33"/>
  <c r="BK11" i="33"/>
  <c r="C15" i="16" s="1"/>
  <c r="H15" i="16" s="1"/>
  <c r="N15" i="16" s="1"/>
  <c r="BU11" i="33"/>
  <c r="BR13" i="33"/>
  <c r="BL13" i="33"/>
  <c r="BS13" i="33"/>
  <c r="BM13" i="33"/>
  <c r="BU13" i="33"/>
  <c r="BN13" i="33"/>
  <c r="BS15" i="33"/>
  <c r="BK15" i="33"/>
  <c r="C19" i="16" s="1"/>
  <c r="F19" i="16" s="1"/>
  <c r="BQ15" i="33"/>
  <c r="BN17" i="33"/>
  <c r="BR17" i="33"/>
  <c r="BL17" i="33"/>
  <c r="BS17" i="33"/>
  <c r="BM17" i="33"/>
  <c r="BO17" i="33"/>
  <c r="BK17" i="33"/>
  <c r="C21" i="16" s="1"/>
  <c r="F21" i="16" s="1"/>
  <c r="BW20" i="33"/>
  <c r="BS20" i="33"/>
  <c r="BQ20" i="33"/>
  <c r="BM20" i="33"/>
  <c r="BV20" i="33"/>
  <c r="BL20" i="33"/>
  <c r="L24" i="14"/>
  <c r="M24" i="14" s="1"/>
  <c r="BN20" i="33"/>
  <c r="BO20" i="33"/>
  <c r="BO22" i="33"/>
  <c r="BW22" i="33"/>
  <c r="BK22" i="33"/>
  <c r="C26" i="16" s="1"/>
  <c r="D26" i="16" s="1"/>
  <c r="BL22" i="33"/>
  <c r="BN24" i="33"/>
  <c r="BM24" i="33"/>
  <c r="BT26" i="33"/>
  <c r="BN26" i="33"/>
  <c r="L30" i="14"/>
  <c r="M30" i="14" s="1"/>
  <c r="BU26" i="33"/>
  <c r="BW26" i="33"/>
  <c r="BQ26" i="33"/>
  <c r="BV26" i="33"/>
  <c r="BP26" i="33"/>
  <c r="BV28" i="33"/>
  <c r="BR28" i="33"/>
  <c r="L32" i="14"/>
  <c r="M32" i="14" s="1"/>
  <c r="BP28" i="33"/>
  <c r="BL28" i="33"/>
  <c r="BW28" i="33"/>
  <c r="BM28" i="33"/>
  <c r="BK28" i="33"/>
  <c r="C32" i="16" s="1"/>
  <c r="BN28" i="33"/>
  <c r="BO28" i="33"/>
  <c r="BS30" i="33"/>
  <c r="BN30" i="33"/>
  <c r="L34" i="14"/>
  <c r="M34" i="14" s="1"/>
  <c r="BV30" i="33"/>
  <c r="BQ30" i="33"/>
  <c r="BU30" i="33"/>
  <c r="BL30" i="33"/>
  <c r="BV49" i="33"/>
  <c r="BT49" i="33"/>
  <c r="BP49" i="33"/>
  <c r="BK49" i="33"/>
  <c r="C53" i="16" s="1"/>
  <c r="H53" i="16" s="1"/>
  <c r="P53" i="16" s="1"/>
  <c r="BU49" i="33"/>
  <c r="BS49" i="33"/>
  <c r="BM49" i="33"/>
  <c r="BO51" i="33"/>
  <c r="BU51" i="33"/>
  <c r="BK51" i="33"/>
  <c r="C55" i="16" s="1"/>
  <c r="D55" i="16" s="1"/>
  <c r="BL53" i="33"/>
  <c r="BN53" i="33"/>
  <c r="L57" i="14"/>
  <c r="M57" i="14" s="1"/>
  <c r="BT53" i="33"/>
  <c r="BU53" i="33"/>
  <c r="BR53" i="33"/>
  <c r="L59" i="14"/>
  <c r="M59" i="14" s="1"/>
  <c r="BT55" i="33"/>
  <c r="BU55" i="33"/>
  <c r="J5" i="27"/>
  <c r="BU10" i="33"/>
  <c r="BO10" i="33"/>
  <c r="BV31" i="33"/>
  <c r="BU31" i="33"/>
  <c r="BP31" i="33"/>
  <c r="BV35" i="33"/>
  <c r="BT35" i="33"/>
  <c r="BR35" i="33"/>
  <c r="BP35" i="33"/>
  <c r="BN35" i="33"/>
  <c r="BL35" i="33"/>
  <c r="BK35" i="33"/>
  <c r="C39" i="16" s="1"/>
  <c r="D39" i="16" s="1"/>
  <c r="BW39" i="33"/>
  <c r="BU39" i="33"/>
  <c r="BS39" i="33"/>
  <c r="BP39" i="33"/>
  <c r="BN39" i="33"/>
  <c r="BL39" i="33"/>
  <c r="BT42" i="33"/>
  <c r="BN42" i="33"/>
  <c r="BW46" i="33"/>
  <c r="BS46" i="33"/>
  <c r="BN46" i="33"/>
  <c r="BP48" i="33"/>
  <c r="BW48" i="33"/>
  <c r="D10" i="2"/>
  <c r="D9" i="2"/>
  <c r="D8" i="2"/>
  <c r="K10" i="2"/>
  <c r="K9" i="2"/>
  <c r="K8" i="2"/>
  <c r="S32" i="25"/>
  <c r="J52" i="13"/>
  <c r="C17" i="14"/>
  <c r="G17" i="14" s="1"/>
  <c r="M61" i="27"/>
  <c r="H30" i="25"/>
  <c r="J40" i="13"/>
  <c r="D31" i="13"/>
  <c r="E49" i="16"/>
  <c r="D13" i="14"/>
  <c r="H13" i="14" s="1"/>
  <c r="Z18" i="2"/>
  <c r="N17" i="27"/>
  <c r="W11" i="2"/>
  <c r="N15" i="27"/>
  <c r="Y29" i="27"/>
  <c r="W29" i="27"/>
  <c r="W13" i="2"/>
  <c r="Y9" i="2"/>
  <c r="N21" i="27"/>
  <c r="M11" i="27"/>
  <c r="Y27" i="27"/>
  <c r="Y31" i="27"/>
  <c r="U29" i="27"/>
  <c r="W27" i="27"/>
  <c r="F10" i="13"/>
  <c r="M24" i="27"/>
  <c r="O24" i="27" s="1"/>
  <c r="P24" i="27" s="1"/>
  <c r="Y13" i="27"/>
  <c r="AA10" i="27"/>
  <c r="AB10" i="27" s="1"/>
  <c r="M19" i="27"/>
  <c r="W16" i="2"/>
  <c r="I11" i="13"/>
  <c r="J11" i="13" s="1"/>
  <c r="M13" i="27"/>
  <c r="Y26" i="27"/>
  <c r="X20" i="2"/>
  <c r="Y21" i="27"/>
  <c r="X22" i="2"/>
  <c r="U13" i="27"/>
  <c r="W13" i="27"/>
  <c r="Y15" i="27"/>
  <c r="AA15" i="27"/>
  <c r="X12" i="2"/>
  <c r="X27" i="2"/>
  <c r="W15" i="2"/>
  <c r="W21" i="27"/>
  <c r="N10" i="13"/>
  <c r="Y17" i="2"/>
  <c r="N11" i="27"/>
  <c r="N13" i="27"/>
  <c r="I41" i="14"/>
  <c r="T14" i="13"/>
  <c r="U14" i="13" s="1"/>
  <c r="C14" i="14"/>
  <c r="F14" i="14" s="1"/>
  <c r="D15" i="13"/>
  <c r="I20" i="14"/>
  <c r="M40" i="27"/>
  <c r="F20" i="14"/>
  <c r="J20" i="14"/>
  <c r="H28" i="25"/>
  <c r="E46" i="16"/>
  <c r="F43" i="16"/>
  <c r="E17" i="16"/>
  <c r="D46" i="16"/>
  <c r="D21" i="14"/>
  <c r="H21" i="14" s="1"/>
  <c r="H32" i="25"/>
  <c r="D15" i="14"/>
  <c r="H15" i="14" s="1"/>
  <c r="N35" i="14"/>
  <c r="O1" i="13"/>
  <c r="D19" i="13"/>
  <c r="F27" i="14"/>
  <c r="G27" i="14"/>
  <c r="D18" i="14"/>
  <c r="N38" i="27" s="1"/>
  <c r="D24" i="14"/>
  <c r="H24" i="14" s="1"/>
  <c r="D28" i="13"/>
  <c r="C48" i="14"/>
  <c r="I48" i="14" s="1"/>
  <c r="C24" i="14"/>
  <c r="J24" i="14" s="1"/>
  <c r="D50" i="14"/>
  <c r="N70" i="27" s="1"/>
  <c r="J30" i="13"/>
  <c r="F22" i="14"/>
  <c r="X8" i="2"/>
  <c r="W23" i="27"/>
  <c r="H53" i="14"/>
  <c r="G22" i="14"/>
  <c r="G28" i="14"/>
  <c r="N22" i="14"/>
  <c r="W10" i="27"/>
  <c r="X10" i="27" s="1"/>
  <c r="W11" i="27"/>
  <c r="Y10" i="27"/>
  <c r="Z10" i="27" s="1"/>
  <c r="N40" i="14"/>
  <c r="C11" i="13"/>
  <c r="D11" i="13" s="1"/>
  <c r="AA30" i="27"/>
  <c r="N59" i="14"/>
  <c r="U15" i="27"/>
  <c r="M23" i="27"/>
  <c r="I22" i="14"/>
  <c r="I18" i="14"/>
  <c r="N54" i="14"/>
  <c r="Y14" i="2"/>
  <c r="N16" i="14"/>
  <c r="X16" i="2"/>
  <c r="X19" i="2"/>
  <c r="Z10" i="2"/>
  <c r="H9" i="13"/>
  <c r="T9" i="13" s="1"/>
  <c r="U9" i="13" s="1"/>
  <c r="C8" i="13"/>
  <c r="AA26" i="27"/>
  <c r="U26" i="27"/>
  <c r="W21" i="2"/>
  <c r="N10" i="27"/>
  <c r="N12" i="27"/>
  <c r="N26" i="27"/>
  <c r="M29" i="27"/>
  <c r="N25" i="27"/>
  <c r="N71" i="27"/>
  <c r="AA27" i="27"/>
  <c r="M27" i="27"/>
  <c r="E41" i="16"/>
  <c r="D18" i="16"/>
  <c r="F12" i="25"/>
  <c r="C39" i="14"/>
  <c r="I39" i="14" s="1"/>
  <c r="M15" i="27"/>
  <c r="S29" i="25"/>
  <c r="E30" i="14"/>
  <c r="E18" i="16"/>
  <c r="H29" i="14"/>
  <c r="N57" i="14"/>
  <c r="N19" i="14"/>
  <c r="I13" i="14"/>
  <c r="G23" i="14"/>
  <c r="H12" i="13"/>
  <c r="T12" i="13" s="1"/>
  <c r="U12" i="13" s="1"/>
  <c r="F26" i="14"/>
  <c r="E38" i="16"/>
  <c r="N27" i="27"/>
  <c r="C29" i="14"/>
  <c r="J43" i="13"/>
  <c r="Y29" i="2"/>
  <c r="J56" i="13"/>
  <c r="M41" i="27"/>
  <c r="N58" i="14"/>
  <c r="N20" i="14"/>
  <c r="AA11" i="27"/>
  <c r="AB11" i="27" s="1"/>
  <c r="D14" i="13"/>
  <c r="F42" i="16"/>
  <c r="G50" i="14"/>
  <c r="N16" i="16"/>
  <c r="D16" i="14"/>
  <c r="N36" i="27" s="1"/>
  <c r="J50" i="14"/>
  <c r="D33" i="14"/>
  <c r="N53" i="27" s="1"/>
  <c r="D27" i="14"/>
  <c r="E27" i="14" s="1"/>
  <c r="S33" i="25"/>
  <c r="D56" i="14"/>
  <c r="H56" i="14" s="1"/>
  <c r="N60" i="27"/>
  <c r="N20" i="27"/>
  <c r="N18" i="14"/>
  <c r="N27" i="14"/>
  <c r="Y11" i="27"/>
  <c r="C47" i="14"/>
  <c r="J47" i="14" s="1"/>
  <c r="D24" i="13"/>
  <c r="M5" i="15"/>
  <c r="J5" i="15" s="1"/>
  <c r="W30" i="27"/>
  <c r="M17" i="27"/>
  <c r="O17" i="27" s="1"/>
  <c r="P17" i="27" s="1"/>
  <c r="D12" i="14"/>
  <c r="F11" i="13"/>
  <c r="F21" i="14"/>
  <c r="J21" i="14"/>
  <c r="J13" i="14"/>
  <c r="M33" i="27"/>
  <c r="N14" i="27"/>
  <c r="N44" i="14"/>
  <c r="AA17" i="27"/>
  <c r="H58" i="16"/>
  <c r="K23" i="2"/>
  <c r="J26" i="14"/>
  <c r="E54" i="16"/>
  <c r="I8" i="13"/>
  <c r="D22" i="13"/>
  <c r="W31" i="27"/>
  <c r="N51" i="27"/>
  <c r="W22" i="2"/>
  <c r="I12" i="13"/>
  <c r="U30" i="27"/>
  <c r="N8" i="13"/>
  <c r="J24" i="13"/>
  <c r="S31" i="25"/>
  <c r="I21" i="14"/>
  <c r="N25" i="14"/>
  <c r="E12" i="25"/>
  <c r="N43" i="14"/>
  <c r="N21" i="14"/>
  <c r="N19" i="27"/>
  <c r="U17" i="27"/>
  <c r="M21" i="27"/>
  <c r="M10" i="27"/>
  <c r="N54" i="27"/>
  <c r="N16" i="27"/>
  <c r="X17" i="2"/>
  <c r="J54" i="13"/>
  <c r="F58" i="16"/>
  <c r="J26" i="13"/>
  <c r="D54" i="14"/>
  <c r="N74" i="27" s="1"/>
  <c r="D42" i="16"/>
  <c r="E52" i="16"/>
  <c r="U31" i="27"/>
  <c r="D16" i="13"/>
  <c r="E29" i="16"/>
  <c r="D51" i="13"/>
  <c r="M70" i="27"/>
  <c r="J41" i="13"/>
  <c r="I50" i="14"/>
  <c r="X25" i="2"/>
  <c r="D53" i="13"/>
  <c r="H46" i="16"/>
  <c r="N46" i="16" s="1"/>
  <c r="D36" i="14"/>
  <c r="H36" i="14" s="1"/>
  <c r="D49" i="16"/>
  <c r="J29" i="13"/>
  <c r="W26" i="2"/>
  <c r="D23" i="13"/>
  <c r="U27" i="27"/>
  <c r="N49" i="27"/>
  <c r="H32" i="16"/>
  <c r="P32" i="16" s="1"/>
  <c r="D32" i="16"/>
  <c r="D23" i="16"/>
  <c r="F23" i="16"/>
  <c r="N52" i="16"/>
  <c r="P52" i="16"/>
  <c r="H36" i="16"/>
  <c r="P36" i="16" s="1"/>
  <c r="D36" i="16"/>
  <c r="E36" i="16"/>
  <c r="F36" i="16"/>
  <c r="Y14" i="27"/>
  <c r="AA14" i="27"/>
  <c r="M22" i="27"/>
  <c r="AA22" i="27"/>
  <c r="Y22" i="27"/>
  <c r="U22" i="27"/>
  <c r="W22" i="27"/>
  <c r="Z11" i="2"/>
  <c r="X11" i="2"/>
  <c r="H40" i="16"/>
  <c r="P40" i="16" s="1"/>
  <c r="F40" i="16"/>
  <c r="D40" i="16"/>
  <c r="E40" i="16"/>
  <c r="F20" i="16"/>
  <c r="D20" i="16"/>
  <c r="E20" i="16"/>
  <c r="H20" i="16"/>
  <c r="P20" i="16" s="1"/>
  <c r="D37" i="16"/>
  <c r="H37" i="16"/>
  <c r="P37" i="16" s="1"/>
  <c r="E37" i="16"/>
  <c r="F37" i="16"/>
  <c r="H34" i="16"/>
  <c r="P34" i="16" s="1"/>
  <c r="D34" i="16"/>
  <c r="F34" i="16"/>
  <c r="E34" i="16"/>
  <c r="H44" i="16"/>
  <c r="D44" i="16"/>
  <c r="E44" i="16"/>
  <c r="F44" i="16"/>
  <c r="M18" i="27"/>
  <c r="U18" i="27"/>
  <c r="W18" i="27"/>
  <c r="Y18" i="27"/>
  <c r="AA18" i="27"/>
  <c r="D9" i="13"/>
  <c r="C8" i="14"/>
  <c r="Y12" i="27"/>
  <c r="U12" i="27"/>
  <c r="AA20" i="27"/>
  <c r="Y20" i="27"/>
  <c r="W20" i="27"/>
  <c r="U20" i="27"/>
  <c r="M20" i="27"/>
  <c r="Z9" i="2"/>
  <c r="X9" i="2"/>
  <c r="J21" i="13"/>
  <c r="D20" i="14"/>
  <c r="H45" i="16"/>
  <c r="F45" i="16"/>
  <c r="D45" i="16"/>
  <c r="Y10" i="2"/>
  <c r="W10" i="2"/>
  <c r="J38" i="13"/>
  <c r="D37" i="14"/>
  <c r="N57" i="27" s="1"/>
  <c r="J8" i="34"/>
  <c r="N8" i="34"/>
  <c r="X24" i="2"/>
  <c r="Z24" i="2"/>
  <c r="C51" i="14"/>
  <c r="J51" i="14" s="1"/>
  <c r="D52" i="13"/>
  <c r="J42" i="13"/>
  <c r="D41" i="14"/>
  <c r="I19" i="14"/>
  <c r="M39" i="27"/>
  <c r="F19" i="14"/>
  <c r="G38" i="14"/>
  <c r="M58" i="27"/>
  <c r="I38" i="14"/>
  <c r="H26" i="16"/>
  <c r="P26" i="16" s="1"/>
  <c r="Z14" i="2"/>
  <c r="X14" i="2"/>
  <c r="J46" i="13"/>
  <c r="D45" i="14"/>
  <c r="N65" i="27" s="1"/>
  <c r="H14" i="14"/>
  <c r="E55" i="16"/>
  <c r="E19" i="16"/>
  <c r="D19" i="16"/>
  <c r="J44" i="13"/>
  <c r="D43" i="14"/>
  <c r="J58" i="13"/>
  <c r="D57" i="14"/>
  <c r="H57" i="14" s="1"/>
  <c r="C32" i="14"/>
  <c r="M52" i="27" s="1"/>
  <c r="D33" i="13"/>
  <c r="H33" i="16"/>
  <c r="P33" i="16" s="1"/>
  <c r="F33" i="16"/>
  <c r="E33" i="16"/>
  <c r="N43" i="16"/>
  <c r="P43" i="16"/>
  <c r="D52" i="14"/>
  <c r="J53" i="13"/>
  <c r="C34" i="14"/>
  <c r="E34" i="14" s="1"/>
  <c r="D35" i="13"/>
  <c r="C59" i="14"/>
  <c r="I59" i="14" s="1"/>
  <c r="D60" i="13"/>
  <c r="BV15" i="33"/>
  <c r="BR15" i="33"/>
  <c r="BN15" i="33"/>
  <c r="L19" i="14"/>
  <c r="M19" i="14" s="1"/>
  <c r="BM15" i="33"/>
  <c r="BT15" i="33"/>
  <c r="BW15" i="33"/>
  <c r="BU15" i="33"/>
  <c r="BO15" i="33"/>
  <c r="L26" i="14"/>
  <c r="M26" i="14" s="1"/>
  <c r="BT22" i="33"/>
  <c r="BN22" i="33"/>
  <c r="BS22" i="33"/>
  <c r="BR22" i="33"/>
  <c r="BQ22" i="33"/>
  <c r="BP22" i="33"/>
  <c r="Y12" i="2"/>
  <c r="H41" i="16"/>
  <c r="H8" i="13"/>
  <c r="T8" i="13" s="1"/>
  <c r="U8" i="13" s="1"/>
  <c r="E16" i="16"/>
  <c r="N50" i="27"/>
  <c r="J19" i="14"/>
  <c r="J38" i="14"/>
  <c r="M36" i="27"/>
  <c r="N18" i="27"/>
  <c r="H19" i="16"/>
  <c r="P19" i="16" s="1"/>
  <c r="F15" i="16"/>
  <c r="E15" i="16"/>
  <c r="F54" i="16"/>
  <c r="E28" i="14"/>
  <c r="D16" i="16"/>
  <c r="M26" i="27"/>
  <c r="D26" i="2"/>
  <c r="Y25" i="2"/>
  <c r="N43" i="27"/>
  <c r="H57" i="16"/>
  <c r="P57" i="16" s="1"/>
  <c r="F57" i="16"/>
  <c r="E56" i="16"/>
  <c r="H56" i="16"/>
  <c r="F56" i="16"/>
  <c r="D56" i="16"/>
  <c r="Y19" i="2"/>
  <c r="W19" i="2"/>
  <c r="C33" i="14"/>
  <c r="J33" i="14" s="1"/>
  <c r="D34" i="13"/>
  <c r="F36" i="14"/>
  <c r="G36" i="14"/>
  <c r="BS8" i="33"/>
  <c r="BV8" i="33"/>
  <c r="C12" i="16"/>
  <c r="BW8" i="33"/>
  <c r="Y18" i="2"/>
  <c r="W18" i="2"/>
  <c r="D41" i="13"/>
  <c r="C40" i="14"/>
  <c r="M60" i="27" s="1"/>
  <c r="J45" i="13"/>
  <c r="D44" i="14"/>
  <c r="J49" i="13"/>
  <c r="D48" i="14"/>
  <c r="N68" i="27" s="1"/>
  <c r="M50" i="27"/>
  <c r="J30" i="14"/>
  <c r="M62" i="27"/>
  <c r="G42" i="14"/>
  <c r="F42" i="14"/>
  <c r="C49" i="14"/>
  <c r="J49" i="14" s="1"/>
  <c r="D50" i="13"/>
  <c r="J52" i="14"/>
  <c r="G52" i="14"/>
  <c r="I52" i="14"/>
  <c r="E30" i="16"/>
  <c r="H30" i="16"/>
  <c r="P30" i="16" s="1"/>
  <c r="F30" i="16"/>
  <c r="N42" i="16"/>
  <c r="F52" i="16"/>
  <c r="D52" i="16"/>
  <c r="D29" i="16"/>
  <c r="F29" i="16"/>
  <c r="N23" i="27"/>
  <c r="K21" i="2"/>
  <c r="F39" i="16"/>
  <c r="C54" i="14"/>
  <c r="D55" i="13"/>
  <c r="C25" i="14"/>
  <c r="M45" i="27" s="1"/>
  <c r="E57" i="16"/>
  <c r="D41" i="16"/>
  <c r="D57" i="16"/>
  <c r="G30" i="14"/>
  <c r="J36" i="14"/>
  <c r="N48" i="27"/>
  <c r="I36" i="14"/>
  <c r="N22" i="27"/>
  <c r="D43" i="13"/>
  <c r="AA23" i="27"/>
  <c r="Y23" i="27"/>
  <c r="BS12" i="33"/>
  <c r="BP12" i="33"/>
  <c r="BV12" i="33"/>
  <c r="BQ12" i="33"/>
  <c r="BR16" i="33"/>
  <c r="BM16" i="33"/>
  <c r="L20" i="14"/>
  <c r="M20" i="14" s="1"/>
  <c r="BS16" i="33"/>
  <c r="BP16" i="33"/>
  <c r="BW19" i="33"/>
  <c r="BQ19" i="33"/>
  <c r="J28" i="14"/>
  <c r="BS33" i="33"/>
  <c r="BL33" i="33"/>
  <c r="BT33" i="33"/>
  <c r="BN33" i="33"/>
  <c r="BS37" i="33"/>
  <c r="BU37" i="33"/>
  <c r="BP37" i="33"/>
  <c r="BT48" i="33"/>
  <c r="BK44" i="33"/>
  <c r="C48" i="16" s="1"/>
  <c r="BO24" i="33"/>
  <c r="BP33" i="33"/>
  <c r="C37" i="14"/>
  <c r="G37" i="14" s="1"/>
  <c r="D38" i="13"/>
  <c r="BV24" i="33"/>
  <c r="BP24" i="33"/>
  <c r="BW24" i="33"/>
  <c r="BQ24" i="33"/>
  <c r="BS27" i="33"/>
  <c r="BL27" i="33"/>
  <c r="BV27" i="33"/>
  <c r="BM27" i="33"/>
  <c r="BS44" i="33"/>
  <c r="BL44" i="33"/>
  <c r="BV44" i="33"/>
  <c r="BM44" i="33"/>
  <c r="BR48" i="33"/>
  <c r="BL48" i="33"/>
  <c r="BS48" i="33"/>
  <c r="BM48" i="33"/>
  <c r="BW51" i="33"/>
  <c r="BS51" i="33"/>
  <c r="BQ51" i="33"/>
  <c r="BM51" i="33"/>
  <c r="L55" i="14"/>
  <c r="M55" i="14" s="1"/>
  <c r="BT51" i="33"/>
  <c r="BN51" i="33"/>
  <c r="BV55" i="33"/>
  <c r="BR55" i="33"/>
  <c r="BK55" i="33"/>
  <c r="C59" i="16" s="1"/>
  <c r="H59" i="16" s="1"/>
  <c r="BW55" i="33"/>
  <c r="BS55" i="33"/>
  <c r="D38" i="14"/>
  <c r="E38" i="14" s="1"/>
  <c r="J39" i="13"/>
  <c r="C11" i="14"/>
  <c r="G11" i="14" s="1"/>
  <c r="D12" i="13"/>
  <c r="BK10" i="33"/>
  <c r="C14" i="16" s="1"/>
  <c r="BL10" i="33"/>
  <c r="L14" i="14"/>
  <c r="M14" i="14" s="1"/>
  <c r="BS23" i="33"/>
  <c r="BP23" i="33"/>
  <c r="BK23" i="33"/>
  <c r="C27" i="16" s="1"/>
  <c r="BW23" i="33"/>
  <c r="BQ23" i="33"/>
  <c r="BT30" i="33"/>
  <c r="BO30" i="33"/>
  <c r="BW30" i="33"/>
  <c r="BW36" i="33"/>
  <c r="BL36" i="33"/>
  <c r="BR36" i="33"/>
  <c r="BM36" i="33"/>
  <c r="BV40" i="33"/>
  <c r="BL40" i="33"/>
  <c r="BW40" i="33"/>
  <c r="BM40" i="33"/>
  <c r="BU43" i="33"/>
  <c r="BN43" i="33"/>
  <c r="BV43" i="33"/>
  <c r="BR43" i="33"/>
  <c r="BO43" i="33"/>
  <c r="BK43" i="33"/>
  <c r="C47" i="16" s="1"/>
  <c r="E47" i="16" s="1"/>
  <c r="L47" i="14"/>
  <c r="M47" i="14" s="1"/>
  <c r="BT47" i="33"/>
  <c r="BN47" i="33"/>
  <c r="BK47" i="33"/>
  <c r="C51" i="16" s="1"/>
  <c r="BU47" i="33"/>
  <c r="BO47" i="33"/>
  <c r="L51" i="14"/>
  <c r="M51" i="14" s="1"/>
  <c r="BS50" i="33"/>
  <c r="BM50" i="33"/>
  <c r="BT50" i="33"/>
  <c r="BN50" i="33"/>
  <c r="BS54" i="33"/>
  <c r="BM54" i="33"/>
  <c r="M56" i="27"/>
  <c r="I28" i="14"/>
  <c r="M48" i="27"/>
  <c r="N49" i="16"/>
  <c r="F49" i="16"/>
  <c r="X23" i="2"/>
  <c r="X21" i="2"/>
  <c r="J31" i="13"/>
  <c r="L31" i="14"/>
  <c r="M31" i="14" s="1"/>
  <c r="BK27" i="33"/>
  <c r="C31" i="16" s="1"/>
  <c r="F31" i="16" s="1"/>
  <c r="BV37" i="33"/>
  <c r="BT37" i="33"/>
  <c r="J35" i="13"/>
  <c r="BO33" i="33"/>
  <c r="BQ33" i="33"/>
  <c r="BN37" i="33"/>
  <c r="BO37" i="33"/>
  <c r="BO44" i="33"/>
  <c r="BN44" i="33"/>
  <c r="BU24" i="33"/>
  <c r="BT24" i="33"/>
  <c r="BK24" i="33"/>
  <c r="C28" i="16" s="1"/>
  <c r="Y23" i="2"/>
  <c r="D29" i="13"/>
  <c r="L52" i="14"/>
  <c r="M52" i="14" s="1"/>
  <c r="BQ16" i="33"/>
  <c r="BL19" i="33"/>
  <c r="BL24" i="33"/>
  <c r="BQ27" i="33"/>
  <c r="BQ44" i="33"/>
  <c r="BQ48" i="33"/>
  <c r="BP51" i="33"/>
  <c r="BV16" i="33"/>
  <c r="BS19" i="33"/>
  <c r="BR24" i="33"/>
  <c r="BW27" i="33"/>
  <c r="BR44" i="33"/>
  <c r="BR51" i="33"/>
  <c r="S28" i="25"/>
  <c r="BR27" i="33"/>
  <c r="H29" i="25"/>
  <c r="F12" i="13"/>
  <c r="N66" i="27"/>
  <c r="M42" i="27"/>
  <c r="M75" i="27"/>
  <c r="M72" i="27"/>
  <c r="N59" i="27"/>
  <c r="H39" i="14"/>
  <c r="H50" i="16"/>
  <c r="F50" i="16"/>
  <c r="AA16" i="27"/>
  <c r="M16" i="27"/>
  <c r="Y24" i="2"/>
  <c r="W24" i="2"/>
  <c r="D36" i="13"/>
  <c r="C35" i="14"/>
  <c r="C12" i="14"/>
  <c r="D13" i="13"/>
  <c r="I9" i="13"/>
  <c r="N28" i="27"/>
  <c r="D26" i="14"/>
  <c r="J27" i="13"/>
  <c r="D47" i="13"/>
  <c r="C46" i="14"/>
  <c r="F25" i="16"/>
  <c r="E25" i="16"/>
  <c r="H25" i="16"/>
  <c r="P25" i="16" s="1"/>
  <c r="H11" i="13"/>
  <c r="T11" i="13" s="1"/>
  <c r="U11" i="13" s="1"/>
  <c r="W28" i="2"/>
  <c r="Z28" i="2"/>
  <c r="X28" i="2"/>
  <c r="H59" i="14"/>
  <c r="N79" i="27"/>
  <c r="C10" i="13"/>
  <c r="D27" i="2"/>
  <c r="N29" i="14"/>
  <c r="F4" i="27"/>
  <c r="N32" i="14"/>
  <c r="P1" i="16"/>
  <c r="F14" i="25"/>
  <c r="N14" i="14"/>
  <c r="N56" i="14"/>
  <c r="N45" i="14"/>
  <c r="N48" i="14"/>
  <c r="Q1" i="14"/>
  <c r="N28" i="14"/>
  <c r="N52" i="14"/>
  <c r="N51" i="14"/>
  <c r="N42" i="14"/>
  <c r="N26" i="14"/>
  <c r="N50" i="14"/>
  <c r="N30" i="14"/>
  <c r="N41" i="14"/>
  <c r="N15" i="14"/>
  <c r="G13" i="14"/>
  <c r="H55" i="14"/>
  <c r="N75" i="27"/>
  <c r="Y19" i="27"/>
  <c r="W19" i="27"/>
  <c r="Y24" i="27"/>
  <c r="W24" i="27"/>
  <c r="U24" i="27"/>
  <c r="Y28" i="27"/>
  <c r="M28" i="27"/>
  <c r="W28" i="27"/>
  <c r="J48" i="13"/>
  <c r="D47" i="14"/>
  <c r="D22" i="16"/>
  <c r="H22" i="16"/>
  <c r="P22" i="16" s="1"/>
  <c r="E22" i="16"/>
  <c r="N29" i="27"/>
  <c r="I10" i="13"/>
  <c r="D19" i="14"/>
  <c r="J20" i="13"/>
  <c r="M38" i="27"/>
  <c r="F18" i="14"/>
  <c r="F55" i="14"/>
  <c r="M12" i="27"/>
  <c r="D21" i="16"/>
  <c r="F32" i="16"/>
  <c r="E32" i="16"/>
  <c r="M25" i="27"/>
  <c r="C53" i="14"/>
  <c r="C57" i="14"/>
  <c r="V11" i="27"/>
  <c r="G16" i="14"/>
  <c r="G55" i="14"/>
  <c r="E42" i="14"/>
  <c r="N31" i="14"/>
  <c r="J55" i="14"/>
  <c r="M47" i="27"/>
  <c r="N34" i="14"/>
  <c r="N23" i="14"/>
  <c r="J27" i="14"/>
  <c r="N24" i="14"/>
  <c r="E23" i="14"/>
  <c r="H51" i="14"/>
  <c r="F44" i="14"/>
  <c r="N33" i="14"/>
  <c r="E55" i="14"/>
  <c r="Z15" i="2"/>
  <c r="J50" i="13"/>
  <c r="D45" i="13"/>
  <c r="J15" i="13"/>
  <c r="F14" i="16"/>
  <c r="D17" i="14"/>
  <c r="D32" i="14"/>
  <c r="F56" i="14"/>
  <c r="J56" i="14"/>
  <c r="I56" i="14"/>
  <c r="E53" i="16"/>
  <c r="D53" i="16"/>
  <c r="D38" i="16"/>
  <c r="F38" i="16"/>
  <c r="D22" i="14"/>
  <c r="J23" i="13"/>
  <c r="F23" i="14"/>
  <c r="J23" i="14"/>
  <c r="H23" i="16"/>
  <c r="P23" i="16" s="1"/>
  <c r="E23" i="16"/>
  <c r="E24" i="16"/>
  <c r="F24" i="16"/>
  <c r="H24" i="16"/>
  <c r="P24" i="16" s="1"/>
  <c r="H17" i="16"/>
  <c r="F17" i="16"/>
  <c r="W20" i="2"/>
  <c r="Y20" i="2"/>
  <c r="N12" i="13"/>
  <c r="Z29" i="2"/>
  <c r="N78" i="27"/>
  <c r="J15" i="14"/>
  <c r="F15" i="14"/>
  <c r="G15" i="14"/>
  <c r="M35" i="27"/>
  <c r="E43" i="16"/>
  <c r="D43" i="16"/>
  <c r="E13" i="16"/>
  <c r="H13" i="16"/>
  <c r="I26" i="14"/>
  <c r="M46" i="27"/>
  <c r="F41" i="14"/>
  <c r="J41" i="14"/>
  <c r="G41" i="14"/>
  <c r="N53" i="16"/>
  <c r="N69" i="27"/>
  <c r="Y16" i="27"/>
  <c r="U14" i="27"/>
  <c r="U25" i="27"/>
  <c r="Y25" i="27"/>
  <c r="N55" i="27"/>
  <c r="K18" i="2"/>
  <c r="F30" i="14"/>
  <c r="M64" i="27"/>
  <c r="E14" i="25"/>
  <c r="E7" i="25"/>
  <c r="B9" i="1"/>
  <c r="H23" i="14"/>
  <c r="G44" i="14"/>
  <c r="AA12" i="27"/>
  <c r="Y8" i="2"/>
  <c r="W16" i="27"/>
  <c r="W14" i="27"/>
  <c r="M43" i="27"/>
  <c r="W25" i="27"/>
  <c r="I44" i="14"/>
  <c r="J16" i="14"/>
  <c r="J42" i="14"/>
  <c r="N39" i="14"/>
  <c r="E50" i="16"/>
  <c r="D56" i="13"/>
  <c r="M76" i="27"/>
  <c r="N55" i="14"/>
  <c r="N13" i="14"/>
  <c r="N49" i="14"/>
  <c r="F13" i="14"/>
  <c r="N53" i="14"/>
  <c r="F16" i="14"/>
  <c r="N36" i="14"/>
  <c r="N38" i="14"/>
  <c r="N37" i="14"/>
  <c r="N46" i="14"/>
  <c r="N34" i="27"/>
  <c r="N45" i="27"/>
  <c r="N62" i="27"/>
  <c r="I42" i="14"/>
  <c r="I30" i="14"/>
  <c r="Y17" i="27"/>
  <c r="W12" i="27"/>
  <c r="M14" i="27"/>
  <c r="D13" i="2"/>
  <c r="U16" i="27"/>
  <c r="U21" i="27"/>
  <c r="U19" i="27"/>
  <c r="Z13" i="2"/>
  <c r="P15" i="16"/>
  <c r="H21" i="16"/>
  <c r="P21" i="16" s="1"/>
  <c r="N17" i="14"/>
  <c r="I55" i="14"/>
  <c r="D50" i="16"/>
  <c r="D15" i="16"/>
  <c r="AA28" i="27"/>
  <c r="K26" i="2"/>
  <c r="F9" i="13"/>
  <c r="C43" i="14"/>
  <c r="AA24" i="27"/>
  <c r="U28" i="27"/>
  <c r="G18" i="14"/>
  <c r="C45" i="14"/>
  <c r="H10" i="13"/>
  <c r="T10" i="13" s="1"/>
  <c r="U10" i="13" s="1"/>
  <c r="Y27" i="2"/>
  <c r="N9" i="13"/>
  <c r="X26" i="2"/>
  <c r="Z26" i="2"/>
  <c r="C31" i="14"/>
  <c r="D32" i="13"/>
  <c r="D59" i="13"/>
  <c r="C58" i="14"/>
  <c r="E58" i="14" s="1"/>
  <c r="B10" i="1" l="1"/>
  <c r="D58" i="16"/>
  <c r="E58" i="16"/>
  <c r="N33" i="27"/>
  <c r="E13" i="14"/>
  <c r="H10" i="27"/>
  <c r="H11" i="27"/>
  <c r="E21" i="16"/>
  <c r="P54" i="16"/>
  <c r="F53" i="16"/>
  <c r="H39" i="16"/>
  <c r="P39" i="16" s="1"/>
  <c r="E39" i="16"/>
  <c r="F26" i="16"/>
  <c r="F55" i="16"/>
  <c r="H55" i="16"/>
  <c r="E26" i="16"/>
  <c r="G10" i="27"/>
  <c r="G11" i="27"/>
  <c r="Q3" i="14"/>
  <c r="P3" i="16"/>
  <c r="C7" i="14"/>
  <c r="O2" i="13"/>
  <c r="P2" i="16"/>
  <c r="Q2" i="14"/>
  <c r="O3" i="13"/>
  <c r="F17" i="14"/>
  <c r="M37" i="27"/>
  <c r="D59" i="16"/>
  <c r="D10" i="14"/>
  <c r="N30" i="27" s="1"/>
  <c r="J17" i="14"/>
  <c r="I17" i="14"/>
  <c r="O15" i="27"/>
  <c r="O11" i="27"/>
  <c r="O21" i="27"/>
  <c r="P21" i="27" s="1"/>
  <c r="O13" i="27"/>
  <c r="O26" i="27"/>
  <c r="P26" i="27" s="1"/>
  <c r="U8" i="2"/>
  <c r="O12" i="27"/>
  <c r="N35" i="27"/>
  <c r="O35" i="27" s="1"/>
  <c r="P35" i="27" s="1"/>
  <c r="H50" i="14"/>
  <c r="E14" i="14"/>
  <c r="G32" i="14"/>
  <c r="N44" i="27"/>
  <c r="E50" i="14"/>
  <c r="O19" i="27"/>
  <c r="P19" i="27" s="1"/>
  <c r="E24" i="14"/>
  <c r="E15" i="14"/>
  <c r="V22" i="2"/>
  <c r="V8" i="2"/>
  <c r="U22" i="2"/>
  <c r="N41" i="27"/>
  <c r="X11" i="27"/>
  <c r="O23" i="27"/>
  <c r="P23" i="27" s="1"/>
  <c r="I14" i="14"/>
  <c r="U14" i="2"/>
  <c r="C10" i="14"/>
  <c r="G10" i="14" s="1"/>
  <c r="E54" i="14"/>
  <c r="N56" i="27"/>
  <c r="O56" i="27" s="1"/>
  <c r="P56" i="27" s="1"/>
  <c r="H33" i="14"/>
  <c r="V14" i="2"/>
  <c r="J14" i="14"/>
  <c r="G14" i="14"/>
  <c r="M34" i="27"/>
  <c r="O34" i="27" s="1"/>
  <c r="P34" i="27" s="1"/>
  <c r="I37" i="14"/>
  <c r="O36" i="27"/>
  <c r="P36" i="27" s="1"/>
  <c r="M59" i="27"/>
  <c r="O59" i="27" s="1"/>
  <c r="P59" i="27" s="1"/>
  <c r="O38" i="27"/>
  <c r="P38" i="27" s="1"/>
  <c r="P46" i="16"/>
  <c r="I24" i="14"/>
  <c r="O33" i="27"/>
  <c r="P33" i="27" s="1"/>
  <c r="I11" i="14"/>
  <c r="J48" i="14"/>
  <c r="F48" i="14"/>
  <c r="E39" i="14"/>
  <c r="E21" i="14"/>
  <c r="N77" i="27"/>
  <c r="M68" i="27"/>
  <c r="O68" i="27" s="1"/>
  <c r="P68" i="27" s="1"/>
  <c r="G48" i="14"/>
  <c r="H45" i="14"/>
  <c r="Z12" i="27"/>
  <c r="E36" i="14"/>
  <c r="M44" i="27"/>
  <c r="O62" i="27"/>
  <c r="P62" i="27" s="1"/>
  <c r="Z13" i="27"/>
  <c r="G24" i="14"/>
  <c r="M54" i="27"/>
  <c r="O54" i="27" s="1"/>
  <c r="P54" i="27" s="1"/>
  <c r="O60" i="27"/>
  <c r="P60" i="27" s="1"/>
  <c r="H18" i="14"/>
  <c r="V15" i="27"/>
  <c r="O18" i="27"/>
  <c r="P18" i="27" s="1"/>
  <c r="D8" i="13"/>
  <c r="O43" i="27"/>
  <c r="P43" i="27" s="1"/>
  <c r="F24" i="14"/>
  <c r="G39" i="14"/>
  <c r="E57" i="14"/>
  <c r="E18" i="14"/>
  <c r="G40" i="14"/>
  <c r="Z11" i="27"/>
  <c r="H54" i="14"/>
  <c r="O29" i="27"/>
  <c r="P29" i="27" s="1"/>
  <c r="F37" i="14"/>
  <c r="O10" i="27"/>
  <c r="P10" i="27" s="1"/>
  <c r="O27" i="27"/>
  <c r="P27" i="27" s="1"/>
  <c r="J37" i="14"/>
  <c r="M31" i="27"/>
  <c r="AB15" i="27"/>
  <c r="V12" i="27"/>
  <c r="O28" i="27"/>
  <c r="P28" i="27" s="1"/>
  <c r="O70" i="27"/>
  <c r="P70" i="27" s="1"/>
  <c r="F47" i="14"/>
  <c r="J59" i="14"/>
  <c r="E31" i="16"/>
  <c r="I40" i="14"/>
  <c r="O14" i="27"/>
  <c r="O25" i="27"/>
  <c r="P25" i="27" s="1"/>
  <c r="G51" i="14"/>
  <c r="H48" i="14"/>
  <c r="O75" i="27"/>
  <c r="P75" i="27" s="1"/>
  <c r="O50" i="27"/>
  <c r="P50" i="27" s="1"/>
  <c r="J39" i="14"/>
  <c r="F39" i="14"/>
  <c r="G47" i="14"/>
  <c r="V13" i="27"/>
  <c r="E59" i="14"/>
  <c r="E48" i="14"/>
  <c r="D11" i="14"/>
  <c r="J12" i="13"/>
  <c r="N32" i="27"/>
  <c r="H12" i="14"/>
  <c r="G29" i="14"/>
  <c r="M49" i="27"/>
  <c r="O49" i="27" s="1"/>
  <c r="P49" i="27" s="1"/>
  <c r="I29" i="14"/>
  <c r="F29" i="14"/>
  <c r="J29" i="14"/>
  <c r="H27" i="14"/>
  <c r="N47" i="27"/>
  <c r="O47" i="27" s="1"/>
  <c r="P47" i="27" s="1"/>
  <c r="Z20" i="27"/>
  <c r="F59" i="14"/>
  <c r="M79" i="27"/>
  <c r="O79" i="27" s="1"/>
  <c r="P79" i="27" s="1"/>
  <c r="O22" i="27"/>
  <c r="P22" i="27" s="1"/>
  <c r="H31" i="16"/>
  <c r="P31" i="16" s="1"/>
  <c r="E51" i="14"/>
  <c r="O41" i="27"/>
  <c r="P41" i="27" s="1"/>
  <c r="E29" i="14"/>
  <c r="D7" i="14"/>
  <c r="E7" i="14" s="1"/>
  <c r="J8" i="13"/>
  <c r="P58" i="16"/>
  <c r="N58" i="16"/>
  <c r="H16" i="14"/>
  <c r="E16" i="14"/>
  <c r="I51" i="14"/>
  <c r="I47" i="14"/>
  <c r="D31" i="16"/>
  <c r="O16" i="27"/>
  <c r="P16" i="27" s="1"/>
  <c r="O20" i="27"/>
  <c r="P20" i="27" s="1"/>
  <c r="G59" i="14"/>
  <c r="E56" i="14"/>
  <c r="M67" i="27"/>
  <c r="N76" i="27"/>
  <c r="O76" i="27" s="1"/>
  <c r="P76" i="27" s="1"/>
  <c r="D47" i="16"/>
  <c r="F47" i="16"/>
  <c r="I25" i="14"/>
  <c r="F25" i="14"/>
  <c r="N55" i="16"/>
  <c r="P55" i="16"/>
  <c r="H20" i="14"/>
  <c r="N40" i="27"/>
  <c r="O40" i="27" s="1"/>
  <c r="P40" i="27" s="1"/>
  <c r="E20" i="14"/>
  <c r="I34" i="14"/>
  <c r="F34" i="14"/>
  <c r="G34" i="14"/>
  <c r="G54" i="14"/>
  <c r="F54" i="14"/>
  <c r="I54" i="14"/>
  <c r="J54" i="14"/>
  <c r="E12" i="16"/>
  <c r="D12" i="16"/>
  <c r="H12" i="16"/>
  <c r="I13" i="16" s="1"/>
  <c r="F32" i="14"/>
  <c r="I32" i="14"/>
  <c r="J32" i="14"/>
  <c r="H41" i="14"/>
  <c r="E41" i="14"/>
  <c r="N61" i="27"/>
  <c r="O61" i="27" s="1"/>
  <c r="P61" i="27" s="1"/>
  <c r="H37" i="14"/>
  <c r="E37" i="14"/>
  <c r="Z14" i="27"/>
  <c r="Z15" i="27"/>
  <c r="E33" i="14"/>
  <c r="Z27" i="27"/>
  <c r="N58" i="27"/>
  <c r="O58" i="27" s="1"/>
  <c r="P58" i="27" s="1"/>
  <c r="G33" i="14"/>
  <c r="H47" i="16"/>
  <c r="N47" i="16" s="1"/>
  <c r="J25" i="14"/>
  <c r="Z22" i="27"/>
  <c r="E25" i="14"/>
  <c r="V31" i="27"/>
  <c r="I33" i="14"/>
  <c r="E51" i="16"/>
  <c r="F51" i="16"/>
  <c r="D51" i="16"/>
  <c r="H51" i="16"/>
  <c r="D14" i="16"/>
  <c r="E14" i="16"/>
  <c r="H14" i="16"/>
  <c r="I15" i="16" s="1"/>
  <c r="H48" i="16"/>
  <c r="D48" i="16"/>
  <c r="E48" i="16"/>
  <c r="F48" i="16"/>
  <c r="P45" i="16"/>
  <c r="N45" i="16"/>
  <c r="E27" i="16"/>
  <c r="H27" i="16"/>
  <c r="P27" i="16" s="1"/>
  <c r="F27" i="16"/>
  <c r="D27" i="16"/>
  <c r="N59" i="16"/>
  <c r="P59" i="16"/>
  <c r="F49" i="14"/>
  <c r="E49" i="14"/>
  <c r="I49" i="14"/>
  <c r="F7" i="25"/>
  <c r="G49" i="14"/>
  <c r="H44" i="14"/>
  <c r="E44" i="14"/>
  <c r="N64" i="27"/>
  <c r="O64" i="27" s="1"/>
  <c r="P64" i="27" s="1"/>
  <c r="N41" i="16"/>
  <c r="P41" i="16"/>
  <c r="F28" i="16"/>
  <c r="E28" i="16"/>
  <c r="H28" i="16"/>
  <c r="P28" i="16" s="1"/>
  <c r="D28" i="16"/>
  <c r="E40" i="14"/>
  <c r="F40" i="14"/>
  <c r="J40" i="14"/>
  <c r="N56" i="16"/>
  <c r="P56" i="16"/>
  <c r="H52" i="14"/>
  <c r="N72" i="27"/>
  <c r="O72" i="27" s="1"/>
  <c r="P72" i="27" s="1"/>
  <c r="E52" i="14"/>
  <c r="N63" i="27"/>
  <c r="H43" i="14"/>
  <c r="M71" i="27"/>
  <c r="O71" i="27" s="1"/>
  <c r="P71" i="27" s="1"/>
  <c r="F51" i="14"/>
  <c r="P44" i="16"/>
  <c r="N44" i="16"/>
  <c r="O45" i="27"/>
  <c r="P45" i="27" s="1"/>
  <c r="H38" i="14"/>
  <c r="M53" i="27"/>
  <c r="O53" i="27" s="1"/>
  <c r="P53" i="27" s="1"/>
  <c r="Z31" i="27"/>
  <c r="AB24" i="27"/>
  <c r="V26" i="27"/>
  <c r="X18" i="27"/>
  <c r="Z33" i="27"/>
  <c r="M69" i="27"/>
  <c r="O69" i="27" s="1"/>
  <c r="P69" i="27" s="1"/>
  <c r="Z19" i="27"/>
  <c r="E59" i="16"/>
  <c r="AB25" i="27"/>
  <c r="M74" i="27"/>
  <c r="O74" i="27" s="1"/>
  <c r="P74" i="27" s="1"/>
  <c r="F59" i="16"/>
  <c r="AB22" i="27"/>
  <c r="G25" i="14"/>
  <c r="M57" i="27"/>
  <c r="O57" i="27" s="1"/>
  <c r="P57" i="27" s="1"/>
  <c r="N57" i="16"/>
  <c r="J34" i="14"/>
  <c r="F33" i="14"/>
  <c r="O48" i="27"/>
  <c r="P48" i="27" s="1"/>
  <c r="N17" i="16"/>
  <c r="P17" i="16"/>
  <c r="M32" i="27"/>
  <c r="E12" i="14"/>
  <c r="G12" i="14"/>
  <c r="I12" i="14"/>
  <c r="E10" i="25"/>
  <c r="F10" i="25"/>
  <c r="N13" i="16"/>
  <c r="P13" i="16"/>
  <c r="H17" i="14"/>
  <c r="N37" i="27"/>
  <c r="E17" i="14"/>
  <c r="J53" i="14"/>
  <c r="M73" i="27"/>
  <c r="O73" i="27" s="1"/>
  <c r="P73" i="27" s="1"/>
  <c r="F53" i="14"/>
  <c r="I53" i="14"/>
  <c r="G53" i="14"/>
  <c r="E53" i="14"/>
  <c r="F58" i="14"/>
  <c r="I58" i="14"/>
  <c r="G58" i="14"/>
  <c r="J58" i="14"/>
  <c r="M78" i="27"/>
  <c r="O78" i="27" s="1"/>
  <c r="P78" i="27" s="1"/>
  <c r="M63" i="27"/>
  <c r="J43" i="14"/>
  <c r="I43" i="14"/>
  <c r="G43" i="14"/>
  <c r="E43" i="14"/>
  <c r="F43" i="14"/>
  <c r="AB17" i="27"/>
  <c r="AB13" i="27"/>
  <c r="AB20" i="27"/>
  <c r="AB14" i="27"/>
  <c r="AB28" i="27"/>
  <c r="AB18" i="27"/>
  <c r="H32" i="14"/>
  <c r="E32" i="14"/>
  <c r="N52" i="27"/>
  <c r="O52" i="27" s="1"/>
  <c r="P52" i="27" s="1"/>
  <c r="M77" i="27"/>
  <c r="F57" i="14"/>
  <c r="I57" i="14"/>
  <c r="G57" i="14"/>
  <c r="J57" i="14"/>
  <c r="H19" i="14"/>
  <c r="E19" i="14"/>
  <c r="N39" i="27"/>
  <c r="O39" i="27" s="1"/>
  <c r="P39" i="27" s="1"/>
  <c r="E47" i="14"/>
  <c r="N67" i="27"/>
  <c r="H47" i="14"/>
  <c r="D10" i="13"/>
  <c r="C9" i="14"/>
  <c r="J9" i="13"/>
  <c r="D8" i="14"/>
  <c r="E8" i="14" s="1"/>
  <c r="P50" i="16"/>
  <c r="N50" i="16"/>
  <c r="AB27" i="27"/>
  <c r="X21" i="27"/>
  <c r="V33" i="27"/>
  <c r="AB26" i="27"/>
  <c r="X30" i="27"/>
  <c r="AB23" i="27"/>
  <c r="Z29" i="27"/>
  <c r="V21" i="27"/>
  <c r="AB21" i="27"/>
  <c r="X24" i="27"/>
  <c r="X31" i="27"/>
  <c r="Z23" i="27"/>
  <c r="AB32" i="27"/>
  <c r="AB31" i="27"/>
  <c r="AB30" i="27"/>
  <c r="Z16" i="27"/>
  <c r="X27" i="27"/>
  <c r="X33" i="27"/>
  <c r="X12" i="27"/>
  <c r="X15" i="27"/>
  <c r="X28" i="27"/>
  <c r="X29" i="27"/>
  <c r="X16" i="27"/>
  <c r="X14" i="27"/>
  <c r="X19" i="27"/>
  <c r="X22" i="27"/>
  <c r="X26" i="27"/>
  <c r="V16" i="27"/>
  <c r="V29" i="27"/>
  <c r="V18" i="27"/>
  <c r="V30" i="27"/>
  <c r="N46" i="27"/>
  <c r="O46" i="27" s="1"/>
  <c r="P46" i="27" s="1"/>
  <c r="E26" i="14"/>
  <c r="H26" i="14"/>
  <c r="I35" i="14"/>
  <c r="M55" i="27"/>
  <c r="O55" i="27" s="1"/>
  <c r="P55" i="27" s="1"/>
  <c r="F35" i="14"/>
  <c r="G35" i="14"/>
  <c r="J35" i="14"/>
  <c r="E35" i="14"/>
  <c r="G31" i="14"/>
  <c r="E31" i="14"/>
  <c r="M51" i="27"/>
  <c r="O51" i="27" s="1"/>
  <c r="P51" i="27" s="1"/>
  <c r="I31" i="14"/>
  <c r="F31" i="14"/>
  <c r="J31" i="14"/>
  <c r="F45" i="14"/>
  <c r="J45" i="14"/>
  <c r="M65" i="27"/>
  <c r="O65" i="27" s="1"/>
  <c r="P65" i="27" s="1"/>
  <c r="I45" i="14"/>
  <c r="G45" i="14"/>
  <c r="Z17" i="27"/>
  <c r="Z30" i="27"/>
  <c r="Z28" i="27"/>
  <c r="Z26" i="27"/>
  <c r="Z18" i="27"/>
  <c r="H22" i="14"/>
  <c r="N42" i="27"/>
  <c r="O42" i="27" s="1"/>
  <c r="P42" i="27" s="1"/>
  <c r="E22" i="14"/>
  <c r="J10" i="13"/>
  <c r="D9" i="14"/>
  <c r="I61" i="16"/>
  <c r="E16" i="25" s="1"/>
  <c r="I63" i="16"/>
  <c r="F16" i="25" s="1"/>
  <c r="G46" i="14"/>
  <c r="F46" i="14"/>
  <c r="M66" i="27"/>
  <c r="O66" i="27" s="1"/>
  <c r="P66" i="27" s="1"/>
  <c r="E46" i="14"/>
  <c r="I46" i="14"/>
  <c r="J46" i="14"/>
  <c r="X17" i="27"/>
  <c r="X25" i="27"/>
  <c r="Z25" i="27"/>
  <c r="V25" i="27"/>
  <c r="X20" i="27"/>
  <c r="V19" i="27"/>
  <c r="Z32" i="27"/>
  <c r="X32" i="27"/>
  <c r="V32" i="27"/>
  <c r="V17" i="27"/>
  <c r="AB16" i="27"/>
  <c r="Z24" i="27"/>
  <c r="V20" i="27"/>
  <c r="X23" i="27"/>
  <c r="V23" i="27"/>
  <c r="AB19" i="27"/>
  <c r="V28" i="27"/>
  <c r="AB29" i="27"/>
  <c r="V22" i="27"/>
  <c r="AB33" i="27"/>
  <c r="X13" i="27"/>
  <c r="Z21" i="27"/>
  <c r="V27" i="27"/>
  <c r="V14" i="27"/>
  <c r="E45" i="14"/>
  <c r="AB12" i="27"/>
  <c r="V24" i="27"/>
  <c r="O37" i="27" l="1"/>
  <c r="P37" i="27" s="1"/>
  <c r="P11" i="27"/>
  <c r="P12" i="27" s="1"/>
  <c r="P13" i="27" s="1"/>
  <c r="P14" i="27" s="1"/>
  <c r="P15" i="27" s="1"/>
  <c r="AD3" i="34"/>
  <c r="AD3" i="33"/>
  <c r="AD2" i="34"/>
  <c r="AD2" i="33"/>
  <c r="O44" i="27"/>
  <c r="P44" i="27" s="1"/>
  <c r="M30" i="27"/>
  <c r="O30" i="27" s="1"/>
  <c r="P30" i="27" s="1"/>
  <c r="E10" i="14"/>
  <c r="I30" i="16"/>
  <c r="O32" i="27"/>
  <c r="P32" i="27" s="1"/>
  <c r="O77" i="27"/>
  <c r="P77" i="27" s="1"/>
  <c r="E9" i="14"/>
  <c r="I42" i="16"/>
  <c r="O67" i="27"/>
  <c r="P67" i="27" s="1"/>
  <c r="P47" i="16"/>
  <c r="I17" i="16"/>
  <c r="I48" i="16"/>
  <c r="I22" i="16"/>
  <c r="I32" i="16"/>
  <c r="I38" i="16"/>
  <c r="I19" i="16"/>
  <c r="I23" i="16"/>
  <c r="I27" i="16"/>
  <c r="I21" i="16"/>
  <c r="I14" i="16"/>
  <c r="N31" i="27"/>
  <c r="O31" i="27" s="1"/>
  <c r="P31" i="27" s="1"/>
  <c r="E11" i="14"/>
  <c r="H11" i="14"/>
  <c r="I41" i="16"/>
  <c r="I26" i="16"/>
  <c r="I46" i="16"/>
  <c r="I50" i="16"/>
  <c r="I36" i="16"/>
  <c r="I53" i="16"/>
  <c r="I29" i="16"/>
  <c r="I58" i="16"/>
  <c r="I33" i="16"/>
  <c r="I55" i="16"/>
  <c r="I25" i="16"/>
  <c r="F11" i="25"/>
  <c r="P48" i="16"/>
  <c r="N48" i="16"/>
  <c r="N51" i="16"/>
  <c r="P51" i="16"/>
  <c r="I12" i="16"/>
  <c r="N12" i="16"/>
  <c r="P12" i="16"/>
  <c r="E11" i="25"/>
  <c r="I52" i="16"/>
  <c r="I47" i="16"/>
  <c r="I31" i="16"/>
  <c r="I44" i="16"/>
  <c r="I51" i="16"/>
  <c r="I37" i="16"/>
  <c r="I57" i="16"/>
  <c r="I20" i="16"/>
  <c r="I45" i="16"/>
  <c r="I39" i="16"/>
  <c r="I18" i="16"/>
  <c r="N14" i="16"/>
  <c r="P14" i="16"/>
  <c r="F8" i="25"/>
  <c r="E8" i="25"/>
  <c r="O63" i="27"/>
  <c r="P63" i="27" s="1"/>
  <c r="I56" i="16"/>
  <c r="I24" i="16"/>
  <c r="I49" i="16"/>
  <c r="I54" i="16"/>
  <c r="I16" i="16"/>
  <c r="I34" i="16"/>
  <c r="I43" i="16"/>
  <c r="I28" i="16"/>
  <c r="I40" i="16"/>
  <c r="I35" i="16"/>
  <c r="I59" i="16"/>
  <c r="E9" i="25"/>
  <c r="F9" i="25"/>
  <c r="I62" i="16" l="1"/>
  <c r="F13" i="25"/>
  <c r="I60" i="16"/>
  <c r="E13" i="25"/>
</calcChain>
</file>

<file path=xl/comments1.xml><?xml version="1.0" encoding="utf-8"?>
<comments xmlns="http://schemas.openxmlformats.org/spreadsheetml/2006/main">
  <authors>
    <author>ANTONIO ESTEVE VERDÉS</author>
  </authors>
  <commentList>
    <comment ref="H28" authorId="0">
      <text>
        <r>
          <rPr>
            <b/>
            <sz val="8"/>
            <color indexed="81"/>
            <rFont val="Tahoma"/>
            <family val="2"/>
          </rPr>
          <t xml:space="preserve">A partir de 21 semaines se considérera le poids des poules ayant mangé </t>
        </r>
      </text>
    </comment>
  </commentList>
</comments>
</file>

<file path=xl/comments2.xml><?xml version="1.0" encoding="utf-8"?>
<comments xmlns="http://schemas.openxmlformats.org/spreadsheetml/2006/main">
  <authors>
    <author>ANTONIO ESTEVE VERDÉS</author>
  </authors>
  <commentList>
    <comment ref="H11" authorId="0">
      <text>
        <r>
          <rPr>
            <b/>
            <sz val="8"/>
            <color indexed="81"/>
            <rFont val="Tahoma"/>
            <family val="2"/>
          </rPr>
          <t>A partir de las 21 semanas,
se considera el peso habiendo comido</t>
        </r>
      </text>
    </comment>
  </commentList>
</comments>
</file>

<file path=xl/comments3.xml><?xml version="1.0" encoding="utf-8"?>
<comments xmlns="http://schemas.openxmlformats.org/spreadsheetml/2006/main">
  <authors>
    <author>AGRESVER SL</author>
    <author>ANTONIO ESTEVE VERDÉS</author>
  </authors>
  <commentList>
    <comment ref="I11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1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12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2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C13" authorId="0">
      <text>
        <r>
          <rPr>
            <b/>
            <sz val="8"/>
            <color indexed="81"/>
            <rFont val="Tahoma"/>
            <family val="2"/>
          </rPr>
          <t>COBB:
SE CALCULA AUT.
NO MODIFICAR SI NO ES NECESAREO</t>
        </r>
      </text>
    </comment>
    <comment ref="I13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14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4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15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16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17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18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8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19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9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21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22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23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24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4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25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26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27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28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8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29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30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31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32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33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34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35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5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36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6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37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7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38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8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39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39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0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41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1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42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2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43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3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44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4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45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5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46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6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47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7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48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8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49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9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50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0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51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1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52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2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53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3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54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4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55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5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56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6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57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7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58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8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  <comment ref="I59" authorId="0">
      <text>
        <r>
          <rPr>
            <b/>
            <sz val="8"/>
            <color indexed="81"/>
            <rFont val="Tahoma"/>
            <family val="2"/>
          </rPr>
          <t>COBB:
ES PREFERIBLE ENTRAR LOS HUEVOS SEMANALES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59" authorId="1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SE PUEDEN ENTRAR LOS HUEVOS POR NAVES EN NAPRO</t>
        </r>
      </text>
    </comment>
  </commentList>
</comments>
</file>

<file path=xl/comments4.xml><?xml version="1.0" encoding="utf-8"?>
<comments xmlns="http://schemas.openxmlformats.org/spreadsheetml/2006/main">
  <authors>
    <author>ANTONIO ESTEVE VERDÉS</author>
    <author>AGRESVER SL</author>
  </authors>
  <commentList>
    <comment ref="H11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11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12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12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13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13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14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15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15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16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16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17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17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18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18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19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19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20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20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21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21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22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22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23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23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24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24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25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25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26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26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27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27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28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28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29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29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30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30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31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31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32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32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33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33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34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34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35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35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36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36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37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37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38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38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39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39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40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41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41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42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42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43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43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44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44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45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45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46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46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47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47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48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48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49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49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50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50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51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51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52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52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53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53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54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54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55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55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56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56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57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57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58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58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  <comment ref="H59" authorId="0">
      <text>
        <r>
          <rPr>
            <b/>
            <sz val="8"/>
            <color indexed="81"/>
            <rFont val="Tahoma"/>
            <family val="2"/>
          </rPr>
          <t>COBB:</t>
        </r>
        <r>
          <rPr>
            <sz val="8"/>
            <color indexed="81"/>
            <rFont val="Tahoma"/>
            <family val="2"/>
          </rPr>
          <t xml:space="preserve">
EL Nº DE HUEVOS INCUBADOS PUEDE SER DIFERENTE DE LOS INCUBABLES</t>
        </r>
      </text>
    </comment>
    <comment ref="N59" authorId="1">
      <text>
        <r>
          <rPr>
            <b/>
            <sz val="8"/>
            <color indexed="81"/>
            <rFont val="Tahoma"/>
            <family val="2"/>
          </rPr>
          <t>COBB:
ES PREFERIBLE ENTRAR LOS POLLITOS SEMANALES</t>
        </r>
      </text>
    </comment>
  </commentList>
</comments>
</file>

<file path=xl/sharedStrings.xml><?xml version="1.0" encoding="utf-8"?>
<sst xmlns="http://schemas.openxmlformats.org/spreadsheetml/2006/main" count="1014" uniqueCount="262">
  <si>
    <t>%</t>
  </si>
  <si>
    <t>S.F./ F.F.:</t>
  </si>
  <si>
    <t>HEMBRAS</t>
  </si>
  <si>
    <t>STD</t>
  </si>
  <si>
    <t>SEM.</t>
  </si>
  <si>
    <t>Nº H. ACTUAL</t>
  </si>
  <si>
    <t>Nº M. ACTUAL</t>
  </si>
  <si>
    <t>% DIF/STD</t>
  </si>
  <si>
    <t>TOT/SET</t>
  </si>
  <si>
    <t>NO INC.</t>
  </si>
  <si>
    <t>ACUM.</t>
  </si>
  <si>
    <t>% INCUB.</t>
  </si>
  <si>
    <t>STD SEM</t>
  </si>
  <si>
    <t>SLAT ( S / N; % ):</t>
  </si>
  <si>
    <t>SEM</t>
  </si>
  <si>
    <t xml:space="preserve"> NAT.</t>
  </si>
  <si>
    <t>KG.</t>
  </si>
  <si>
    <t>HEM. ALOJ. (24 S)</t>
  </si>
  <si>
    <t>KG. TOT.</t>
  </si>
  <si>
    <t xml:space="preserve">KG. / </t>
  </si>
  <si>
    <t>UNIF</t>
  </si>
  <si>
    <t>60 SEM</t>
  </si>
  <si>
    <t>TOTAL</t>
  </si>
  <si>
    <t>Estandar</t>
  </si>
  <si>
    <t>KCAL</t>
  </si>
  <si>
    <t>PROT</t>
  </si>
  <si>
    <t>F. ASI.</t>
  </si>
  <si>
    <t>Ca.</t>
  </si>
  <si>
    <t>CONS. TEO. ACU.</t>
  </si>
  <si>
    <t>CONS. TEO.</t>
  </si>
  <si>
    <t>ACU.</t>
  </si>
  <si>
    <t>FOSF</t>
  </si>
  <si>
    <t>Ca</t>
  </si>
  <si>
    <t>NAVE</t>
  </si>
  <si>
    <t>Incubables</t>
  </si>
  <si>
    <t>Reproductoras Granjas</t>
  </si>
  <si>
    <t>Nº Lote</t>
  </si>
  <si>
    <t>Estirpe</t>
  </si>
  <si>
    <t>Semanas de vida</t>
  </si>
  <si>
    <t>Granja</t>
  </si>
  <si>
    <t>Existencias Animales</t>
  </si>
  <si>
    <t>Bajas</t>
  </si>
  <si>
    <t>Puesta</t>
  </si>
  <si>
    <t>Huevos Ave Acumulado</t>
  </si>
  <si>
    <t>M</t>
  </si>
  <si>
    <t>F</t>
  </si>
  <si>
    <t>%M/F</t>
  </si>
  <si>
    <t>% Acum</t>
  </si>
  <si>
    <t>% Sem Ant</t>
  </si>
  <si>
    <t>% Est</t>
  </si>
  <si>
    <t>Dif</t>
  </si>
  <si>
    <t>HT/AA</t>
  </si>
  <si>
    <t>HI/AA</t>
  </si>
  <si>
    <t>Dif.</t>
  </si>
  <si>
    <t>Nave</t>
  </si>
  <si>
    <t>Huevos Sucios</t>
  </si>
  <si>
    <t>Huevos Rotos</t>
  </si>
  <si>
    <t>Huevos Dobles</t>
  </si>
  <si>
    <t>Huevos Deformados</t>
  </si>
  <si>
    <t>Huevos Suelo</t>
  </si>
  <si>
    <t>Nº</t>
  </si>
  <si>
    <t>Estado Sanitario</t>
  </si>
  <si>
    <t>Consumo</t>
  </si>
  <si>
    <t>Estándar</t>
  </si>
  <si>
    <t>Difer</t>
  </si>
  <si>
    <t>Nacimiento</t>
  </si>
  <si>
    <t>Lunes</t>
  </si>
  <si>
    <t>Jueves</t>
  </si>
  <si>
    <t/>
  </si>
  <si>
    <t>ENTREPRISE</t>
  </si>
  <si>
    <t>JOUR D'ENTRÉE</t>
  </si>
  <si>
    <t>FEMELLES ENTRÉES</t>
  </si>
  <si>
    <t>MÂLES ENTRÉS</t>
  </si>
  <si>
    <t>FERME D'ÉLEVAGE</t>
  </si>
  <si>
    <t>FERME DE PONTE</t>
  </si>
  <si>
    <t>POULES MISES EN PLACE (24 sem.)</t>
  </si>
  <si>
    <t>MÂLES MISES EN PLACE (24 sem.)</t>
  </si>
  <si>
    <t>D'AUTRES INFORMATIONS</t>
  </si>
  <si>
    <t>ÂGE ACTUEL</t>
  </si>
  <si>
    <t>ÂGE</t>
  </si>
  <si>
    <t>DATE</t>
  </si>
  <si>
    <t>A LA VISITE</t>
  </si>
  <si>
    <t>VISITES</t>
  </si>
  <si>
    <t xml:space="preserve">              ORIGIN LOT</t>
  </si>
  <si>
    <t>LOT</t>
  </si>
  <si>
    <t>QUANTITÉ</t>
  </si>
  <si>
    <t>COUPE CRÊTE MÂLES (S / N):</t>
  </si>
  <si>
    <t>SURFACE TOTAL BÂTIMENTS (m2):</t>
  </si>
  <si>
    <t>VACCINE DE MAREK:</t>
  </si>
  <si>
    <t>DOIGTS COUPES (S / N; Nº):</t>
  </si>
  <si>
    <t>Nº DE BÂTIMENTS:</t>
  </si>
  <si>
    <t>VACCINE DE BRONQUITIS:</t>
  </si>
  <si>
    <t>DÉBECAGE (S/N;C=couper;B=brûler):</t>
  </si>
  <si>
    <t>DENSITÉ FEMELLES  (femelles / m2):</t>
  </si>
  <si>
    <t>ANTIBIOTIQUES:</t>
  </si>
  <si>
    <t>REVACUNATION MAREK (S/N; type vaccine):</t>
  </si>
  <si>
    <t>TYPE MANGEOIRE FEM. (C=canal;P=plats):</t>
  </si>
  <si>
    <t>Cm MANGEOIRE / FEMELLE:</t>
  </si>
  <si>
    <t>VITESSE MANGEOIRE (m / min):</t>
  </si>
  <si>
    <t>ÉLEVAGE EN SEXES SEPARÉES (S / N):</t>
  </si>
  <si>
    <t>ALIMENTATION EN SEXES SEPARÉES (S / N ):</t>
  </si>
  <si>
    <t>TYPE  (G= grillage; T= tube):</t>
  </si>
  <si>
    <t>DENSITÉ MÂLES  (mâles / m2):</t>
  </si>
  <si>
    <t>LARGEUR GRILLAGE:</t>
  </si>
  <si>
    <t>TYPE MANGEOIRE (A=au sol;C=canal;P=plats):</t>
  </si>
  <si>
    <t>TYPE MANGEOIRE MÂLES (C=canal;P=plats):</t>
  </si>
  <si>
    <t>Cm MANGEOIRE / MÂLE:</t>
  </si>
  <si>
    <t>TEMPS DE DISTRIBUTION (min):</t>
  </si>
  <si>
    <t>TYPE ABREUVOIR (C=cloche; T=tétine):</t>
  </si>
  <si>
    <t>Nº ANIMAUX / ABREUVOIR:</t>
  </si>
  <si>
    <t>CHLORATION DE L'EAU (S/N;P=pastill.;L=liquid.):</t>
  </si>
  <si>
    <t>TYPE PONDOIR (L=long.; T=trans; M=man):</t>
  </si>
  <si>
    <t>Nº FEMELLES / TROU:</t>
  </si>
  <si>
    <t>TYPE BÂTIMENT ( C = clairs;  S = sombres):</t>
  </si>
  <si>
    <t>TYPE DE SLAT ( B=bois; P=plastic):</t>
  </si>
  <si>
    <t>OBSCURITÉ DANS LE BÂTIMENT (B.;R.;M.):</t>
  </si>
  <si>
    <t>TYPE ILUMINATION (A=ampoule;F=fluoresc.):</t>
  </si>
  <si>
    <t>CELLULE FOTOELECTRIC ( S / N ):</t>
  </si>
  <si>
    <t>VENTILATION FORCÉE ( S / N ):</t>
  </si>
  <si>
    <t>FENÊTRES AUTOMATIQUES ( S / N ):</t>
  </si>
  <si>
    <t>BIOSEGURITÉ  ( S / N ):</t>
  </si>
  <si>
    <t>REFRIGERATION ( S / N ):</t>
  </si>
  <si>
    <t>SURFACE PARC RECUPERATION (%):</t>
  </si>
  <si>
    <t>TYPE REFRIG.(P=panneaul;H=aute pres;A=aspers):</t>
  </si>
  <si>
    <t>SALLE CONSERVATION D'OEUFS ( S / N ):</t>
  </si>
  <si>
    <t>ENTERPRISE</t>
  </si>
  <si>
    <t>Femmeles</t>
  </si>
  <si>
    <t>BAT</t>
  </si>
  <si>
    <t>Total Batiments</t>
  </si>
  <si>
    <t>Nº FEM. ACTUEL</t>
  </si>
  <si>
    <t>Nº MA. ACTUEL</t>
  </si>
  <si>
    <t>MORT</t>
  </si>
  <si>
    <t>POIDS</t>
  </si>
  <si>
    <t>RÉEL</t>
  </si>
  <si>
    <t>Nº FEM. ENTRÉES</t>
  </si>
  <si>
    <t>Nº MÂL. ENTRÉS</t>
  </si>
  <si>
    <t>Nº F. ACTUEL</t>
  </si>
  <si>
    <t>Nº M. ACTUEL</t>
  </si>
  <si>
    <t>FEMELLES</t>
  </si>
  <si>
    <t>MÂLES</t>
  </si>
  <si>
    <t>MORT.</t>
  </si>
  <si>
    <t>OBSERVATIONS</t>
  </si>
  <si>
    <t>JOUR D'ENTRÉE (1J)</t>
  </si>
  <si>
    <t>Nº FEM. ENTRÉES (1J)</t>
  </si>
  <si>
    <t>Nº MÂL. ENTRÉS(1J)</t>
  </si>
  <si>
    <t>MALES</t>
  </si>
  <si>
    <t>dif poids</t>
  </si>
  <si>
    <t>% dif poids</t>
  </si>
  <si>
    <t>dif poids std</t>
  </si>
  <si>
    <t>male/fem</t>
  </si>
  <si>
    <t>Males</t>
  </si>
  <si>
    <t>PONTE</t>
  </si>
  <si>
    <t>BÂTIMENT</t>
  </si>
  <si>
    <t>TOTAUX BÂTIMENTS</t>
  </si>
  <si>
    <t>Nº H. ACTUEL</t>
  </si>
  <si>
    <t>OEUFS</t>
  </si>
  <si>
    <t>Total</t>
  </si>
  <si>
    <t>Sale</t>
  </si>
  <si>
    <t>Cassé</t>
  </si>
  <si>
    <t>Double</t>
  </si>
  <si>
    <t>Déformé</t>
  </si>
  <si>
    <t>Sol</t>
  </si>
  <si>
    <t>OEUFS TOTALS</t>
  </si>
  <si>
    <t>TOTAL BÂTIMENT</t>
  </si>
  <si>
    <t>Pourcentage Hebdomadaire</t>
  </si>
  <si>
    <t>Pourcentage  Accumuler</t>
  </si>
  <si>
    <t>Sales</t>
  </si>
  <si>
    <t>Doubles</t>
  </si>
  <si>
    <t>Deformés</t>
  </si>
  <si>
    <t>Accumul</t>
  </si>
  <si>
    <t>Bâtiment</t>
  </si>
  <si>
    <t>JOUR D'ENTRÉE (1er. J.)</t>
  </si>
  <si>
    <t>Nº FEM. ENTRÉES(1er.J.)</t>
  </si>
  <si>
    <t>Nº MÂL. ENTRÉS (1er. J.)</t>
  </si>
  <si>
    <t>FEM. M.P.(24 s)</t>
  </si>
  <si>
    <t>% MORT.</t>
  </si>
  <si>
    <t>% PONTE</t>
  </si>
  <si>
    <t>STD PONTE</t>
  </si>
  <si>
    <t>OEFS. ACC.</t>
  </si>
  <si>
    <t>STD O. AC.</t>
  </si>
  <si>
    <t>POIDS OEUF.</t>
  </si>
  <si>
    <t>FIN SE.</t>
  </si>
  <si>
    <t>FEM. PLAC.</t>
  </si>
  <si>
    <t>FEM. SEM.</t>
  </si>
  <si>
    <t>M. SEM.</t>
  </si>
  <si>
    <t>F.  SE.</t>
  </si>
  <si>
    <t>F. M. P.</t>
  </si>
  <si>
    <t>ACCUM.</t>
  </si>
  <si>
    <t>/ F. M. P.</t>
  </si>
  <si>
    <t>% Mort Heb</t>
  </si>
  <si>
    <t>Accumulative</t>
  </si>
  <si>
    <t>FERME PONTE</t>
  </si>
  <si>
    <t>FERME ELEVAGE</t>
  </si>
  <si>
    <t>% OEUFS.</t>
  </si>
  <si>
    <t>OEFS. INC.</t>
  </si>
  <si>
    <t>OEFS INC ACCUM</t>
  </si>
  <si>
    <t>STD OEFS INC</t>
  </si>
  <si>
    <t>INCUBEÉS/</t>
  </si>
  <si>
    <t>POUSSINS</t>
  </si>
  <si>
    <t>POSSINS ACC.</t>
  </si>
  <si>
    <t>STD POUSSINS</t>
  </si>
  <si>
    <t>INCUB/SE.</t>
  </si>
  <si>
    <t>FEM PLAC.</t>
  </si>
  <si>
    <t>AC FEM,PLAC.</t>
  </si>
  <si>
    <t>SEMAINE</t>
  </si>
  <si>
    <t>Nº F. ELEVÉES</t>
  </si>
  <si>
    <t>Nº ANIM. ELEVÉS</t>
  </si>
  <si>
    <t>RATIONNEMENT RÉEL</t>
  </si>
  <si>
    <t>RATIONNEMENT TEORIQUE</t>
  </si>
  <si>
    <t>NIVEAUX TEORICOS</t>
  </si>
  <si>
    <t>KG. ACCU.</t>
  </si>
  <si>
    <t>KG. / FEM.</t>
  </si>
  <si>
    <t>KG. / ANIM.</t>
  </si>
  <si>
    <t>KG. /</t>
  </si>
  <si>
    <t>KG/ OEUF</t>
  </si>
  <si>
    <t>NIVEAU TEO</t>
  </si>
  <si>
    <t>FOURNIS</t>
  </si>
  <si>
    <t>D'UN JOUR</t>
  </si>
  <si>
    <t>ELEVÉE</t>
  </si>
  <si>
    <t>ELEVÉ</t>
  </si>
  <si>
    <t>TOTAUX</t>
  </si>
  <si>
    <t>POUSSIN</t>
  </si>
  <si>
    <t>Nº MÂL. ENTRÉS (1J)</t>
  </si>
  <si>
    <t>SEM. ÉCLOSION.=</t>
  </si>
  <si>
    <t>PROGRAMME DE LUMIÈRE</t>
  </si>
  <si>
    <t>SE.</t>
  </si>
  <si>
    <t>LUM.</t>
  </si>
  <si>
    <t>ANNÉE</t>
  </si>
  <si>
    <t>VIE</t>
  </si>
  <si>
    <t>REPORT DES VISITES</t>
  </si>
  <si>
    <t>DONNÉES DE PONTE</t>
  </si>
  <si>
    <t>SEMAINES DE VIE</t>
  </si>
  <si>
    <t>% MORTALITÉ EN PONTE</t>
  </si>
  <si>
    <t>PIC DE PONTE</t>
  </si>
  <si>
    <t>OEUFS TAT. / FEM. M. P.</t>
  </si>
  <si>
    <t>OEUFS INC. / FEM. M. P.</t>
  </si>
  <si>
    <t>POUSSINS. ACUM./ FEM.PLAC.</t>
  </si>
  <si>
    <t>PIC D'ECLOSION</t>
  </si>
  <si>
    <t>FEM. MISE EN PLACE (24 SE.)</t>
  </si>
  <si>
    <t>ÉCLOSION MOYENNE:</t>
  </si>
  <si>
    <t>OEFS. INCUBÉES/ H. ALOJ.</t>
  </si>
  <si>
    <t xml:space="preserve">F.EN PLACE (24 sem.) </t>
  </si>
  <si>
    <t>POULES LOGÉES PAR BÂTIMENT</t>
  </si>
  <si>
    <t>Bât. 1</t>
  </si>
  <si>
    <t>Bât. 2</t>
  </si>
  <si>
    <t>Bât. 3</t>
  </si>
  <si>
    <t>Bât. 4</t>
  </si>
  <si>
    <t>Bât. 5</t>
  </si>
  <si>
    <t>Bât. 6</t>
  </si>
  <si>
    <t>Bât. 7</t>
  </si>
  <si>
    <t>Bât. 8</t>
  </si>
  <si>
    <t>Bât. 9</t>
  </si>
  <si>
    <t>COQS LOGÉES PAR BÂTIMENT</t>
  </si>
  <si>
    <t>ALIMENT</t>
  </si>
  <si>
    <t>LUMIÈRE</t>
  </si>
  <si>
    <t>F. LOGÉE</t>
  </si>
  <si>
    <t>AC F. LOGÉE</t>
  </si>
  <si>
    <t>CASAP-BLIDA</t>
  </si>
  <si>
    <t>AIN OUSSERA-ALGERIE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</si>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</sst>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%"/>
    <numFmt numFmtId="167" formatCode="dd\-mm\-yy;@"/>
    <numFmt numFmtId="168" formatCode="#,##0.00\ _€"/>
  </numFmts>
  <fonts count="26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name val="Monotype Corsiva"/>
      <family val="4"/>
    </font>
    <font>
      <b/>
      <sz val="12"/>
      <name val="Arial"/>
      <family val="2"/>
    </font>
    <font>
      <b/>
      <sz val="14"/>
      <name val="Arial"/>
      <family val="2"/>
    </font>
    <font>
      <b/>
      <sz val="20"/>
      <color indexed="8"/>
      <name val="Arial Rounded MT Bold"/>
      <family val="2"/>
    </font>
    <font>
      <u/>
      <sz val="11"/>
      <name val="Arial Black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6"/>
      <name val="Arial"/>
      <family val="2"/>
    </font>
    <font>
      <b/>
      <u/>
      <sz val="16"/>
      <color indexed="6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color indexed="42"/>
      <name val="Arial"/>
      <family val="2"/>
    </font>
    <font>
      <u/>
      <sz val="10"/>
      <name val="Arial"/>
      <family val="2"/>
    </font>
    <font>
      <sz val="10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20"/>
      <name val="Arial Rounded MT Bold"/>
      <family val="2"/>
    </font>
    <font>
      <b/>
      <sz val="12"/>
      <name val="Arial Rounded MT Bold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</fills>
  <borders count="28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22"/>
      </left>
      <right style="double">
        <color indexed="22"/>
      </right>
      <top style="double">
        <color indexed="22"/>
      </top>
      <bottom style="medium">
        <color indexed="22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22"/>
      </left>
      <right style="thin">
        <color indexed="22"/>
      </right>
      <top style="double">
        <color indexed="22"/>
      </top>
      <bottom style="medium">
        <color indexed="22"/>
      </bottom>
      <diagonal/>
    </border>
    <border>
      <left style="double">
        <color indexed="47"/>
      </left>
      <right style="double">
        <color indexed="47"/>
      </right>
      <top style="double">
        <color indexed="47"/>
      </top>
      <bottom/>
      <diagonal/>
    </border>
    <border>
      <left style="double">
        <color indexed="47"/>
      </left>
      <right style="double">
        <color indexed="47"/>
      </right>
      <top/>
      <bottom style="medium">
        <color indexed="47"/>
      </bottom>
      <diagonal/>
    </border>
    <border>
      <left style="double">
        <color indexed="47"/>
      </left>
      <right/>
      <top style="double">
        <color indexed="47"/>
      </top>
      <bottom/>
      <diagonal/>
    </border>
    <border>
      <left style="double">
        <color indexed="47"/>
      </left>
      <right/>
      <top/>
      <bottom style="medium">
        <color indexed="47"/>
      </bottom>
      <diagonal/>
    </border>
    <border>
      <left style="double">
        <color indexed="47"/>
      </left>
      <right style="thin">
        <color indexed="47"/>
      </right>
      <top style="double">
        <color indexed="47"/>
      </top>
      <bottom/>
      <diagonal/>
    </border>
    <border>
      <left style="thin">
        <color indexed="47"/>
      </left>
      <right style="double">
        <color indexed="47"/>
      </right>
      <top style="double">
        <color indexed="47"/>
      </top>
      <bottom/>
      <diagonal/>
    </border>
    <border>
      <left style="double">
        <color indexed="47"/>
      </left>
      <right style="thin">
        <color indexed="47"/>
      </right>
      <top/>
      <bottom style="medium">
        <color indexed="47"/>
      </bottom>
      <diagonal/>
    </border>
    <border>
      <left style="thin">
        <color indexed="47"/>
      </left>
      <right style="double">
        <color indexed="47"/>
      </right>
      <top/>
      <bottom style="medium">
        <color indexed="47"/>
      </bottom>
      <diagonal/>
    </border>
    <border>
      <left style="thin">
        <color indexed="47"/>
      </left>
      <right/>
      <top style="double">
        <color indexed="47"/>
      </top>
      <bottom/>
      <diagonal/>
    </border>
    <border>
      <left style="thin">
        <color indexed="47"/>
      </left>
      <right/>
      <top/>
      <bottom style="medium">
        <color indexed="47"/>
      </bottom>
      <diagonal/>
    </border>
    <border>
      <left style="thin">
        <color indexed="22"/>
      </left>
      <right style="double">
        <color indexed="22"/>
      </right>
      <top/>
      <bottom style="medium">
        <color indexed="22"/>
      </bottom>
      <diagonal/>
    </border>
    <border>
      <left style="thin">
        <color indexed="22"/>
      </left>
      <right style="double">
        <color indexed="22"/>
      </right>
      <top style="double">
        <color indexed="22"/>
      </top>
      <bottom/>
      <diagonal/>
    </border>
    <border>
      <left/>
      <right/>
      <top style="double">
        <color indexed="47"/>
      </top>
      <bottom/>
      <diagonal/>
    </border>
    <border>
      <left/>
      <right/>
      <top/>
      <bottom style="medium">
        <color indexed="47"/>
      </bottom>
      <diagonal/>
    </border>
    <border>
      <left style="double">
        <color indexed="22"/>
      </left>
      <right style="thin">
        <color indexed="47"/>
      </right>
      <top style="double">
        <color indexed="47"/>
      </top>
      <bottom/>
      <diagonal/>
    </border>
    <border>
      <left style="thin">
        <color indexed="47"/>
      </left>
      <right style="thin">
        <color indexed="47"/>
      </right>
      <top style="double">
        <color indexed="47"/>
      </top>
      <bottom/>
      <diagonal/>
    </border>
    <border>
      <left style="double">
        <color indexed="22"/>
      </left>
      <right style="thin">
        <color indexed="47"/>
      </right>
      <top/>
      <bottom style="medium">
        <color indexed="47"/>
      </bottom>
      <diagonal/>
    </border>
    <border>
      <left style="thin">
        <color indexed="47"/>
      </left>
      <right style="thin">
        <color indexed="47"/>
      </right>
      <top/>
      <bottom style="medium">
        <color indexed="47"/>
      </bottom>
      <diagonal/>
    </border>
    <border>
      <left style="double">
        <color indexed="47"/>
      </left>
      <right style="thin">
        <color indexed="47"/>
      </right>
      <top style="double">
        <color indexed="47"/>
      </top>
      <bottom style="medium">
        <color indexed="47"/>
      </bottom>
      <diagonal/>
    </border>
    <border>
      <left style="thin">
        <color indexed="47"/>
      </left>
      <right style="double">
        <color indexed="47"/>
      </right>
      <top style="double">
        <color indexed="47"/>
      </top>
      <bottom style="medium">
        <color indexed="47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22"/>
      </left>
      <right style="thin">
        <color indexed="22"/>
      </right>
      <top style="double">
        <color indexed="22"/>
      </top>
      <bottom/>
      <diagonal/>
    </border>
    <border>
      <left style="double">
        <color indexed="22"/>
      </left>
      <right style="thin">
        <color indexed="22"/>
      </right>
      <top/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double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double">
        <color indexed="47"/>
      </top>
      <bottom/>
      <diagonal/>
    </border>
    <border>
      <left style="thin">
        <color indexed="22"/>
      </left>
      <right style="thin">
        <color indexed="22"/>
      </right>
      <top/>
      <bottom style="medium">
        <color indexed="47"/>
      </bottom>
      <diagonal/>
    </border>
    <border>
      <left style="thin">
        <color indexed="22"/>
      </left>
      <right style="double">
        <color indexed="47"/>
      </right>
      <top style="double">
        <color indexed="47"/>
      </top>
      <bottom/>
      <diagonal/>
    </border>
    <border>
      <left style="thin">
        <color indexed="22"/>
      </left>
      <right style="double">
        <color indexed="47"/>
      </right>
      <top/>
      <bottom style="medium">
        <color indexed="47"/>
      </bottom>
      <diagonal/>
    </border>
    <border>
      <left style="thin">
        <color indexed="22"/>
      </left>
      <right/>
      <top style="double">
        <color indexed="22"/>
      </top>
      <bottom style="medium">
        <color indexed="22"/>
      </bottom>
      <diagonal/>
    </border>
    <border>
      <left style="double">
        <color indexed="47"/>
      </left>
      <right style="double">
        <color indexed="47"/>
      </right>
      <top style="thick">
        <color indexed="47"/>
      </top>
      <bottom style="double">
        <color indexed="47"/>
      </bottom>
      <diagonal/>
    </border>
    <border>
      <left style="double">
        <color indexed="47"/>
      </left>
      <right style="thin">
        <color indexed="47"/>
      </right>
      <top/>
      <bottom style="thin">
        <color indexed="47"/>
      </bottom>
      <diagonal/>
    </border>
    <border>
      <left style="thin">
        <color indexed="47"/>
      </left>
      <right style="double">
        <color indexed="47"/>
      </right>
      <top/>
      <bottom style="thin">
        <color indexed="47"/>
      </bottom>
      <diagonal/>
    </border>
    <border>
      <left style="double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double">
        <color indexed="47"/>
      </right>
      <top style="thin">
        <color indexed="47"/>
      </top>
      <bottom style="thin">
        <color indexed="47"/>
      </bottom>
      <diagonal/>
    </border>
    <border>
      <left style="double">
        <color indexed="47"/>
      </left>
      <right style="thin">
        <color indexed="47"/>
      </right>
      <top style="thin">
        <color indexed="47"/>
      </top>
      <bottom style="double">
        <color indexed="47"/>
      </bottom>
      <diagonal/>
    </border>
    <border>
      <left style="thin">
        <color indexed="47"/>
      </left>
      <right style="double">
        <color indexed="47"/>
      </right>
      <top style="thin">
        <color indexed="47"/>
      </top>
      <bottom/>
      <diagonal/>
    </border>
    <border>
      <left style="double">
        <color indexed="22"/>
      </left>
      <right/>
      <top style="double">
        <color indexed="22"/>
      </top>
      <bottom/>
      <diagonal/>
    </border>
    <border>
      <left style="double">
        <color indexed="22"/>
      </left>
      <right style="thin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double">
        <color indexed="22"/>
      </right>
      <top style="medium">
        <color indexed="22"/>
      </top>
      <bottom style="medium">
        <color indexed="22"/>
      </bottom>
      <diagonal/>
    </border>
    <border>
      <left style="double">
        <color indexed="47"/>
      </left>
      <right style="thin">
        <color indexed="47"/>
      </right>
      <top style="medium">
        <color indexed="47"/>
      </top>
      <bottom/>
      <diagonal/>
    </border>
    <border>
      <left style="thin">
        <color indexed="47"/>
      </left>
      <right style="thin">
        <color indexed="47"/>
      </right>
      <top style="medium">
        <color indexed="47"/>
      </top>
      <bottom/>
      <diagonal/>
    </border>
    <border>
      <left style="double">
        <color indexed="47"/>
      </left>
      <right style="thin">
        <color indexed="47"/>
      </right>
      <top/>
      <bottom/>
      <diagonal/>
    </border>
    <border>
      <left style="thin">
        <color indexed="47"/>
      </left>
      <right style="thin">
        <color indexed="47"/>
      </right>
      <top/>
      <bottom/>
      <diagonal/>
    </border>
    <border>
      <left style="double">
        <color indexed="47"/>
      </left>
      <right style="thin">
        <color indexed="47"/>
      </right>
      <top/>
      <bottom style="double">
        <color indexed="47"/>
      </bottom>
      <diagonal/>
    </border>
    <border>
      <left style="thin">
        <color indexed="47"/>
      </left>
      <right style="thin">
        <color indexed="47"/>
      </right>
      <top/>
      <bottom style="double">
        <color indexed="47"/>
      </bottom>
      <diagonal/>
    </border>
    <border>
      <left style="thin">
        <color indexed="47"/>
      </left>
      <right style="double">
        <color indexed="47"/>
      </right>
      <top style="medium">
        <color indexed="47"/>
      </top>
      <bottom/>
      <diagonal/>
    </border>
    <border>
      <left style="thin">
        <color indexed="47"/>
      </left>
      <right style="double">
        <color indexed="47"/>
      </right>
      <top/>
      <bottom/>
      <diagonal/>
    </border>
    <border>
      <left style="thin">
        <color indexed="47"/>
      </left>
      <right style="double">
        <color indexed="47"/>
      </right>
      <top/>
      <bottom style="double">
        <color indexed="47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double">
        <color indexed="22"/>
      </right>
      <top/>
      <bottom style="thin">
        <color indexed="22"/>
      </bottom>
      <diagonal/>
    </border>
    <border>
      <left style="double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double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22"/>
      </bottom>
      <diagonal/>
    </border>
    <border>
      <left style="double">
        <color indexed="22"/>
      </left>
      <right style="thin">
        <color indexed="22"/>
      </right>
      <top style="thin">
        <color indexed="22"/>
      </top>
      <bottom style="double">
        <color indexed="22"/>
      </bottom>
      <diagonal/>
    </border>
    <border>
      <left style="thin">
        <color indexed="22"/>
      </left>
      <right style="double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22"/>
      </right>
      <top style="thin">
        <color indexed="22"/>
      </top>
      <bottom style="double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double">
        <color indexed="22"/>
      </right>
      <top style="thin">
        <color indexed="22"/>
      </top>
      <bottom/>
      <diagonal/>
    </border>
    <border>
      <left style="double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47"/>
      </left>
      <right style="double">
        <color indexed="47"/>
      </right>
      <top style="medium">
        <color indexed="47"/>
      </top>
      <bottom style="thin">
        <color indexed="47"/>
      </bottom>
      <diagonal/>
    </border>
    <border>
      <left style="double">
        <color indexed="47"/>
      </left>
      <right/>
      <top style="medium">
        <color indexed="47"/>
      </top>
      <bottom/>
      <diagonal/>
    </border>
    <border>
      <left style="thin">
        <color indexed="47"/>
      </left>
      <right/>
      <top style="medium">
        <color indexed="47"/>
      </top>
      <bottom/>
      <diagonal/>
    </border>
    <border>
      <left style="thin">
        <color indexed="22"/>
      </left>
      <right style="double">
        <color indexed="22"/>
      </right>
      <top style="medium">
        <color indexed="22"/>
      </top>
      <bottom/>
      <diagonal/>
    </border>
    <border>
      <left style="double">
        <color indexed="22"/>
      </left>
      <right style="thin">
        <color indexed="47"/>
      </right>
      <top style="medium">
        <color indexed="47"/>
      </top>
      <bottom/>
      <diagonal/>
    </border>
    <border>
      <left/>
      <right/>
      <top style="medium">
        <color indexed="47"/>
      </top>
      <bottom/>
      <diagonal/>
    </border>
    <border>
      <left style="double">
        <color indexed="47"/>
      </left>
      <right/>
      <top/>
      <bottom/>
      <diagonal/>
    </border>
    <border>
      <left style="thin">
        <color indexed="47"/>
      </left>
      <right/>
      <top/>
      <bottom/>
      <diagonal/>
    </border>
    <border>
      <left style="thin">
        <color indexed="22"/>
      </left>
      <right style="double">
        <color indexed="22"/>
      </right>
      <top/>
      <bottom/>
      <diagonal/>
    </border>
    <border>
      <left style="double">
        <color indexed="22"/>
      </left>
      <right style="thin">
        <color indexed="47"/>
      </right>
      <top/>
      <bottom/>
      <diagonal/>
    </border>
    <border>
      <left style="double">
        <color indexed="47"/>
      </left>
      <right/>
      <top/>
      <bottom style="thin">
        <color indexed="47"/>
      </bottom>
      <diagonal/>
    </border>
    <border>
      <left style="double">
        <color indexed="22"/>
      </left>
      <right style="thin">
        <color indexed="47"/>
      </right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 style="double">
        <color indexed="47"/>
      </left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/>
      <top/>
      <bottom style="thin">
        <color indexed="47"/>
      </bottom>
      <diagonal/>
    </border>
    <border>
      <left/>
      <right/>
      <top/>
      <bottom style="thin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double">
        <color indexed="47"/>
      </right>
      <top style="thin">
        <color indexed="47"/>
      </top>
      <bottom style="double">
        <color indexed="47"/>
      </bottom>
      <diagonal/>
    </border>
    <border>
      <left style="thin">
        <color indexed="47"/>
      </left>
      <right/>
      <top style="thin">
        <color indexed="47"/>
      </top>
      <bottom style="double">
        <color indexed="47"/>
      </bottom>
      <diagonal/>
    </border>
    <border>
      <left/>
      <right/>
      <top style="thin">
        <color indexed="47"/>
      </top>
      <bottom style="double">
        <color indexed="47"/>
      </bottom>
      <diagonal/>
    </border>
    <border>
      <left style="thin">
        <color indexed="47"/>
      </left>
      <right/>
      <top style="medium">
        <color indexed="47"/>
      </top>
      <bottom style="thin">
        <color indexed="47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/>
      <diagonal/>
    </border>
    <border>
      <left/>
      <right style="thin">
        <color indexed="47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/>
      <right style="double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22"/>
      </left>
      <right style="double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double">
        <color indexed="47"/>
      </bottom>
      <diagonal/>
    </border>
    <border>
      <left style="thin">
        <color indexed="47"/>
      </left>
      <right style="thin">
        <color indexed="22"/>
      </right>
      <top style="thin">
        <color indexed="47"/>
      </top>
      <bottom style="double">
        <color indexed="47"/>
      </bottom>
      <diagonal/>
    </border>
    <border>
      <left style="thin">
        <color indexed="22"/>
      </left>
      <right style="double">
        <color indexed="47"/>
      </right>
      <top style="thin">
        <color indexed="47"/>
      </top>
      <bottom style="double">
        <color indexed="47"/>
      </bottom>
      <diagonal/>
    </border>
    <border>
      <left/>
      <right style="double">
        <color indexed="22"/>
      </right>
      <top style="double">
        <color indexed="22"/>
      </top>
      <bottom/>
      <diagonal/>
    </border>
    <border>
      <left/>
      <right style="double">
        <color indexed="22"/>
      </right>
      <top/>
      <bottom style="medium">
        <color indexed="22"/>
      </bottom>
      <diagonal/>
    </border>
    <border>
      <left style="double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22"/>
      </right>
      <top style="medium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double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double">
        <color indexed="22"/>
      </bottom>
      <diagonal/>
    </border>
    <border>
      <left/>
      <right style="thin">
        <color indexed="22"/>
      </right>
      <top/>
      <bottom style="double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 style="double">
        <color indexed="22"/>
      </right>
      <top style="medium">
        <color indexed="64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double">
        <color indexed="47"/>
      </right>
      <top/>
      <bottom style="thin">
        <color indexed="47"/>
      </bottom>
      <diagonal/>
    </border>
    <border>
      <left style="double">
        <color indexed="47"/>
      </left>
      <right style="thin">
        <color indexed="47"/>
      </right>
      <top style="medium">
        <color indexed="22"/>
      </top>
      <bottom style="thin">
        <color indexed="47"/>
      </bottom>
      <diagonal/>
    </border>
    <border>
      <left style="double">
        <color indexed="22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double">
        <color indexed="22"/>
      </left>
      <right style="thin">
        <color indexed="47"/>
      </right>
      <top style="thin">
        <color indexed="47"/>
      </top>
      <bottom style="double">
        <color indexed="47"/>
      </bottom>
      <diagonal/>
    </border>
    <border>
      <left style="double">
        <color indexed="47"/>
      </left>
      <right style="thin">
        <color indexed="47"/>
      </right>
      <top style="medium">
        <color indexed="47"/>
      </top>
      <bottom style="thin">
        <color indexed="47"/>
      </bottom>
      <diagonal/>
    </border>
    <border>
      <left style="double">
        <color indexed="22"/>
      </left>
      <right style="thin">
        <color indexed="22"/>
      </right>
      <top/>
      <bottom/>
      <diagonal/>
    </border>
    <border>
      <left style="double">
        <color indexed="22"/>
      </left>
      <right style="double">
        <color indexed="64"/>
      </right>
      <top style="double">
        <color indexed="22"/>
      </top>
      <bottom/>
      <diagonal/>
    </border>
    <border>
      <left style="double">
        <color indexed="22"/>
      </left>
      <right style="double">
        <color indexed="64"/>
      </right>
      <top style="medium">
        <color indexed="22"/>
      </top>
      <bottom style="thin">
        <color indexed="22"/>
      </bottom>
      <diagonal/>
    </border>
    <border>
      <left style="double">
        <color indexed="22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double">
        <color indexed="22"/>
      </left>
      <right style="double">
        <color indexed="64"/>
      </right>
      <top style="thin">
        <color indexed="22"/>
      </top>
      <bottom style="double">
        <color indexed="22"/>
      </bottom>
      <diagonal/>
    </border>
    <border>
      <left style="double">
        <color indexed="22"/>
      </left>
      <right style="double">
        <color indexed="22"/>
      </right>
      <top style="double">
        <color indexed="22"/>
      </top>
      <bottom/>
      <diagonal/>
    </border>
    <border>
      <left style="double">
        <color indexed="22"/>
      </left>
      <right style="double">
        <color indexed="22"/>
      </right>
      <top/>
      <bottom style="medium">
        <color indexed="22"/>
      </bottom>
      <diagonal/>
    </border>
    <border>
      <left style="double">
        <color indexed="22"/>
      </left>
      <right style="double">
        <color indexed="22"/>
      </right>
      <top/>
      <bottom style="thin">
        <color indexed="22"/>
      </bottom>
      <diagonal/>
    </border>
    <border>
      <left style="double">
        <color indexed="22"/>
      </left>
      <right style="double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22"/>
      </left>
      <right style="double">
        <color indexed="22"/>
      </right>
      <top style="thin">
        <color indexed="22"/>
      </top>
      <bottom/>
      <diagonal/>
    </border>
    <border>
      <left style="double">
        <color indexed="22"/>
      </left>
      <right style="double">
        <color indexed="22"/>
      </right>
      <top style="thin">
        <color indexed="22"/>
      </top>
      <bottom style="double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double">
        <color indexed="22"/>
      </bottom>
      <diagonal/>
    </border>
    <border>
      <left style="double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double">
        <color indexed="22"/>
      </left>
      <right style="thin">
        <color indexed="22"/>
      </right>
      <top style="double">
        <color indexed="64"/>
      </top>
      <bottom/>
      <diagonal/>
    </border>
    <border>
      <left style="double">
        <color indexed="47"/>
      </left>
      <right/>
      <top style="thin">
        <color indexed="47"/>
      </top>
      <bottom style="double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medium">
        <color indexed="22"/>
      </right>
      <top style="medium">
        <color indexed="22"/>
      </top>
      <bottom style="dashed">
        <color indexed="22"/>
      </bottom>
      <diagonal/>
    </border>
    <border>
      <left style="thin">
        <color indexed="22"/>
      </left>
      <right style="medium">
        <color indexed="22"/>
      </right>
      <top style="dashed">
        <color indexed="22"/>
      </top>
      <bottom style="dashed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dashed">
        <color indexed="22"/>
      </bottom>
      <diagonal/>
    </border>
    <border>
      <left style="thin">
        <color indexed="22"/>
      </left>
      <right style="thin">
        <color indexed="22"/>
      </right>
      <top style="dashed">
        <color indexed="22"/>
      </top>
      <bottom style="dashed">
        <color indexed="22"/>
      </bottom>
      <diagonal/>
    </border>
    <border>
      <left style="double">
        <color indexed="47"/>
      </left>
      <right style="double">
        <color indexed="47"/>
      </right>
      <top style="medium">
        <color indexed="47"/>
      </top>
      <bottom style="thin">
        <color indexed="47"/>
      </bottom>
      <diagonal/>
    </border>
    <border>
      <left style="double">
        <color indexed="47"/>
      </left>
      <right style="double">
        <color indexed="47"/>
      </right>
      <top style="thin">
        <color indexed="47"/>
      </top>
      <bottom style="thin">
        <color indexed="47"/>
      </bottom>
      <diagonal/>
    </border>
    <border>
      <left style="double">
        <color indexed="47"/>
      </left>
      <right style="double">
        <color indexed="47"/>
      </right>
      <top style="thin">
        <color indexed="47"/>
      </top>
      <bottom style="double">
        <color indexed="47"/>
      </bottom>
      <diagonal/>
    </border>
    <border>
      <left/>
      <right style="double">
        <color indexed="47"/>
      </right>
      <top style="medium">
        <color indexed="47"/>
      </top>
      <bottom/>
      <diagonal/>
    </border>
    <border>
      <left/>
      <right style="double">
        <color indexed="47"/>
      </right>
      <top/>
      <bottom/>
      <diagonal/>
    </border>
    <border>
      <left style="thin">
        <color indexed="22"/>
      </left>
      <right style="thin">
        <color indexed="22"/>
      </right>
      <top style="dashed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indexed="22"/>
      </right>
      <top style="dashed">
        <color indexed="22"/>
      </top>
      <bottom style="medium">
        <color indexed="22"/>
      </bottom>
      <diagonal/>
    </border>
    <border>
      <left/>
      <right style="thin">
        <color indexed="47"/>
      </right>
      <top style="double">
        <color indexed="47"/>
      </top>
      <bottom/>
      <diagonal/>
    </border>
    <border>
      <left/>
      <right style="thin">
        <color indexed="47"/>
      </right>
      <top/>
      <bottom style="medium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double">
        <color indexed="47"/>
      </bottom>
      <diagonal/>
    </border>
    <border>
      <left style="double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double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double">
        <color indexed="64"/>
      </top>
      <bottom/>
      <diagonal/>
    </border>
    <border>
      <left style="thin">
        <color indexed="22"/>
      </left>
      <right style="double">
        <color indexed="22"/>
      </right>
      <top style="double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ashed">
        <color indexed="22"/>
      </top>
      <bottom/>
      <diagonal/>
    </border>
    <border>
      <left style="thin">
        <color indexed="22"/>
      </left>
      <right style="medium">
        <color indexed="22"/>
      </right>
      <top style="dashed">
        <color indexed="22"/>
      </top>
      <bottom/>
      <diagonal/>
    </border>
    <border>
      <left style="double">
        <color indexed="22"/>
      </left>
      <right/>
      <top style="double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medium">
        <color indexed="22"/>
      </bottom>
      <diagonal/>
    </border>
    <border>
      <left/>
      <right/>
      <top style="double">
        <color indexed="22"/>
      </top>
      <bottom style="thin">
        <color indexed="22"/>
      </bottom>
      <diagonal/>
    </border>
    <border>
      <left/>
      <right style="double">
        <color indexed="22"/>
      </right>
      <top style="double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thin">
        <color indexed="22"/>
      </right>
      <top/>
      <bottom style="medium">
        <color indexed="22"/>
      </bottom>
      <diagonal/>
    </border>
    <border>
      <left style="thin">
        <color indexed="22"/>
      </left>
      <right/>
      <top style="medium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double">
        <color indexed="10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10"/>
      </right>
      <top style="thin">
        <color indexed="22"/>
      </top>
      <bottom style="thin">
        <color indexed="22"/>
      </bottom>
      <diagonal/>
    </border>
    <border>
      <left style="double">
        <color indexed="10"/>
      </left>
      <right style="thin">
        <color indexed="22"/>
      </right>
      <top/>
      <bottom style="medium">
        <color indexed="22"/>
      </bottom>
      <diagonal/>
    </border>
    <border>
      <left style="thin">
        <color indexed="22"/>
      </left>
      <right style="double">
        <color indexed="10"/>
      </right>
      <top style="thin">
        <color indexed="22"/>
      </top>
      <bottom style="double">
        <color indexed="10"/>
      </bottom>
      <diagonal/>
    </border>
    <border>
      <left/>
      <right style="thin">
        <color indexed="22"/>
      </right>
      <top style="medium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double">
        <color indexed="10"/>
      </bottom>
      <diagonal/>
    </border>
    <border>
      <left style="double">
        <color indexed="10"/>
      </left>
      <right style="dotted">
        <color indexed="22"/>
      </right>
      <top style="medium">
        <color indexed="22"/>
      </top>
      <bottom style="thin">
        <color indexed="22"/>
      </bottom>
      <diagonal/>
    </border>
    <border>
      <left style="dotted">
        <color indexed="22"/>
      </left>
      <right style="double">
        <color indexed="46"/>
      </right>
      <top style="medium">
        <color indexed="22"/>
      </top>
      <bottom style="thin">
        <color indexed="22"/>
      </bottom>
      <diagonal/>
    </border>
    <border>
      <left style="double">
        <color indexed="10"/>
      </left>
      <right style="dotted">
        <color indexed="22"/>
      </right>
      <top style="thin">
        <color indexed="22"/>
      </top>
      <bottom style="thin">
        <color indexed="22"/>
      </bottom>
      <diagonal/>
    </border>
    <border>
      <left style="dotted">
        <color indexed="22"/>
      </left>
      <right style="double">
        <color indexed="46"/>
      </right>
      <top style="thin">
        <color indexed="22"/>
      </top>
      <bottom style="thin">
        <color indexed="22"/>
      </bottom>
      <diagonal/>
    </border>
    <border>
      <left style="double">
        <color indexed="10"/>
      </left>
      <right style="dotted">
        <color indexed="22"/>
      </right>
      <top style="thin">
        <color indexed="22"/>
      </top>
      <bottom style="double">
        <color indexed="10"/>
      </bottom>
      <diagonal/>
    </border>
    <border>
      <left style="dotted">
        <color indexed="22"/>
      </left>
      <right style="double">
        <color indexed="46"/>
      </right>
      <top style="thin">
        <color indexed="22"/>
      </top>
      <bottom style="double">
        <color indexed="10"/>
      </bottom>
      <diagonal/>
    </border>
    <border>
      <left style="double">
        <color indexed="10"/>
      </left>
      <right style="thin">
        <color indexed="46"/>
      </right>
      <top style="double">
        <color indexed="10"/>
      </top>
      <bottom style="thin">
        <color indexed="22"/>
      </bottom>
      <diagonal/>
    </border>
    <border>
      <left style="thin">
        <color indexed="46"/>
      </left>
      <right style="thin">
        <color indexed="46"/>
      </right>
      <top style="double">
        <color indexed="10"/>
      </top>
      <bottom style="thin">
        <color indexed="22"/>
      </bottom>
      <diagonal/>
    </border>
    <border>
      <left style="thin">
        <color indexed="46"/>
      </left>
      <right style="double">
        <color indexed="10"/>
      </right>
      <top style="double">
        <color indexed="10"/>
      </top>
      <bottom style="thin">
        <color indexed="22"/>
      </bottom>
      <diagonal/>
    </border>
    <border>
      <left style="double">
        <color indexed="10"/>
      </left>
      <right style="thin">
        <color indexed="46"/>
      </right>
      <top style="thin">
        <color indexed="22"/>
      </top>
      <bottom style="thin">
        <color indexed="22"/>
      </bottom>
      <diagonal/>
    </border>
    <border>
      <left style="thin">
        <color indexed="46"/>
      </left>
      <right style="thin">
        <color indexed="46"/>
      </right>
      <top style="thin">
        <color indexed="22"/>
      </top>
      <bottom style="thin">
        <color indexed="22"/>
      </bottom>
      <diagonal/>
    </border>
    <border>
      <left style="thin">
        <color indexed="46"/>
      </left>
      <right style="double">
        <color indexed="10"/>
      </right>
      <top style="thin">
        <color indexed="22"/>
      </top>
      <bottom style="thin">
        <color indexed="22"/>
      </bottom>
      <diagonal/>
    </border>
    <border>
      <left style="double">
        <color indexed="10"/>
      </left>
      <right style="thin">
        <color indexed="46"/>
      </right>
      <top style="thin">
        <color indexed="22"/>
      </top>
      <bottom style="double">
        <color indexed="10"/>
      </bottom>
      <diagonal/>
    </border>
    <border>
      <left style="thin">
        <color indexed="46"/>
      </left>
      <right style="thin">
        <color indexed="46"/>
      </right>
      <top style="thin">
        <color indexed="22"/>
      </top>
      <bottom style="double">
        <color indexed="10"/>
      </bottom>
      <diagonal/>
    </border>
    <border>
      <left style="thin">
        <color indexed="46"/>
      </left>
      <right style="double">
        <color indexed="10"/>
      </right>
      <top style="thin">
        <color indexed="22"/>
      </top>
      <bottom style="double">
        <color indexed="10"/>
      </bottom>
      <diagonal/>
    </border>
    <border>
      <left style="thin">
        <color indexed="44"/>
      </left>
      <right style="thin">
        <color indexed="44"/>
      </right>
      <top style="double">
        <color indexed="10"/>
      </top>
      <bottom/>
      <diagonal/>
    </border>
    <border>
      <left style="thin">
        <color indexed="44"/>
      </left>
      <right style="double">
        <color indexed="10"/>
      </right>
      <top style="double">
        <color indexed="10"/>
      </top>
      <bottom/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thin">
        <color indexed="44"/>
      </left>
      <right style="double">
        <color indexed="10"/>
      </right>
      <top/>
      <bottom/>
      <diagonal/>
    </border>
    <border>
      <left style="thin">
        <color indexed="44"/>
      </left>
      <right style="thin">
        <color indexed="44"/>
      </right>
      <top/>
      <bottom style="double">
        <color indexed="10"/>
      </bottom>
      <diagonal/>
    </border>
    <border>
      <left style="thin">
        <color indexed="44"/>
      </left>
      <right style="double">
        <color indexed="10"/>
      </right>
      <top/>
      <bottom style="double">
        <color indexed="10"/>
      </bottom>
      <diagonal/>
    </border>
    <border>
      <left style="double">
        <color indexed="10"/>
      </left>
      <right style="thin">
        <color indexed="44"/>
      </right>
      <top style="double">
        <color indexed="10"/>
      </top>
      <bottom style="thin">
        <color indexed="22"/>
      </bottom>
      <diagonal/>
    </border>
    <border>
      <left style="double">
        <color indexed="10"/>
      </left>
      <right style="thin">
        <color indexed="44"/>
      </right>
      <top style="thin">
        <color indexed="22"/>
      </top>
      <bottom style="thin">
        <color indexed="22"/>
      </bottom>
      <diagonal/>
    </border>
    <border>
      <left style="double">
        <color indexed="10"/>
      </left>
      <right style="thin">
        <color indexed="44"/>
      </right>
      <top style="thin">
        <color indexed="22"/>
      </top>
      <bottom style="double">
        <color indexed="10"/>
      </bottom>
      <diagonal/>
    </border>
    <border>
      <left style="double">
        <color indexed="10"/>
      </left>
      <right style="thin">
        <color indexed="46"/>
      </right>
      <top style="double">
        <color indexed="10"/>
      </top>
      <bottom/>
      <diagonal/>
    </border>
    <border>
      <left style="thin">
        <color indexed="46"/>
      </left>
      <right style="thin">
        <color indexed="46"/>
      </right>
      <top style="double">
        <color indexed="10"/>
      </top>
      <bottom/>
      <diagonal/>
    </border>
    <border>
      <left style="thin">
        <color indexed="46"/>
      </left>
      <right style="double">
        <color indexed="10"/>
      </right>
      <top style="double">
        <color indexed="10"/>
      </top>
      <bottom/>
      <diagonal/>
    </border>
    <border>
      <left style="double">
        <color indexed="10"/>
      </left>
      <right style="thin">
        <color indexed="46"/>
      </right>
      <top/>
      <bottom/>
      <diagonal/>
    </border>
    <border>
      <left style="thin">
        <color indexed="46"/>
      </left>
      <right style="thin">
        <color indexed="46"/>
      </right>
      <top/>
      <bottom/>
      <diagonal/>
    </border>
    <border>
      <left style="thin">
        <color indexed="46"/>
      </left>
      <right style="double">
        <color indexed="10"/>
      </right>
      <top/>
      <bottom/>
      <diagonal/>
    </border>
    <border>
      <left style="double">
        <color indexed="10"/>
      </left>
      <right style="thin">
        <color indexed="46"/>
      </right>
      <top/>
      <bottom style="double">
        <color indexed="10"/>
      </bottom>
      <diagonal/>
    </border>
    <border>
      <left style="thin">
        <color indexed="46"/>
      </left>
      <right style="thin">
        <color indexed="46"/>
      </right>
      <top/>
      <bottom style="double">
        <color indexed="10"/>
      </bottom>
      <diagonal/>
    </border>
    <border>
      <left style="thin">
        <color indexed="46"/>
      </left>
      <right style="double">
        <color indexed="10"/>
      </right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2"/>
      </left>
      <right style="thin">
        <color indexed="22"/>
      </right>
      <top style="dashed">
        <color indexed="22"/>
      </top>
      <bottom style="dashed">
        <color indexed="22"/>
      </bottom>
      <diagonal/>
    </border>
    <border>
      <left style="medium">
        <color indexed="22"/>
      </left>
      <right/>
      <top style="dashed">
        <color indexed="22"/>
      </top>
      <bottom style="medium">
        <color indexed="22"/>
      </bottom>
      <diagonal/>
    </border>
    <border>
      <left/>
      <right style="thin">
        <color indexed="22"/>
      </right>
      <top style="dashed">
        <color indexed="22"/>
      </top>
      <bottom style="medium">
        <color indexed="22"/>
      </bottom>
      <diagonal/>
    </border>
    <border>
      <left style="double">
        <color indexed="22"/>
      </left>
      <right/>
      <top/>
      <bottom style="double">
        <color indexed="22"/>
      </bottom>
      <diagonal/>
    </border>
    <border>
      <left/>
      <right style="double">
        <color indexed="22"/>
      </right>
      <top/>
      <bottom style="double">
        <color indexed="22"/>
      </bottom>
      <diagonal/>
    </border>
    <border>
      <left style="double">
        <color indexed="22"/>
      </left>
      <right/>
      <top style="double">
        <color indexed="22"/>
      </top>
      <bottom style="double">
        <color indexed="22"/>
      </bottom>
      <diagonal/>
    </border>
    <border>
      <left/>
      <right/>
      <top style="double">
        <color indexed="22"/>
      </top>
      <bottom style="double">
        <color indexed="22"/>
      </bottom>
      <diagonal/>
    </border>
    <border>
      <left/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double">
        <color indexed="22"/>
      </right>
      <top style="medium">
        <color indexed="64"/>
      </top>
      <bottom style="thin">
        <color indexed="22"/>
      </bottom>
      <diagonal/>
    </border>
    <border>
      <left/>
      <right/>
      <top/>
      <bottom style="double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22"/>
      </right>
      <top/>
      <bottom/>
      <diagonal/>
    </border>
    <border>
      <left style="double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double">
        <color indexed="22"/>
      </right>
      <top style="thin">
        <color indexed="22"/>
      </top>
      <bottom/>
      <diagonal/>
    </border>
    <border>
      <left style="double">
        <color indexed="22"/>
      </left>
      <right/>
      <top/>
      <bottom/>
      <diagonal/>
    </border>
    <border>
      <left/>
      <right style="double">
        <color indexed="22"/>
      </right>
      <top/>
      <bottom style="thin">
        <color indexed="22"/>
      </bottom>
      <diagonal/>
    </border>
    <border>
      <left style="double">
        <color indexed="10"/>
      </left>
      <right/>
      <top style="double">
        <color indexed="10"/>
      </top>
      <bottom style="thin">
        <color indexed="22"/>
      </bottom>
      <diagonal/>
    </border>
    <border>
      <left/>
      <right/>
      <top style="double">
        <color indexed="10"/>
      </top>
      <bottom style="thin">
        <color indexed="22"/>
      </bottom>
      <diagonal/>
    </border>
    <border>
      <left/>
      <right style="double">
        <color indexed="10"/>
      </right>
      <top style="double">
        <color indexed="10"/>
      </top>
      <bottom style="thin">
        <color indexed="22"/>
      </bottom>
      <diagonal/>
    </border>
    <border>
      <left/>
      <right/>
      <top style="double">
        <color indexed="22"/>
      </top>
      <bottom/>
      <diagonal/>
    </border>
    <border>
      <left/>
      <right style="double">
        <color indexed="10"/>
      </right>
      <top style="thin">
        <color indexed="22"/>
      </top>
      <bottom/>
      <diagonal/>
    </border>
    <border>
      <left style="double">
        <color indexed="10"/>
      </left>
      <right/>
      <top style="thin">
        <color indexed="22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22"/>
      </left>
      <right/>
      <top style="dashed">
        <color indexed="22"/>
      </top>
      <bottom style="dashed">
        <color indexed="22"/>
      </bottom>
      <diagonal/>
    </border>
    <border>
      <left/>
      <right style="thin">
        <color indexed="22"/>
      </right>
      <top style="dashed">
        <color indexed="22"/>
      </top>
      <bottom style="dashed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left"/>
    </xf>
    <xf numFmtId="0" fontId="0" fillId="0" borderId="0" xfId="0" applyFill="1" applyProtection="1"/>
    <xf numFmtId="14" fontId="7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Protection="1"/>
    <xf numFmtId="0" fontId="2" fillId="0" borderId="0" xfId="0" applyFont="1" applyFill="1" applyProtection="1"/>
    <xf numFmtId="0" fontId="8" fillId="0" borderId="0" xfId="0" applyFont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Protection="1">
      <protection locked="0"/>
    </xf>
    <xf numFmtId="0" fontId="6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0" xfId="0" applyNumberFormat="1" applyFill="1" applyBorder="1"/>
    <xf numFmtId="0" fontId="5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14" fontId="0" fillId="2" borderId="0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2" borderId="0" xfId="0" applyFont="1" applyFill="1"/>
    <xf numFmtId="0" fontId="0" fillId="0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/>
    <xf numFmtId="0" fontId="0" fillId="0" borderId="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Protection="1"/>
    <xf numFmtId="0" fontId="0" fillId="0" borderId="5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164" fontId="0" fillId="0" borderId="10" xfId="0" applyNumberFormat="1" applyBorder="1" applyProtection="1"/>
    <xf numFmtId="164" fontId="0" fillId="0" borderId="11" xfId="0" applyNumberFormat="1" applyBorder="1" applyProtection="1"/>
    <xf numFmtId="164" fontId="0" fillId="0" borderId="12" xfId="0" applyNumberFormat="1" applyBorder="1" applyProtection="1"/>
    <xf numFmtId="164" fontId="0" fillId="0" borderId="13" xfId="0" applyNumberFormat="1" applyBorder="1" applyProtection="1"/>
    <xf numFmtId="164" fontId="0" fillId="0" borderId="14" xfId="0" applyNumberFormat="1" applyBorder="1" applyProtection="1"/>
    <xf numFmtId="164" fontId="0" fillId="0" borderId="15" xfId="0" applyNumberFormat="1" applyBorder="1" applyProtection="1"/>
    <xf numFmtId="0" fontId="0" fillId="4" borderId="16" xfId="0" applyFill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left"/>
    </xf>
    <xf numFmtId="0" fontId="0" fillId="3" borderId="28" xfId="0" applyFill="1" applyBorder="1" applyAlignment="1">
      <alignment horizont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0" xfId="0" applyFill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35" xfId="0" applyFill="1" applyBorder="1"/>
    <xf numFmtId="0" fontId="0" fillId="4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2" xfId="0" quotePrefix="1" applyFill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0" xfId="0" applyFont="1" applyBorder="1"/>
    <xf numFmtId="0" fontId="2" fillId="0" borderId="48" xfId="0" applyFont="1" applyBorder="1"/>
    <xf numFmtId="0" fontId="11" fillId="0" borderId="49" xfId="0" applyFont="1" applyBorder="1" applyAlignment="1" applyProtection="1">
      <alignment horizontal="center"/>
      <protection locked="0"/>
    </xf>
    <xf numFmtId="0" fontId="11" fillId="0" borderId="50" xfId="0" applyFont="1" applyBorder="1" applyAlignment="1" applyProtection="1">
      <alignment horizontal="center"/>
      <protection locked="0"/>
    </xf>
    <xf numFmtId="0" fontId="11" fillId="0" borderId="51" xfId="0" applyFont="1" applyBorder="1" applyAlignment="1" applyProtection="1">
      <alignment horizontal="center"/>
      <protection locked="0"/>
    </xf>
    <xf numFmtId="0" fontId="11" fillId="0" borderId="52" xfId="0" applyFont="1" applyBorder="1" applyAlignment="1" applyProtection="1">
      <alignment horizontal="center"/>
      <protection locked="0"/>
    </xf>
    <xf numFmtId="0" fontId="11" fillId="0" borderId="53" xfId="0" applyFont="1" applyBorder="1" applyAlignment="1" applyProtection="1">
      <alignment horizontal="center"/>
      <protection locked="0"/>
    </xf>
    <xf numFmtId="0" fontId="11" fillId="0" borderId="54" xfId="0" applyFont="1" applyBorder="1" applyAlignment="1" applyProtection="1">
      <alignment horizontal="center"/>
      <protection locked="0"/>
    </xf>
    <xf numFmtId="0" fontId="15" fillId="3" borderId="55" xfId="0" applyFont="1" applyFill="1" applyBorder="1" applyAlignment="1" applyProtection="1">
      <alignment horizontal="left"/>
    </xf>
    <xf numFmtId="0" fontId="11" fillId="3" borderId="56" xfId="0" applyFont="1" applyFill="1" applyBorder="1" applyAlignment="1">
      <alignment horizontal="center"/>
    </xf>
    <xf numFmtId="0" fontId="11" fillId="3" borderId="57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164" fontId="0" fillId="0" borderId="59" xfId="0" applyNumberFormat="1" applyBorder="1"/>
    <xf numFmtId="0" fontId="0" fillId="0" borderId="60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164" fontId="0" fillId="0" borderId="63" xfId="0" applyNumberFormat="1" applyBorder="1"/>
    <xf numFmtId="0" fontId="0" fillId="0" borderId="64" xfId="0" applyBorder="1" applyProtection="1">
      <protection locked="0"/>
    </xf>
    <xf numFmtId="0" fontId="0" fillId="0" borderId="65" xfId="0" applyBorder="1" applyProtection="1">
      <protection locked="0"/>
    </xf>
    <xf numFmtId="0" fontId="0" fillId="0" borderId="66" xfId="0" applyBorder="1" applyProtection="1">
      <protection locked="0"/>
    </xf>
    <xf numFmtId="0" fontId="9" fillId="5" borderId="0" xfId="0" applyFont="1" applyFill="1" applyBorder="1" applyAlignment="1" applyProtection="1">
      <alignment horizontal="center"/>
    </xf>
    <xf numFmtId="0" fontId="18" fillId="3" borderId="67" xfId="0" applyFont="1" applyFill="1" applyBorder="1"/>
    <xf numFmtId="10" fontId="18" fillId="0" borderId="67" xfId="0" applyNumberFormat="1" applyFont="1" applyFill="1" applyBorder="1"/>
    <xf numFmtId="10" fontId="18" fillId="0" borderId="68" xfId="0" applyNumberFormat="1" applyFont="1" applyFill="1" applyBorder="1"/>
    <xf numFmtId="0" fontId="18" fillId="3" borderId="68" xfId="0" applyFont="1" applyFill="1" applyBorder="1" applyAlignment="1" applyProtection="1">
      <alignment horizontal="right"/>
    </xf>
    <xf numFmtId="0" fontId="18" fillId="3" borderId="68" xfId="0" applyFont="1" applyFill="1" applyBorder="1"/>
    <xf numFmtId="0" fontId="18" fillId="5" borderId="69" xfId="0" applyFont="1" applyFill="1" applyBorder="1" applyProtection="1">
      <protection locked="0"/>
    </xf>
    <xf numFmtId="0" fontId="18" fillId="3" borderId="70" xfId="0" applyFont="1" applyFill="1" applyBorder="1"/>
    <xf numFmtId="10" fontId="18" fillId="0" borderId="1" xfId="0" applyNumberFormat="1" applyFont="1" applyFill="1" applyBorder="1"/>
    <xf numFmtId="0" fontId="18" fillId="3" borderId="1" xfId="0" applyFont="1" applyFill="1" applyBorder="1"/>
    <xf numFmtId="0" fontId="18" fillId="5" borderId="71" xfId="0" applyFont="1" applyFill="1" applyBorder="1" applyProtection="1">
      <protection locked="0"/>
    </xf>
    <xf numFmtId="0" fontId="18" fillId="3" borderId="1" xfId="0" applyFont="1" applyFill="1" applyBorder="1" applyAlignment="1" applyProtection="1">
      <alignment horizontal="right"/>
    </xf>
    <xf numFmtId="0" fontId="18" fillId="3" borderId="72" xfId="0" applyFont="1" applyFill="1" applyBorder="1"/>
    <xf numFmtId="0" fontId="18" fillId="3" borderId="1" xfId="0" applyFont="1" applyFill="1" applyBorder="1" applyProtection="1"/>
    <xf numFmtId="10" fontId="18" fillId="0" borderId="73" xfId="0" applyNumberFormat="1" applyFont="1" applyFill="1" applyBorder="1"/>
    <xf numFmtId="0" fontId="18" fillId="3" borderId="73" xfId="0" applyFont="1" applyFill="1" applyBorder="1"/>
    <xf numFmtId="0" fontId="18" fillId="3" borderId="73" xfId="0" applyFont="1" applyFill="1" applyBorder="1" applyProtection="1"/>
    <xf numFmtId="0" fontId="18" fillId="3" borderId="74" xfId="0" applyFont="1" applyFill="1" applyBorder="1"/>
    <xf numFmtId="0" fontId="18" fillId="4" borderId="75" xfId="0" applyNumberFormat="1" applyFont="1" applyFill="1" applyBorder="1" applyAlignment="1">
      <alignment horizontal="center"/>
    </xf>
    <xf numFmtId="0" fontId="18" fillId="4" borderId="71" xfId="0" applyNumberFormat="1" applyFont="1" applyFill="1" applyBorder="1" applyAlignment="1">
      <alignment horizontal="center"/>
    </xf>
    <xf numFmtId="0" fontId="18" fillId="4" borderId="76" xfId="0" applyNumberFormat="1" applyFont="1" applyFill="1" applyBorder="1" applyAlignment="1">
      <alignment horizontal="center"/>
    </xf>
    <xf numFmtId="10" fontId="18" fillId="0" borderId="77" xfId="0" applyNumberFormat="1" applyFont="1" applyFill="1" applyBorder="1"/>
    <xf numFmtId="0" fontId="18" fillId="3" borderId="77" xfId="0" applyFont="1" applyFill="1" applyBorder="1"/>
    <xf numFmtId="0" fontId="18" fillId="5" borderId="78" xfId="0" applyFont="1" applyFill="1" applyBorder="1" applyProtection="1">
      <protection locked="0"/>
    </xf>
    <xf numFmtId="0" fontId="18" fillId="4" borderId="78" xfId="0" applyNumberFormat="1" applyFont="1" applyFill="1" applyBorder="1" applyAlignment="1">
      <alignment horizontal="center"/>
    </xf>
    <xf numFmtId="0" fontId="18" fillId="3" borderId="77" xfId="0" applyFont="1" applyFill="1" applyBorder="1" applyAlignment="1" applyProtection="1">
      <alignment horizontal="right"/>
    </xf>
    <xf numFmtId="0" fontId="18" fillId="4" borderId="80" xfId="0" applyNumberFormat="1" applyFont="1" applyFill="1" applyBorder="1" applyAlignment="1">
      <alignment horizontal="center"/>
    </xf>
    <xf numFmtId="0" fontId="18" fillId="0" borderId="81" xfId="0" applyFont="1" applyBorder="1"/>
    <xf numFmtId="0" fontId="18" fillId="0" borderId="82" xfId="0" applyFont="1" applyBorder="1"/>
    <xf numFmtId="0" fontId="18" fillId="3" borderId="83" xfId="0" applyFont="1" applyFill="1" applyBorder="1"/>
    <xf numFmtId="0" fontId="18" fillId="0" borderId="84" xfId="0" applyFont="1" applyBorder="1"/>
    <xf numFmtId="0" fontId="18" fillId="0" borderId="59" xfId="0" applyFont="1" applyBorder="1"/>
    <xf numFmtId="0" fontId="18" fillId="0" borderId="85" xfId="0" applyFont="1" applyBorder="1"/>
    <xf numFmtId="0" fontId="18" fillId="4" borderId="52" xfId="0" applyNumberFormat="1" applyFont="1" applyFill="1" applyBorder="1" applyAlignment="1">
      <alignment horizontal="center"/>
    </xf>
    <xf numFmtId="0" fontId="18" fillId="0" borderId="86" xfId="0" applyFont="1" applyBorder="1"/>
    <xf numFmtId="0" fontId="18" fillId="0" borderId="87" xfId="0" applyFont="1" applyBorder="1"/>
    <xf numFmtId="0" fontId="18" fillId="3" borderId="88" xfId="0" applyFont="1" applyFill="1" applyBorder="1"/>
    <xf numFmtId="0" fontId="18" fillId="0" borderId="89" xfId="0" applyFont="1" applyBorder="1"/>
    <xf numFmtId="0" fontId="18" fillId="0" borderId="61" xfId="0" applyFont="1" applyBorder="1"/>
    <xf numFmtId="0" fontId="18" fillId="0" borderId="0" xfId="0" applyFont="1" applyBorder="1"/>
    <xf numFmtId="0" fontId="18" fillId="0" borderId="90" xfId="0" applyFont="1" applyBorder="1"/>
    <xf numFmtId="0" fontId="18" fillId="0" borderId="91" xfId="0" applyFont="1" applyBorder="1"/>
    <xf numFmtId="0" fontId="18" fillId="0" borderId="92" xfId="0" applyFont="1" applyBorder="1"/>
    <xf numFmtId="164" fontId="18" fillId="5" borderId="93" xfId="0" applyNumberFormat="1" applyFont="1" applyFill="1" applyBorder="1" applyProtection="1">
      <protection locked="0"/>
    </xf>
    <xf numFmtId="0" fontId="18" fillId="0" borderId="94" xfId="0" applyFont="1" applyBorder="1"/>
    <xf numFmtId="0" fontId="18" fillId="3" borderId="69" xfId="0" applyFont="1" applyFill="1" applyBorder="1"/>
    <xf numFmtId="0" fontId="18" fillId="0" borderId="95" xfId="0" applyFont="1" applyBorder="1"/>
    <xf numFmtId="164" fontId="18" fillId="0" borderId="96" xfId="0" applyNumberFormat="1" applyFont="1" applyBorder="1"/>
    <xf numFmtId="164" fontId="18" fillId="3" borderId="71" xfId="0" applyNumberFormat="1" applyFont="1" applyFill="1" applyBorder="1"/>
    <xf numFmtId="164" fontId="18" fillId="5" borderId="97" xfId="0" applyNumberFormat="1" applyFont="1" applyFill="1" applyBorder="1" applyProtection="1">
      <protection locked="0"/>
    </xf>
    <xf numFmtId="0" fontId="18" fillId="4" borderId="98" xfId="0" applyNumberFormat="1" applyFont="1" applyFill="1" applyBorder="1" applyAlignment="1">
      <alignment horizontal="center"/>
    </xf>
    <xf numFmtId="164" fontId="18" fillId="5" borderId="53" xfId="0" applyNumberFormat="1" applyFont="1" applyFill="1" applyBorder="1" applyProtection="1">
      <protection locked="0"/>
    </xf>
    <xf numFmtId="164" fontId="18" fillId="0" borderId="99" xfId="0" applyNumberFormat="1" applyFont="1" applyBorder="1"/>
    <xf numFmtId="164" fontId="18" fillId="3" borderId="76" xfId="0" applyNumberFormat="1" applyFont="1" applyFill="1" applyBorder="1"/>
    <xf numFmtId="164" fontId="18" fillId="5" borderId="100" xfId="0" applyNumberFormat="1" applyFont="1" applyFill="1" applyBorder="1" applyProtection="1">
      <protection locked="0"/>
    </xf>
    <xf numFmtId="0" fontId="18" fillId="4" borderId="101" xfId="0" applyNumberFormat="1" applyFont="1" applyFill="1" applyBorder="1" applyAlignment="1">
      <alignment horizontal="center"/>
    </xf>
    <xf numFmtId="0" fontId="18" fillId="0" borderId="58" xfId="0" applyFont="1" applyBorder="1"/>
    <xf numFmtId="0" fontId="18" fillId="3" borderId="102" xfId="0" applyFont="1" applyFill="1" applyBorder="1"/>
    <xf numFmtId="0" fontId="18" fillId="0" borderId="103" xfId="0" applyFont="1" applyBorder="1"/>
    <xf numFmtId="0" fontId="18" fillId="0" borderId="65" xfId="0" applyFont="1" applyBorder="1"/>
    <xf numFmtId="0" fontId="18" fillId="4" borderId="96" xfId="0" applyNumberFormat="1" applyFont="1" applyFill="1" applyBorder="1" applyAlignment="1">
      <alignment horizontal="center"/>
    </xf>
    <xf numFmtId="0" fontId="18" fillId="0" borderId="60" xfId="0" applyFont="1" applyBorder="1"/>
    <xf numFmtId="0" fontId="18" fillId="3" borderId="104" xfId="0" applyFont="1" applyFill="1" applyBorder="1"/>
    <xf numFmtId="166" fontId="18" fillId="0" borderId="105" xfId="0" applyNumberFormat="1" applyFont="1" applyBorder="1"/>
    <xf numFmtId="164" fontId="18" fillId="0" borderId="106" xfId="0" applyNumberFormat="1" applyFont="1" applyBorder="1"/>
    <xf numFmtId="164" fontId="18" fillId="3" borderId="1" xfId="0" applyNumberFormat="1" applyFont="1" applyFill="1" applyBorder="1"/>
    <xf numFmtId="164" fontId="18" fillId="0" borderId="107" xfId="0" applyNumberFormat="1" applyFont="1" applyBorder="1"/>
    <xf numFmtId="166" fontId="18" fillId="0" borderId="108" xfId="0" applyNumberFormat="1" applyFont="1" applyBorder="1"/>
    <xf numFmtId="164" fontId="18" fillId="0" borderId="109" xfId="0" applyNumberFormat="1" applyFont="1" applyBorder="1"/>
    <xf numFmtId="164" fontId="18" fillId="3" borderId="73" xfId="0" applyNumberFormat="1" applyFont="1" applyFill="1" applyBorder="1"/>
    <xf numFmtId="164" fontId="18" fillId="0" borderId="110" xfId="0" applyNumberFormat="1" applyFont="1" applyBorder="1"/>
    <xf numFmtId="164" fontId="18" fillId="5" borderId="105" xfId="0" applyNumberFormat="1" applyFont="1" applyFill="1" applyBorder="1" applyProtection="1">
      <protection locked="0"/>
    </xf>
    <xf numFmtId="164" fontId="18" fillId="5" borderId="108" xfId="0" applyNumberFormat="1" applyFont="1" applyFill="1" applyBorder="1" applyProtection="1">
      <protection locked="0"/>
    </xf>
    <xf numFmtId="14" fontId="9" fillId="0" borderId="0" xfId="0" applyNumberFormat="1" applyFont="1" applyFill="1" applyBorder="1" applyAlignment="1" applyProtection="1">
      <alignment horizontal="left"/>
      <protection locked="0"/>
    </xf>
    <xf numFmtId="1" fontId="0" fillId="0" borderId="82" xfId="0" applyNumberFormat="1" applyBorder="1" applyProtection="1">
      <protection locked="0"/>
    </xf>
    <xf numFmtId="1" fontId="0" fillId="0" borderId="87" xfId="0" applyNumberFormat="1" applyBorder="1" applyProtection="1">
      <protection locked="0"/>
    </xf>
    <xf numFmtId="1" fontId="0" fillId="0" borderId="61" xfId="0" applyNumberFormat="1" applyBorder="1" applyProtection="1">
      <protection locked="0"/>
    </xf>
    <xf numFmtId="1" fontId="0" fillId="0" borderId="63" xfId="0" applyNumberFormat="1" applyBorder="1" applyProtection="1">
      <protection locked="0"/>
    </xf>
    <xf numFmtId="0" fontId="11" fillId="3" borderId="111" xfId="0" applyFont="1" applyFill="1" applyBorder="1" applyAlignment="1">
      <alignment horizontal="center"/>
    </xf>
    <xf numFmtId="0" fontId="11" fillId="3" borderId="112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1" fillId="3" borderId="4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29" xfId="0" applyFont="1" applyBorder="1"/>
    <xf numFmtId="0" fontId="11" fillId="0" borderId="29" xfId="0" applyFont="1" applyFill="1" applyBorder="1" applyProtection="1">
      <protection locked="0"/>
    </xf>
    <xf numFmtId="165" fontId="18" fillId="0" borderId="67" xfId="0" applyNumberFormat="1" applyFont="1" applyFill="1" applyBorder="1"/>
    <xf numFmtId="165" fontId="18" fillId="0" borderId="1" xfId="0" applyNumberFormat="1" applyFont="1" applyFill="1" applyBorder="1"/>
    <xf numFmtId="165" fontId="18" fillId="0" borderId="77" xfId="0" applyNumberFormat="1" applyFont="1" applyFill="1" applyBorder="1"/>
    <xf numFmtId="165" fontId="18" fillId="0" borderId="73" xfId="0" applyNumberFormat="1" applyFont="1" applyFill="1" applyBorder="1"/>
    <xf numFmtId="0" fontId="18" fillId="2" borderId="0" xfId="0" applyFont="1" applyFill="1" applyBorder="1"/>
    <xf numFmtId="1" fontId="18" fillId="5" borderId="113" xfId="0" applyNumberFormat="1" applyFont="1" applyFill="1" applyBorder="1" applyProtection="1">
      <protection locked="0"/>
    </xf>
    <xf numFmtId="1" fontId="18" fillId="5" borderId="72" xfId="0" applyNumberFormat="1" applyFont="1" applyFill="1" applyBorder="1" applyProtection="1">
      <protection locked="0"/>
    </xf>
    <xf numFmtId="1" fontId="18" fillId="5" borderId="79" xfId="0" applyNumberFormat="1" applyFont="1" applyFill="1" applyBorder="1" applyProtection="1">
      <protection locked="0"/>
    </xf>
    <xf numFmtId="1" fontId="18" fillId="5" borderId="74" xfId="0" applyNumberFormat="1" applyFont="1" applyFill="1" applyBorder="1" applyProtection="1">
      <protection locked="0"/>
    </xf>
    <xf numFmtId="0" fontId="0" fillId="0" borderId="114" xfId="0" applyFill="1" applyBorder="1" applyAlignment="1">
      <alignment horizontal="center"/>
    </xf>
    <xf numFmtId="1" fontId="18" fillId="0" borderId="115" xfId="0" applyNumberFormat="1" applyFont="1" applyFill="1" applyBorder="1" applyProtection="1"/>
    <xf numFmtId="1" fontId="18" fillId="0" borderId="116" xfId="0" applyNumberFormat="1" applyFont="1" applyFill="1" applyBorder="1" applyProtection="1"/>
    <xf numFmtId="1" fontId="18" fillId="0" borderId="117" xfId="0" applyNumberFormat="1" applyFont="1" applyFill="1" applyBorder="1" applyProtection="1"/>
    <xf numFmtId="1" fontId="18" fillId="0" borderId="118" xfId="0" applyNumberFormat="1" applyFont="1" applyFill="1" applyBorder="1" applyProtection="1"/>
    <xf numFmtId="0" fontId="19" fillId="2" borderId="0" xfId="0" applyFont="1" applyFill="1"/>
    <xf numFmtId="165" fontId="18" fillId="0" borderId="67" xfId="0" applyNumberFormat="1" applyFont="1" applyFill="1" applyBorder="1" applyAlignment="1" applyProtection="1">
      <alignment horizontal="right"/>
    </xf>
    <xf numFmtId="165" fontId="18" fillId="0" borderId="1" xfId="0" applyNumberFormat="1" applyFont="1" applyFill="1" applyBorder="1" applyAlignment="1" applyProtection="1">
      <alignment horizontal="right"/>
    </xf>
    <xf numFmtId="165" fontId="18" fillId="0" borderId="1" xfId="0" applyNumberFormat="1" applyFont="1" applyFill="1" applyBorder="1" applyProtection="1"/>
    <xf numFmtId="165" fontId="18" fillId="0" borderId="77" xfId="0" applyNumberFormat="1" applyFont="1" applyFill="1" applyBorder="1" applyProtection="1"/>
    <xf numFmtId="165" fontId="18" fillId="0" borderId="119" xfId="0" applyNumberFormat="1" applyFont="1" applyFill="1" applyBorder="1"/>
    <xf numFmtId="165" fontId="18" fillId="0" borderId="117" xfId="0" applyNumberFormat="1" applyFont="1" applyFill="1" applyBorder="1" applyProtection="1"/>
    <xf numFmtId="165" fontId="18" fillId="0" borderId="120" xfId="0" applyNumberFormat="1" applyFont="1" applyFill="1" applyBorder="1"/>
    <xf numFmtId="165" fontId="18" fillId="0" borderId="121" xfId="0" applyNumberFormat="1" applyFont="1" applyFill="1" applyBorder="1" applyProtection="1"/>
    <xf numFmtId="165" fontId="18" fillId="0" borderId="122" xfId="0" applyNumberFormat="1" applyFont="1" applyFill="1" applyBorder="1"/>
    <xf numFmtId="165" fontId="18" fillId="0" borderId="123" xfId="0" applyNumberFormat="1" applyFont="1" applyFill="1" applyBorder="1" applyProtection="1"/>
    <xf numFmtId="0" fontId="0" fillId="0" borderId="8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165" fontId="18" fillId="0" borderId="124" xfId="0" applyNumberFormat="1" applyFont="1" applyFill="1" applyBorder="1"/>
    <xf numFmtId="165" fontId="18" fillId="0" borderId="104" xfId="0" applyNumberFormat="1" applyFont="1" applyFill="1" applyBorder="1"/>
    <xf numFmtId="165" fontId="18" fillId="0" borderId="68" xfId="0" applyNumberFormat="1" applyFont="1" applyFill="1" applyBorder="1"/>
    <xf numFmtId="1" fontId="18" fillId="0" borderId="124" xfId="0" applyNumberFormat="1" applyFont="1" applyFill="1" applyBorder="1" applyProtection="1"/>
    <xf numFmtId="1" fontId="18" fillId="0" borderId="104" xfId="0" applyNumberFormat="1" applyFont="1" applyFill="1" applyBorder="1" applyProtection="1"/>
    <xf numFmtId="1" fontId="18" fillId="0" borderId="68" xfId="0" applyNumberFormat="1" applyFont="1" applyFill="1" applyBorder="1" applyProtection="1"/>
    <xf numFmtId="0" fontId="0" fillId="0" borderId="37" xfId="0" applyNumberFormat="1" applyFill="1" applyBorder="1" applyAlignment="1">
      <alignment horizontal="center"/>
    </xf>
    <xf numFmtId="0" fontId="0" fillId="0" borderId="38" xfId="0" applyNumberFormat="1" applyFill="1" applyBorder="1" applyAlignment="1">
      <alignment horizontal="center"/>
    </xf>
    <xf numFmtId="165" fontId="18" fillId="0" borderId="125" xfId="0" applyNumberFormat="1" applyFont="1" applyFill="1" applyBorder="1" applyProtection="1"/>
    <xf numFmtId="165" fontId="18" fillId="0" borderId="126" xfId="0" applyNumberFormat="1" applyFont="1" applyFill="1" applyBorder="1" applyProtection="1"/>
    <xf numFmtId="165" fontId="18" fillId="0" borderId="120" xfId="0" applyNumberFormat="1" applyFont="1" applyFill="1" applyBorder="1" applyProtection="1"/>
    <xf numFmtId="165" fontId="18" fillId="0" borderId="88" xfId="0" applyNumberFormat="1" applyFont="1" applyFill="1" applyBorder="1" applyProtection="1"/>
    <xf numFmtId="165" fontId="18" fillId="0" borderId="127" xfId="0" applyNumberFormat="1" applyFont="1" applyFill="1" applyBorder="1" applyProtection="1"/>
    <xf numFmtId="165" fontId="18" fillId="0" borderId="69" xfId="0" applyNumberFormat="1" applyFont="1" applyFill="1" applyBorder="1" applyProtection="1"/>
    <xf numFmtId="165" fontId="18" fillId="0" borderId="119" xfId="0" applyNumberFormat="1" applyFont="1" applyFill="1" applyBorder="1" applyProtection="1"/>
    <xf numFmtId="165" fontId="18" fillId="0" borderId="78" xfId="0" applyNumberFormat="1" applyFont="1" applyFill="1" applyBorder="1" applyProtection="1"/>
    <xf numFmtId="165" fontId="18" fillId="0" borderId="76" xfId="0" applyNumberFormat="1" applyFont="1" applyFill="1" applyBorder="1" applyProtection="1"/>
    <xf numFmtId="165" fontId="18" fillId="0" borderId="73" xfId="0" applyNumberFormat="1" applyFont="1" applyFill="1" applyBorder="1" applyProtection="1"/>
    <xf numFmtId="14" fontId="11" fillId="5" borderId="128" xfId="0" applyNumberFormat="1" applyFont="1" applyFill="1" applyBorder="1" applyAlignment="1" applyProtection="1">
      <alignment horizontal="center"/>
      <protection locked="0"/>
    </xf>
    <xf numFmtId="0" fontId="11" fillId="5" borderId="106" xfId="0" applyFont="1" applyFill="1" applyBorder="1" applyAlignment="1" applyProtection="1">
      <alignment horizontal="center"/>
      <protection locked="0"/>
    </xf>
    <xf numFmtId="0" fontId="11" fillId="5" borderId="52" xfId="0" applyFont="1" applyFill="1" applyBorder="1" applyAlignment="1" applyProtection="1">
      <alignment horizontal="center"/>
      <protection locked="0"/>
    </xf>
    <xf numFmtId="0" fontId="11" fillId="5" borderId="98" xfId="0" applyFont="1" applyFill="1" applyBorder="1" applyAlignment="1" applyProtection="1">
      <alignment horizontal="center"/>
      <protection locked="0"/>
    </xf>
    <xf numFmtId="0" fontId="11" fillId="0" borderId="129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53" xfId="0" applyFont="1" applyBorder="1" applyAlignment="1">
      <alignment horizontal="center"/>
    </xf>
    <xf numFmtId="1" fontId="18" fillId="5" borderId="130" xfId="0" applyNumberFormat="1" applyFont="1" applyFill="1" applyBorder="1" applyProtection="1">
      <protection locked="0"/>
    </xf>
    <xf numFmtId="1" fontId="18" fillId="0" borderId="105" xfId="0" applyNumberFormat="1" applyFont="1" applyBorder="1"/>
    <xf numFmtId="1" fontId="18" fillId="5" borderId="131" xfId="0" applyNumberFormat="1" applyFont="1" applyFill="1" applyBorder="1" applyProtection="1">
      <protection locked="0"/>
    </xf>
    <xf numFmtId="1" fontId="18" fillId="0" borderId="108" xfId="0" applyNumberFormat="1" applyFont="1" applyBorder="1"/>
    <xf numFmtId="1" fontId="18" fillId="5" borderId="51" xfId="0" applyNumberFormat="1" applyFont="1" applyFill="1" applyBorder="1" applyProtection="1">
      <protection locked="0"/>
    </xf>
    <xf numFmtId="1" fontId="18" fillId="5" borderId="53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1" fontId="18" fillId="5" borderId="1" xfId="0" applyNumberFormat="1" applyFont="1" applyFill="1" applyBorder="1" applyAlignment="1" applyProtection="1">
      <alignment horizontal="right"/>
      <protection locked="0"/>
    </xf>
    <xf numFmtId="1" fontId="18" fillId="5" borderId="1" xfId="0" applyNumberFormat="1" applyFont="1" applyFill="1" applyBorder="1" applyProtection="1">
      <protection locked="0"/>
    </xf>
    <xf numFmtId="1" fontId="18" fillId="5" borderId="73" xfId="0" applyNumberFormat="1" applyFont="1" applyFill="1" applyBorder="1" applyProtection="1">
      <protection locked="0"/>
    </xf>
    <xf numFmtId="1" fontId="18" fillId="5" borderId="70" xfId="0" applyNumberFormat="1" applyFont="1" applyFill="1" applyBorder="1" applyProtection="1">
      <protection locked="0"/>
    </xf>
    <xf numFmtId="1" fontId="18" fillId="5" borderId="71" xfId="0" applyNumberFormat="1" applyFont="1" applyFill="1" applyBorder="1" applyProtection="1">
      <protection locked="0"/>
    </xf>
    <xf numFmtId="1" fontId="18" fillId="5" borderId="76" xfId="0" applyNumberFormat="1" applyFont="1" applyFill="1" applyBorder="1" applyProtection="1">
      <protection locked="0"/>
    </xf>
    <xf numFmtId="1" fontId="18" fillId="5" borderId="68" xfId="0" applyNumberFormat="1" applyFont="1" applyFill="1" applyBorder="1" applyAlignment="1" applyProtection="1">
      <alignment horizontal="right"/>
      <protection locked="0"/>
    </xf>
    <xf numFmtId="1" fontId="18" fillId="0" borderId="70" xfId="0" applyNumberFormat="1" applyFont="1" applyFill="1" applyBorder="1" applyProtection="1">
      <protection locked="0"/>
    </xf>
    <xf numFmtId="1" fontId="18" fillId="0" borderId="72" xfId="0" applyNumberFormat="1" applyFont="1" applyFill="1" applyBorder="1" applyProtection="1">
      <protection locked="0"/>
    </xf>
    <xf numFmtId="1" fontId="18" fillId="0" borderId="68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Fill="1" applyBorder="1" applyAlignment="1" applyProtection="1">
      <alignment horizontal="right"/>
      <protection locked="0"/>
    </xf>
    <xf numFmtId="1" fontId="18" fillId="5" borderId="77" xfId="0" applyNumberFormat="1" applyFont="1" applyFill="1" applyBorder="1" applyProtection="1">
      <protection locked="0"/>
    </xf>
    <xf numFmtId="1" fontId="18" fillId="0" borderId="69" xfId="0" applyNumberFormat="1" applyFont="1" applyFill="1" applyBorder="1" applyProtection="1">
      <protection locked="0"/>
    </xf>
    <xf numFmtId="1" fontId="18" fillId="0" borderId="71" xfId="0" applyNumberFormat="1" applyFont="1" applyFill="1" applyBorder="1" applyProtection="1">
      <protection locked="0"/>
    </xf>
    <xf numFmtId="1" fontId="18" fillId="5" borderId="78" xfId="0" applyNumberFormat="1" applyFont="1" applyFill="1" applyBorder="1" applyProtection="1">
      <protection locked="0"/>
    </xf>
    <xf numFmtId="1" fontId="18" fillId="0" borderId="132" xfId="0" applyNumberFormat="1" applyFont="1" applyBorder="1"/>
    <xf numFmtId="1" fontId="18" fillId="0" borderId="80" xfId="0" applyNumberFormat="1" applyFont="1" applyBorder="1"/>
    <xf numFmtId="1" fontId="18" fillId="0" borderId="51" xfId="0" applyNumberFormat="1" applyFont="1" applyBorder="1"/>
    <xf numFmtId="1" fontId="18" fillId="0" borderId="52" xfId="0" applyNumberFormat="1" applyFont="1" applyBorder="1"/>
    <xf numFmtId="1" fontId="18" fillId="0" borderId="53" xfId="0" applyNumberFormat="1" applyFont="1" applyBorder="1"/>
    <xf numFmtId="1" fontId="18" fillId="0" borderId="98" xfId="0" applyNumberFormat="1" applyFont="1" applyBorder="1"/>
    <xf numFmtId="0" fontId="0" fillId="0" borderId="133" xfId="0" applyFill="1" applyBorder="1" applyAlignment="1">
      <alignment horizontal="center"/>
    </xf>
    <xf numFmtId="0" fontId="0" fillId="0" borderId="104" xfId="0" applyFill="1" applyBorder="1" applyAlignment="1">
      <alignment horizontal="center"/>
    </xf>
    <xf numFmtId="0" fontId="0" fillId="0" borderId="134" xfId="0" applyBorder="1" applyAlignment="1">
      <alignment horizontal="center"/>
    </xf>
    <xf numFmtId="0" fontId="18" fillId="5" borderId="135" xfId="0" applyFont="1" applyFill="1" applyBorder="1" applyProtection="1">
      <protection locked="0"/>
    </xf>
    <xf numFmtId="0" fontId="18" fillId="5" borderId="136" xfId="0" applyFont="1" applyFill="1" applyBorder="1" applyProtection="1">
      <protection locked="0"/>
    </xf>
    <xf numFmtId="0" fontId="18" fillId="5" borderId="137" xfId="0" applyFont="1" applyFill="1" applyBorder="1" applyProtection="1">
      <protection locked="0"/>
    </xf>
    <xf numFmtId="0" fontId="0" fillId="0" borderId="138" xfId="0" applyBorder="1" applyAlignment="1">
      <alignment horizontal="center"/>
    </xf>
    <xf numFmtId="0" fontId="0" fillId="0" borderId="139" xfId="0" applyBorder="1" applyAlignment="1">
      <alignment horizontal="center"/>
    </xf>
    <xf numFmtId="0" fontId="18" fillId="5" borderId="140" xfId="0" applyFont="1" applyFill="1" applyBorder="1" applyProtection="1">
      <protection locked="0"/>
    </xf>
    <xf numFmtId="0" fontId="18" fillId="5" borderId="141" xfId="0" applyFont="1" applyFill="1" applyBorder="1" applyProtection="1">
      <protection locked="0"/>
    </xf>
    <xf numFmtId="0" fontId="18" fillId="5" borderId="142" xfId="0" applyFont="1" applyFill="1" applyBorder="1" applyProtection="1">
      <protection locked="0"/>
    </xf>
    <xf numFmtId="0" fontId="18" fillId="5" borderId="143" xfId="0" applyFont="1" applyFill="1" applyBorder="1" applyProtection="1">
      <protection locked="0"/>
    </xf>
    <xf numFmtId="1" fontId="18" fillId="5" borderId="144" xfId="0" applyNumberFormat="1" applyFont="1" applyFill="1" applyBorder="1" applyProtection="1">
      <protection locked="0"/>
    </xf>
    <xf numFmtId="1" fontId="18" fillId="5" borderId="145" xfId="0" applyNumberFormat="1" applyFont="1" applyFill="1" applyBorder="1" applyProtection="1">
      <protection locked="0"/>
    </xf>
    <xf numFmtId="1" fontId="18" fillId="5" borderId="146" xfId="0" applyNumberFormat="1" applyFont="1" applyFill="1" applyBorder="1" applyProtection="1">
      <protection locked="0"/>
    </xf>
    <xf numFmtId="167" fontId="2" fillId="2" borderId="0" xfId="0" applyNumberFormat="1" applyFont="1" applyFill="1" applyBorder="1"/>
    <xf numFmtId="167" fontId="0" fillId="4" borderId="147" xfId="0" applyNumberFormat="1" applyFill="1" applyBorder="1"/>
    <xf numFmtId="167" fontId="0" fillId="4" borderId="72" xfId="0" applyNumberFormat="1" applyFill="1" applyBorder="1"/>
    <xf numFmtId="167" fontId="0" fillId="4" borderId="74" xfId="0" applyNumberFormat="1" applyFill="1" applyBorder="1"/>
    <xf numFmtId="167" fontId="18" fillId="2" borderId="0" xfId="0" applyNumberFormat="1" applyFont="1" applyFill="1" applyBorder="1"/>
    <xf numFmtId="167" fontId="0" fillId="4" borderId="79" xfId="0" applyNumberFormat="1" applyFill="1" applyBorder="1"/>
    <xf numFmtId="167" fontId="0" fillId="4" borderId="132" xfId="0" applyNumberFormat="1" applyFill="1" applyBorder="1"/>
    <xf numFmtId="167" fontId="0" fillId="4" borderId="51" xfId="0" applyNumberFormat="1" applyFill="1" applyBorder="1"/>
    <xf numFmtId="167" fontId="2" fillId="4" borderId="51" xfId="0" applyNumberFormat="1" applyFont="1" applyFill="1" applyBorder="1"/>
    <xf numFmtId="167" fontId="0" fillId="4" borderId="53" xfId="0" applyNumberFormat="1" applyFill="1" applyBorder="1"/>
    <xf numFmtId="167" fontId="0" fillId="2" borderId="0" xfId="0" applyNumberFormat="1" applyFill="1" applyBorder="1"/>
    <xf numFmtId="1" fontId="18" fillId="2" borderId="0" xfId="0" applyNumberFormat="1" applyFont="1" applyFill="1" applyBorder="1"/>
    <xf numFmtId="1" fontId="18" fillId="6" borderId="0" xfId="0" applyNumberFormat="1" applyFont="1" applyFill="1"/>
    <xf numFmtId="1" fontId="18" fillId="2" borderId="0" xfId="0" applyNumberFormat="1" applyFont="1" applyFill="1"/>
    <xf numFmtId="1" fontId="18" fillId="2" borderId="0" xfId="0" applyNumberFormat="1" applyFont="1" applyFill="1" applyBorder="1" applyAlignment="1">
      <alignment horizontal="right"/>
    </xf>
    <xf numFmtId="1" fontId="0" fillId="0" borderId="72" xfId="0" applyNumberFormat="1" applyBorder="1"/>
    <xf numFmtId="1" fontId="0" fillId="0" borderId="1" xfId="0" applyNumberFormat="1" applyBorder="1"/>
    <xf numFmtId="1" fontId="0" fillId="0" borderId="71" xfId="0" applyNumberFormat="1" applyBorder="1"/>
    <xf numFmtId="1" fontId="0" fillId="0" borderId="74" xfId="0" applyNumberFormat="1" applyBorder="1"/>
    <xf numFmtId="1" fontId="0" fillId="0" borderId="73" xfId="0" applyNumberFormat="1" applyBorder="1"/>
    <xf numFmtId="1" fontId="0" fillId="0" borderId="76" xfId="0" applyNumberFormat="1" applyBorder="1"/>
    <xf numFmtId="0" fontId="0" fillId="0" borderId="70" xfId="0" applyFill="1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0" fillId="0" borderId="69" xfId="0" applyFill="1" applyBorder="1" applyAlignment="1">
      <alignment horizontal="center"/>
    </xf>
    <xf numFmtId="0" fontId="0" fillId="0" borderId="148" xfId="0" applyFill="1" applyBorder="1" applyAlignment="1">
      <alignment horizontal="center"/>
    </xf>
    <xf numFmtId="0" fontId="11" fillId="0" borderId="0" xfId="0" applyFont="1"/>
    <xf numFmtId="164" fontId="18" fillId="0" borderId="93" xfId="0" applyNumberFormat="1" applyFont="1" applyBorder="1"/>
    <xf numFmtId="164" fontId="18" fillId="0" borderId="149" xfId="0" applyNumberFormat="1" applyFont="1" applyBorder="1"/>
    <xf numFmtId="2" fontId="18" fillId="0" borderId="52" xfId="0" applyNumberFormat="1" applyFont="1" applyBorder="1"/>
    <xf numFmtId="2" fontId="18" fillId="0" borderId="98" xfId="0" applyNumberFormat="1" applyFont="1" applyBorder="1"/>
    <xf numFmtId="0" fontId="0" fillId="0" borderId="26" xfId="0" quotePrefix="1" applyBorder="1" applyAlignment="1">
      <alignment horizontal="center"/>
    </xf>
    <xf numFmtId="0" fontId="0" fillId="0" borderId="150" xfId="0" quotePrefix="1" applyBorder="1" applyAlignment="1">
      <alignment horizontal="center"/>
    </xf>
    <xf numFmtId="0" fontId="0" fillId="0" borderId="151" xfId="0" applyBorder="1" applyAlignment="1">
      <alignment horizontal="center"/>
    </xf>
    <xf numFmtId="0" fontId="20" fillId="0" borderId="152" xfId="0" applyFont="1" applyBorder="1" applyAlignment="1">
      <alignment horizontal="center"/>
    </xf>
    <xf numFmtId="0" fontId="0" fillId="0" borderId="153" xfId="0" applyBorder="1" applyAlignment="1">
      <alignment horizontal="center"/>
    </xf>
    <xf numFmtId="164" fontId="0" fillId="0" borderId="153" xfId="0" applyNumberFormat="1" applyBorder="1" applyAlignment="1">
      <alignment horizontal="center"/>
    </xf>
    <xf numFmtId="1" fontId="0" fillId="0" borderId="153" xfId="0" applyNumberFormat="1" applyBorder="1" applyAlignment="1">
      <alignment horizontal="center"/>
    </xf>
    <xf numFmtId="0" fontId="20" fillId="0" borderId="154" xfId="0" applyFont="1" applyBorder="1" applyAlignment="1">
      <alignment horizontal="center"/>
    </xf>
    <xf numFmtId="0" fontId="0" fillId="0" borderId="155" xfId="0" applyBorder="1" applyAlignment="1">
      <alignment horizontal="center"/>
    </xf>
    <xf numFmtId="164" fontId="0" fillId="0" borderId="155" xfId="0" applyNumberFormat="1" applyBorder="1" applyAlignment="1">
      <alignment horizontal="center"/>
    </xf>
    <xf numFmtId="1" fontId="0" fillId="0" borderId="155" xfId="0" applyNumberFormat="1" applyBorder="1" applyAlignment="1">
      <alignment horizontal="center"/>
    </xf>
    <xf numFmtId="166" fontId="2" fillId="0" borderId="156" xfId="0" applyNumberFormat="1" applyFont="1" applyBorder="1" applyAlignment="1">
      <alignment horizontal="right"/>
    </xf>
    <xf numFmtId="166" fontId="2" fillId="0" borderId="157" xfId="0" applyNumberFormat="1" applyFont="1" applyBorder="1" applyAlignment="1">
      <alignment horizontal="right"/>
    </xf>
    <xf numFmtId="166" fontId="2" fillId="0" borderId="158" xfId="0" applyNumberFormat="1" applyFont="1" applyBorder="1" applyAlignment="1">
      <alignment horizontal="right"/>
    </xf>
    <xf numFmtId="0" fontId="0" fillId="0" borderId="22" xfId="0" quotePrefix="1" applyBorder="1" applyAlignment="1">
      <alignment horizontal="center"/>
    </xf>
    <xf numFmtId="2" fontId="18" fillId="0" borderId="159" xfId="0" applyNumberFormat="1" applyFont="1" applyBorder="1"/>
    <xf numFmtId="2" fontId="18" fillId="0" borderId="160" xfId="0" applyNumberFormat="1" applyFont="1" applyBorder="1"/>
    <xf numFmtId="164" fontId="0" fillId="0" borderId="161" xfId="0" applyNumberFormat="1" applyBorder="1" applyAlignment="1">
      <alignment horizontal="center"/>
    </xf>
    <xf numFmtId="164" fontId="0" fillId="0" borderId="162" xfId="0" applyNumberFormat="1" applyBorder="1" applyAlignment="1">
      <alignment horizontal="center"/>
    </xf>
    <xf numFmtId="0" fontId="0" fillId="0" borderId="163" xfId="0" applyBorder="1" applyAlignment="1">
      <alignment horizontal="center"/>
    </xf>
    <xf numFmtId="0" fontId="0" fillId="0" borderId="164" xfId="0" applyBorder="1" applyAlignment="1">
      <alignment horizontal="center"/>
    </xf>
    <xf numFmtId="1" fontId="18" fillId="5" borderId="165" xfId="0" applyNumberFormat="1" applyFont="1" applyFill="1" applyBorder="1" applyProtection="1">
      <protection locked="0"/>
    </xf>
    <xf numFmtId="1" fontId="18" fillId="5" borderId="166" xfId="0" applyNumberFormat="1" applyFont="1" applyFill="1" applyBorder="1" applyProtection="1">
      <protection locked="0"/>
    </xf>
    <xf numFmtId="1" fontId="0" fillId="0" borderId="0" xfId="0" applyNumberFormat="1" applyProtection="1">
      <protection locked="0"/>
    </xf>
    <xf numFmtId="1" fontId="18" fillId="5" borderId="103" xfId="0" applyNumberFormat="1" applyFont="1" applyFill="1" applyBorder="1" applyProtection="1">
      <protection locked="0"/>
    </xf>
    <xf numFmtId="1" fontId="18" fillId="5" borderId="0" xfId="0" applyNumberFormat="1" applyFont="1" applyFill="1" applyBorder="1" applyProtection="1">
      <protection locked="0"/>
    </xf>
    <xf numFmtId="1" fontId="0" fillId="6" borderId="0" xfId="0" applyNumberFormat="1" applyFill="1"/>
    <xf numFmtId="0" fontId="0" fillId="6" borderId="0" xfId="0" applyFill="1"/>
    <xf numFmtId="0" fontId="0" fillId="0" borderId="0" xfId="0" applyFill="1" applyBorder="1" applyAlignment="1">
      <alignment horizontal="center"/>
    </xf>
    <xf numFmtId="0" fontId="0" fillId="0" borderId="0" xfId="0" quotePrefix="1"/>
    <xf numFmtId="166" fontId="0" fillId="0" borderId="0" xfId="0" applyNumberFormat="1"/>
    <xf numFmtId="2" fontId="18" fillId="0" borderId="85" xfId="0" applyNumberFormat="1" applyFont="1" applyBorder="1"/>
    <xf numFmtId="2" fontId="18" fillId="0" borderId="0" xfId="0" applyNumberFormat="1" applyFont="1" applyBorder="1"/>
    <xf numFmtId="2" fontId="18" fillId="0" borderId="95" xfId="0" applyNumberFormat="1" applyFont="1" applyBorder="1"/>
    <xf numFmtId="166" fontId="18" fillId="0" borderId="97" xfId="0" applyNumberFormat="1" applyFont="1" applyBorder="1"/>
    <xf numFmtId="166" fontId="18" fillId="0" borderId="100" xfId="0" applyNumberFormat="1" applyFont="1" applyBorder="1"/>
    <xf numFmtId="2" fontId="18" fillId="5" borderId="1" xfId="0" applyNumberFormat="1" applyFont="1" applyFill="1" applyBorder="1" applyProtection="1">
      <protection locked="0"/>
    </xf>
    <xf numFmtId="2" fontId="18" fillId="5" borderId="71" xfId="0" applyNumberFormat="1" applyFont="1" applyFill="1" applyBorder="1" applyProtection="1">
      <protection locked="0"/>
    </xf>
    <xf numFmtId="2" fontId="18" fillId="5" borderId="77" xfId="0" applyNumberFormat="1" applyFont="1" applyFill="1" applyBorder="1" applyProtection="1">
      <protection locked="0"/>
    </xf>
    <xf numFmtId="2" fontId="18" fillId="5" borderId="78" xfId="0" applyNumberFormat="1" applyFont="1" applyFill="1" applyBorder="1" applyProtection="1">
      <protection locked="0"/>
    </xf>
    <xf numFmtId="2" fontId="18" fillId="5" borderId="73" xfId="0" applyNumberFormat="1" applyFont="1" applyFill="1" applyBorder="1" applyProtection="1">
      <protection locked="0"/>
    </xf>
    <xf numFmtId="2" fontId="18" fillId="5" borderId="76" xfId="0" applyNumberFormat="1" applyFont="1" applyFill="1" applyBorder="1" applyProtection="1">
      <protection locked="0"/>
    </xf>
    <xf numFmtId="0" fontId="0" fillId="0" borderId="104" xfId="0" quotePrefix="1" applyFill="1" applyBorder="1" applyAlignment="1">
      <alignment horizontal="center"/>
    </xf>
    <xf numFmtId="0" fontId="0" fillId="0" borderId="88" xfId="0" applyFill="1" applyBorder="1" applyAlignment="1">
      <alignment horizontal="center"/>
    </xf>
    <xf numFmtId="2" fontId="18" fillId="5" borderId="68" xfId="0" applyNumberFormat="1" applyFont="1" applyFill="1" applyBorder="1" applyProtection="1">
      <protection locked="0"/>
    </xf>
    <xf numFmtId="2" fontId="18" fillId="5" borderId="69" xfId="0" applyNumberFormat="1" applyFont="1" applyFill="1" applyBorder="1" applyProtection="1">
      <protection locked="0"/>
    </xf>
    <xf numFmtId="0" fontId="0" fillId="0" borderId="167" xfId="0" applyFill="1" applyBorder="1" applyAlignment="1">
      <alignment horizontal="center"/>
    </xf>
    <xf numFmtId="0" fontId="0" fillId="0" borderId="168" xfId="0" applyFill="1" applyBorder="1" applyAlignment="1">
      <alignment horizontal="center"/>
    </xf>
    <xf numFmtId="0" fontId="0" fillId="0" borderId="169" xfId="0" applyFill="1" applyBorder="1" applyAlignment="1">
      <alignment horizontal="center"/>
    </xf>
    <xf numFmtId="0" fontId="0" fillId="0" borderId="148" xfId="0" applyFill="1" applyBorder="1" applyAlignment="1">
      <alignment horizontal="left"/>
    </xf>
    <xf numFmtId="0" fontId="0" fillId="0" borderId="170" xfId="0" applyFill="1" applyBorder="1" applyAlignment="1">
      <alignment horizontal="left"/>
    </xf>
    <xf numFmtId="0" fontId="0" fillId="0" borderId="171" xfId="0" applyFill="1" applyBorder="1" applyAlignment="1">
      <alignment horizontal="left"/>
    </xf>
    <xf numFmtId="0" fontId="0" fillId="0" borderId="121" xfId="0" applyFill="1" applyBorder="1" applyAlignment="1">
      <alignment horizontal="center"/>
    </xf>
    <xf numFmtId="0" fontId="0" fillId="0" borderId="172" xfId="0" applyFill="1" applyBorder="1" applyAlignment="1">
      <alignment horizontal="center"/>
    </xf>
    <xf numFmtId="0" fontId="0" fillId="0" borderId="173" xfId="0" applyFill="1" applyBorder="1" applyAlignment="1">
      <alignment horizontal="center"/>
    </xf>
    <xf numFmtId="1" fontId="18" fillId="0" borderId="174" xfId="0" applyNumberFormat="1" applyFont="1" applyFill="1" applyBorder="1" applyProtection="1"/>
    <xf numFmtId="2" fontId="18" fillId="0" borderId="68" xfId="0" applyNumberFormat="1" applyFont="1" applyFill="1" applyBorder="1" applyProtection="1"/>
    <xf numFmtId="2" fontId="18" fillId="0" borderId="127" xfId="0" applyNumberFormat="1" applyFont="1" applyFill="1" applyBorder="1" applyProtection="1"/>
    <xf numFmtId="2" fontId="18" fillId="0" borderId="1" xfId="0" applyNumberFormat="1" applyFont="1" applyFill="1" applyBorder="1" applyProtection="1"/>
    <xf numFmtId="2" fontId="18" fillId="0" borderId="145" xfId="0" applyNumberFormat="1" applyFont="1" applyFill="1" applyBorder="1" applyProtection="1"/>
    <xf numFmtId="2" fontId="18" fillId="0" borderId="77" xfId="0" applyNumberFormat="1" applyFont="1" applyFill="1" applyBorder="1" applyProtection="1"/>
    <xf numFmtId="2" fontId="18" fillId="0" borderId="119" xfId="0" applyNumberFormat="1" applyFont="1" applyFill="1" applyBorder="1" applyProtection="1"/>
    <xf numFmtId="2" fontId="18" fillId="0" borderId="73" xfId="0" applyNumberFormat="1" applyFont="1" applyFill="1" applyBorder="1" applyProtection="1"/>
    <xf numFmtId="2" fontId="18" fillId="0" borderId="146" xfId="0" applyNumberFormat="1" applyFont="1" applyFill="1" applyBorder="1" applyProtection="1"/>
    <xf numFmtId="1" fontId="18" fillId="0" borderId="70" xfId="0" applyNumberFormat="1" applyFont="1" applyFill="1" applyBorder="1" applyProtection="1"/>
    <xf numFmtId="1" fontId="18" fillId="0" borderId="72" xfId="0" applyNumberFormat="1" applyFont="1" applyFill="1" applyBorder="1" applyProtection="1"/>
    <xf numFmtId="1" fontId="18" fillId="0" borderId="79" xfId="0" applyNumberFormat="1" applyFont="1" applyFill="1" applyBorder="1" applyProtection="1"/>
    <xf numFmtId="1" fontId="18" fillId="0" borderId="74" xfId="0" applyNumberFormat="1" applyFont="1" applyFill="1" applyBorder="1" applyProtection="1"/>
    <xf numFmtId="1" fontId="18" fillId="0" borderId="73" xfId="0" applyNumberFormat="1" applyFont="1" applyFill="1" applyBorder="1" applyProtection="1"/>
    <xf numFmtId="164" fontId="18" fillId="0" borderId="174" xfId="0" applyNumberFormat="1" applyFont="1" applyFill="1" applyBorder="1" applyProtection="1"/>
    <xf numFmtId="164" fontId="18" fillId="0" borderId="68" xfId="0" applyNumberFormat="1" applyFont="1" applyFill="1" applyBorder="1" applyProtection="1"/>
    <xf numFmtId="164" fontId="18" fillId="0" borderId="116" xfId="0" applyNumberFormat="1" applyFont="1" applyFill="1" applyBorder="1" applyProtection="1"/>
    <xf numFmtId="164" fontId="18" fillId="0" borderId="1" xfId="0" applyNumberFormat="1" applyFont="1" applyFill="1" applyBorder="1" applyProtection="1"/>
    <xf numFmtId="164" fontId="18" fillId="0" borderId="117" xfId="0" applyNumberFormat="1" applyFont="1" applyFill="1" applyBorder="1" applyProtection="1"/>
    <xf numFmtId="164" fontId="18" fillId="0" borderId="77" xfId="0" applyNumberFormat="1" applyFont="1" applyFill="1" applyBorder="1" applyProtection="1"/>
    <xf numFmtId="164" fontId="18" fillId="0" borderId="118" xfId="0" applyNumberFormat="1" applyFont="1" applyFill="1" applyBorder="1" applyProtection="1"/>
    <xf numFmtId="164" fontId="18" fillId="0" borderId="73" xfId="0" applyNumberFormat="1" applyFont="1" applyFill="1" applyBorder="1" applyProtection="1"/>
    <xf numFmtId="1" fontId="18" fillId="0" borderId="1" xfId="0" applyNumberFormat="1" applyFont="1" applyFill="1" applyBorder="1" applyProtection="1"/>
    <xf numFmtId="1" fontId="18" fillId="0" borderId="77" xfId="0" applyNumberFormat="1" applyFont="1" applyFill="1" applyBorder="1" applyProtection="1"/>
    <xf numFmtId="0" fontId="0" fillId="0" borderId="120" xfId="0" applyFill="1" applyBorder="1" applyAlignment="1">
      <alignment horizontal="center"/>
    </xf>
    <xf numFmtId="164" fontId="18" fillId="0" borderId="69" xfId="0" applyNumberFormat="1" applyFont="1" applyFill="1" applyBorder="1" applyProtection="1"/>
    <xf numFmtId="164" fontId="18" fillId="0" borderId="71" xfId="0" applyNumberFormat="1" applyFont="1" applyFill="1" applyBorder="1" applyProtection="1"/>
    <xf numFmtId="164" fontId="18" fillId="0" borderId="78" xfId="0" applyNumberFormat="1" applyFont="1" applyFill="1" applyBorder="1" applyProtection="1"/>
    <xf numFmtId="164" fontId="18" fillId="0" borderId="76" xfId="0" applyNumberFormat="1" applyFont="1" applyFill="1" applyBorder="1" applyProtection="1"/>
    <xf numFmtId="1" fontId="0" fillId="0" borderId="175" xfId="0" applyNumberFormat="1" applyBorder="1" applyAlignment="1" applyProtection="1">
      <alignment horizontal="center"/>
      <protection locked="0"/>
    </xf>
    <xf numFmtId="1" fontId="0" fillId="0" borderId="176" xfId="0" applyNumberFormat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center"/>
    </xf>
    <xf numFmtId="0" fontId="0" fillId="2" borderId="0" xfId="0" applyFill="1" applyBorder="1" applyProtection="1"/>
    <xf numFmtId="0" fontId="2" fillId="2" borderId="0" xfId="0" applyFont="1" applyFill="1" applyBorder="1"/>
    <xf numFmtId="0" fontId="5" fillId="2" borderId="0" xfId="0" applyFont="1" applyFill="1" applyBorder="1" applyAlignment="1" applyProtection="1">
      <alignment horizontal="left"/>
    </xf>
    <xf numFmtId="14" fontId="0" fillId="2" borderId="0" xfId="0" applyNumberFormat="1" applyFill="1" applyBorder="1" applyAlignment="1" applyProtection="1">
      <alignment horizontal="center"/>
    </xf>
    <xf numFmtId="0" fontId="0" fillId="2" borderId="0" xfId="0" applyFill="1" applyProtection="1"/>
    <xf numFmtId="0" fontId="0" fillId="2" borderId="0" xfId="0" applyFill="1" applyBorder="1" applyAlignment="1" applyProtection="1"/>
    <xf numFmtId="0" fontId="11" fillId="2" borderId="0" xfId="0" applyFont="1" applyFill="1" applyProtection="1"/>
    <xf numFmtId="0" fontId="0" fillId="0" borderId="0" xfId="0" applyAlignment="1" applyProtection="1">
      <alignment horizontal="center"/>
    </xf>
    <xf numFmtId="0" fontId="12" fillId="0" borderId="0" xfId="0" applyFont="1" applyFill="1" applyBorder="1" applyAlignment="1" applyProtection="1">
      <alignment horizontal="center"/>
    </xf>
    <xf numFmtId="0" fontId="0" fillId="0" borderId="0" xfId="0" applyAlignment="1" applyProtection="1"/>
    <xf numFmtId="0" fontId="11" fillId="0" borderId="177" xfId="0" applyFont="1" applyBorder="1" applyAlignment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0" borderId="79" xfId="0" applyFill="1" applyBorder="1" applyAlignment="1" applyProtection="1">
      <alignment horizontal="center"/>
    </xf>
    <xf numFmtId="0" fontId="0" fillId="0" borderId="77" xfId="0" applyFill="1" applyBorder="1" applyAlignment="1" applyProtection="1">
      <alignment horizontal="center"/>
    </xf>
    <xf numFmtId="0" fontId="0" fillId="0" borderId="78" xfId="0" applyFill="1" applyBorder="1" applyAlignment="1" applyProtection="1">
      <alignment horizontal="center"/>
    </xf>
    <xf numFmtId="0" fontId="0" fillId="4" borderId="16" xfId="0" applyFill="1" applyBorder="1" applyAlignment="1" applyProtection="1">
      <alignment horizontal="center"/>
    </xf>
    <xf numFmtId="0" fontId="0" fillId="4" borderId="47" xfId="0" applyFill="1" applyBorder="1" applyAlignment="1" applyProtection="1">
      <alignment horizontal="center"/>
    </xf>
    <xf numFmtId="0" fontId="0" fillId="0" borderId="40" xfId="0" applyFill="1" applyBorder="1" applyAlignment="1" applyProtection="1">
      <alignment horizontal="center"/>
    </xf>
    <xf numFmtId="0" fontId="0" fillId="0" borderId="42" xfId="0" applyFill="1" applyBorder="1" applyAlignment="1" applyProtection="1">
      <alignment horizontal="center"/>
    </xf>
    <xf numFmtId="0" fontId="0" fillId="0" borderId="27" xfId="0" applyFill="1" applyBorder="1" applyAlignment="1" applyProtection="1">
      <alignment horizontal="center"/>
    </xf>
    <xf numFmtId="167" fontId="0" fillId="4" borderId="147" xfId="0" applyNumberFormat="1" applyFill="1" applyBorder="1" applyAlignment="1" applyProtection="1">
      <alignment horizontal="center"/>
    </xf>
    <xf numFmtId="0" fontId="18" fillId="4" borderId="75" xfId="0" applyNumberFormat="1" applyFont="1" applyFill="1" applyBorder="1" applyAlignment="1" applyProtection="1">
      <alignment horizontal="center"/>
    </xf>
    <xf numFmtId="1" fontId="18" fillId="5" borderId="174" xfId="0" applyNumberFormat="1" applyFont="1" applyFill="1" applyBorder="1" applyProtection="1">
      <protection locked="0"/>
    </xf>
    <xf numFmtId="1" fontId="18" fillId="0" borderId="71" xfId="0" applyNumberFormat="1" applyFont="1" applyFill="1" applyBorder="1" applyAlignment="1" applyProtection="1"/>
    <xf numFmtId="167" fontId="0" fillId="4" borderId="72" xfId="0" applyNumberFormat="1" applyFill="1" applyBorder="1" applyAlignment="1" applyProtection="1">
      <alignment horizontal="center"/>
    </xf>
    <xf numFmtId="0" fontId="18" fillId="4" borderId="71" xfId="0" applyNumberFormat="1" applyFont="1" applyFill="1" applyBorder="1" applyAlignment="1" applyProtection="1">
      <alignment horizontal="center"/>
    </xf>
    <xf numFmtId="1" fontId="18" fillId="5" borderId="116" xfId="0" applyNumberFormat="1" applyFont="1" applyFill="1" applyBorder="1" applyProtection="1">
      <protection locked="0"/>
    </xf>
    <xf numFmtId="167" fontId="0" fillId="4" borderId="74" xfId="0" applyNumberFormat="1" applyFill="1" applyBorder="1" applyAlignment="1" applyProtection="1">
      <alignment horizontal="center"/>
    </xf>
    <xf numFmtId="0" fontId="18" fillId="4" borderId="76" xfId="0" applyNumberFormat="1" applyFont="1" applyFill="1" applyBorder="1" applyAlignment="1" applyProtection="1">
      <alignment horizontal="center"/>
    </xf>
    <xf numFmtId="1" fontId="18" fillId="5" borderId="118" xfId="0" applyNumberFormat="1" applyFont="1" applyFill="1" applyBorder="1" applyProtection="1">
      <protection locked="0"/>
    </xf>
    <xf numFmtId="0" fontId="0" fillId="0" borderId="0" xfId="0" applyAlignment="1"/>
    <xf numFmtId="0" fontId="11" fillId="2" borderId="0" xfId="0" applyFont="1" applyFill="1" applyBorder="1" applyProtection="1"/>
    <xf numFmtId="0" fontId="2" fillId="0" borderId="0" xfId="0" applyFont="1" applyFill="1" applyBorder="1" applyAlignment="1" applyProtection="1">
      <alignment horizontal="center"/>
    </xf>
    <xf numFmtId="0" fontId="0" fillId="0" borderId="119" xfId="0" applyFill="1" applyBorder="1" applyAlignment="1" applyProtection="1">
      <alignment horizontal="center"/>
    </xf>
    <xf numFmtId="0" fontId="0" fillId="0" borderId="178" xfId="0" applyFill="1" applyBorder="1" applyAlignment="1" applyProtection="1">
      <alignment horizontal="center"/>
    </xf>
    <xf numFmtId="167" fontId="0" fillId="4" borderId="147" xfId="0" applyNumberFormat="1" applyFill="1" applyBorder="1" applyProtection="1"/>
    <xf numFmtId="167" fontId="0" fillId="4" borderId="72" xfId="0" applyNumberFormat="1" applyFill="1" applyBorder="1" applyProtection="1"/>
    <xf numFmtId="167" fontId="0" fillId="4" borderId="74" xfId="0" applyNumberFormat="1" applyFill="1" applyBorder="1" applyProtection="1"/>
    <xf numFmtId="14" fontId="9" fillId="5" borderId="0" xfId="0" applyNumberFormat="1" applyFont="1" applyFill="1" applyBorder="1" applyAlignment="1" applyProtection="1">
      <alignment horizontal="center"/>
      <protection locked="0"/>
    </xf>
    <xf numFmtId="1" fontId="9" fillId="5" borderId="0" xfId="0" applyNumberFormat="1" applyFont="1" applyFill="1" applyBorder="1" applyAlignment="1" applyProtection="1">
      <alignment horizontal="center"/>
      <protection locked="0"/>
    </xf>
    <xf numFmtId="1" fontId="18" fillId="5" borderId="69" xfId="0" applyNumberFormat="1" applyFont="1" applyFill="1" applyBorder="1" applyProtection="1">
      <protection locked="0"/>
    </xf>
    <xf numFmtId="14" fontId="18" fillId="5" borderId="128" xfId="0" applyNumberFormat="1" applyFont="1" applyFill="1" applyBorder="1" applyAlignment="1" applyProtection="1">
      <alignment horizontal="center"/>
      <protection locked="0"/>
    </xf>
    <xf numFmtId="0" fontId="11" fillId="5" borderId="179" xfId="0" applyFont="1" applyFill="1" applyBorder="1" applyAlignment="1" applyProtection="1">
      <alignment horizontal="center"/>
      <protection locked="0"/>
    </xf>
    <xf numFmtId="0" fontId="11" fillId="5" borderId="180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Border="1" applyAlignment="1" applyProtection="1">
      <alignment horizontal="center"/>
    </xf>
    <xf numFmtId="0" fontId="0" fillId="0" borderId="181" xfId="0" applyFill="1" applyBorder="1" applyAlignment="1" applyProtection="1">
      <alignment horizontal="center"/>
    </xf>
    <xf numFmtId="0" fontId="0" fillId="0" borderId="182" xfId="0" applyFill="1" applyBorder="1" applyAlignment="1" applyProtection="1">
      <alignment horizontal="center"/>
    </xf>
    <xf numFmtId="0" fontId="18" fillId="4" borderId="183" xfId="0" applyNumberFormat="1" applyFont="1" applyFill="1" applyBorder="1" applyAlignment="1" applyProtection="1">
      <alignment horizontal="center"/>
    </xf>
    <xf numFmtId="0" fontId="18" fillId="4" borderId="145" xfId="0" applyNumberFormat="1" applyFont="1" applyFill="1" applyBorder="1" applyAlignment="1" applyProtection="1">
      <alignment horizontal="center"/>
    </xf>
    <xf numFmtId="0" fontId="18" fillId="4" borderId="146" xfId="0" applyNumberFormat="1" applyFont="1" applyFill="1" applyBorder="1" applyAlignment="1" applyProtection="1">
      <alignment horizontal="center"/>
    </xf>
    <xf numFmtId="14" fontId="5" fillId="2" borderId="0" xfId="0" applyNumberFormat="1" applyFont="1" applyFill="1" applyBorder="1" applyAlignment="1" applyProtection="1">
      <alignment horizontal="center"/>
    </xf>
    <xf numFmtId="0" fontId="22" fillId="2" borderId="0" xfId="0" applyFont="1" applyFill="1" applyBorder="1" applyProtection="1"/>
    <xf numFmtId="0" fontId="2" fillId="2" borderId="0" xfId="0" applyFont="1" applyFill="1" applyBorder="1" applyProtection="1"/>
    <xf numFmtId="166" fontId="18" fillId="4" borderId="184" xfId="0" applyNumberFormat="1" applyFont="1" applyFill="1" applyBorder="1" applyProtection="1">
      <protection locked="0"/>
    </xf>
    <xf numFmtId="0" fontId="22" fillId="6" borderId="185" xfId="0" applyFont="1" applyFill="1" applyBorder="1" applyProtection="1"/>
    <xf numFmtId="166" fontId="18" fillId="4" borderId="76" xfId="0" applyNumberFormat="1" applyFont="1" applyFill="1" applyBorder="1" applyProtection="1">
      <protection locked="0"/>
    </xf>
    <xf numFmtId="0" fontId="11" fillId="5" borderId="186" xfId="0" applyFont="1" applyFill="1" applyBorder="1" applyAlignment="1" applyProtection="1">
      <alignment horizontal="center"/>
      <protection locked="0"/>
    </xf>
    <xf numFmtId="168" fontId="0" fillId="2" borderId="0" xfId="0" applyNumberFormat="1" applyFill="1" applyBorder="1"/>
    <xf numFmtId="168" fontId="18" fillId="0" borderId="174" xfId="0" applyNumberFormat="1" applyFont="1" applyFill="1" applyBorder="1" applyProtection="1"/>
    <xf numFmtId="168" fontId="18" fillId="0" borderId="116" xfId="0" applyNumberFormat="1" applyFont="1" applyFill="1" applyBorder="1" applyProtection="1"/>
    <xf numFmtId="168" fontId="0" fillId="0" borderId="0" xfId="0" applyNumberFormat="1"/>
    <xf numFmtId="2" fontId="0" fillId="0" borderId="0" xfId="0" applyNumberFormat="1"/>
    <xf numFmtId="2" fontId="18" fillId="0" borderId="186" xfId="0" applyNumberFormat="1" applyFont="1" applyFill="1" applyBorder="1" applyProtection="1"/>
    <xf numFmtId="2" fontId="18" fillId="0" borderId="184" xfId="0" applyNumberFormat="1" applyFont="1" applyFill="1" applyBorder="1" applyProtection="1"/>
    <xf numFmtId="1" fontId="11" fillId="5" borderId="186" xfId="0" applyNumberFormat="1" applyFont="1" applyFill="1" applyBorder="1" applyAlignment="1" applyProtection="1">
      <alignment horizontal="center"/>
      <protection locked="0"/>
    </xf>
    <xf numFmtId="3" fontId="0" fillId="2" borderId="0" xfId="0" applyNumberFormat="1" applyFill="1" applyBorder="1" applyProtection="1"/>
    <xf numFmtId="3" fontId="0" fillId="0" borderId="0" xfId="0" applyNumberFormat="1"/>
    <xf numFmtId="167" fontId="2" fillId="4" borderId="147" xfId="0" applyNumberFormat="1" applyFont="1" applyFill="1" applyBorder="1" applyProtection="1"/>
    <xf numFmtId="0" fontId="2" fillId="4" borderId="75" xfId="0" applyNumberFormat="1" applyFont="1" applyFill="1" applyBorder="1" applyAlignment="1" applyProtection="1">
      <alignment horizontal="center"/>
    </xf>
    <xf numFmtId="167" fontId="2" fillId="4" borderId="72" xfId="0" applyNumberFormat="1" applyFont="1" applyFill="1" applyBorder="1" applyProtection="1"/>
    <xf numFmtId="0" fontId="2" fillId="4" borderId="71" xfId="0" applyNumberFormat="1" applyFont="1" applyFill="1" applyBorder="1" applyAlignment="1" applyProtection="1">
      <alignment horizontal="center"/>
    </xf>
    <xf numFmtId="3" fontId="18" fillId="2" borderId="0" xfId="0" applyNumberFormat="1" applyFont="1" applyFill="1" applyBorder="1"/>
    <xf numFmtId="167" fontId="18" fillId="2" borderId="0" xfId="0" applyNumberFormat="1" applyFont="1" applyFill="1" applyBorder="1" applyAlignment="1">
      <alignment horizontal="center"/>
    </xf>
    <xf numFmtId="1" fontId="18" fillId="5" borderId="116" xfId="0" applyNumberFormat="1" applyFont="1" applyFill="1" applyBorder="1" applyAlignment="1" applyProtection="1">
      <alignment horizontal="center"/>
      <protection locked="0"/>
    </xf>
    <xf numFmtId="1" fontId="18" fillId="5" borderId="184" xfId="0" applyNumberFormat="1" applyFont="1" applyFill="1" applyBorder="1" applyProtection="1">
      <protection locked="0"/>
    </xf>
    <xf numFmtId="10" fontId="0" fillId="0" borderId="0" xfId="0" applyNumberFormat="1"/>
    <xf numFmtId="0" fontId="23" fillId="0" borderId="0" xfId="0" applyFont="1"/>
    <xf numFmtId="10" fontId="2" fillId="4" borderId="116" xfId="0" applyNumberFormat="1" applyFont="1" applyFill="1" applyBorder="1" applyProtection="1">
      <protection locked="0"/>
    </xf>
    <xf numFmtId="10" fontId="18" fillId="4" borderId="187" xfId="0" applyNumberFormat="1" applyFont="1" applyFill="1" applyBorder="1" applyProtection="1">
      <protection locked="0"/>
    </xf>
    <xf numFmtId="10" fontId="23" fillId="4" borderId="188" xfId="0" applyNumberFormat="1" applyFont="1" applyFill="1" applyBorder="1" applyProtection="1">
      <protection locked="0"/>
    </xf>
    <xf numFmtId="0" fontId="0" fillId="0" borderId="189" xfId="0" applyFill="1" applyBorder="1" applyAlignment="1" applyProtection="1">
      <alignment horizontal="center"/>
    </xf>
    <xf numFmtId="1" fontId="18" fillId="4" borderId="190" xfId="0" applyNumberFormat="1" applyFont="1" applyFill="1" applyBorder="1" applyProtection="1">
      <protection locked="0"/>
    </xf>
    <xf numFmtId="10" fontId="2" fillId="4" borderId="191" xfId="0" applyNumberFormat="1" applyFont="1" applyFill="1" applyBorder="1" applyProtection="1">
      <protection locked="0"/>
    </xf>
    <xf numFmtId="1" fontId="2" fillId="4" borderId="192" xfId="0" applyNumberFormat="1" applyFont="1" applyFill="1" applyBorder="1" applyProtection="1">
      <protection locked="0"/>
    </xf>
    <xf numFmtId="10" fontId="2" fillId="4" borderId="193" xfId="0" applyNumberFormat="1" applyFont="1" applyFill="1" applyBorder="1" applyProtection="1">
      <protection locked="0"/>
    </xf>
    <xf numFmtId="10" fontId="23" fillId="4" borderId="194" xfId="0" applyNumberFormat="1" applyFont="1" applyFill="1" applyBorder="1" applyProtection="1">
      <protection locked="0"/>
    </xf>
    <xf numFmtId="10" fontId="2" fillId="4" borderId="195" xfId="0" applyNumberFormat="1" applyFont="1" applyFill="1" applyBorder="1" applyProtection="1">
      <protection locked="0"/>
    </xf>
    <xf numFmtId="10" fontId="23" fillId="4" borderId="196" xfId="0" applyNumberFormat="1" applyFont="1" applyFill="1" applyBorder="1" applyProtection="1">
      <protection locked="0"/>
    </xf>
    <xf numFmtId="1" fontId="2" fillId="4" borderId="197" xfId="0" applyNumberFormat="1" applyFont="1" applyFill="1" applyBorder="1" applyProtection="1">
      <protection locked="0"/>
    </xf>
    <xf numFmtId="1" fontId="18" fillId="4" borderId="198" xfId="0" applyNumberFormat="1" applyFont="1" applyFill="1" applyBorder="1" applyProtection="1">
      <protection locked="0"/>
    </xf>
    <xf numFmtId="1" fontId="21" fillId="5" borderId="145" xfId="0" applyNumberFormat="1" applyFont="1" applyFill="1" applyBorder="1" applyProtection="1">
      <protection locked="0"/>
    </xf>
    <xf numFmtId="1" fontId="21" fillId="5" borderId="146" xfId="0" applyNumberFormat="1" applyFont="1" applyFill="1" applyBorder="1" applyProtection="1">
      <protection locked="0"/>
    </xf>
    <xf numFmtId="0" fontId="0" fillId="0" borderId="88" xfId="0" applyFill="1" applyBorder="1" applyAlignment="1" applyProtection="1">
      <alignment horizontal="center"/>
    </xf>
    <xf numFmtId="0" fontId="0" fillId="0" borderId="199" xfId="0" applyFill="1" applyBorder="1" applyAlignment="1" applyProtection="1">
      <alignment horizontal="center"/>
    </xf>
    <xf numFmtId="0" fontId="0" fillId="0" borderId="200" xfId="0" applyFill="1" applyBorder="1" applyAlignment="1" applyProtection="1">
      <alignment horizontal="center"/>
    </xf>
    <xf numFmtId="0" fontId="0" fillId="0" borderId="201" xfId="0" applyBorder="1"/>
    <xf numFmtId="0" fontId="0" fillId="0" borderId="202" xfId="0" applyFill="1" applyBorder="1" applyAlignment="1" applyProtection="1">
      <alignment horizontal="center"/>
    </xf>
    <xf numFmtId="0" fontId="0" fillId="0" borderId="203" xfId="0" applyFill="1" applyBorder="1" applyAlignment="1" applyProtection="1">
      <alignment horizontal="center"/>
    </xf>
    <xf numFmtId="0" fontId="0" fillId="0" borderId="204" xfId="0" applyFill="1" applyBorder="1" applyAlignment="1" applyProtection="1">
      <alignment horizontal="center"/>
    </xf>
    <xf numFmtId="3" fontId="0" fillId="0" borderId="203" xfId="0" applyNumberFormat="1" applyFill="1" applyBorder="1" applyAlignment="1" applyProtection="1">
      <alignment horizontal="center"/>
    </xf>
    <xf numFmtId="0" fontId="0" fillId="0" borderId="205" xfId="0" applyFill="1" applyBorder="1" applyAlignment="1" applyProtection="1">
      <alignment horizontal="center"/>
    </xf>
    <xf numFmtId="0" fontId="0" fillId="0" borderId="206" xfId="0" applyFill="1" applyBorder="1" applyAlignment="1" applyProtection="1">
      <alignment horizontal="center"/>
    </xf>
    <xf numFmtId="0" fontId="0" fillId="0" borderId="207" xfId="0" applyFill="1" applyBorder="1" applyAlignment="1" applyProtection="1">
      <alignment horizontal="center"/>
    </xf>
    <xf numFmtId="166" fontId="0" fillId="0" borderId="208" xfId="0" applyNumberFormat="1" applyBorder="1"/>
    <xf numFmtId="166" fontId="0" fillId="0" borderId="209" xfId="0" applyNumberFormat="1" applyBorder="1"/>
    <xf numFmtId="166" fontId="0" fillId="0" borderId="210" xfId="0" applyNumberFormat="1" applyBorder="1"/>
    <xf numFmtId="166" fontId="0" fillId="0" borderId="211" xfId="0" applyNumberFormat="1" applyBorder="1"/>
    <xf numFmtId="0" fontId="0" fillId="0" borderId="212" xfId="0" applyBorder="1"/>
    <xf numFmtId="0" fontId="0" fillId="0" borderId="213" xfId="0" applyBorder="1"/>
    <xf numFmtId="166" fontId="0" fillId="0" borderId="214" xfId="0" applyNumberFormat="1" applyBorder="1"/>
    <xf numFmtId="166" fontId="0" fillId="0" borderId="215" xfId="0" applyNumberFormat="1" applyBorder="1"/>
    <xf numFmtId="0" fontId="0" fillId="0" borderId="216" xfId="0" applyBorder="1"/>
    <xf numFmtId="166" fontId="0" fillId="0" borderId="217" xfId="0" applyNumberFormat="1" applyBorder="1"/>
    <xf numFmtId="166" fontId="0" fillId="0" borderId="218" xfId="0" applyNumberFormat="1" applyBorder="1"/>
    <xf numFmtId="166" fontId="0" fillId="0" borderId="219" xfId="0" applyNumberFormat="1" applyBorder="1"/>
    <xf numFmtId="166" fontId="0" fillId="0" borderId="220" xfId="0" applyNumberFormat="1" applyBorder="1"/>
    <xf numFmtId="166" fontId="0" fillId="0" borderId="221" xfId="0" applyNumberFormat="1" applyBorder="1"/>
    <xf numFmtId="166" fontId="0" fillId="0" borderId="222" xfId="0" applyNumberFormat="1" applyBorder="1"/>
    <xf numFmtId="166" fontId="0" fillId="0" borderId="223" xfId="0" applyNumberFormat="1" applyBorder="1"/>
    <xf numFmtId="166" fontId="0" fillId="0" borderId="224" xfId="0" applyNumberFormat="1" applyBorder="1"/>
    <xf numFmtId="166" fontId="0" fillId="0" borderId="225" xfId="0" applyNumberFormat="1" applyBorder="1"/>
    <xf numFmtId="0" fontId="18" fillId="0" borderId="0" xfId="0" applyFont="1" applyProtection="1">
      <protection locked="0"/>
    </xf>
    <xf numFmtId="14" fontId="0" fillId="0" borderId="226" xfId="0" applyNumberFormat="1" applyBorder="1" applyAlignment="1" applyProtection="1">
      <alignment horizontal="center"/>
      <protection locked="0"/>
    </xf>
    <xf numFmtId="14" fontId="0" fillId="0" borderId="150" xfId="0" applyNumberFormat="1" applyBorder="1" applyAlignment="1" applyProtection="1">
      <alignment horizontal="center"/>
      <protection locked="0"/>
    </xf>
    <xf numFmtId="0" fontId="0" fillId="0" borderId="227" xfId="0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0" fillId="0" borderId="226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1" fontId="0" fillId="0" borderId="12" xfId="0" applyNumberFormat="1" applyBorder="1" applyProtection="1">
      <protection locked="0"/>
    </xf>
    <xf numFmtId="1" fontId="0" fillId="0" borderId="226" xfId="0" applyNumberFormat="1" applyBorder="1" applyProtection="1">
      <protection locked="0"/>
    </xf>
    <xf numFmtId="10" fontId="0" fillId="0" borderId="13" xfId="0" applyNumberFormat="1" applyBorder="1" applyProtection="1">
      <protection locked="0"/>
    </xf>
    <xf numFmtId="1" fontId="0" fillId="6" borderId="12" xfId="0" applyNumberFormat="1" applyFill="1" applyBorder="1" applyProtection="1">
      <protection locked="0"/>
    </xf>
    <xf numFmtId="0" fontId="0" fillId="6" borderId="226" xfId="0" applyFill="1" applyBorder="1" applyProtection="1">
      <protection locked="0"/>
    </xf>
    <xf numFmtId="10" fontId="0" fillId="0" borderId="226" xfId="0" applyNumberFormat="1" applyBorder="1" applyProtection="1">
      <protection locked="0"/>
    </xf>
    <xf numFmtId="10" fontId="0" fillId="0" borderId="13" xfId="0" applyNumberFormat="1" applyBorder="1" applyAlignment="1">
      <alignment horizontal="center"/>
    </xf>
    <xf numFmtId="2" fontId="0" fillId="0" borderId="12" xfId="0" applyNumberFormat="1" applyBorder="1" applyAlignment="1" applyProtection="1">
      <alignment horizontal="center"/>
      <protection locked="0"/>
    </xf>
    <xf numFmtId="2" fontId="0" fillId="0" borderId="13" xfId="0" applyNumberFormat="1" applyBorder="1" applyAlignment="1" applyProtection="1">
      <alignment horizontal="center"/>
      <protection locked="0"/>
    </xf>
    <xf numFmtId="0" fontId="0" fillId="6" borderId="12" xfId="0" applyFill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226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228" xfId="0" applyBorder="1" applyProtection="1">
      <protection locked="0"/>
    </xf>
    <xf numFmtId="0" fontId="0" fillId="0" borderId="15" xfId="0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228" xfId="0" applyFill="1" applyBorder="1" applyProtection="1">
      <protection locked="0"/>
    </xf>
    <xf numFmtId="10" fontId="0" fillId="0" borderId="15" xfId="0" applyNumberFormat="1" applyBorder="1" applyAlignment="1" applyProtection="1">
      <alignment horizontal="center"/>
      <protection locked="0"/>
    </xf>
    <xf numFmtId="2" fontId="0" fillId="0" borderId="228" xfId="0" applyNumberFormat="1" applyBorder="1" applyAlignment="1" applyProtection="1">
      <alignment horizontal="center"/>
      <protection locked="0"/>
    </xf>
    <xf numFmtId="10" fontId="0" fillId="0" borderId="13" xfId="0" applyNumberFormat="1" applyBorder="1" applyAlignment="1" applyProtection="1">
      <alignment horizontal="center"/>
      <protection locked="0"/>
    </xf>
    <xf numFmtId="0" fontId="0" fillId="0" borderId="229" xfId="0" applyBorder="1"/>
    <xf numFmtId="0" fontId="0" fillId="0" borderId="230" xfId="0" applyBorder="1" applyProtection="1">
      <protection locked="0"/>
    </xf>
    <xf numFmtId="0" fontId="0" fillId="0" borderId="231" xfId="0" applyBorder="1" applyProtection="1">
      <protection locked="0"/>
    </xf>
    <xf numFmtId="0" fontId="0" fillId="0" borderId="232" xfId="0" applyBorder="1" applyProtection="1">
      <protection locked="0"/>
    </xf>
    <xf numFmtId="0" fontId="0" fillId="0" borderId="151" xfId="0" applyBorder="1" applyProtection="1">
      <protection locked="0"/>
    </xf>
    <xf numFmtId="0" fontId="0" fillId="0" borderId="151" xfId="0" applyBorder="1"/>
    <xf numFmtId="0" fontId="0" fillId="0" borderId="232" xfId="0" applyBorder="1"/>
    <xf numFmtId="0" fontId="0" fillId="0" borderId="233" xfId="0" applyBorder="1"/>
    <xf numFmtId="0" fontId="0" fillId="0" borderId="234" xfId="0" applyBorder="1" applyProtection="1">
      <protection locked="0"/>
    </xf>
    <xf numFmtId="0" fontId="0" fillId="0" borderId="226" xfId="0" applyBorder="1"/>
    <xf numFmtId="0" fontId="0" fillId="0" borderId="13" xfId="0" applyBorder="1"/>
    <xf numFmtId="0" fontId="0" fillId="0" borderId="235" xfId="0" applyBorder="1" applyProtection="1">
      <protection locked="0"/>
    </xf>
    <xf numFmtId="0" fontId="0" fillId="0" borderId="228" xfId="0" applyBorder="1"/>
    <xf numFmtId="0" fontId="0" fillId="0" borderId="15" xfId="0" applyBorder="1"/>
    <xf numFmtId="10" fontId="18" fillId="4" borderId="184" xfId="0" applyNumberFormat="1" applyFont="1" applyFill="1" applyBorder="1" applyProtection="1">
      <protection locked="0"/>
    </xf>
    <xf numFmtId="0" fontId="2" fillId="7" borderId="236" xfId="0" applyFont="1" applyFill="1" applyBorder="1" applyAlignment="1" applyProtection="1"/>
    <xf numFmtId="0" fontId="2" fillId="7" borderId="237" xfId="0" applyFont="1" applyFill="1" applyBorder="1" applyAlignment="1" applyProtection="1"/>
    <xf numFmtId="1" fontId="18" fillId="0" borderId="76" xfId="0" applyNumberFormat="1" applyFont="1" applyFill="1" applyBorder="1" applyProtection="1"/>
    <xf numFmtId="1" fontId="18" fillId="0" borderId="71" xfId="0" applyNumberFormat="1" applyFont="1" applyFill="1" applyBorder="1" applyProtection="1"/>
    <xf numFmtId="164" fontId="18" fillId="3" borderId="71" xfId="0" applyNumberFormat="1" applyFont="1" applyFill="1" applyBorder="1" applyAlignment="1">
      <alignment horizontal="right"/>
    </xf>
    <xf numFmtId="0" fontId="24" fillId="3" borderId="0" xfId="0" applyFont="1" applyFill="1" applyBorder="1"/>
    <xf numFmtId="0" fontId="25" fillId="3" borderId="0" xfId="0" applyFont="1" applyFill="1" applyBorder="1"/>
    <xf numFmtId="0" fontId="1" fillId="3" borderId="111" xfId="0" applyFont="1" applyFill="1" applyBorder="1" applyProtection="1">
      <protection locked="0"/>
    </xf>
    <xf numFmtId="0" fontId="1" fillId="0" borderId="0" xfId="0" applyFont="1"/>
    <xf numFmtId="0" fontId="1" fillId="0" borderId="0" xfId="0" applyFont="1" applyProtection="1"/>
    <xf numFmtId="0" fontId="1" fillId="5" borderId="0" xfId="0" applyFont="1" applyFill="1" applyAlignment="1" applyProtection="1">
      <alignment horizontal="center"/>
      <protection locked="0"/>
    </xf>
    <xf numFmtId="0" fontId="1" fillId="0" borderId="0" xfId="0" applyFont="1" applyFill="1" applyProtection="1"/>
    <xf numFmtId="0" fontId="0" fillId="0" borderId="4" xfId="0" quotePrefix="1" applyBorder="1" applyAlignment="1" applyProtection="1">
      <alignment horizontal="center"/>
    </xf>
    <xf numFmtId="0" fontId="0" fillId="0" borderId="6" xfId="0" quotePrefix="1" applyBorder="1" applyAlignment="1" applyProtection="1">
      <alignment horizontal="center"/>
    </xf>
    <xf numFmtId="0" fontId="0" fillId="0" borderId="39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3" fontId="0" fillId="0" borderId="40" xfId="0" applyNumberFormat="1" applyFill="1" applyBorder="1" applyAlignment="1" applyProtection="1">
      <alignment horizontal="center"/>
    </xf>
    <xf numFmtId="0" fontId="0" fillId="0" borderId="238" xfId="0" applyBorder="1" applyAlignment="1">
      <alignment horizontal="left"/>
    </xf>
    <xf numFmtId="0" fontId="0" fillId="0" borderId="239" xfId="0" applyBorder="1" applyAlignment="1">
      <alignment horizontal="left"/>
    </xf>
    <xf numFmtId="0" fontId="0" fillId="0" borderId="240" xfId="0" applyBorder="1" applyAlignment="1">
      <alignment horizontal="left"/>
    </xf>
    <xf numFmtId="0" fontId="5" fillId="2" borderId="0" xfId="0" applyFont="1" applyFill="1"/>
    <xf numFmtId="166" fontId="18" fillId="5" borderId="71" xfId="1" applyNumberFormat="1" applyFont="1" applyFill="1" applyBorder="1" applyProtection="1">
      <protection locked="0"/>
    </xf>
    <xf numFmtId="0" fontId="1" fillId="2" borderId="0" xfId="0" applyFont="1" applyFill="1" applyBorder="1" applyProtection="1"/>
    <xf numFmtId="0" fontId="11" fillId="5" borderId="179" xfId="0" applyFont="1" applyFill="1" applyBorder="1" applyAlignment="1" applyProtection="1">
      <alignment horizontal="center"/>
      <protection locked="0"/>
    </xf>
    <xf numFmtId="0" fontId="11" fillId="5" borderId="180" xfId="0" applyFont="1" applyFill="1" applyBorder="1" applyAlignment="1" applyProtection="1">
      <alignment horizontal="center"/>
      <protection locked="0"/>
    </xf>
    <xf numFmtId="0" fontId="11" fillId="5" borderId="179" xfId="0" applyFont="1" applyFill="1" applyBorder="1" applyAlignment="1" applyProtection="1">
      <alignment horizontal="center"/>
      <protection locked="0"/>
    </xf>
    <xf numFmtId="0" fontId="11" fillId="5" borderId="180" xfId="0" applyFont="1" applyFill="1" applyBorder="1" applyAlignment="1" applyProtection="1">
      <alignment horizontal="center"/>
      <protection locked="0"/>
    </xf>
    <xf numFmtId="0" fontId="9" fillId="5" borderId="0" xfId="0" applyFont="1" applyFill="1" applyAlignment="1" applyProtection="1">
      <alignment horizontal="left"/>
      <protection locked="0"/>
    </xf>
    <xf numFmtId="0" fontId="11" fillId="3" borderId="55" xfId="0" applyFont="1" applyFill="1" applyBorder="1" applyAlignment="1">
      <alignment horizontal="center" vertical="center"/>
    </xf>
    <xf numFmtId="0" fontId="11" fillId="3" borderId="111" xfId="0" applyFont="1" applyFill="1" applyBorder="1" applyAlignment="1">
      <alignment horizontal="center" vertical="center"/>
    </xf>
    <xf numFmtId="0" fontId="11" fillId="0" borderId="241" xfId="0" applyFont="1" applyBorder="1" applyAlignment="1">
      <alignment horizontal="center" vertical="center"/>
    </xf>
    <xf numFmtId="0" fontId="11" fillId="0" borderId="242" xfId="0" applyFont="1" applyBorder="1" applyAlignment="1">
      <alignment horizontal="center" vertical="center"/>
    </xf>
    <xf numFmtId="0" fontId="10" fillId="5" borderId="0" xfId="0" applyFont="1" applyFill="1" applyAlignment="1" applyProtection="1">
      <alignment horizontal="left"/>
      <protection locked="0"/>
    </xf>
    <xf numFmtId="0" fontId="11" fillId="7" borderId="177" xfId="0" applyFont="1" applyFill="1" applyBorder="1" applyAlignment="1" applyProtection="1">
      <alignment horizontal="center"/>
    </xf>
    <xf numFmtId="0" fontId="11" fillId="7" borderId="179" xfId="0" applyFont="1" applyFill="1" applyBorder="1" applyAlignment="1" applyProtection="1">
      <alignment horizontal="center"/>
    </xf>
    <xf numFmtId="0" fontId="11" fillId="7" borderId="180" xfId="0" applyFont="1" applyFill="1" applyBorder="1" applyAlignment="1" applyProtection="1">
      <alignment horizontal="center"/>
    </xf>
    <xf numFmtId="167" fontId="11" fillId="2" borderId="0" xfId="0" applyNumberFormat="1" applyFont="1" applyFill="1" applyBorder="1" applyAlignment="1" applyProtection="1">
      <alignment horizontal="center"/>
    </xf>
    <xf numFmtId="0" fontId="11" fillId="2" borderId="0" xfId="0" applyFont="1" applyFill="1" applyBorder="1" applyAlignment="1" applyProtection="1">
      <alignment horizontal="center"/>
    </xf>
    <xf numFmtId="1" fontId="18" fillId="2" borderId="0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2" fillId="7" borderId="243" xfId="0" applyFont="1" applyFill="1" applyBorder="1" applyAlignment="1" applyProtection="1">
      <alignment horizontal="center"/>
    </xf>
    <xf numFmtId="0" fontId="2" fillId="7" borderId="244" xfId="0" applyFont="1" applyFill="1" applyBorder="1" applyAlignment="1" applyProtection="1">
      <alignment horizontal="center"/>
    </xf>
    <xf numFmtId="0" fontId="2" fillId="7" borderId="245" xfId="0" applyFont="1" applyFill="1" applyBorder="1" applyAlignment="1" applyProtection="1">
      <alignment horizontal="center"/>
    </xf>
    <xf numFmtId="0" fontId="11" fillId="5" borderId="179" xfId="0" applyFont="1" applyFill="1" applyBorder="1" applyAlignment="1" applyProtection="1">
      <alignment horizontal="center"/>
      <protection locked="0"/>
    </xf>
    <xf numFmtId="0" fontId="11" fillId="5" borderId="180" xfId="0" applyFont="1" applyFill="1" applyBorder="1" applyAlignment="1" applyProtection="1">
      <alignment horizontal="center"/>
      <protection locked="0"/>
    </xf>
    <xf numFmtId="0" fontId="0" fillId="7" borderId="243" xfId="0" applyFill="1" applyBorder="1" applyAlignment="1" applyProtection="1">
      <alignment horizontal="center"/>
    </xf>
    <xf numFmtId="0" fontId="11" fillId="0" borderId="12" xfId="0" applyFont="1" applyBorder="1" applyAlignment="1" applyProtection="1">
      <alignment horizontal="center" vertical="center" textRotation="255"/>
    </xf>
    <xf numFmtId="0" fontId="11" fillId="0" borderId="14" xfId="0" applyFont="1" applyBorder="1" applyAlignment="1" applyProtection="1">
      <alignment horizontal="center" vertical="center" textRotation="255"/>
    </xf>
    <xf numFmtId="0" fontId="11" fillId="0" borderId="13" xfId="0" applyFont="1" applyBorder="1" applyAlignment="1" applyProtection="1">
      <alignment horizontal="center" vertical="center" textRotation="255"/>
    </xf>
    <xf numFmtId="0" fontId="11" fillId="0" borderId="15" xfId="0" applyFont="1" applyBorder="1" applyAlignment="1" applyProtection="1">
      <alignment horizontal="center" vertical="center" textRotation="255"/>
    </xf>
    <xf numFmtId="0" fontId="11" fillId="0" borderId="246" xfId="0" applyFont="1" applyBorder="1" applyAlignment="1" applyProtection="1">
      <alignment horizontal="center" vertical="center" textRotation="255"/>
    </xf>
    <xf numFmtId="0" fontId="11" fillId="0" borderId="247" xfId="0" applyFont="1" applyBorder="1" applyAlignment="1" applyProtection="1">
      <alignment horizontal="center" vertical="center" textRotation="255"/>
    </xf>
    <xf numFmtId="0" fontId="11" fillId="0" borderId="248" xfId="0" applyFont="1" applyBorder="1" applyAlignment="1" applyProtection="1">
      <alignment horizontal="center" vertical="center" textRotation="255"/>
    </xf>
    <xf numFmtId="0" fontId="11" fillId="0" borderId="11" xfId="0" applyFont="1" applyBorder="1" applyAlignment="1" applyProtection="1">
      <alignment horizontal="center" vertical="center" textRotation="255"/>
    </xf>
    <xf numFmtId="0" fontId="12" fillId="7" borderId="249" xfId="0" applyFont="1" applyFill="1" applyBorder="1" applyAlignment="1">
      <alignment horizontal="center"/>
    </xf>
    <xf numFmtId="0" fontId="11" fillId="5" borderId="253" xfId="0" applyFont="1" applyFill="1" applyBorder="1" applyAlignment="1" applyProtection="1">
      <alignment horizontal="center"/>
      <protection locked="0"/>
    </xf>
    <xf numFmtId="0" fontId="11" fillId="5" borderId="254" xfId="0" applyFont="1" applyFill="1" applyBorder="1" applyAlignment="1" applyProtection="1">
      <alignment horizontal="center"/>
      <protection locked="0"/>
    </xf>
    <xf numFmtId="0" fontId="11" fillId="0" borderId="177" xfId="0" applyFont="1" applyBorder="1" applyAlignment="1" applyProtection="1">
      <alignment horizontal="center"/>
    </xf>
    <xf numFmtId="0" fontId="11" fillId="0" borderId="179" xfId="0" applyFont="1" applyBorder="1" applyAlignment="1" applyProtection="1">
      <alignment horizontal="center"/>
    </xf>
    <xf numFmtId="0" fontId="2" fillId="7" borderId="257" xfId="0" applyFont="1" applyFill="1" applyBorder="1" applyAlignment="1" applyProtection="1">
      <alignment horizontal="center"/>
    </xf>
    <xf numFmtId="0" fontId="2" fillId="7" borderId="258" xfId="0" applyFont="1" applyFill="1" applyBorder="1" applyAlignment="1" applyProtection="1">
      <alignment horizontal="center"/>
    </xf>
    <xf numFmtId="0" fontId="2" fillId="7" borderId="259" xfId="0" applyFont="1" applyFill="1" applyBorder="1" applyAlignment="1" applyProtection="1">
      <alignment horizontal="center"/>
    </xf>
    <xf numFmtId="0" fontId="2" fillId="7" borderId="256" xfId="0" applyFont="1" applyFill="1" applyBorder="1" applyAlignment="1" applyProtection="1">
      <alignment horizontal="center"/>
    </xf>
    <xf numFmtId="0" fontId="2" fillId="7" borderId="236" xfId="0" applyFont="1" applyFill="1" applyBorder="1" applyAlignment="1" applyProtection="1">
      <alignment horizontal="center"/>
    </xf>
    <xf numFmtId="0" fontId="2" fillId="7" borderId="237" xfId="0" applyFont="1" applyFill="1" applyBorder="1" applyAlignment="1" applyProtection="1">
      <alignment horizontal="center"/>
    </xf>
    <xf numFmtId="0" fontId="0" fillId="8" borderId="256" xfId="0" applyFill="1" applyBorder="1" applyAlignment="1" applyProtection="1">
      <alignment horizontal="center"/>
    </xf>
    <xf numFmtId="0" fontId="0" fillId="8" borderId="236" xfId="0" applyFill="1" applyBorder="1" applyAlignment="1" applyProtection="1">
      <alignment horizontal="center"/>
    </xf>
    <xf numFmtId="0" fontId="0" fillId="8" borderId="237" xfId="0" applyFill="1" applyBorder="1" applyAlignment="1" applyProtection="1">
      <alignment horizontal="center"/>
    </xf>
    <xf numFmtId="0" fontId="1" fillId="7" borderId="241" xfId="0" applyFont="1" applyFill="1" applyBorder="1" applyAlignment="1" applyProtection="1">
      <alignment horizontal="center"/>
    </xf>
    <xf numFmtId="0" fontId="1" fillId="7" borderId="255" xfId="0" applyFont="1" applyFill="1" applyBorder="1" applyAlignment="1" applyProtection="1">
      <alignment horizontal="center"/>
    </xf>
    <xf numFmtId="0" fontId="1" fillId="7" borderId="242" xfId="0" applyFont="1" applyFill="1" applyBorder="1" applyAlignment="1" applyProtection="1">
      <alignment horizontal="center"/>
    </xf>
    <xf numFmtId="0" fontId="12" fillId="7" borderId="250" xfId="0" applyFont="1" applyFill="1" applyBorder="1" applyAlignment="1">
      <alignment horizontal="center"/>
    </xf>
    <xf numFmtId="0" fontId="12" fillId="7" borderId="251" xfId="0" applyFont="1" applyFill="1" applyBorder="1" applyAlignment="1">
      <alignment horizontal="center"/>
    </xf>
    <xf numFmtId="0" fontId="12" fillId="7" borderId="252" xfId="0" applyFont="1" applyFill="1" applyBorder="1" applyAlignment="1">
      <alignment horizontal="center"/>
    </xf>
    <xf numFmtId="0" fontId="0" fillId="0" borderId="261" xfId="0" applyFill="1" applyBorder="1" applyAlignment="1" applyProtection="1">
      <alignment horizontal="center"/>
    </xf>
    <xf numFmtId="0" fontId="0" fillId="0" borderId="262" xfId="0" applyFill="1" applyBorder="1" applyAlignment="1" applyProtection="1">
      <alignment horizontal="center"/>
    </xf>
    <xf numFmtId="0" fontId="0" fillId="0" borderId="263" xfId="0" applyFill="1" applyBorder="1" applyAlignment="1" applyProtection="1">
      <alignment horizontal="center"/>
    </xf>
    <xf numFmtId="0" fontId="11" fillId="5" borderId="186" xfId="0" applyFont="1" applyFill="1" applyBorder="1" applyAlignment="1" applyProtection="1">
      <alignment horizontal="center"/>
      <protection locked="0"/>
    </xf>
    <xf numFmtId="0" fontId="11" fillId="5" borderId="265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Border="1" applyAlignment="1" applyProtection="1">
      <alignment horizontal="center"/>
    </xf>
    <xf numFmtId="0" fontId="2" fillId="7" borderId="241" xfId="0" applyFont="1" applyFill="1" applyBorder="1" applyAlignment="1" applyProtection="1">
      <alignment horizontal="center"/>
    </xf>
    <xf numFmtId="0" fontId="2" fillId="7" borderId="255" xfId="0" applyFont="1" applyFill="1" applyBorder="1" applyAlignment="1" applyProtection="1">
      <alignment horizontal="center"/>
    </xf>
    <xf numFmtId="0" fontId="11" fillId="7" borderId="0" xfId="0" applyFont="1" applyFill="1" applyBorder="1" applyAlignment="1" applyProtection="1">
      <alignment horizontal="center"/>
    </xf>
    <xf numFmtId="0" fontId="11" fillId="7" borderId="260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260" xfId="0" applyFill="1" applyBorder="1" applyAlignment="1" applyProtection="1">
      <alignment horizontal="center"/>
    </xf>
    <xf numFmtId="0" fontId="11" fillId="7" borderId="264" xfId="0" applyFont="1" applyFill="1" applyBorder="1" applyAlignment="1" applyProtection="1">
      <alignment horizontal="center"/>
    </xf>
    <xf numFmtId="0" fontId="0" fillId="0" borderId="264" xfId="0" applyFill="1" applyBorder="1" applyAlignment="1" applyProtection="1">
      <alignment horizontal="center"/>
    </xf>
    <xf numFmtId="0" fontId="11" fillId="0" borderId="266" xfId="0" applyFont="1" applyBorder="1" applyAlignment="1" applyProtection="1">
      <alignment horizontal="center"/>
    </xf>
    <xf numFmtId="0" fontId="11" fillId="0" borderId="267" xfId="0" applyFont="1" applyBorder="1" applyAlignment="1" applyProtection="1">
      <alignment horizontal="center"/>
    </xf>
    <xf numFmtId="0" fontId="11" fillId="5" borderId="267" xfId="0" applyFont="1" applyFill="1" applyBorder="1" applyAlignment="1" applyProtection="1">
      <alignment horizontal="center"/>
      <protection locked="0"/>
    </xf>
    <xf numFmtId="0" fontId="11" fillId="5" borderId="268" xfId="0" applyFont="1" applyFill="1" applyBorder="1" applyAlignment="1" applyProtection="1">
      <alignment horizontal="center"/>
      <protection locked="0"/>
    </xf>
    <xf numFmtId="0" fontId="0" fillId="0" borderId="271" xfId="0" applyFill="1" applyBorder="1" applyAlignment="1" applyProtection="1">
      <alignment horizontal="center"/>
    </xf>
    <xf numFmtId="0" fontId="0" fillId="0" borderId="270" xfId="0" applyFill="1" applyBorder="1" applyAlignment="1" applyProtection="1">
      <alignment horizontal="center"/>
    </xf>
    <xf numFmtId="0" fontId="2" fillId="7" borderId="55" xfId="0" applyFont="1" applyFill="1" applyBorder="1" applyAlignment="1" applyProtection="1">
      <alignment horizontal="center"/>
    </xf>
    <xf numFmtId="0" fontId="2" fillId="7" borderId="269" xfId="0" applyFont="1" applyFill="1" applyBorder="1" applyAlignment="1" applyProtection="1">
      <alignment horizontal="center"/>
    </xf>
    <xf numFmtId="0" fontId="2" fillId="7" borderId="111" xfId="0" applyFont="1" applyFill="1" applyBorder="1" applyAlignment="1" applyProtection="1">
      <alignment horizontal="center"/>
    </xf>
    <xf numFmtId="14" fontId="0" fillId="2" borderId="0" xfId="0" applyNumberFormat="1" applyFill="1" applyBorder="1" applyAlignment="1">
      <alignment horizontal="left"/>
    </xf>
    <xf numFmtId="0" fontId="12" fillId="7" borderId="272" xfId="0" applyFont="1" applyFill="1" applyBorder="1" applyAlignment="1">
      <alignment horizontal="center"/>
    </xf>
    <xf numFmtId="0" fontId="12" fillId="7" borderId="273" xfId="0" applyFont="1" applyFill="1" applyBorder="1" applyAlignment="1">
      <alignment horizontal="center"/>
    </xf>
    <xf numFmtId="0" fontId="12" fillId="7" borderId="274" xfId="0" applyFont="1" applyFill="1" applyBorder="1" applyAlignment="1">
      <alignment horizontal="center"/>
    </xf>
    <xf numFmtId="0" fontId="0" fillId="0" borderId="231" xfId="0" applyBorder="1" applyAlignment="1" applyProtection="1">
      <alignment horizontal="center"/>
      <protection locked="0"/>
    </xf>
    <xf numFmtId="0" fontId="0" fillId="0" borderId="232" xfId="0" applyBorder="1" applyAlignment="1" applyProtection="1">
      <alignment horizontal="center"/>
      <protection locked="0"/>
    </xf>
    <xf numFmtId="0" fontId="0" fillId="0" borderId="233" xfId="0" applyBorder="1" applyAlignment="1" applyProtection="1">
      <alignment horizontal="center"/>
      <protection locked="0"/>
    </xf>
    <xf numFmtId="0" fontId="0" fillId="0" borderId="280" xfId="0" applyBorder="1" applyAlignment="1" applyProtection="1">
      <alignment horizontal="center"/>
      <protection locked="0"/>
    </xf>
    <xf numFmtId="0" fontId="0" fillId="0" borderId="284" xfId="0" applyBorder="1" applyAlignment="1" applyProtection="1">
      <alignment horizontal="center"/>
      <protection locked="0"/>
    </xf>
    <xf numFmtId="0" fontId="0" fillId="0" borderId="282" xfId="0" applyBorder="1" applyAlignment="1" applyProtection="1">
      <alignment horizontal="center"/>
      <protection locked="0"/>
    </xf>
    <xf numFmtId="0" fontId="0" fillId="0" borderId="285" xfId="0" applyBorder="1" applyAlignment="1" applyProtection="1">
      <alignment horizontal="center"/>
      <protection locked="0"/>
    </xf>
    <xf numFmtId="0" fontId="0" fillId="0" borderId="150" xfId="0" applyBorder="1" applyAlignment="1" applyProtection="1">
      <alignment horizontal="center"/>
      <protection locked="0"/>
    </xf>
    <xf numFmtId="0" fontId="0" fillId="0" borderId="151" xfId="0" applyBorder="1" applyAlignment="1" applyProtection="1">
      <alignment horizontal="center"/>
      <protection locked="0"/>
    </xf>
    <xf numFmtId="0" fontId="0" fillId="0" borderId="277" xfId="0" applyBorder="1" applyAlignment="1" applyProtection="1">
      <alignment horizontal="center"/>
      <protection locked="0"/>
    </xf>
    <xf numFmtId="0" fontId="0" fillId="0" borderId="278" xfId="0" applyBorder="1" applyAlignment="1" applyProtection="1">
      <alignment horizontal="center"/>
      <protection locked="0"/>
    </xf>
    <xf numFmtId="0" fontId="0" fillId="0" borderId="150" xfId="0" applyBorder="1" applyAlignment="1">
      <alignment horizontal="center"/>
    </xf>
    <xf numFmtId="0" fontId="0" fillId="0" borderId="151" xfId="0" applyBorder="1" applyAlignment="1">
      <alignment horizontal="center"/>
    </xf>
    <xf numFmtId="0" fontId="0" fillId="0" borderId="279" xfId="0" applyBorder="1" applyAlignment="1" applyProtection="1">
      <alignment horizontal="center"/>
      <protection locked="0"/>
    </xf>
    <xf numFmtId="0" fontId="0" fillId="0" borderId="281" xfId="0" applyBorder="1" applyAlignment="1" applyProtection="1">
      <alignment horizontal="center"/>
      <protection locked="0"/>
    </xf>
    <xf numFmtId="0" fontId="0" fillId="0" borderId="283" xfId="0" applyBorder="1" applyAlignment="1" applyProtection="1">
      <alignment horizontal="center"/>
      <protection locked="0"/>
    </xf>
    <xf numFmtId="1" fontId="0" fillId="0" borderId="277" xfId="0" applyNumberFormat="1" applyBorder="1" applyAlignment="1" applyProtection="1">
      <alignment horizontal="center"/>
      <protection locked="0"/>
    </xf>
    <xf numFmtId="1" fontId="0" fillId="0" borderId="278" xfId="0" applyNumberFormat="1" applyBorder="1" applyAlignment="1" applyProtection="1">
      <alignment horizontal="center"/>
      <protection locked="0"/>
    </xf>
    <xf numFmtId="0" fontId="0" fillId="0" borderId="275" xfId="0" applyBorder="1" applyAlignment="1">
      <alignment horizontal="left"/>
    </xf>
    <xf numFmtId="0" fontId="0" fillId="0" borderId="276" xfId="0" applyBorder="1" applyAlignment="1">
      <alignment horizontal="left"/>
    </xf>
    <xf numFmtId="0" fontId="16" fillId="0" borderId="0" xfId="0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8.xml"/><Relationship Id="rId18" Type="http://schemas.openxmlformats.org/officeDocument/2006/relationships/chartsheet" Target="chartsheets/sheet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5.xml"/><Relationship Id="rId17" Type="http://schemas.openxmlformats.org/officeDocument/2006/relationships/worksheet" Target="work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worksheet" Target="worksheets/sheet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4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6.xml"/><Relationship Id="rId23" Type="http://schemas.openxmlformats.org/officeDocument/2006/relationships/styles" Target="styles.xml"/><Relationship Id="rId10" Type="http://schemas.openxmlformats.org/officeDocument/2006/relationships/chartsheet" Target="chartsheets/sheet3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9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DIRERENCIA PESOS</a:t>
            </a:r>
          </a:p>
        </c:rich>
      </c:tx>
      <c:layout>
        <c:manualLayout>
          <c:xMode val="edge"/>
          <c:yMode val="edge"/>
          <c:x val="0.39579967552599632"/>
          <c:y val="3.39159456919738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2358642972559"/>
          <c:y val="0.1849956039456094"/>
          <c:w val="0.85621970920840063"/>
          <c:h val="0.52107095111346635"/>
        </c:manualLayout>
      </c:layout>
      <c:lineChart>
        <c:grouping val="standard"/>
        <c:varyColors val="0"/>
        <c:ser>
          <c:idx val="0"/>
          <c:order val="0"/>
          <c:tx>
            <c:strRef>
              <c:f>'Dem-Rec'!$W$6:$W$7</c:f>
              <c:strCache>
                <c:ptCount val="1"/>
                <c:pt idx="0">
                  <c:v>% DIF/STD FEMELLES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'Dem-Rec'!$B$8:$B$29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'Dem-Rec'!$W$8:$W$29</c:f>
              <c:numCache>
                <c:formatCode>0.0</c:formatCode>
                <c:ptCount val="22"/>
                <c:pt idx="0">
                  <c:v>-15.729166666666661</c:v>
                </c:pt>
                <c:pt idx="1">
                  <c:v>16.488095238095248</c:v>
                </c:pt>
                <c:pt idx="2">
                  <c:v>26</c:v>
                </c:pt>
                <c:pt idx="3">
                  <c:v>8.0769230769230766</c:v>
                </c:pt>
                <c:pt idx="4">
                  <c:v>-5.5430107526881729</c:v>
                </c:pt>
                <c:pt idx="5">
                  <c:v>-1.606481481481473</c:v>
                </c:pt>
                <c:pt idx="6">
                  <c:v>-4.9504065040650307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'Dem-Rec'!$X$6:$X$7</c:f>
              <c:strCache>
                <c:ptCount val="1"/>
                <c:pt idx="0">
                  <c:v>% DIF/STD MÂLES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'Dem-Rec'!$B$8:$B$29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'Dem-Rec'!$X$8:$X$29</c:f>
              <c:numCache>
                <c:formatCode>0.0</c:formatCode>
                <c:ptCount val="22"/>
                <c:pt idx="0">
                  <c:v>19.448275862068957</c:v>
                </c:pt>
                <c:pt idx="1">
                  <c:v>-6.4705882352941186</c:v>
                </c:pt>
                <c:pt idx="2">
                  <c:v>15.384615384615385</c:v>
                </c:pt>
                <c:pt idx="3">
                  <c:v>11.729323308270677</c:v>
                </c:pt>
                <c:pt idx="4">
                  <c:v>7.9000000000000057</c:v>
                </c:pt>
                <c:pt idx="5">
                  <c:v>8.2365591397849496</c:v>
                </c:pt>
                <c:pt idx="6">
                  <c:v>14.018867924528294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6768"/>
        <c:axId val="90098688"/>
      </c:lineChart>
      <c:catAx>
        <c:axId val="9009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semanas</a:t>
                </a:r>
              </a:p>
            </c:rich>
          </c:tx>
          <c:layout>
            <c:manualLayout>
              <c:xMode val="edge"/>
              <c:yMode val="edge"/>
              <c:x val="0.48142156987658258"/>
              <c:y val="0.78931466899970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009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09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'% dif.</a:t>
                </a:r>
              </a:p>
            </c:rich>
          </c:tx>
          <c:layout>
            <c:manualLayout>
              <c:xMode val="edge"/>
              <c:yMode val="edge"/>
              <c:x val="2.7463581615404891E-2"/>
              <c:y val="0.3792411133793478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0096768"/>
        <c:crosses val="autoZero"/>
        <c:crossBetween val="midCat"/>
      </c:valAx>
      <c:spPr>
        <a:solidFill>
          <a:srgbClr val="E3E3E3"/>
        </a:solidFill>
        <a:ln w="12700">
          <a:solidFill>
            <a:srgbClr val="E3E3E3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917615880539205"/>
          <c:y val="0.90339522374518255"/>
          <c:w val="0.49434565824903132"/>
          <c:h val="7.09150708013344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66" r="0.75000000000000266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es-ES"/>
              <a:t>RATIO % MÂLE / ÉCLOSION</a:t>
            </a:r>
          </a:p>
        </c:rich>
      </c:tx>
      <c:layout>
        <c:manualLayout>
          <c:xMode val="edge"/>
          <c:yMode val="edge"/>
          <c:x val="0.31092930596790447"/>
          <c:y val="3.05164319248825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64006599007099E-2"/>
          <c:y val="0.14084539329654791"/>
          <c:w val="0.82295147841274863"/>
          <c:h val="0.68310015748825714"/>
        </c:manualLayout>
      </c:layout>
      <c:lineChart>
        <c:grouping val="standard"/>
        <c:varyColors val="0"/>
        <c:ser>
          <c:idx val="0"/>
          <c:order val="0"/>
          <c:tx>
            <c:strRef>
              <c:f>'Pon-Rec'!$E$5:$E$6</c:f>
              <c:strCache>
                <c:ptCount val="1"/>
                <c:pt idx="0">
                  <c:v>% MÂLES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'Prod-Rec'!$B$11:$B$54</c:f>
              <c:numCache>
                <c:formatCode>General</c:formatCode>
                <c:ptCount val="4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</c:numCache>
            </c:numRef>
          </c:cat>
          <c:val>
            <c:numRef>
              <c:f>'Pon-Rec'!$E$10:$E$53</c:f>
              <c:numCache>
                <c:formatCode>0.0%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3120"/>
        <c:axId val="103260160"/>
      </c:lineChart>
      <c:lineChart>
        <c:grouping val="standard"/>
        <c:varyColors val="0"/>
        <c:ser>
          <c:idx val="2"/>
          <c:order val="1"/>
          <c:tx>
            <c:strRef>
              <c:f>Inc!$O$5:$O$6</c:f>
              <c:strCache>
                <c:ptCount val="1"/>
                <c:pt idx="0">
                  <c:v>STD SEM % INCUB.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Inc!$O$10:$O$53</c:f>
              <c:numCache>
                <c:formatCode>General</c:formatCode>
                <c:ptCount val="44"/>
                <c:pt idx="3" formatCode="0.0">
                  <c:v>72</c:v>
                </c:pt>
                <c:pt idx="4" formatCode="0.0">
                  <c:v>78</c:v>
                </c:pt>
                <c:pt idx="5" formatCode="0.0">
                  <c:v>80</c:v>
                </c:pt>
                <c:pt idx="6" formatCode="0.0">
                  <c:v>82</c:v>
                </c:pt>
                <c:pt idx="7" formatCode="0.0">
                  <c:v>84</c:v>
                </c:pt>
                <c:pt idx="8" formatCode="0.0">
                  <c:v>85</c:v>
                </c:pt>
                <c:pt idx="9" formatCode="0.0">
                  <c:v>86</c:v>
                </c:pt>
                <c:pt idx="10" formatCode="0.0">
                  <c:v>87</c:v>
                </c:pt>
                <c:pt idx="11" formatCode="0.0">
                  <c:v>88</c:v>
                </c:pt>
                <c:pt idx="12" formatCode="0.0">
                  <c:v>89</c:v>
                </c:pt>
                <c:pt idx="13" formatCode="0.0">
                  <c:v>90</c:v>
                </c:pt>
                <c:pt idx="14" formatCode="0.0">
                  <c:v>89.9</c:v>
                </c:pt>
                <c:pt idx="15" formatCode="0.0">
                  <c:v>89.8</c:v>
                </c:pt>
                <c:pt idx="16" formatCode="0.0">
                  <c:v>89.6</c:v>
                </c:pt>
                <c:pt idx="17" formatCode="0.0">
                  <c:v>89.4</c:v>
                </c:pt>
                <c:pt idx="18" formatCode="0.0">
                  <c:v>89.1</c:v>
                </c:pt>
                <c:pt idx="19" formatCode="0.0">
                  <c:v>88.9</c:v>
                </c:pt>
                <c:pt idx="20" formatCode="0.0">
                  <c:v>88.6</c:v>
                </c:pt>
                <c:pt idx="21" formatCode="0.0">
                  <c:v>88.3</c:v>
                </c:pt>
                <c:pt idx="22" formatCode="0.0">
                  <c:v>87.9</c:v>
                </c:pt>
                <c:pt idx="23" formatCode="0.0">
                  <c:v>87.5</c:v>
                </c:pt>
                <c:pt idx="24" formatCode="0.0">
                  <c:v>87.1</c:v>
                </c:pt>
                <c:pt idx="25" formatCode="0.0">
                  <c:v>86.7</c:v>
                </c:pt>
                <c:pt idx="26" formatCode="0.0">
                  <c:v>86.3</c:v>
                </c:pt>
                <c:pt idx="27" formatCode="0.0">
                  <c:v>85.9</c:v>
                </c:pt>
                <c:pt idx="28" formatCode="0.0">
                  <c:v>85.5</c:v>
                </c:pt>
                <c:pt idx="29" formatCode="0.0">
                  <c:v>85.1</c:v>
                </c:pt>
                <c:pt idx="30" formatCode="0.0">
                  <c:v>84.7</c:v>
                </c:pt>
                <c:pt idx="31" formatCode="0.0">
                  <c:v>84.3</c:v>
                </c:pt>
                <c:pt idx="32" formatCode="0.0">
                  <c:v>83.9</c:v>
                </c:pt>
                <c:pt idx="33" formatCode="0.0">
                  <c:v>83.4</c:v>
                </c:pt>
                <c:pt idx="34" formatCode="0.0">
                  <c:v>82.9</c:v>
                </c:pt>
                <c:pt idx="35" formatCode="0.0">
                  <c:v>82.4</c:v>
                </c:pt>
                <c:pt idx="36" formatCode="0.0">
                  <c:v>81.900000000000006</c:v>
                </c:pt>
                <c:pt idx="37" formatCode="0.0">
                  <c:v>81.400000000000006</c:v>
                </c:pt>
                <c:pt idx="38" formatCode="0.0">
                  <c:v>80.900000000000006</c:v>
                </c:pt>
                <c:pt idx="39" formatCode="0.0">
                  <c:v>80.400000000000006</c:v>
                </c:pt>
                <c:pt idx="40" formatCode="0.0">
                  <c:v>79.900000000000006</c:v>
                </c:pt>
                <c:pt idx="41" formatCode="0.0">
                  <c:v>79.400000000000006</c:v>
                </c:pt>
                <c:pt idx="42" formatCode="0.0">
                  <c:v>78.900000000000006</c:v>
                </c:pt>
                <c:pt idx="43" formatCode="0.0">
                  <c:v>78.400000000000006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Inc!$N$5:$N$6</c:f>
              <c:strCache>
                <c:ptCount val="1"/>
                <c:pt idx="0">
                  <c:v>% INCUB. SEMAINE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4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Inc!$N$10:$N$53</c:f>
              <c:numCache>
                <c:formatCode>0.0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62080"/>
        <c:axId val="103263616"/>
      </c:lineChart>
      <c:catAx>
        <c:axId val="10325312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sem.</a:t>
                </a:r>
              </a:p>
            </c:rich>
          </c:tx>
          <c:layout>
            <c:manualLayout>
              <c:xMode val="edge"/>
              <c:yMode val="edge"/>
              <c:x val="0.48524624585861192"/>
              <c:y val="0.86854657252350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6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260160"/>
        <c:scaling>
          <c:orientation val="minMax"/>
          <c:max val="0.16"/>
          <c:min val="4.0000000000000022E-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machos</a:t>
                </a:r>
              </a:p>
            </c:rich>
          </c:tx>
          <c:layout>
            <c:manualLayout>
              <c:xMode val="edge"/>
              <c:yMode val="edge"/>
              <c:x val="2.6229508196721311E-2"/>
              <c:y val="0.4178413613791252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53120"/>
        <c:crosses val="autoZero"/>
        <c:crossBetween val="midCat"/>
        <c:majorUnit val="1.0000000000000005E-2"/>
        <c:minorUnit val="5.0000000000000114E-3"/>
      </c:valAx>
      <c:catAx>
        <c:axId val="103262080"/>
        <c:scaling>
          <c:orientation val="minMax"/>
        </c:scaling>
        <c:delete val="1"/>
        <c:axPos val="b"/>
        <c:majorTickMark val="out"/>
        <c:minorTickMark val="none"/>
        <c:tickLblPos val="none"/>
        <c:crossAx val="103263616"/>
        <c:crosses val="autoZero"/>
        <c:auto val="1"/>
        <c:lblAlgn val="ctr"/>
        <c:lblOffset val="100"/>
        <c:noMultiLvlLbl val="0"/>
      </c:catAx>
      <c:valAx>
        <c:axId val="103263616"/>
        <c:scaling>
          <c:orientation val="minMax"/>
          <c:max val="100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ÉCLOSION</a:t>
                </a:r>
              </a:p>
            </c:rich>
          </c:tx>
          <c:layout>
            <c:manualLayout>
              <c:xMode val="edge"/>
              <c:yMode val="edge"/>
              <c:x val="0.94098429499591241"/>
              <c:y val="0.38497751161386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62080"/>
        <c:crosses val="max"/>
        <c:crossBetween val="midCat"/>
        <c:majorUnit val="5"/>
        <c:minorUnit val="1"/>
      </c:valAx>
      <c:spPr>
        <a:solidFill>
          <a:srgbClr val="E3E3E3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2622968030635521"/>
          <c:y val="0.93192710066171303"/>
          <c:w val="0.54918084419775359"/>
          <c:h val="5.1643192488262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66" r="0.75000000000000266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es-ES"/>
              <a:t>DIF POIDS MÂLES- FEMELLE / ÉCLOSION</a:t>
            </a:r>
          </a:p>
        </c:rich>
      </c:tx>
      <c:layout>
        <c:manualLayout>
          <c:xMode val="edge"/>
          <c:yMode val="edge"/>
          <c:x val="0.20601110107138332"/>
          <c:y val="1.17096018735363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82043322588516E-2"/>
          <c:y val="0.14051538316399881"/>
          <c:w val="0.8180334416891667"/>
          <c:h val="0.68384153139812576"/>
        </c:manualLayout>
      </c:layout>
      <c:lineChart>
        <c:grouping val="standard"/>
        <c:varyColors val="0"/>
        <c:ser>
          <c:idx val="0"/>
          <c:order val="0"/>
          <c:tx>
            <c:strRef>
              <c:f>'Prod-Rec'!$T$6:$T$7</c:f>
              <c:strCache>
                <c:ptCount val="1"/>
                <c:pt idx="0">
                  <c:v>dif poids male/fem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'Prod-Rec'!$B$11:$B$54</c:f>
              <c:numCache>
                <c:formatCode>General</c:formatCode>
                <c:ptCount val="4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</c:numCache>
            </c:numRef>
          </c:cat>
          <c:val>
            <c:numRef>
              <c:f>'Prod-Rec'!$T$11:$T$54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'Prod-Rec'!$V$6:$V$7</c:f>
              <c:strCache>
                <c:ptCount val="1"/>
                <c:pt idx="0">
                  <c:v>dif poids std male/fem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'Prod-Rec'!$V$11:$V$54</c:f>
              <c:numCache>
                <c:formatCode>General</c:formatCode>
                <c:ptCount val="44"/>
                <c:pt idx="0">
                  <c:v>440</c:v>
                </c:pt>
                <c:pt idx="1">
                  <c:v>395</c:v>
                </c:pt>
                <c:pt idx="2">
                  <c:v>495</c:v>
                </c:pt>
                <c:pt idx="3">
                  <c:v>455</c:v>
                </c:pt>
                <c:pt idx="4">
                  <c:v>485</c:v>
                </c:pt>
                <c:pt idx="5">
                  <c:v>510</c:v>
                </c:pt>
                <c:pt idx="6">
                  <c:v>535</c:v>
                </c:pt>
                <c:pt idx="7">
                  <c:v>565</c:v>
                </c:pt>
                <c:pt idx="8">
                  <c:v>550</c:v>
                </c:pt>
                <c:pt idx="9">
                  <c:v>530</c:v>
                </c:pt>
                <c:pt idx="10">
                  <c:v>555</c:v>
                </c:pt>
                <c:pt idx="11">
                  <c:v>580</c:v>
                </c:pt>
                <c:pt idx="12">
                  <c:v>585</c:v>
                </c:pt>
                <c:pt idx="13">
                  <c:v>585</c:v>
                </c:pt>
                <c:pt idx="14">
                  <c:v>590</c:v>
                </c:pt>
                <c:pt idx="15">
                  <c:v>590</c:v>
                </c:pt>
                <c:pt idx="16">
                  <c:v>590</c:v>
                </c:pt>
                <c:pt idx="17">
                  <c:v>595</c:v>
                </c:pt>
                <c:pt idx="18">
                  <c:v>595</c:v>
                </c:pt>
                <c:pt idx="19">
                  <c:v>600</c:v>
                </c:pt>
                <c:pt idx="20">
                  <c:v>600</c:v>
                </c:pt>
                <c:pt idx="21">
                  <c:v>610</c:v>
                </c:pt>
                <c:pt idx="22">
                  <c:v>615</c:v>
                </c:pt>
                <c:pt idx="23">
                  <c:v>625</c:v>
                </c:pt>
                <c:pt idx="24">
                  <c:v>630</c:v>
                </c:pt>
                <c:pt idx="25">
                  <c:v>635</c:v>
                </c:pt>
                <c:pt idx="26">
                  <c:v>645</c:v>
                </c:pt>
                <c:pt idx="27">
                  <c:v>650</c:v>
                </c:pt>
                <c:pt idx="28">
                  <c:v>660</c:v>
                </c:pt>
                <c:pt idx="29">
                  <c:v>665</c:v>
                </c:pt>
                <c:pt idx="30">
                  <c:v>675</c:v>
                </c:pt>
                <c:pt idx="31">
                  <c:v>685</c:v>
                </c:pt>
                <c:pt idx="32">
                  <c:v>700</c:v>
                </c:pt>
                <c:pt idx="33">
                  <c:v>710</c:v>
                </c:pt>
                <c:pt idx="34">
                  <c:v>725</c:v>
                </c:pt>
                <c:pt idx="35">
                  <c:v>735</c:v>
                </c:pt>
                <c:pt idx="36">
                  <c:v>745</c:v>
                </c:pt>
                <c:pt idx="37">
                  <c:v>760</c:v>
                </c:pt>
                <c:pt idx="38">
                  <c:v>770</c:v>
                </c:pt>
                <c:pt idx="39">
                  <c:v>785</c:v>
                </c:pt>
                <c:pt idx="40">
                  <c:v>795</c:v>
                </c:pt>
                <c:pt idx="41">
                  <c:v>805</c:v>
                </c:pt>
                <c:pt idx="42">
                  <c:v>820</c:v>
                </c:pt>
                <c:pt idx="43">
                  <c:v>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2368"/>
        <c:axId val="103325056"/>
      </c:lineChart>
      <c:lineChart>
        <c:grouping val="standard"/>
        <c:varyColors val="0"/>
        <c:ser>
          <c:idx val="2"/>
          <c:order val="1"/>
          <c:tx>
            <c:strRef>
              <c:f>Inc!$O$5:$O$6</c:f>
              <c:strCache>
                <c:ptCount val="1"/>
                <c:pt idx="0">
                  <c:v>STD SEM % INCUB.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Inc!$O$10:$O$53</c:f>
              <c:numCache>
                <c:formatCode>General</c:formatCode>
                <c:ptCount val="44"/>
                <c:pt idx="3" formatCode="0.0">
                  <c:v>72</c:v>
                </c:pt>
                <c:pt idx="4" formatCode="0.0">
                  <c:v>78</c:v>
                </c:pt>
                <c:pt idx="5" formatCode="0.0">
                  <c:v>80</c:v>
                </c:pt>
                <c:pt idx="6" formatCode="0.0">
                  <c:v>82</c:v>
                </c:pt>
                <c:pt idx="7" formatCode="0.0">
                  <c:v>84</c:v>
                </c:pt>
                <c:pt idx="8" formatCode="0.0">
                  <c:v>85</c:v>
                </c:pt>
                <c:pt idx="9" formatCode="0.0">
                  <c:v>86</c:v>
                </c:pt>
                <c:pt idx="10" formatCode="0.0">
                  <c:v>87</c:v>
                </c:pt>
                <c:pt idx="11" formatCode="0.0">
                  <c:v>88</c:v>
                </c:pt>
                <c:pt idx="12" formatCode="0.0">
                  <c:v>89</c:v>
                </c:pt>
                <c:pt idx="13" formatCode="0.0">
                  <c:v>90</c:v>
                </c:pt>
                <c:pt idx="14" formatCode="0.0">
                  <c:v>89.9</c:v>
                </c:pt>
                <c:pt idx="15" formatCode="0.0">
                  <c:v>89.8</c:v>
                </c:pt>
                <c:pt idx="16" formatCode="0.0">
                  <c:v>89.6</c:v>
                </c:pt>
                <c:pt idx="17" formatCode="0.0">
                  <c:v>89.4</c:v>
                </c:pt>
                <c:pt idx="18" formatCode="0.0">
                  <c:v>89.1</c:v>
                </c:pt>
                <c:pt idx="19" formatCode="0.0">
                  <c:v>88.9</c:v>
                </c:pt>
                <c:pt idx="20" formatCode="0.0">
                  <c:v>88.6</c:v>
                </c:pt>
                <c:pt idx="21" formatCode="0.0">
                  <c:v>88.3</c:v>
                </c:pt>
                <c:pt idx="22" formatCode="0.0">
                  <c:v>87.9</c:v>
                </c:pt>
                <c:pt idx="23" formatCode="0.0">
                  <c:v>87.5</c:v>
                </c:pt>
                <c:pt idx="24" formatCode="0.0">
                  <c:v>87.1</c:v>
                </c:pt>
                <c:pt idx="25" formatCode="0.0">
                  <c:v>86.7</c:v>
                </c:pt>
                <c:pt idx="26" formatCode="0.0">
                  <c:v>86.3</c:v>
                </c:pt>
                <c:pt idx="27" formatCode="0.0">
                  <c:v>85.9</c:v>
                </c:pt>
                <c:pt idx="28" formatCode="0.0">
                  <c:v>85.5</c:v>
                </c:pt>
                <c:pt idx="29" formatCode="0.0">
                  <c:v>85.1</c:v>
                </c:pt>
                <c:pt idx="30" formatCode="0.0">
                  <c:v>84.7</c:v>
                </c:pt>
                <c:pt idx="31" formatCode="0.0">
                  <c:v>84.3</c:v>
                </c:pt>
                <c:pt idx="32" formatCode="0.0">
                  <c:v>83.9</c:v>
                </c:pt>
                <c:pt idx="33" formatCode="0.0">
                  <c:v>83.4</c:v>
                </c:pt>
                <c:pt idx="34" formatCode="0.0">
                  <c:v>82.9</c:v>
                </c:pt>
                <c:pt idx="35" formatCode="0.0">
                  <c:v>82.4</c:v>
                </c:pt>
                <c:pt idx="36" formatCode="0.0">
                  <c:v>81.900000000000006</c:v>
                </c:pt>
                <c:pt idx="37" formatCode="0.0">
                  <c:v>81.400000000000006</c:v>
                </c:pt>
                <c:pt idx="38" formatCode="0.0">
                  <c:v>80.900000000000006</c:v>
                </c:pt>
                <c:pt idx="39" formatCode="0.0">
                  <c:v>80.400000000000006</c:v>
                </c:pt>
                <c:pt idx="40" formatCode="0.0">
                  <c:v>79.900000000000006</c:v>
                </c:pt>
                <c:pt idx="41" formatCode="0.0">
                  <c:v>79.400000000000006</c:v>
                </c:pt>
                <c:pt idx="42" formatCode="0.0">
                  <c:v>78.900000000000006</c:v>
                </c:pt>
                <c:pt idx="43" formatCode="0.0">
                  <c:v>78.400000000000006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Inc!$N$5:$N$6</c:f>
              <c:strCache>
                <c:ptCount val="1"/>
                <c:pt idx="0">
                  <c:v>% INCUB. SEMAINE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4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Inc!$N$10:$N$53</c:f>
              <c:numCache>
                <c:formatCode>0.0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39520"/>
        <c:axId val="103341056"/>
      </c:lineChart>
      <c:catAx>
        <c:axId val="10332236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sem.</a:t>
                </a:r>
              </a:p>
            </c:rich>
          </c:tx>
          <c:layout>
            <c:manualLayout>
              <c:xMode val="edge"/>
              <c:yMode val="edge"/>
              <c:x val="0.48688559012090926"/>
              <c:y val="0.86885344250001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2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5056"/>
        <c:scaling>
          <c:orientation val="minMax"/>
          <c:max val="1200"/>
          <c:min val="5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dif. en gr.</a:t>
                </a:r>
              </a:p>
            </c:rich>
          </c:tx>
          <c:layout>
            <c:manualLayout>
              <c:xMode val="edge"/>
              <c:yMode val="edge"/>
              <c:x val="2.6229508196721311E-2"/>
              <c:y val="0.423888079563827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22368"/>
        <c:crosses val="autoZero"/>
        <c:crossBetween val="midCat"/>
        <c:majorUnit val="100"/>
        <c:minorUnit val="50"/>
      </c:valAx>
      <c:catAx>
        <c:axId val="103339520"/>
        <c:scaling>
          <c:orientation val="minMax"/>
        </c:scaling>
        <c:delete val="1"/>
        <c:axPos val="b"/>
        <c:majorTickMark val="out"/>
        <c:minorTickMark val="none"/>
        <c:tickLblPos val="none"/>
        <c:crossAx val="103341056"/>
        <c:crosses val="autoZero"/>
        <c:auto val="1"/>
        <c:lblAlgn val="ctr"/>
        <c:lblOffset val="100"/>
        <c:noMultiLvlLbl val="0"/>
      </c:catAx>
      <c:valAx>
        <c:axId val="103341056"/>
        <c:scaling>
          <c:orientation val="minMax"/>
          <c:max val="100"/>
          <c:min val="30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ÉCLOSION</a:t>
                </a:r>
              </a:p>
            </c:rich>
          </c:tx>
          <c:layout>
            <c:manualLayout>
              <c:xMode val="edge"/>
              <c:yMode val="edge"/>
              <c:x val="0.94098429499591241"/>
              <c:y val="0.38641735356850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39520"/>
        <c:crosses val="max"/>
        <c:crossBetween val="midCat"/>
        <c:majorUnit val="5"/>
        <c:minorUnit val="1"/>
      </c:valAx>
      <c:spPr>
        <a:solidFill>
          <a:srgbClr val="E3E3E3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6.3934426229508193E-2"/>
          <c:y val="0.93208529261711481"/>
          <c:w val="0.87049249171722098"/>
          <c:h val="5.1522248243559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66" r="0.75000000000000266" t="1" header="0" footer="0"/>
    <c:pageSetup paperSize="9" orientation="landscape" horizontalDpi="360" verticalDpi="36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es-ES"/>
              <a:t>MORTALITÉ HEBDOMADAIRE MÂLE</a:t>
            </a:r>
          </a:p>
        </c:rich>
      </c:tx>
      <c:layout>
        <c:manualLayout>
          <c:xMode val="edge"/>
          <c:yMode val="edge"/>
          <c:x val="0.26774193548387099"/>
          <c:y val="3.04449648711944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3870967741959"/>
          <c:y val="0.14051538316399881"/>
          <c:w val="0.8645161290322515"/>
          <c:h val="0.68384153139812576"/>
        </c:manualLayout>
      </c:layout>
      <c:lineChart>
        <c:grouping val="standard"/>
        <c:varyColors val="0"/>
        <c:ser>
          <c:idx val="0"/>
          <c:order val="0"/>
          <c:tx>
            <c:strRef>
              <c:f>'Pon-Rec'!$H$5:$H$6</c:f>
              <c:strCache>
                <c:ptCount val="1"/>
                <c:pt idx="0">
                  <c:v>% MORT. M. SEM.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'Pon-Rec'!$B$10:$B$53</c:f>
              <c:numCache>
                <c:formatCode>General</c:formatCode>
                <c:ptCount val="4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</c:numCache>
            </c:numRef>
          </c:cat>
          <c:val>
            <c:numRef>
              <c:f>'Pon-Rec'!$H$10:$H$53</c:f>
              <c:numCache>
                <c:formatCode>0.0%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91616"/>
        <c:axId val="103393536"/>
      </c:lineChart>
      <c:catAx>
        <c:axId val="1033916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sem.</a:t>
                </a:r>
              </a:p>
            </c:rich>
          </c:tx>
          <c:layout>
            <c:manualLayout>
              <c:xMode val="edge"/>
              <c:yMode val="edge"/>
              <c:x val="0.52096774193548356"/>
              <c:y val="0.86885344250001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9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935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Mortalité</a:t>
                </a:r>
              </a:p>
            </c:rich>
          </c:tx>
          <c:layout>
            <c:manualLayout>
              <c:xMode val="edge"/>
              <c:yMode val="edge"/>
              <c:x val="2.5806451612903236E-2"/>
              <c:y val="0.4332557610626569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0"/>
        <c:majorTickMark val="out"/>
        <c:minorTickMark val="none"/>
        <c:tickLblPos val="nextTo"/>
        <c:spPr>
          <a:ln w="12700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91616"/>
        <c:crosses val="autoZero"/>
        <c:crossBetween val="midCat"/>
      </c:valAx>
      <c:spPr>
        <a:solidFill>
          <a:srgbClr val="E3E3E3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161290322580877"/>
          <c:y val="0.93208529261711481"/>
          <c:w val="0.17096774193548439"/>
          <c:h val="5.15222482435592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66" r="0.75000000000000266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es-ES"/>
              <a:t>OEUFS,   POUSSINS</a:t>
            </a:r>
          </a:p>
        </c:rich>
      </c:tx>
      <c:layout>
        <c:manualLayout>
          <c:xMode val="edge"/>
          <c:yMode val="edge"/>
          <c:x val="0.4364012409513961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04756980351632E-2"/>
          <c:y val="0.11186440677966102"/>
          <c:w val="0.91933815925542917"/>
          <c:h val="0.74406779661016964"/>
        </c:manualLayout>
      </c:layout>
      <c:lineChart>
        <c:grouping val="standard"/>
        <c:varyColors val="0"/>
        <c:ser>
          <c:idx val="0"/>
          <c:order val="0"/>
          <c:tx>
            <c:strRef>
              <c:f>'Pon-Rec'!$O$5:$O$6</c:f>
              <c:strCache>
                <c:ptCount val="1"/>
                <c:pt idx="0">
                  <c:v>STD O. AC. F. M. P.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'Pon-Rec'!$B$11:$B$53</c:f>
              <c:numCache>
                <c:formatCode>General</c:formatCode>
                <c:ptCount val="4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</c:numCache>
            </c:numRef>
          </c:cat>
          <c:val>
            <c:numRef>
              <c:f>'Pon-Rec'!$O$11:$O$53</c:f>
              <c:numCache>
                <c:formatCode>General</c:formatCode>
                <c:ptCount val="43"/>
                <c:pt idx="2" formatCode="0.0">
                  <c:v>0.3</c:v>
                </c:pt>
                <c:pt idx="3" formatCode="0.0">
                  <c:v>1.4</c:v>
                </c:pt>
                <c:pt idx="4" formatCode="0.0">
                  <c:v>4.5</c:v>
                </c:pt>
                <c:pt idx="5" formatCode="0.0">
                  <c:v>9</c:v>
                </c:pt>
                <c:pt idx="6" formatCode="0.0">
                  <c:v>14.5</c:v>
                </c:pt>
                <c:pt idx="7" formatCode="0.0">
                  <c:v>20.3</c:v>
                </c:pt>
                <c:pt idx="8" formatCode="0.0">
                  <c:v>26.2</c:v>
                </c:pt>
                <c:pt idx="9" formatCode="0.0">
                  <c:v>32.1</c:v>
                </c:pt>
                <c:pt idx="10" formatCode="0.0">
                  <c:v>37.799999999999997</c:v>
                </c:pt>
                <c:pt idx="11" formatCode="0.0">
                  <c:v>43.5</c:v>
                </c:pt>
                <c:pt idx="12" formatCode="0.0">
                  <c:v>49.1</c:v>
                </c:pt>
                <c:pt idx="13" formatCode="0.0">
                  <c:v>54.7</c:v>
                </c:pt>
                <c:pt idx="14" formatCode="0.0">
                  <c:v>60.1</c:v>
                </c:pt>
                <c:pt idx="15" formatCode="0.0">
                  <c:v>65.5</c:v>
                </c:pt>
                <c:pt idx="16" formatCode="0.0">
                  <c:v>70.8</c:v>
                </c:pt>
                <c:pt idx="17" formatCode="0.0">
                  <c:v>76</c:v>
                </c:pt>
                <c:pt idx="18" formatCode="0.0">
                  <c:v>81.099999999999994</c:v>
                </c:pt>
                <c:pt idx="19" formatCode="0.0">
                  <c:v>86.2</c:v>
                </c:pt>
                <c:pt idx="20" formatCode="0.0">
                  <c:v>91.1</c:v>
                </c:pt>
                <c:pt idx="21" formatCode="0.0">
                  <c:v>96</c:v>
                </c:pt>
                <c:pt idx="22" formatCode="0.0">
                  <c:v>100.9</c:v>
                </c:pt>
                <c:pt idx="23" formatCode="0.0">
                  <c:v>105.6</c:v>
                </c:pt>
                <c:pt idx="24" formatCode="0.0">
                  <c:v>110.3</c:v>
                </c:pt>
                <c:pt idx="25" formatCode="0.0">
                  <c:v>114.9</c:v>
                </c:pt>
                <c:pt idx="26" formatCode="0.0">
                  <c:v>119.4</c:v>
                </c:pt>
                <c:pt idx="27" formatCode="0.0">
                  <c:v>123.8</c:v>
                </c:pt>
                <c:pt idx="28" formatCode="0.0">
                  <c:v>128.1</c:v>
                </c:pt>
                <c:pt idx="29" formatCode="0.0">
                  <c:v>132.30000000000001</c:v>
                </c:pt>
                <c:pt idx="30" formatCode="0.0">
                  <c:v>136.4</c:v>
                </c:pt>
                <c:pt idx="31" formatCode="0.0">
                  <c:v>140.5</c:v>
                </c:pt>
                <c:pt idx="32" formatCode="0.0">
                  <c:v>144.5</c:v>
                </c:pt>
                <c:pt idx="33" formatCode="0.0">
                  <c:v>148.4</c:v>
                </c:pt>
                <c:pt idx="34" formatCode="0.0">
                  <c:v>152.1</c:v>
                </c:pt>
                <c:pt idx="35" formatCode="0.0">
                  <c:v>155.80000000000001</c:v>
                </c:pt>
                <c:pt idx="36" formatCode="0.0">
                  <c:v>159.4</c:v>
                </c:pt>
                <c:pt idx="37" formatCode="0.0">
                  <c:v>162.9</c:v>
                </c:pt>
                <c:pt idx="38" formatCode="0.0">
                  <c:v>166.2</c:v>
                </c:pt>
                <c:pt idx="39" formatCode="0.0">
                  <c:v>169.5</c:v>
                </c:pt>
                <c:pt idx="40" formatCode="0.0">
                  <c:v>172.6</c:v>
                </c:pt>
                <c:pt idx="41" formatCode="0.0">
                  <c:v>175.7</c:v>
                </c:pt>
                <c:pt idx="42" formatCode="0.0">
                  <c:v>178.6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'Pon-Rec'!$N$5:$N$6</c:f>
              <c:strCache>
                <c:ptCount val="1"/>
                <c:pt idx="0">
                  <c:v>OEFS. ACC. / F. M. P.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'Pon-Rec'!$B$11:$B$53</c:f>
              <c:numCache>
                <c:formatCode>General</c:formatCode>
                <c:ptCount val="4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</c:numCache>
            </c:numRef>
          </c:cat>
          <c:val>
            <c:numRef>
              <c:f>'Pon-Rec'!$N$11:$N$53</c:f>
              <c:numCache>
                <c:formatCode>General</c:formatCode>
                <c:ptCount val="43"/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Inc!$M$5:$M$6</c:f>
              <c:strCache>
                <c:ptCount val="1"/>
                <c:pt idx="0">
                  <c:v>STD POUSSINS AC F. LOGÉE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Inc!$M$11:$M$53</c:f>
              <c:numCache>
                <c:formatCode>General</c:formatCode>
                <c:ptCount val="43"/>
                <c:pt idx="2" formatCode="0.0">
                  <c:v>0.1</c:v>
                </c:pt>
                <c:pt idx="3" formatCode="0.0">
                  <c:v>0.7</c:v>
                </c:pt>
                <c:pt idx="4" formatCode="0.0">
                  <c:v>2.8</c:v>
                </c:pt>
                <c:pt idx="5" formatCode="0.0">
                  <c:v>6.1</c:v>
                </c:pt>
                <c:pt idx="6" formatCode="0.0">
                  <c:v>10.5</c:v>
                </c:pt>
                <c:pt idx="7" formatCode="0.0">
                  <c:v>15.2</c:v>
                </c:pt>
                <c:pt idx="8" formatCode="0.0">
                  <c:v>20.100000000000001</c:v>
                </c:pt>
                <c:pt idx="9" formatCode="0.0">
                  <c:v>25.1</c:v>
                </c:pt>
                <c:pt idx="10" formatCode="0.0">
                  <c:v>30.1</c:v>
                </c:pt>
                <c:pt idx="11" formatCode="0.0">
                  <c:v>35.1</c:v>
                </c:pt>
                <c:pt idx="12" formatCode="0.0">
                  <c:v>40.1</c:v>
                </c:pt>
                <c:pt idx="13" formatCode="0.0">
                  <c:v>45</c:v>
                </c:pt>
                <c:pt idx="14" formatCode="0.0">
                  <c:v>49.8</c:v>
                </c:pt>
                <c:pt idx="15" formatCode="0.0">
                  <c:v>54.6</c:v>
                </c:pt>
                <c:pt idx="16" formatCode="0.0">
                  <c:v>59.2</c:v>
                </c:pt>
                <c:pt idx="17" formatCode="0.0">
                  <c:v>63.8</c:v>
                </c:pt>
                <c:pt idx="18" formatCode="0.0">
                  <c:v>68.3</c:v>
                </c:pt>
                <c:pt idx="19" formatCode="0.0">
                  <c:v>72.599999999999994</c:v>
                </c:pt>
                <c:pt idx="20" formatCode="0.0">
                  <c:v>76.900000000000006</c:v>
                </c:pt>
                <c:pt idx="21" formatCode="0.0">
                  <c:v>81.2</c:v>
                </c:pt>
                <c:pt idx="22" formatCode="0.0">
                  <c:v>85.3</c:v>
                </c:pt>
                <c:pt idx="23" formatCode="0.0">
                  <c:v>89.3</c:v>
                </c:pt>
                <c:pt idx="24" formatCode="0.0">
                  <c:v>93.3</c:v>
                </c:pt>
                <c:pt idx="25" formatCode="0.0">
                  <c:v>97.2</c:v>
                </c:pt>
                <c:pt idx="26" formatCode="0.0">
                  <c:v>101</c:v>
                </c:pt>
                <c:pt idx="27" formatCode="0.0">
                  <c:v>104.6</c:v>
                </c:pt>
                <c:pt idx="28" formatCode="0.0">
                  <c:v>108.2</c:v>
                </c:pt>
                <c:pt idx="29" formatCode="0.0">
                  <c:v>111.8</c:v>
                </c:pt>
                <c:pt idx="30" formatCode="0.0">
                  <c:v>115.2</c:v>
                </c:pt>
                <c:pt idx="31" formatCode="0.0">
                  <c:v>118.5</c:v>
                </c:pt>
                <c:pt idx="32" formatCode="0.0">
                  <c:v>121.8</c:v>
                </c:pt>
                <c:pt idx="33" formatCode="0.0">
                  <c:v>124.9</c:v>
                </c:pt>
                <c:pt idx="34" formatCode="0.0">
                  <c:v>128</c:v>
                </c:pt>
                <c:pt idx="35" formatCode="0.0">
                  <c:v>130.9</c:v>
                </c:pt>
                <c:pt idx="36" formatCode="0.0">
                  <c:v>133.80000000000001</c:v>
                </c:pt>
                <c:pt idx="37" formatCode="0.0">
                  <c:v>136.5</c:v>
                </c:pt>
                <c:pt idx="38" formatCode="0.0">
                  <c:v>139.19999999999999</c:v>
                </c:pt>
                <c:pt idx="39" formatCode="0.0">
                  <c:v>141.69999999999999</c:v>
                </c:pt>
                <c:pt idx="40" formatCode="0.0">
                  <c:v>144.19999999999999</c:v>
                </c:pt>
                <c:pt idx="41" formatCode="0.0">
                  <c:v>146.5</c:v>
                </c:pt>
                <c:pt idx="42" formatCode="0.0">
                  <c:v>148.69999999999999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Inc!$L$5:$L$6</c:f>
              <c:strCache>
                <c:ptCount val="1"/>
                <c:pt idx="0">
                  <c:v>POSSINS ACC. F. LOGÉE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x"/>
            <c:size val="4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Inc!$L$11:$L$53</c:f>
              <c:numCache>
                <c:formatCode>General</c:formatCode>
                <c:ptCount val="43"/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39360"/>
        <c:axId val="103450496"/>
      </c:lineChart>
      <c:catAx>
        <c:axId val="10343936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sem</a:t>
                </a:r>
              </a:p>
            </c:rich>
          </c:tx>
          <c:layout>
            <c:manualLayout>
              <c:xMode val="edge"/>
              <c:yMode val="edge"/>
              <c:x val="0.50672182006204769"/>
              <c:y val="0.90169491525423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45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5049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nº OEUFS / POUSSINS</a:t>
                </a:r>
              </a:p>
            </c:rich>
          </c:tx>
          <c:layout>
            <c:manualLayout>
              <c:xMode val="edge"/>
              <c:yMode val="edge"/>
              <c:x val="1.1375387797311285E-2"/>
              <c:y val="0.391525423728815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439360"/>
        <c:crosses val="autoZero"/>
        <c:crossBetween val="midCat"/>
        <c:majorUnit val="10"/>
        <c:minorUnit val="5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715615305067221"/>
          <c:y val="0.95762711864407124"/>
          <c:w val="0.5491209927611167"/>
          <c:h val="3.7288135593220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85557320878304E-2"/>
          <c:y val="4.6401059639583096E-2"/>
          <c:w val="0.90362741907697064"/>
          <c:h val="0.78703335773292515"/>
        </c:manualLayout>
      </c:layout>
      <c:lineChart>
        <c:grouping val="standard"/>
        <c:varyColors val="0"/>
        <c:ser>
          <c:idx val="0"/>
          <c:order val="0"/>
          <c:tx>
            <c:strRef>
              <c:f>Lumiere!$B$7:$B$8</c:f>
              <c:strCache>
                <c:ptCount val="1"/>
                <c:pt idx="0">
                  <c:v>LUM.  NAT.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Lumiere!$A$9:$A$91</c:f>
              <c:numCache>
                <c:formatCode>General</c:formatCode>
                <c:ptCount val="83"/>
                <c:pt idx="0">
                  <c:v>52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16</c:v>
                </c:pt>
                <c:pt idx="69">
                  <c:v>17</c:v>
                </c:pt>
                <c:pt idx="70">
                  <c:v>18</c:v>
                </c:pt>
                <c:pt idx="71">
                  <c:v>19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23</c:v>
                </c:pt>
                <c:pt idx="76">
                  <c:v>24</c:v>
                </c:pt>
                <c:pt idx="77">
                  <c:v>25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29</c:v>
                </c:pt>
                <c:pt idx="82">
                  <c:v>30</c:v>
                </c:pt>
              </c:numCache>
            </c:numRef>
          </c:cat>
          <c:val>
            <c:numRef>
              <c:f>Lumiere!$B$9:$B$91</c:f>
              <c:numCache>
                <c:formatCode>0.0</c:formatCode>
                <c:ptCount val="83"/>
                <c:pt idx="0">
                  <c:v>8.3000000000000007</c:v>
                </c:pt>
                <c:pt idx="1">
                  <c:v>8.5</c:v>
                </c:pt>
                <c:pt idx="2">
                  <c:v>8.6999999999999993</c:v>
                </c:pt>
                <c:pt idx="3">
                  <c:v>8.9</c:v>
                </c:pt>
                <c:pt idx="4">
                  <c:v>9.1999999999999993</c:v>
                </c:pt>
                <c:pt idx="5">
                  <c:v>9.5</c:v>
                </c:pt>
                <c:pt idx="6">
                  <c:v>9.8000000000000007</c:v>
                </c:pt>
                <c:pt idx="7">
                  <c:v>10.199999999999999</c:v>
                </c:pt>
                <c:pt idx="8">
                  <c:v>10.6</c:v>
                </c:pt>
                <c:pt idx="9">
                  <c:v>11</c:v>
                </c:pt>
                <c:pt idx="10">
                  <c:v>11.4</c:v>
                </c:pt>
                <c:pt idx="11">
                  <c:v>11.8</c:v>
                </c:pt>
                <c:pt idx="12">
                  <c:v>12.2</c:v>
                </c:pt>
                <c:pt idx="13">
                  <c:v>12.6</c:v>
                </c:pt>
                <c:pt idx="14">
                  <c:v>13</c:v>
                </c:pt>
                <c:pt idx="15">
                  <c:v>13.4</c:v>
                </c:pt>
                <c:pt idx="16">
                  <c:v>13.8</c:v>
                </c:pt>
                <c:pt idx="17">
                  <c:v>14.2</c:v>
                </c:pt>
                <c:pt idx="18">
                  <c:v>14.6</c:v>
                </c:pt>
                <c:pt idx="19">
                  <c:v>14.9</c:v>
                </c:pt>
                <c:pt idx="20">
                  <c:v>15.2</c:v>
                </c:pt>
                <c:pt idx="21">
                  <c:v>15.4</c:v>
                </c:pt>
                <c:pt idx="22">
                  <c:v>15.6</c:v>
                </c:pt>
                <c:pt idx="23">
                  <c:v>15.75</c:v>
                </c:pt>
                <c:pt idx="24">
                  <c:v>15.9</c:v>
                </c:pt>
                <c:pt idx="25">
                  <c:v>16</c:v>
                </c:pt>
                <c:pt idx="26">
                  <c:v>16</c:v>
                </c:pt>
                <c:pt idx="27">
                  <c:v>15.9</c:v>
                </c:pt>
                <c:pt idx="28">
                  <c:v>15.8</c:v>
                </c:pt>
                <c:pt idx="29">
                  <c:v>15.5</c:v>
                </c:pt>
                <c:pt idx="30">
                  <c:v>15.2</c:v>
                </c:pt>
                <c:pt idx="31">
                  <c:v>14.9</c:v>
                </c:pt>
                <c:pt idx="32">
                  <c:v>14.6</c:v>
                </c:pt>
                <c:pt idx="33">
                  <c:v>14.2</c:v>
                </c:pt>
                <c:pt idx="34">
                  <c:v>13.8</c:v>
                </c:pt>
                <c:pt idx="35">
                  <c:v>13.4</c:v>
                </c:pt>
                <c:pt idx="36">
                  <c:v>13</c:v>
                </c:pt>
                <c:pt idx="37">
                  <c:v>12.6</c:v>
                </c:pt>
                <c:pt idx="38">
                  <c:v>12.2</c:v>
                </c:pt>
                <c:pt idx="39">
                  <c:v>11.8</c:v>
                </c:pt>
                <c:pt idx="40">
                  <c:v>11.4</c:v>
                </c:pt>
                <c:pt idx="41">
                  <c:v>11</c:v>
                </c:pt>
                <c:pt idx="42">
                  <c:v>10.6</c:v>
                </c:pt>
                <c:pt idx="43">
                  <c:v>10.3</c:v>
                </c:pt>
                <c:pt idx="44">
                  <c:v>10</c:v>
                </c:pt>
                <c:pt idx="45">
                  <c:v>9.6999999999999993</c:v>
                </c:pt>
                <c:pt idx="46">
                  <c:v>9.3000000000000007</c:v>
                </c:pt>
                <c:pt idx="47">
                  <c:v>9</c:v>
                </c:pt>
                <c:pt idx="48">
                  <c:v>8.6999999999999993</c:v>
                </c:pt>
                <c:pt idx="49">
                  <c:v>8.5</c:v>
                </c:pt>
                <c:pt idx="50">
                  <c:v>8.3000000000000007</c:v>
                </c:pt>
                <c:pt idx="51">
                  <c:v>8.1999999999999993</c:v>
                </c:pt>
                <c:pt idx="52">
                  <c:v>8.3000000000000007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9.1999999999999993</c:v>
                </c:pt>
                <c:pt idx="57">
                  <c:v>9.5</c:v>
                </c:pt>
                <c:pt idx="58">
                  <c:v>9.8000000000000007</c:v>
                </c:pt>
                <c:pt idx="59">
                  <c:v>10.199999999999999</c:v>
                </c:pt>
                <c:pt idx="60">
                  <c:v>10.6</c:v>
                </c:pt>
                <c:pt idx="61">
                  <c:v>11</c:v>
                </c:pt>
                <c:pt idx="62">
                  <c:v>11.4</c:v>
                </c:pt>
                <c:pt idx="63">
                  <c:v>11.8</c:v>
                </c:pt>
                <c:pt idx="64">
                  <c:v>12.2</c:v>
                </c:pt>
                <c:pt idx="65">
                  <c:v>12.6</c:v>
                </c:pt>
                <c:pt idx="66">
                  <c:v>13</c:v>
                </c:pt>
                <c:pt idx="67">
                  <c:v>13.4</c:v>
                </c:pt>
                <c:pt idx="68">
                  <c:v>13.8</c:v>
                </c:pt>
                <c:pt idx="69">
                  <c:v>14.2</c:v>
                </c:pt>
                <c:pt idx="70">
                  <c:v>14.6</c:v>
                </c:pt>
                <c:pt idx="71">
                  <c:v>14.9</c:v>
                </c:pt>
                <c:pt idx="72">
                  <c:v>15.2</c:v>
                </c:pt>
                <c:pt idx="73">
                  <c:v>15.4</c:v>
                </c:pt>
                <c:pt idx="74">
                  <c:v>15.6</c:v>
                </c:pt>
                <c:pt idx="75">
                  <c:v>15.75</c:v>
                </c:pt>
                <c:pt idx="76">
                  <c:v>15.9</c:v>
                </c:pt>
                <c:pt idx="77">
                  <c:v>16</c:v>
                </c:pt>
                <c:pt idx="78">
                  <c:v>16</c:v>
                </c:pt>
                <c:pt idx="79">
                  <c:v>15.9</c:v>
                </c:pt>
                <c:pt idx="80">
                  <c:v>15.8</c:v>
                </c:pt>
                <c:pt idx="81">
                  <c:v>15.5</c:v>
                </c:pt>
                <c:pt idx="82">
                  <c:v>15.2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Lumiere!$D$7:$D$8</c:f>
              <c:strCache>
                <c:ptCount val="1"/>
                <c:pt idx="0">
                  <c:v>LUM. LOT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Lumiere!$D$9:$D$91</c:f>
              <c:numCache>
                <c:formatCode>General</c:formatCode>
                <c:ptCount val="83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78720"/>
        <c:axId val="103680640"/>
      </c:lineChart>
      <c:catAx>
        <c:axId val="10367872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semaimes anné</a:t>
                </a:r>
              </a:p>
            </c:rich>
          </c:tx>
          <c:layout>
            <c:manualLayout>
              <c:xMode val="edge"/>
              <c:yMode val="edge"/>
              <c:x val="0.47141516134012806"/>
              <c:y val="0.88162012535318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806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3680640"/>
        <c:scaling>
          <c:orientation val="minMax"/>
          <c:max val="18"/>
          <c:min val="6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heures de lumiere</a:t>
                </a:r>
              </a:p>
            </c:rich>
          </c:tx>
          <c:layout>
            <c:manualLayout>
              <c:xMode val="edge"/>
              <c:yMode val="edge"/>
              <c:x val="1.568112809428248E-2"/>
              <c:y val="0.365854596044349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78720"/>
        <c:crosses val="autoZero"/>
        <c:crossBetween val="midCat"/>
        <c:majorUnit val="1"/>
        <c:minorUnit val="0.1"/>
      </c:valAx>
      <c:spPr>
        <a:solidFill>
          <a:srgbClr val="E3E3E3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731192424476594"/>
          <c:y val="0.944083109829848"/>
          <c:w val="0.19699469919201354"/>
          <c:h val="4.28317771753940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&amp;C&amp;A</c:oddHeader>
      <c:oddFooter>&amp;Z&amp;6&amp;N&amp;C&amp;8Preparado por COBB Española
&amp;F</c:oddFooter>
    </c:headerFooter>
    <c:pageMargins b="0.78740157480314954" l="0.75000000000000266" r="0.75000000000000266" t="0.78740157480314954" header="0.51181102362204722" footer="0.51181102362204722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800" b="1" i="0" u="none" strike="noStrike" baseline="0">
                <a:solidFill>
                  <a:srgbClr val="000000"/>
                </a:solidFill>
                <a:latin typeface="Courier New"/>
                <a:cs typeface="Courier New"/>
              </a:rPr>
              <a:t>FEMELLES ELEVAGE</a:t>
            </a:r>
            <a:endParaRPr lang="es-ES" sz="1400" b="1" i="0" u="none" strike="noStrike" baseline="0">
              <a:solidFill>
                <a:srgbClr val="000000"/>
              </a:solidFill>
              <a:latin typeface="Courier New"/>
              <a:cs typeface="Courier New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 sz="1400" b="1" i="0" u="none" strike="noStrike" baseline="0">
              <a:solidFill>
                <a:srgbClr val="000000"/>
              </a:solidFill>
              <a:latin typeface="Courier New"/>
              <a:cs typeface="Courier New"/>
            </a:endParaRPr>
          </a:p>
        </c:rich>
      </c:tx>
      <c:layout>
        <c:manualLayout>
          <c:xMode val="edge"/>
          <c:yMode val="edge"/>
          <c:x val="0.41158221302999193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2057911065151E-2"/>
          <c:y val="0.14067796610169492"/>
          <c:w val="0.86039296794208897"/>
          <c:h val="0.71186440677966101"/>
        </c:manualLayout>
      </c:layout>
      <c:lineChart>
        <c:grouping val="standard"/>
        <c:varyColors val="0"/>
        <c:ser>
          <c:idx val="1"/>
          <c:order val="0"/>
          <c:tx>
            <c:strRef>
              <c:f>'Dem-Rec'!$G$6:$G$7</c:f>
              <c:strCache>
                <c:ptCount val="1"/>
                <c:pt idx="0">
                  <c:v>POIDS STD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'Dem-Rec'!$B$8:$B$29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'Dem-Rec'!$G$8:$G$29</c:f>
              <c:numCache>
                <c:formatCode>General</c:formatCode>
                <c:ptCount val="22"/>
                <c:pt idx="0">
                  <c:v>160</c:v>
                </c:pt>
                <c:pt idx="1">
                  <c:v>280</c:v>
                </c:pt>
                <c:pt idx="2">
                  <c:v>400</c:v>
                </c:pt>
                <c:pt idx="3">
                  <c:v>520</c:v>
                </c:pt>
                <c:pt idx="4">
                  <c:v>620</c:v>
                </c:pt>
                <c:pt idx="5">
                  <c:v>720</c:v>
                </c:pt>
                <c:pt idx="6">
                  <c:v>820</c:v>
                </c:pt>
                <c:pt idx="7">
                  <c:v>920</c:v>
                </c:pt>
                <c:pt idx="8">
                  <c:v>1020</c:v>
                </c:pt>
                <c:pt idx="9">
                  <c:v>1105</c:v>
                </c:pt>
                <c:pt idx="10">
                  <c:v>1190</c:v>
                </c:pt>
                <c:pt idx="11">
                  <c:v>1280</c:v>
                </c:pt>
                <c:pt idx="12">
                  <c:v>1365</c:v>
                </c:pt>
                <c:pt idx="13">
                  <c:v>1450</c:v>
                </c:pt>
                <c:pt idx="14">
                  <c:v>1530</c:v>
                </c:pt>
                <c:pt idx="15">
                  <c:v>1610</c:v>
                </c:pt>
                <c:pt idx="16">
                  <c:v>1745</c:v>
                </c:pt>
                <c:pt idx="17">
                  <c:v>1880</c:v>
                </c:pt>
                <c:pt idx="18">
                  <c:v>2015</c:v>
                </c:pt>
                <c:pt idx="19">
                  <c:v>2150</c:v>
                </c:pt>
                <c:pt idx="20">
                  <c:v>2410</c:v>
                </c:pt>
                <c:pt idx="21">
                  <c:v>2575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'Dem-Rec'!$H$6:$H$7</c:f>
              <c:strCache>
                <c:ptCount val="1"/>
                <c:pt idx="0">
                  <c:v>POIDS RÉEL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'Dem-Rec'!$B$8:$B$29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'Dem-Rec'!$H$8:$H$29</c:f>
              <c:numCache>
                <c:formatCode>0</c:formatCode>
                <c:ptCount val="22"/>
                <c:pt idx="0">
                  <c:v>134.83333333333334</c:v>
                </c:pt>
                <c:pt idx="1">
                  <c:v>326.16666666666669</c:v>
                </c:pt>
                <c:pt idx="2">
                  <c:v>504</c:v>
                </c:pt>
                <c:pt idx="3">
                  <c:v>562</c:v>
                </c:pt>
                <c:pt idx="4">
                  <c:v>585.63333333333333</c:v>
                </c:pt>
                <c:pt idx="5">
                  <c:v>708.43333333333339</c:v>
                </c:pt>
                <c:pt idx="6">
                  <c:v>779.40666666666675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02112"/>
        <c:axId val="90204416"/>
      </c:lineChart>
      <c:lineChart>
        <c:grouping val="standard"/>
        <c:varyColors val="0"/>
        <c:ser>
          <c:idx val="2"/>
          <c:order val="2"/>
          <c:tx>
            <c:strRef>
              <c:f>'Dem-Rec'!$E$6:$E$7</c:f>
              <c:strCache>
                <c:ptCount val="1"/>
                <c:pt idx="0">
                  <c:v>ALIMENT STD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'Dem-Rec'!$E$8:$E$29</c:f>
              <c:numCache>
                <c:formatCode>General</c:formatCode>
                <c:ptCount val="22"/>
                <c:pt idx="0">
                  <c:v>35</c:v>
                </c:pt>
                <c:pt idx="1">
                  <c:v>39</c:v>
                </c:pt>
                <c:pt idx="2">
                  <c:v>42</c:v>
                </c:pt>
                <c:pt idx="3">
                  <c:v>45</c:v>
                </c:pt>
                <c:pt idx="4">
                  <c:v>48</c:v>
                </c:pt>
                <c:pt idx="5">
                  <c:v>51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61</c:v>
                </c:pt>
                <c:pt idx="13">
                  <c:v>65</c:v>
                </c:pt>
                <c:pt idx="14">
                  <c:v>71</c:v>
                </c:pt>
                <c:pt idx="15">
                  <c:v>78</c:v>
                </c:pt>
                <c:pt idx="16">
                  <c:v>86</c:v>
                </c:pt>
                <c:pt idx="17">
                  <c:v>94</c:v>
                </c:pt>
                <c:pt idx="18">
                  <c:v>102</c:v>
                </c:pt>
                <c:pt idx="19">
                  <c:v>107</c:v>
                </c:pt>
                <c:pt idx="20">
                  <c:v>112</c:v>
                </c:pt>
                <c:pt idx="21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'Dem-Rec'!$F$6:$F$7</c:f>
              <c:strCache>
                <c:ptCount val="1"/>
                <c:pt idx="0">
                  <c:v>ALIMENT RÉEL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x"/>
            <c:size val="4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'Dem-Rec'!$F$8:$F$29</c:f>
              <c:numCache>
                <c:formatCode>0</c:formatCode>
                <c:ptCount val="22"/>
                <c:pt idx="1">
                  <c:v>41</c:v>
                </c:pt>
                <c:pt idx="2">
                  <c:v>44</c:v>
                </c:pt>
                <c:pt idx="3">
                  <c:v>47</c:v>
                </c:pt>
                <c:pt idx="4">
                  <c:v>51.666666666666664</c:v>
                </c:pt>
                <c:pt idx="5">
                  <c:v>54.666666666666664</c:v>
                </c:pt>
                <c:pt idx="6">
                  <c:v>55.666666666666664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31168"/>
        <c:axId val="90232704"/>
      </c:lineChart>
      <c:catAx>
        <c:axId val="902021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AGE</a:t>
                </a:r>
              </a:p>
            </c:rich>
          </c:tx>
          <c:layout>
            <c:manualLayout>
              <c:xMode val="edge"/>
              <c:yMode val="edge"/>
              <c:x val="0.47983453981385954"/>
              <c:y val="0.89830508474575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0204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0204416"/>
        <c:scaling>
          <c:orientation val="minMax"/>
          <c:max val="28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POIDS</a:t>
                </a:r>
              </a:p>
            </c:rich>
          </c:tx>
          <c:layout>
            <c:manualLayout>
              <c:xMode val="edge"/>
              <c:yMode val="edge"/>
              <c:x val="1.1375387797311285E-2"/>
              <c:y val="0.46271186440677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0202112"/>
        <c:crosses val="autoZero"/>
        <c:crossBetween val="midCat"/>
        <c:majorUnit val="200"/>
        <c:minorUnit val="50"/>
      </c:valAx>
      <c:catAx>
        <c:axId val="90231168"/>
        <c:scaling>
          <c:orientation val="minMax"/>
        </c:scaling>
        <c:delete val="1"/>
        <c:axPos val="b"/>
        <c:majorTickMark val="out"/>
        <c:minorTickMark val="none"/>
        <c:tickLblPos val="none"/>
        <c:crossAx val="90232704"/>
        <c:crosses val="autoZero"/>
        <c:auto val="0"/>
        <c:lblAlgn val="ctr"/>
        <c:lblOffset val="100"/>
        <c:noMultiLvlLbl val="0"/>
      </c:catAx>
      <c:valAx>
        <c:axId val="90232704"/>
        <c:scaling>
          <c:orientation val="minMax"/>
          <c:max val="28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 rations</a:t>
                </a:r>
              </a:p>
            </c:rich>
          </c:tx>
          <c:layout>
            <c:manualLayout>
              <c:xMode val="edge"/>
              <c:yMode val="edge"/>
              <c:x val="0.96483971044467876"/>
              <c:y val="0.449152542372881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0231168"/>
        <c:crosses val="max"/>
        <c:crossBetween val="midCat"/>
        <c:majorUnit val="10"/>
        <c:minorUnit val="2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06721820062088"/>
          <c:y val="0.95762711864407124"/>
          <c:w val="0.38986556359876173"/>
          <c:h val="3.72881355932203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800" b="1" i="0" u="none" strike="noStrike" baseline="0">
                <a:solidFill>
                  <a:srgbClr val="000000"/>
                </a:solidFill>
                <a:latin typeface="Courier New"/>
                <a:cs typeface="Courier New"/>
              </a:rPr>
              <a:t>MÂLES ELEVAGE</a:t>
            </a:r>
            <a:endParaRPr lang="es-ES" sz="1400" b="1" i="0" u="none" strike="noStrike" baseline="0">
              <a:solidFill>
                <a:srgbClr val="000000"/>
              </a:solidFill>
              <a:latin typeface="Courier New"/>
              <a:cs typeface="Courier New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 sz="1400" b="1" i="0" u="none" strike="noStrike" baseline="0">
              <a:solidFill>
                <a:srgbClr val="000000"/>
              </a:solidFill>
              <a:latin typeface="Courier New"/>
              <a:cs typeface="Courier New"/>
            </a:endParaRPr>
          </a:p>
        </c:rich>
      </c:tx>
      <c:layout>
        <c:manualLayout>
          <c:xMode val="edge"/>
          <c:yMode val="edge"/>
          <c:x val="0.42295760082730138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95966907963491E-2"/>
          <c:y val="0.12033898305084745"/>
          <c:w val="0.8521199586349536"/>
          <c:h val="0.70169491525423988"/>
        </c:manualLayout>
      </c:layout>
      <c:lineChart>
        <c:grouping val="standard"/>
        <c:varyColors val="0"/>
        <c:ser>
          <c:idx val="1"/>
          <c:order val="0"/>
          <c:tx>
            <c:strRef>
              <c:f>'Dem-Rec'!$N$6:$N$7</c:f>
              <c:strCache>
                <c:ptCount val="1"/>
                <c:pt idx="0">
                  <c:v>POIDS STD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'Dem-Rec'!$B$8:$B$29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'Dem-Rec'!$N$8:$N$29</c:f>
              <c:numCache>
                <c:formatCode>General</c:formatCode>
                <c:ptCount val="22"/>
                <c:pt idx="0">
                  <c:v>145</c:v>
                </c:pt>
                <c:pt idx="1">
                  <c:v>340</c:v>
                </c:pt>
                <c:pt idx="2">
                  <c:v>520</c:v>
                </c:pt>
                <c:pt idx="3">
                  <c:v>665</c:v>
                </c:pt>
                <c:pt idx="4">
                  <c:v>800</c:v>
                </c:pt>
                <c:pt idx="5">
                  <c:v>930</c:v>
                </c:pt>
                <c:pt idx="6">
                  <c:v>1060</c:v>
                </c:pt>
                <c:pt idx="7">
                  <c:v>1190</c:v>
                </c:pt>
                <c:pt idx="8">
                  <c:v>1320</c:v>
                </c:pt>
                <c:pt idx="9">
                  <c:v>1455</c:v>
                </c:pt>
                <c:pt idx="10">
                  <c:v>1570</c:v>
                </c:pt>
                <c:pt idx="11">
                  <c:v>1695</c:v>
                </c:pt>
                <c:pt idx="12">
                  <c:v>1810</c:v>
                </c:pt>
                <c:pt idx="13">
                  <c:v>1920</c:v>
                </c:pt>
                <c:pt idx="14">
                  <c:v>2035</c:v>
                </c:pt>
                <c:pt idx="15">
                  <c:v>2160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2725</c:v>
                </c:pt>
                <c:pt idx="20">
                  <c:v>2850</c:v>
                </c:pt>
                <c:pt idx="21">
                  <c:v>2970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'Dem-Rec'!$O$6:$O$7</c:f>
              <c:strCache>
                <c:ptCount val="1"/>
                <c:pt idx="0">
                  <c:v>POIDS RÉEL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'Dem-Rec'!$B$8:$B$29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'Dem-Rec'!$O$8:$O$29</c:f>
              <c:numCache>
                <c:formatCode>0</c:formatCode>
                <c:ptCount val="22"/>
                <c:pt idx="0">
                  <c:v>173.2</c:v>
                </c:pt>
                <c:pt idx="1">
                  <c:v>318</c:v>
                </c:pt>
                <c:pt idx="2">
                  <c:v>600</c:v>
                </c:pt>
                <c:pt idx="3">
                  <c:v>743</c:v>
                </c:pt>
                <c:pt idx="4">
                  <c:v>863.2</c:v>
                </c:pt>
                <c:pt idx="5">
                  <c:v>1006.6</c:v>
                </c:pt>
                <c:pt idx="6">
                  <c:v>1208.5999999999999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1856"/>
        <c:axId val="90284416"/>
      </c:lineChart>
      <c:lineChart>
        <c:grouping val="standard"/>
        <c:varyColors val="0"/>
        <c:ser>
          <c:idx val="2"/>
          <c:order val="2"/>
          <c:tx>
            <c:strRef>
              <c:f>'Dem-Rec'!$L$6:$L$7</c:f>
              <c:strCache>
                <c:ptCount val="1"/>
                <c:pt idx="0">
                  <c:v>ALIMENT STD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'Dem-Rec'!$L$8:$L$29</c:f>
              <c:numCache>
                <c:formatCode>General</c:formatCode>
                <c:ptCount val="22"/>
                <c:pt idx="0">
                  <c:v>35</c:v>
                </c:pt>
                <c:pt idx="1">
                  <c:v>45</c:v>
                </c:pt>
                <c:pt idx="2">
                  <c:v>60</c:v>
                </c:pt>
                <c:pt idx="3">
                  <c:v>62</c:v>
                </c:pt>
                <c:pt idx="4">
                  <c:v>65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  <c:pt idx="13">
                  <c:v>85</c:v>
                </c:pt>
                <c:pt idx="14">
                  <c:v>87</c:v>
                </c:pt>
                <c:pt idx="15">
                  <c:v>89</c:v>
                </c:pt>
                <c:pt idx="16">
                  <c:v>91</c:v>
                </c:pt>
                <c:pt idx="17">
                  <c:v>93</c:v>
                </c:pt>
                <c:pt idx="18">
                  <c:v>96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'Dem-Rec'!$M$6:$M$7</c:f>
              <c:strCache>
                <c:ptCount val="1"/>
                <c:pt idx="0">
                  <c:v>ALIMENT RÉEL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'Dem-Rec'!$M$8:$M$29</c:f>
              <c:numCache>
                <c:formatCode>0</c:formatCode>
                <c:ptCount val="22"/>
                <c:pt idx="1">
                  <c:v>47</c:v>
                </c:pt>
                <c:pt idx="2">
                  <c:v>60</c:v>
                </c:pt>
                <c:pt idx="3">
                  <c:v>62</c:v>
                </c:pt>
                <c:pt idx="4">
                  <c:v>65</c:v>
                </c:pt>
                <c:pt idx="5">
                  <c:v>68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86336"/>
        <c:axId val="90292224"/>
      </c:lineChart>
      <c:catAx>
        <c:axId val="9028185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AGE</a:t>
                </a:r>
              </a:p>
            </c:rich>
          </c:tx>
          <c:layout>
            <c:manualLayout>
              <c:xMode val="edge"/>
              <c:yMode val="edge"/>
              <c:x val="0.48707342295760264"/>
              <c:y val="0.874576271186440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0284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0284416"/>
        <c:scaling>
          <c:orientation val="minMax"/>
          <c:max val="36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POIDS</a:t>
                </a:r>
              </a:p>
            </c:rich>
          </c:tx>
          <c:layout>
            <c:manualLayout>
              <c:xMode val="edge"/>
              <c:yMode val="edge"/>
              <c:x val="1.6546018614271001E-2"/>
              <c:y val="0.43728813559322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0281856"/>
        <c:crosses val="autoZero"/>
        <c:crossBetween val="midCat"/>
        <c:majorUnit val="200"/>
        <c:minorUnit val="50"/>
      </c:valAx>
      <c:catAx>
        <c:axId val="90286336"/>
        <c:scaling>
          <c:orientation val="minMax"/>
        </c:scaling>
        <c:delete val="1"/>
        <c:axPos val="b"/>
        <c:majorTickMark val="out"/>
        <c:minorTickMark val="none"/>
        <c:tickLblPos val="none"/>
        <c:crossAx val="90292224"/>
        <c:crosses val="autoZero"/>
        <c:auto val="0"/>
        <c:lblAlgn val="ctr"/>
        <c:lblOffset val="100"/>
        <c:noMultiLvlLbl val="0"/>
      </c:catAx>
      <c:valAx>
        <c:axId val="902922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gr. ration</a:t>
                </a:r>
              </a:p>
            </c:rich>
          </c:tx>
          <c:layout>
            <c:manualLayout>
              <c:xMode val="edge"/>
              <c:yMode val="edge"/>
              <c:x val="0.96794208893485001"/>
              <c:y val="0.42033898305085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0286336"/>
        <c:crosses val="max"/>
        <c:crossBetween val="midCat"/>
        <c:majorUnit val="10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20372285418835"/>
          <c:y val="0.95593220338983065"/>
          <c:w val="0.38986556359876173"/>
          <c:h val="3.72881355932202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es-ES"/>
              <a:t>	FEMELLE PROD. (POIDS, ALIMENT)</a:t>
            </a:r>
          </a:p>
        </c:rich>
      </c:tx>
      <c:layout>
        <c:manualLayout>
          <c:xMode val="edge"/>
          <c:yMode val="edge"/>
          <c:x val="0.2978283350568795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25336091003107E-2"/>
          <c:y val="0.14067796610169492"/>
          <c:w val="0.85418821096173769"/>
          <c:h val="0.7016949152542401"/>
        </c:manualLayout>
      </c:layout>
      <c:lineChart>
        <c:grouping val="standard"/>
        <c:varyColors val="0"/>
        <c:ser>
          <c:idx val="1"/>
          <c:order val="0"/>
          <c:tx>
            <c:strRef>
              <c:f>'Prod-Rec'!$G$6:$G$7</c:f>
              <c:strCache>
                <c:ptCount val="1"/>
                <c:pt idx="0">
                  <c:v>POIDS STD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'Prod-Rec'!$B$8:$B$55</c:f>
              <c:numCache>
                <c:formatCode>General</c:formatCod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numCache>
            </c:numRef>
          </c:cat>
          <c:val>
            <c:numRef>
              <c:f>'Prod-Rec'!$G$8:$G$55</c:f>
              <c:numCache>
                <c:formatCode>General</c:formatCode>
                <c:ptCount val="48"/>
                <c:pt idx="0">
                  <c:v>1880</c:v>
                </c:pt>
                <c:pt idx="1">
                  <c:v>2015</c:v>
                </c:pt>
                <c:pt idx="2">
                  <c:v>2150</c:v>
                </c:pt>
                <c:pt idx="3">
                  <c:v>2410</c:v>
                </c:pt>
                <c:pt idx="4">
                  <c:v>2575</c:v>
                </c:pt>
                <c:pt idx="5">
                  <c:v>2735</c:v>
                </c:pt>
                <c:pt idx="6">
                  <c:v>2900</c:v>
                </c:pt>
                <c:pt idx="7">
                  <c:v>3000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3380</c:v>
                </c:pt>
                <c:pt idx="12">
                  <c:v>3440</c:v>
                </c:pt>
                <c:pt idx="13">
                  <c:v>3460</c:v>
                </c:pt>
                <c:pt idx="14">
                  <c:v>3480</c:v>
                </c:pt>
                <c:pt idx="15">
                  <c:v>3500</c:v>
                </c:pt>
                <c:pt idx="16">
                  <c:v>3520</c:v>
                </c:pt>
                <c:pt idx="17">
                  <c:v>3540</c:v>
                </c:pt>
                <c:pt idx="18">
                  <c:v>3560</c:v>
                </c:pt>
                <c:pt idx="19">
                  <c:v>3580</c:v>
                </c:pt>
                <c:pt idx="20">
                  <c:v>3600</c:v>
                </c:pt>
                <c:pt idx="21">
                  <c:v>3620</c:v>
                </c:pt>
                <c:pt idx="22">
                  <c:v>3640</c:v>
                </c:pt>
                <c:pt idx="23">
                  <c:v>3660</c:v>
                </c:pt>
                <c:pt idx="24">
                  <c:v>3675</c:v>
                </c:pt>
                <c:pt idx="25">
                  <c:v>3690</c:v>
                </c:pt>
                <c:pt idx="26">
                  <c:v>3705</c:v>
                </c:pt>
                <c:pt idx="27">
                  <c:v>3720</c:v>
                </c:pt>
                <c:pt idx="28">
                  <c:v>3735</c:v>
                </c:pt>
                <c:pt idx="29">
                  <c:v>3750</c:v>
                </c:pt>
                <c:pt idx="30">
                  <c:v>3765</c:v>
                </c:pt>
                <c:pt idx="31">
                  <c:v>3780</c:v>
                </c:pt>
                <c:pt idx="32">
                  <c:v>3795</c:v>
                </c:pt>
                <c:pt idx="33">
                  <c:v>3810</c:v>
                </c:pt>
                <c:pt idx="34">
                  <c:v>3820</c:v>
                </c:pt>
                <c:pt idx="35">
                  <c:v>3830</c:v>
                </c:pt>
                <c:pt idx="36">
                  <c:v>3840</c:v>
                </c:pt>
                <c:pt idx="37">
                  <c:v>3850</c:v>
                </c:pt>
                <c:pt idx="38">
                  <c:v>3860</c:v>
                </c:pt>
                <c:pt idx="39">
                  <c:v>3870</c:v>
                </c:pt>
                <c:pt idx="40">
                  <c:v>3880</c:v>
                </c:pt>
                <c:pt idx="41">
                  <c:v>3890</c:v>
                </c:pt>
                <c:pt idx="42">
                  <c:v>3900</c:v>
                </c:pt>
                <c:pt idx="43">
                  <c:v>3910</c:v>
                </c:pt>
                <c:pt idx="44">
                  <c:v>3920</c:v>
                </c:pt>
                <c:pt idx="45">
                  <c:v>3930</c:v>
                </c:pt>
                <c:pt idx="46">
                  <c:v>3940</c:v>
                </c:pt>
                <c:pt idx="47">
                  <c:v>3950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'Prod-Rec'!$H$6:$H$7</c:f>
              <c:strCache>
                <c:ptCount val="1"/>
                <c:pt idx="0">
                  <c:v>POIDS RÉEL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'Prod-Rec'!$B$8:$B$55</c:f>
              <c:numCache>
                <c:formatCode>General</c:formatCod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numCache>
            </c:numRef>
          </c:cat>
          <c:val>
            <c:numRef>
              <c:f>'Prod-Rec'!$H$8:$H$55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65440"/>
        <c:axId val="98368128"/>
      </c:lineChart>
      <c:lineChart>
        <c:grouping val="standard"/>
        <c:varyColors val="0"/>
        <c:ser>
          <c:idx val="2"/>
          <c:order val="2"/>
          <c:tx>
            <c:strRef>
              <c:f>'Prod-Rec'!$E$6:$E$7</c:f>
              <c:strCache>
                <c:ptCount val="1"/>
                <c:pt idx="0">
                  <c:v>ALIMENT STD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'Prod-Rec'!$E$8:$E$55</c:f>
              <c:numCache>
                <c:formatCode>General</c:formatCode>
                <c:ptCount val="48"/>
                <c:pt idx="0">
                  <c:v>94</c:v>
                </c:pt>
                <c:pt idx="1">
                  <c:v>102</c:v>
                </c:pt>
                <c:pt idx="2">
                  <c:v>107</c:v>
                </c:pt>
                <c:pt idx="3">
                  <c:v>112</c:v>
                </c:pt>
                <c:pt idx="4">
                  <c:v>117</c:v>
                </c:pt>
                <c:pt idx="5">
                  <c:v>122</c:v>
                </c:pt>
                <c:pt idx="6">
                  <c:v>127</c:v>
                </c:pt>
                <c:pt idx="7">
                  <c:v>135</c:v>
                </c:pt>
                <c:pt idx="8">
                  <c:v>150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164</c:v>
                </c:pt>
                <c:pt idx="15">
                  <c:v>163</c:v>
                </c:pt>
                <c:pt idx="16">
                  <c:v>162</c:v>
                </c:pt>
                <c:pt idx="17">
                  <c:v>161</c:v>
                </c:pt>
                <c:pt idx="18">
                  <c:v>160</c:v>
                </c:pt>
                <c:pt idx="19">
                  <c:v>159</c:v>
                </c:pt>
                <c:pt idx="20">
                  <c:v>158</c:v>
                </c:pt>
                <c:pt idx="21">
                  <c:v>157</c:v>
                </c:pt>
                <c:pt idx="22">
                  <c:v>156</c:v>
                </c:pt>
                <c:pt idx="23">
                  <c:v>155</c:v>
                </c:pt>
                <c:pt idx="24">
                  <c:v>154</c:v>
                </c:pt>
                <c:pt idx="25">
                  <c:v>153</c:v>
                </c:pt>
                <c:pt idx="26">
                  <c:v>152</c:v>
                </c:pt>
                <c:pt idx="27">
                  <c:v>151</c:v>
                </c:pt>
                <c:pt idx="28">
                  <c:v>150</c:v>
                </c:pt>
                <c:pt idx="29">
                  <c:v>150</c:v>
                </c:pt>
                <c:pt idx="30">
                  <c:v>149</c:v>
                </c:pt>
                <c:pt idx="31">
                  <c:v>149</c:v>
                </c:pt>
                <c:pt idx="32">
                  <c:v>148</c:v>
                </c:pt>
                <c:pt idx="33">
                  <c:v>148</c:v>
                </c:pt>
                <c:pt idx="34">
                  <c:v>147</c:v>
                </c:pt>
                <c:pt idx="35">
                  <c:v>147</c:v>
                </c:pt>
                <c:pt idx="36">
                  <c:v>146</c:v>
                </c:pt>
                <c:pt idx="37">
                  <c:v>146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145</c:v>
                </c:pt>
                <c:pt idx="42">
                  <c:v>145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'Prod-Rec'!$F$6:$F$7</c:f>
              <c:strCache>
                <c:ptCount val="1"/>
                <c:pt idx="0">
                  <c:v>ALIMENT RÉEL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x"/>
            <c:size val="4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val>
            <c:numRef>
              <c:f>'Prod-Rec'!$F$8:$F$55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39936"/>
        <c:axId val="98441472"/>
      </c:lineChart>
      <c:catAx>
        <c:axId val="983654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ÂGE</a:t>
                </a:r>
              </a:p>
            </c:rich>
          </c:tx>
          <c:layout>
            <c:manualLayout>
              <c:xMode val="edge"/>
              <c:yMode val="edge"/>
              <c:x val="0.48707342295760264"/>
              <c:y val="0.894915254237288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36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368128"/>
        <c:scaling>
          <c:orientation val="minMax"/>
          <c:max val="4200"/>
          <c:min val="16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POIDS</a:t>
                </a:r>
              </a:p>
            </c:rich>
          </c:tx>
          <c:layout>
            <c:manualLayout>
              <c:xMode val="edge"/>
              <c:yMode val="edge"/>
              <c:x val="1.1375387797311285E-2"/>
              <c:y val="0.454237288135591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365440"/>
        <c:crosses val="autoZero"/>
        <c:crossBetween val="midCat"/>
        <c:majorUnit val="200"/>
        <c:minorUnit val="50"/>
      </c:valAx>
      <c:catAx>
        <c:axId val="98439936"/>
        <c:scaling>
          <c:orientation val="minMax"/>
        </c:scaling>
        <c:delete val="1"/>
        <c:axPos val="b"/>
        <c:majorTickMark val="out"/>
        <c:minorTickMark val="none"/>
        <c:tickLblPos val="none"/>
        <c:crossAx val="98441472"/>
        <c:crossesAt val="80"/>
        <c:auto val="0"/>
        <c:lblAlgn val="ctr"/>
        <c:lblOffset val="100"/>
        <c:noMultiLvlLbl val="0"/>
      </c:catAx>
      <c:valAx>
        <c:axId val="98441472"/>
        <c:scaling>
          <c:orientation val="minMax"/>
          <c:max val="340"/>
          <c:min val="8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gr. ALIMENT</a:t>
                </a:r>
              </a:p>
            </c:rich>
          </c:tx>
          <c:layout>
            <c:manualLayout>
              <c:xMode val="edge"/>
              <c:yMode val="edge"/>
              <c:x val="0.96483971044467876"/>
              <c:y val="0.386440677966103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439936"/>
        <c:crosses val="max"/>
        <c:crossBetween val="midCat"/>
        <c:majorUnit val="10"/>
        <c:minorUnit val="5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13581523612548"/>
          <c:y val="0.93841807909604458"/>
          <c:w val="0.58841778697000591"/>
          <c:h val="4.06779661016947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 b="1" i="0" u="none" strike="noStrike" baseline="0">
                <a:solidFill>
                  <a:srgbClr val="000000"/>
                </a:solidFill>
                <a:latin typeface="Courier New"/>
                <a:cs typeface="Courier New"/>
              </a:rPr>
              <a:t>MÂLES PROD. (POIDS ,ALIMENT)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	</a:t>
            </a:r>
          </a:p>
        </c:rich>
      </c:tx>
      <c:layout>
        <c:manualLayout>
          <c:xMode val="edge"/>
          <c:yMode val="edge"/>
          <c:x val="0.29472595656670114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59462254395084E-2"/>
          <c:y val="0.14067796610169492"/>
          <c:w val="0.8521199586349536"/>
          <c:h val="0.70000000000000062"/>
        </c:manualLayout>
      </c:layout>
      <c:lineChart>
        <c:grouping val="standard"/>
        <c:varyColors val="0"/>
        <c:ser>
          <c:idx val="1"/>
          <c:order val="0"/>
          <c:tx>
            <c:strRef>
              <c:f>'Prod-Rec'!$M$6:$M$7</c:f>
              <c:strCache>
                <c:ptCount val="1"/>
                <c:pt idx="0">
                  <c:v>POIDS STD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'Prod-Rec'!$B$8:$B$55</c:f>
              <c:numCache>
                <c:formatCode>General</c:formatCod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numCache>
            </c:numRef>
          </c:cat>
          <c:val>
            <c:numRef>
              <c:f>'Prod-Rec'!$M$8:$M$55</c:f>
              <c:numCache>
                <c:formatCode>General</c:formatCode>
                <c:ptCount val="48"/>
                <c:pt idx="0">
                  <c:v>2450</c:v>
                </c:pt>
                <c:pt idx="1">
                  <c:v>2600</c:v>
                </c:pt>
                <c:pt idx="2">
                  <c:v>2725</c:v>
                </c:pt>
                <c:pt idx="3">
                  <c:v>2850</c:v>
                </c:pt>
                <c:pt idx="4">
                  <c:v>2970</c:v>
                </c:pt>
                <c:pt idx="5">
                  <c:v>3230</c:v>
                </c:pt>
                <c:pt idx="6">
                  <c:v>3355</c:v>
                </c:pt>
                <c:pt idx="7">
                  <c:v>3485</c:v>
                </c:pt>
                <c:pt idx="8">
                  <c:v>3610</c:v>
                </c:pt>
                <c:pt idx="9">
                  <c:v>3735</c:v>
                </c:pt>
                <c:pt idx="10">
                  <c:v>3865</c:v>
                </c:pt>
                <c:pt idx="11">
                  <c:v>3930</c:v>
                </c:pt>
                <c:pt idx="12">
                  <c:v>3970</c:v>
                </c:pt>
                <c:pt idx="13">
                  <c:v>4015</c:v>
                </c:pt>
                <c:pt idx="14">
                  <c:v>4060</c:v>
                </c:pt>
                <c:pt idx="15">
                  <c:v>4085</c:v>
                </c:pt>
                <c:pt idx="16">
                  <c:v>4105</c:v>
                </c:pt>
                <c:pt idx="17">
                  <c:v>4130</c:v>
                </c:pt>
                <c:pt idx="18">
                  <c:v>4150</c:v>
                </c:pt>
                <c:pt idx="19">
                  <c:v>4170</c:v>
                </c:pt>
                <c:pt idx="20">
                  <c:v>4195</c:v>
                </c:pt>
                <c:pt idx="21">
                  <c:v>4215</c:v>
                </c:pt>
                <c:pt idx="22">
                  <c:v>4240</c:v>
                </c:pt>
                <c:pt idx="23">
                  <c:v>4260</c:v>
                </c:pt>
                <c:pt idx="24">
                  <c:v>4285</c:v>
                </c:pt>
                <c:pt idx="25">
                  <c:v>4305</c:v>
                </c:pt>
                <c:pt idx="26">
                  <c:v>4330</c:v>
                </c:pt>
                <c:pt idx="27">
                  <c:v>4350</c:v>
                </c:pt>
                <c:pt idx="28">
                  <c:v>4370</c:v>
                </c:pt>
                <c:pt idx="29">
                  <c:v>4395</c:v>
                </c:pt>
                <c:pt idx="30">
                  <c:v>4415</c:v>
                </c:pt>
                <c:pt idx="31">
                  <c:v>4440</c:v>
                </c:pt>
                <c:pt idx="32">
                  <c:v>4460</c:v>
                </c:pt>
                <c:pt idx="33">
                  <c:v>4485</c:v>
                </c:pt>
                <c:pt idx="34">
                  <c:v>4505</c:v>
                </c:pt>
                <c:pt idx="35">
                  <c:v>4530</c:v>
                </c:pt>
                <c:pt idx="36">
                  <c:v>4550</c:v>
                </c:pt>
                <c:pt idx="37">
                  <c:v>4575</c:v>
                </c:pt>
                <c:pt idx="38">
                  <c:v>4595</c:v>
                </c:pt>
                <c:pt idx="39">
                  <c:v>4615</c:v>
                </c:pt>
                <c:pt idx="40">
                  <c:v>4640</c:v>
                </c:pt>
                <c:pt idx="41">
                  <c:v>4660</c:v>
                </c:pt>
                <c:pt idx="42">
                  <c:v>4685</c:v>
                </c:pt>
                <c:pt idx="43">
                  <c:v>4705</c:v>
                </c:pt>
                <c:pt idx="44">
                  <c:v>4725</c:v>
                </c:pt>
                <c:pt idx="45">
                  <c:v>4750</c:v>
                </c:pt>
                <c:pt idx="46">
                  <c:v>4770</c:v>
                </c:pt>
                <c:pt idx="47">
                  <c:v>4795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'Prod-Rec'!$N$6:$N$7</c:f>
              <c:strCache>
                <c:ptCount val="1"/>
                <c:pt idx="0">
                  <c:v>POIDS RÉEL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'Prod-Rec'!$B$8:$B$55</c:f>
              <c:numCache>
                <c:formatCode>General</c:formatCod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numCache>
            </c:numRef>
          </c:cat>
          <c:val>
            <c:numRef>
              <c:f>'Prod-Rec'!$N$8:$N$55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46432"/>
        <c:axId val="98549760"/>
      </c:lineChart>
      <c:lineChart>
        <c:grouping val="standard"/>
        <c:varyColors val="0"/>
        <c:ser>
          <c:idx val="2"/>
          <c:order val="2"/>
          <c:tx>
            <c:strRef>
              <c:f>'Prod-Rec'!$K$6:$K$7</c:f>
              <c:strCache>
                <c:ptCount val="1"/>
                <c:pt idx="0">
                  <c:v>ALIMENT STD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'Prod-Rec'!$B$8:$B$55</c:f>
              <c:numCache>
                <c:formatCode>General</c:formatCod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numCache>
            </c:numRef>
          </c:cat>
          <c:val>
            <c:numRef>
              <c:f>'Prod-Rec'!$K$8:$K$55</c:f>
              <c:numCache>
                <c:formatCode>General</c:formatCode>
                <c:ptCount val="48"/>
                <c:pt idx="0">
                  <c:v>93</c:v>
                </c:pt>
                <c:pt idx="1">
                  <c:v>96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124</c:v>
                </c:pt>
                <c:pt idx="8">
                  <c:v>128</c:v>
                </c:pt>
                <c:pt idx="9">
                  <c:v>132</c:v>
                </c:pt>
                <c:pt idx="10">
                  <c:v>133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142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  <c:pt idx="37">
                  <c:v>146</c:v>
                </c:pt>
                <c:pt idx="38">
                  <c:v>146</c:v>
                </c:pt>
                <c:pt idx="39">
                  <c:v>146</c:v>
                </c:pt>
                <c:pt idx="40">
                  <c:v>146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148</c:v>
                </c:pt>
                <c:pt idx="46">
                  <c:v>148</c:v>
                </c:pt>
                <c:pt idx="47">
                  <c:v>150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'Prod-Rec'!$L$6:$L$7</c:f>
              <c:strCache>
                <c:ptCount val="1"/>
                <c:pt idx="0">
                  <c:v>ALIMENT RÉEL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x"/>
            <c:size val="4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'Prod-Rec'!$B$8:$B$55</c:f>
              <c:numCache>
                <c:formatCode>General</c:formatCod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numCache>
            </c:numRef>
          </c:cat>
          <c:val>
            <c:numRef>
              <c:f>'Prod-Rec'!$L$8:$L$55</c:f>
              <c:numCache>
                <c:formatCode>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51680"/>
        <c:axId val="98553216"/>
      </c:lineChart>
      <c:catAx>
        <c:axId val="9854643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ÂGE</a:t>
                </a:r>
              </a:p>
            </c:rich>
          </c:tx>
          <c:layout>
            <c:manualLayout>
              <c:xMode val="edge"/>
              <c:yMode val="edge"/>
              <c:x val="0.48293691830403451"/>
              <c:y val="0.89322033898305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549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549760"/>
        <c:scaling>
          <c:orientation val="minMax"/>
          <c:max val="5200"/>
          <c:min val="2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POIDS</a:t>
                </a:r>
              </a:p>
            </c:rich>
          </c:tx>
          <c:layout>
            <c:manualLayout>
              <c:xMode val="edge"/>
              <c:yMode val="edge"/>
              <c:x val="1.2409513960703202E-2"/>
              <c:y val="0.45593220338983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546432"/>
        <c:crosses val="autoZero"/>
        <c:crossBetween val="midCat"/>
        <c:majorUnit val="200"/>
        <c:minorUnit val="50"/>
      </c:valAx>
      <c:catAx>
        <c:axId val="9855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8553216"/>
        <c:crosses val="autoZero"/>
        <c:auto val="0"/>
        <c:lblAlgn val="ctr"/>
        <c:lblOffset val="100"/>
        <c:noMultiLvlLbl val="0"/>
      </c:catAx>
      <c:valAx>
        <c:axId val="98553216"/>
        <c:scaling>
          <c:orientation val="minMax"/>
          <c:max val="240"/>
          <c:min val="8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gr. ALIMENT</a:t>
                </a:r>
              </a:p>
            </c:rich>
          </c:tx>
          <c:layout>
            <c:manualLayout>
              <c:xMode val="edge"/>
              <c:yMode val="edge"/>
              <c:x val="0.9638055842812826"/>
              <c:y val="0.43898305084745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551680"/>
        <c:crosses val="max"/>
        <c:crossBetween val="midCat"/>
        <c:majorUnit val="10"/>
        <c:minorUnit val="5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577042399172701"/>
          <c:y val="0.93446327683615749"/>
          <c:w val="0.47466390899689781"/>
          <c:h val="4.06779661016948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es-ES"/>
              <a:t>MORTALITÉ HEBDOMADAIRE FEMELLE
</a:t>
            </a:r>
          </a:p>
        </c:rich>
      </c:tx>
      <c:layout>
        <c:manualLayout>
          <c:xMode val="edge"/>
          <c:yMode val="edge"/>
          <c:x val="0.3753877973112752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84074457083783E-2"/>
          <c:y val="0.11525423728813614"/>
          <c:w val="0.91520165460186165"/>
          <c:h val="0.73898305084745752"/>
        </c:manualLayout>
      </c:layout>
      <c:lineChart>
        <c:grouping val="standard"/>
        <c:varyColors val="0"/>
        <c:ser>
          <c:idx val="0"/>
          <c:order val="0"/>
          <c:tx>
            <c:strRef>
              <c:f>'Pon-Rec'!$W$5:$W$6</c:f>
              <c:strCache>
                <c:ptCount val="1"/>
                <c:pt idx="0">
                  <c:v>% Mort Heb Estandar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'Pon-Rec'!$B$11:$B$59</c:f>
              <c:numCache>
                <c:formatCode>General</c:formatCode>
                <c:ptCount val="4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</c:numCache>
            </c:numRef>
          </c:cat>
          <c:val>
            <c:numRef>
              <c:f>'Pon-Rec'!$W$11:$W$59</c:f>
              <c:numCache>
                <c:formatCode>0.000</c:formatCode>
                <c:ptCount val="4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0.6</c:v>
                </c:pt>
                <c:pt idx="6">
                  <c:v>0.4</c:v>
                </c:pt>
                <c:pt idx="7">
                  <c:v>9.9999999999999867E-2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0.15</c:v>
                </c:pt>
                <c:pt idx="21">
                  <c:v>0.14999999999999947</c:v>
                </c:pt>
                <c:pt idx="22">
                  <c:v>0.15</c:v>
                </c:pt>
                <c:pt idx="23">
                  <c:v>0.14999999999999947</c:v>
                </c:pt>
                <c:pt idx="24">
                  <c:v>0.15</c:v>
                </c:pt>
                <c:pt idx="25">
                  <c:v>0.15</c:v>
                </c:pt>
                <c:pt idx="26">
                  <c:v>9.9999999999999645E-2</c:v>
                </c:pt>
                <c:pt idx="27">
                  <c:v>9.9999999999999645E-2</c:v>
                </c:pt>
                <c:pt idx="28">
                  <c:v>0.10000000000000053</c:v>
                </c:pt>
                <c:pt idx="29">
                  <c:v>9.9999999999999645E-2</c:v>
                </c:pt>
                <c:pt idx="30">
                  <c:v>0.10000000000000053</c:v>
                </c:pt>
                <c:pt idx="31">
                  <c:v>9.9999999999999645E-2</c:v>
                </c:pt>
                <c:pt idx="32">
                  <c:v>9.9999999999999645E-2</c:v>
                </c:pt>
                <c:pt idx="33">
                  <c:v>0.10000000000000053</c:v>
                </c:pt>
                <c:pt idx="34">
                  <c:v>9.9999999999999645E-2</c:v>
                </c:pt>
                <c:pt idx="35">
                  <c:v>0.10000000000000053</c:v>
                </c:pt>
                <c:pt idx="36">
                  <c:v>9.9999999999999645E-2</c:v>
                </c:pt>
                <c:pt idx="37">
                  <c:v>0.1000000000000103</c:v>
                </c:pt>
                <c:pt idx="38">
                  <c:v>9.9999999999999645E-2</c:v>
                </c:pt>
                <c:pt idx="39">
                  <c:v>9.9999999999999645E-2</c:v>
                </c:pt>
                <c:pt idx="40">
                  <c:v>0.10000000000000053</c:v>
                </c:pt>
                <c:pt idx="41">
                  <c:v>9.9999999999999645E-2</c:v>
                </c:pt>
                <c:pt idx="42">
                  <c:v>0.10000000000000053</c:v>
                </c:pt>
                <c:pt idx="43">
                  <c:v>9.9999999999999645E-2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'Pon-Rec'!$G$5:$G$6</c:f>
              <c:strCache>
                <c:ptCount val="1"/>
                <c:pt idx="0">
                  <c:v>% MORT. FEM. SEM.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'Pon-Rec'!$B$11:$B$59</c:f>
              <c:numCache>
                <c:formatCode>General</c:formatCode>
                <c:ptCount val="49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</c:numCache>
            </c:numRef>
          </c:cat>
          <c:val>
            <c:numRef>
              <c:f>'Pon-Rec'!$G$11:$G$59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82304"/>
        <c:axId val="98884608"/>
      </c:lineChart>
      <c:catAx>
        <c:axId val="9888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sem</a:t>
                </a:r>
              </a:p>
            </c:rich>
          </c:tx>
          <c:layout>
            <c:manualLayout>
              <c:xMode val="edge"/>
              <c:yMode val="edge"/>
              <c:x val="0.50879007238883711"/>
              <c:y val="0.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88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8846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</a:t>
                </a:r>
              </a:p>
            </c:rich>
          </c:tx>
          <c:layout>
            <c:manualLayout>
              <c:xMode val="edge"/>
              <c:yMode val="edge"/>
              <c:x val="1.1375387797311285E-2"/>
              <c:y val="0.474576271186443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882304"/>
        <c:crosses val="autoZero"/>
        <c:crossBetween val="midCat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62668045501713"/>
          <c:y val="0.95593220338983065"/>
          <c:w val="0.28128231644260632"/>
          <c:h val="3.89830508474575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es-ES"/>
              <a:t>PONTE</a:t>
            </a:r>
          </a:p>
        </c:rich>
      </c:tx>
      <c:layout>
        <c:manualLayout>
          <c:xMode val="edge"/>
          <c:yMode val="edge"/>
          <c:x val="0.46225439503619425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2057911065151E-2"/>
          <c:y val="0.14406779661016991"/>
          <c:w val="0.88624612202688724"/>
          <c:h val="0.69661016949152543"/>
        </c:manualLayout>
      </c:layout>
      <c:lineChart>
        <c:grouping val="standard"/>
        <c:varyColors val="0"/>
        <c:ser>
          <c:idx val="1"/>
          <c:order val="0"/>
          <c:tx>
            <c:strRef>
              <c:f>'Pon-Rec'!$K$5:$K$6</c:f>
              <c:strCache>
                <c:ptCount val="1"/>
                <c:pt idx="0">
                  <c:v>STD PONTE F. M. P.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'Pon-Rec'!$B$11:$B$53</c:f>
              <c:numCache>
                <c:formatCode>General</c:formatCode>
                <c:ptCount val="4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</c:numCache>
            </c:numRef>
          </c:cat>
          <c:val>
            <c:numRef>
              <c:f>'Pon-Rec'!$K$11:$K$53</c:f>
              <c:numCache>
                <c:formatCode>General</c:formatCode>
                <c:ptCount val="43"/>
                <c:pt idx="2" formatCode="0.0">
                  <c:v>5</c:v>
                </c:pt>
                <c:pt idx="3" formatCode="0.0">
                  <c:v>15</c:v>
                </c:pt>
                <c:pt idx="4" formatCode="0.0">
                  <c:v>45</c:v>
                </c:pt>
                <c:pt idx="5" formatCode="0.0">
                  <c:v>65</c:v>
                </c:pt>
                <c:pt idx="6" formatCode="0.0">
                  <c:v>80</c:v>
                </c:pt>
                <c:pt idx="7" formatCode="0.0">
                  <c:v>85</c:v>
                </c:pt>
                <c:pt idx="8" formatCode="0.0">
                  <c:v>86</c:v>
                </c:pt>
                <c:pt idx="9" formatCode="0.0">
                  <c:v>85.8</c:v>
                </c:pt>
                <c:pt idx="10" formatCode="0.0">
                  <c:v>84.8</c:v>
                </c:pt>
                <c:pt idx="11" formatCode="0.0">
                  <c:v>83.8</c:v>
                </c:pt>
                <c:pt idx="12" formatCode="0.0">
                  <c:v>82.8</c:v>
                </c:pt>
                <c:pt idx="13" formatCode="0.0">
                  <c:v>81.8</c:v>
                </c:pt>
                <c:pt idx="14" formatCode="0.0">
                  <c:v>80.8</c:v>
                </c:pt>
                <c:pt idx="15" formatCode="0.0">
                  <c:v>79.8</c:v>
                </c:pt>
                <c:pt idx="16" formatCode="0.0">
                  <c:v>78.8</c:v>
                </c:pt>
                <c:pt idx="17" formatCode="0.0">
                  <c:v>77.8</c:v>
                </c:pt>
                <c:pt idx="18" formatCode="0.0">
                  <c:v>76.8</c:v>
                </c:pt>
                <c:pt idx="19" formatCode="0.0">
                  <c:v>75.8</c:v>
                </c:pt>
                <c:pt idx="20" formatCode="0.0">
                  <c:v>74.8</c:v>
                </c:pt>
                <c:pt idx="21" formatCode="0.0">
                  <c:v>73.8</c:v>
                </c:pt>
                <c:pt idx="22" formatCode="0.0">
                  <c:v>72.8</c:v>
                </c:pt>
                <c:pt idx="23" formatCode="0.0">
                  <c:v>71.8</c:v>
                </c:pt>
                <c:pt idx="24" formatCode="0.0">
                  <c:v>70.8</c:v>
                </c:pt>
                <c:pt idx="25" formatCode="0.0">
                  <c:v>69.5</c:v>
                </c:pt>
                <c:pt idx="26" formatCode="0.0">
                  <c:v>68.3</c:v>
                </c:pt>
                <c:pt idx="27" formatCode="0.0">
                  <c:v>67</c:v>
                </c:pt>
                <c:pt idx="28" formatCode="0.0">
                  <c:v>65.8</c:v>
                </c:pt>
                <c:pt idx="29" formatCode="0.0">
                  <c:v>64.5</c:v>
                </c:pt>
                <c:pt idx="30" formatCode="0.0">
                  <c:v>63.3</c:v>
                </c:pt>
                <c:pt idx="31" formatCode="0.0">
                  <c:v>62</c:v>
                </c:pt>
                <c:pt idx="32" formatCode="0.0">
                  <c:v>60.8</c:v>
                </c:pt>
                <c:pt idx="33" formatCode="0.0">
                  <c:v>59.5</c:v>
                </c:pt>
                <c:pt idx="34" formatCode="0.0">
                  <c:v>58</c:v>
                </c:pt>
                <c:pt idx="35" formatCode="0.0">
                  <c:v>56.5</c:v>
                </c:pt>
                <c:pt idx="36" formatCode="0.0">
                  <c:v>55</c:v>
                </c:pt>
                <c:pt idx="37" formatCode="0.0">
                  <c:v>53.5</c:v>
                </c:pt>
                <c:pt idx="38" formatCode="0.0">
                  <c:v>51.9</c:v>
                </c:pt>
                <c:pt idx="39" formatCode="0.0">
                  <c:v>50.2</c:v>
                </c:pt>
                <c:pt idx="40" formatCode="0.0">
                  <c:v>48.4</c:v>
                </c:pt>
                <c:pt idx="41" formatCode="0.0">
                  <c:v>46.7</c:v>
                </c:pt>
                <c:pt idx="42" formatCode="0.0">
                  <c:v>44.9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'Pon-Rec'!$J$5:$J$6</c:f>
              <c:strCache>
                <c:ptCount val="1"/>
                <c:pt idx="0">
                  <c:v>% PONTE F. M. P.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'Pon-Rec'!$B$11:$B$53</c:f>
              <c:numCache>
                <c:formatCode>General</c:formatCode>
                <c:ptCount val="4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</c:numCache>
            </c:numRef>
          </c:cat>
          <c:val>
            <c:numRef>
              <c:f>'Pon-Rec'!$J$11:$J$53</c:f>
              <c:numCache>
                <c:formatCode>General</c:formatCode>
                <c:ptCount val="43"/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Inc!$O$5:$O$6</c:f>
              <c:strCache>
                <c:ptCount val="1"/>
                <c:pt idx="0">
                  <c:v>STD SEM % INCUB.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'Pon-Rec'!$B$11:$B$53</c:f>
              <c:numCache>
                <c:formatCode>General</c:formatCode>
                <c:ptCount val="4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</c:numCache>
            </c:numRef>
          </c:cat>
          <c:val>
            <c:numRef>
              <c:f>Inc!$O$11:$O$53</c:f>
              <c:numCache>
                <c:formatCode>General</c:formatCode>
                <c:ptCount val="43"/>
                <c:pt idx="2" formatCode="0.0">
                  <c:v>72</c:v>
                </c:pt>
                <c:pt idx="3" formatCode="0.0">
                  <c:v>78</c:v>
                </c:pt>
                <c:pt idx="4" formatCode="0.0">
                  <c:v>80</c:v>
                </c:pt>
                <c:pt idx="5" formatCode="0.0">
                  <c:v>82</c:v>
                </c:pt>
                <c:pt idx="6" formatCode="0.0">
                  <c:v>84</c:v>
                </c:pt>
                <c:pt idx="7" formatCode="0.0">
                  <c:v>85</c:v>
                </c:pt>
                <c:pt idx="8" formatCode="0.0">
                  <c:v>86</c:v>
                </c:pt>
                <c:pt idx="9" formatCode="0.0">
                  <c:v>87</c:v>
                </c:pt>
                <c:pt idx="10" formatCode="0.0">
                  <c:v>88</c:v>
                </c:pt>
                <c:pt idx="11" formatCode="0.0">
                  <c:v>89</c:v>
                </c:pt>
                <c:pt idx="12" formatCode="0.0">
                  <c:v>90</c:v>
                </c:pt>
                <c:pt idx="13" formatCode="0.0">
                  <c:v>89.9</c:v>
                </c:pt>
                <c:pt idx="14" formatCode="0.0">
                  <c:v>89.8</c:v>
                </c:pt>
                <c:pt idx="15" formatCode="0.0">
                  <c:v>89.6</c:v>
                </c:pt>
                <c:pt idx="16" formatCode="0.0">
                  <c:v>89.4</c:v>
                </c:pt>
                <c:pt idx="17" formatCode="0.0">
                  <c:v>89.1</c:v>
                </c:pt>
                <c:pt idx="18" formatCode="0.0">
                  <c:v>88.9</c:v>
                </c:pt>
                <c:pt idx="19" formatCode="0.0">
                  <c:v>88.6</c:v>
                </c:pt>
                <c:pt idx="20" formatCode="0.0">
                  <c:v>88.3</c:v>
                </c:pt>
                <c:pt idx="21" formatCode="0.0">
                  <c:v>87.9</c:v>
                </c:pt>
                <c:pt idx="22" formatCode="0.0">
                  <c:v>87.5</c:v>
                </c:pt>
                <c:pt idx="23" formatCode="0.0">
                  <c:v>87.1</c:v>
                </c:pt>
                <c:pt idx="24" formatCode="0.0">
                  <c:v>86.7</c:v>
                </c:pt>
                <c:pt idx="25" formatCode="0.0">
                  <c:v>86.3</c:v>
                </c:pt>
                <c:pt idx="26" formatCode="0.0">
                  <c:v>85.9</c:v>
                </c:pt>
                <c:pt idx="27" formatCode="0.0">
                  <c:v>85.5</c:v>
                </c:pt>
                <c:pt idx="28" formatCode="0.0">
                  <c:v>85.1</c:v>
                </c:pt>
                <c:pt idx="29" formatCode="0.0">
                  <c:v>84.7</c:v>
                </c:pt>
                <c:pt idx="30" formatCode="0.0">
                  <c:v>84.3</c:v>
                </c:pt>
                <c:pt idx="31" formatCode="0.0">
                  <c:v>83.9</c:v>
                </c:pt>
                <c:pt idx="32" formatCode="0.0">
                  <c:v>83.4</c:v>
                </c:pt>
                <c:pt idx="33" formatCode="0.0">
                  <c:v>82.9</c:v>
                </c:pt>
                <c:pt idx="34" formatCode="0.0">
                  <c:v>82.4</c:v>
                </c:pt>
                <c:pt idx="35" formatCode="0.0">
                  <c:v>81.900000000000006</c:v>
                </c:pt>
                <c:pt idx="36" formatCode="0.0">
                  <c:v>81.400000000000006</c:v>
                </c:pt>
                <c:pt idx="37" formatCode="0.0">
                  <c:v>80.900000000000006</c:v>
                </c:pt>
                <c:pt idx="38" formatCode="0.0">
                  <c:v>80.400000000000006</c:v>
                </c:pt>
                <c:pt idx="39" formatCode="0.0">
                  <c:v>79.900000000000006</c:v>
                </c:pt>
                <c:pt idx="40" formatCode="0.0">
                  <c:v>79.400000000000006</c:v>
                </c:pt>
                <c:pt idx="41" formatCode="0.0">
                  <c:v>78.900000000000006</c:v>
                </c:pt>
                <c:pt idx="42" formatCode="0.0">
                  <c:v>78.400000000000006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Inc!$N$5:$N$6</c:f>
              <c:strCache>
                <c:ptCount val="1"/>
                <c:pt idx="0">
                  <c:v>% INCUB. SEMAINE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plus"/>
            <c:size val="4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'Pon-Rec'!$B$11:$B$53</c:f>
              <c:numCache>
                <c:formatCode>General</c:formatCode>
                <c:ptCount val="4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</c:numCache>
            </c:numRef>
          </c:cat>
          <c:val>
            <c:numRef>
              <c:f>Inc!$N$11:$N$53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'Pon-Rec'!$I$5:$I$6</c:f>
              <c:strCache>
                <c:ptCount val="1"/>
                <c:pt idx="0">
                  <c:v>% PONTE F.  SE.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'Pon-Rec'!$I$11:$I$53</c:f>
              <c:numCache>
                <c:formatCode>0.0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'Pon-Rec'!$F$5:$F$6</c:f>
              <c:strCache>
                <c:ptCount val="1"/>
                <c:pt idx="0">
                  <c:v>% MORT. FEM. PLAC.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'Pon-Rec'!$F$11:$F$53</c:f>
              <c:numCache>
                <c:formatCode>General</c:formatCode>
                <c:ptCount val="43"/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0</c:v>
                </c:pt>
                <c:pt idx="26" formatCode="0.0">
                  <c:v>0</c:v>
                </c:pt>
                <c:pt idx="27" formatCode="0.0">
                  <c:v>0</c:v>
                </c:pt>
                <c:pt idx="28" formatCode="0.0">
                  <c:v>0</c:v>
                </c:pt>
                <c:pt idx="29" formatCode="0.0">
                  <c:v>0</c:v>
                </c:pt>
                <c:pt idx="30" formatCode="0.0">
                  <c:v>0</c:v>
                </c:pt>
                <c:pt idx="31" formatCode="0.0">
                  <c:v>0</c:v>
                </c:pt>
                <c:pt idx="32" formatCode="0.0">
                  <c:v>0</c:v>
                </c:pt>
                <c:pt idx="33" formatCode="0.0">
                  <c:v>0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0</c:v>
                </c:pt>
                <c:pt idx="38" formatCode="0.0">
                  <c:v>0</c:v>
                </c:pt>
                <c:pt idx="39" formatCode="0.0">
                  <c:v>0</c:v>
                </c:pt>
                <c:pt idx="40" formatCode="0.0">
                  <c:v>0</c:v>
                </c:pt>
                <c:pt idx="41" formatCode="0.0">
                  <c:v>0</c:v>
                </c:pt>
                <c:pt idx="42" formatCode="0.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530048"/>
        <c:axId val="102541184"/>
      </c:lineChart>
      <c:catAx>
        <c:axId val="10253004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Âge</a:t>
                </a:r>
              </a:p>
            </c:rich>
          </c:tx>
          <c:layout>
            <c:manualLayout>
              <c:xMode val="edge"/>
              <c:yMode val="edge"/>
              <c:x val="0.49224405377456082"/>
              <c:y val="0.893220338983050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41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54118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ponte</a:t>
                </a:r>
              </a:p>
            </c:rich>
          </c:tx>
          <c:layout>
            <c:manualLayout>
              <c:xMode val="edge"/>
              <c:yMode val="edge"/>
              <c:x val="1.2409513960703202E-2"/>
              <c:y val="0.4423728813559347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30048"/>
        <c:crosses val="autoZero"/>
        <c:crossBetween val="midCat"/>
        <c:majorUnit val="5"/>
        <c:minorUnit val="5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2.8955532574974317E-2"/>
          <c:y val="0.94576271186440652"/>
          <c:w val="0.97104446742502881"/>
          <c:h val="4.06779661016951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es-ES"/>
              <a:t>POID OEUFS</a:t>
            </a:r>
          </a:p>
        </c:rich>
      </c:tx>
      <c:layout>
        <c:manualLayout>
          <c:xMode val="edge"/>
          <c:yMode val="edge"/>
          <c:x val="0.45329400258534114"/>
          <c:y val="2.04604024496937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46607669616532E-2"/>
          <c:y val="9.7186700767263448E-2"/>
          <c:w val="0.86823992133726646"/>
          <c:h val="0.78388746803069054"/>
        </c:manualLayout>
      </c:layout>
      <c:lineChart>
        <c:grouping val="standard"/>
        <c:varyColors val="0"/>
        <c:ser>
          <c:idx val="0"/>
          <c:order val="0"/>
          <c:tx>
            <c:strRef>
              <c:f>'Pon-Rec'!$P$5:$P$6</c:f>
              <c:strCache>
                <c:ptCount val="1"/>
                <c:pt idx="0">
                  <c:v>POIDS OEUF. RÉEL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'Pon-Rec'!$B$13:$B$53</c:f>
              <c:numCache>
                <c:formatCode>General</c:formatCode>
                <c:ptCount val="4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</c:numCache>
            </c:numRef>
          </c:cat>
          <c:val>
            <c:numRef>
              <c:f>'Pon-Rec'!$P$13:$P$53</c:f>
              <c:numCache>
                <c:formatCode>0.0</c:formatCode>
                <c:ptCount val="41"/>
              </c:numCache>
            </c:numRef>
          </c:val>
          <c:smooth val="0"/>
        </c:ser>
        <c:ser>
          <c:idx val="1"/>
          <c:order val="1"/>
          <c:tx>
            <c:strRef>
              <c:f>'Pon-Rec'!$Q$5:$Q$6</c:f>
              <c:strCache>
                <c:ptCount val="1"/>
                <c:pt idx="0">
                  <c:v>POIDS OEUF. STD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'Pon-Rec'!$B$13:$B$53</c:f>
              <c:numCache>
                <c:formatCode>General</c:formatCode>
                <c:ptCount val="4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</c:numCache>
            </c:numRef>
          </c:cat>
          <c:val>
            <c:numRef>
              <c:f>'Pon-Rec'!$Q$13:$Q$53</c:f>
              <c:numCache>
                <c:formatCode>0.0</c:formatCode>
                <c:ptCount val="41"/>
                <c:pt idx="0">
                  <c:v>48.5</c:v>
                </c:pt>
                <c:pt idx="1">
                  <c:v>49.9</c:v>
                </c:pt>
                <c:pt idx="2">
                  <c:v>51.3</c:v>
                </c:pt>
                <c:pt idx="3">
                  <c:v>52.7</c:v>
                </c:pt>
                <c:pt idx="4">
                  <c:v>54.2</c:v>
                </c:pt>
                <c:pt idx="5">
                  <c:v>56.1</c:v>
                </c:pt>
                <c:pt idx="6">
                  <c:v>57.2</c:v>
                </c:pt>
                <c:pt idx="7">
                  <c:v>58.3</c:v>
                </c:pt>
                <c:pt idx="8">
                  <c:v>58.9</c:v>
                </c:pt>
                <c:pt idx="9">
                  <c:v>59.7</c:v>
                </c:pt>
                <c:pt idx="10">
                  <c:v>60.7</c:v>
                </c:pt>
                <c:pt idx="11">
                  <c:v>61.4</c:v>
                </c:pt>
                <c:pt idx="12">
                  <c:v>61.7</c:v>
                </c:pt>
                <c:pt idx="13">
                  <c:v>62.5</c:v>
                </c:pt>
                <c:pt idx="14">
                  <c:v>62.7</c:v>
                </c:pt>
                <c:pt idx="15">
                  <c:v>63.2</c:v>
                </c:pt>
                <c:pt idx="16">
                  <c:v>63.7</c:v>
                </c:pt>
                <c:pt idx="17">
                  <c:v>64.3</c:v>
                </c:pt>
                <c:pt idx="18">
                  <c:v>64.7</c:v>
                </c:pt>
                <c:pt idx="19">
                  <c:v>65.099999999999994</c:v>
                </c:pt>
                <c:pt idx="20">
                  <c:v>65.5</c:v>
                </c:pt>
                <c:pt idx="21">
                  <c:v>65.900000000000006</c:v>
                </c:pt>
                <c:pt idx="22">
                  <c:v>66.3</c:v>
                </c:pt>
                <c:pt idx="23">
                  <c:v>66.7</c:v>
                </c:pt>
                <c:pt idx="24">
                  <c:v>67</c:v>
                </c:pt>
                <c:pt idx="25">
                  <c:v>67.400000000000006</c:v>
                </c:pt>
                <c:pt idx="26">
                  <c:v>67.8</c:v>
                </c:pt>
                <c:pt idx="27">
                  <c:v>68.099999999999994</c:v>
                </c:pt>
                <c:pt idx="28">
                  <c:v>68.400000000000006</c:v>
                </c:pt>
                <c:pt idx="29">
                  <c:v>68.7</c:v>
                </c:pt>
                <c:pt idx="30">
                  <c:v>68.8</c:v>
                </c:pt>
                <c:pt idx="31">
                  <c:v>68.900000000000006</c:v>
                </c:pt>
                <c:pt idx="32">
                  <c:v>69</c:v>
                </c:pt>
                <c:pt idx="33">
                  <c:v>69.099999999999994</c:v>
                </c:pt>
                <c:pt idx="34">
                  <c:v>69.2</c:v>
                </c:pt>
                <c:pt idx="35">
                  <c:v>69.3</c:v>
                </c:pt>
                <c:pt idx="36">
                  <c:v>69.400000000000006</c:v>
                </c:pt>
                <c:pt idx="37">
                  <c:v>69.5</c:v>
                </c:pt>
                <c:pt idx="38">
                  <c:v>69.599999999999994</c:v>
                </c:pt>
                <c:pt idx="39">
                  <c:v>69.7</c:v>
                </c:pt>
                <c:pt idx="40">
                  <c:v>69.8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37568"/>
        <c:axId val="103040512"/>
      </c:lineChart>
      <c:lineChart>
        <c:grouping val="standard"/>
        <c:varyColors val="0"/>
        <c:ser>
          <c:idx val="2"/>
          <c:order val="2"/>
          <c:tx>
            <c:strRef>
              <c:f>'Prod-Rec'!$F$6:$F$7</c:f>
              <c:strCache>
                <c:ptCount val="1"/>
                <c:pt idx="0">
                  <c:v>ALIMENT RÉEL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'Prod-Rec'!$F$14:$F$54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42432"/>
        <c:axId val="103044224"/>
      </c:lineChart>
      <c:catAx>
        <c:axId val="10303756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Âge</a:t>
                </a:r>
              </a:p>
            </c:rich>
          </c:tx>
          <c:layout>
            <c:manualLayout>
              <c:xMode val="edge"/>
              <c:yMode val="edge"/>
              <c:x val="0.48180921440763957"/>
              <c:y val="0.92071615048118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40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040512"/>
        <c:scaling>
          <c:orientation val="minMax"/>
          <c:max val="75"/>
          <c:min val="4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gr. poids oeufs</a:t>
                </a:r>
              </a:p>
            </c:rich>
          </c:tx>
          <c:layout>
            <c:manualLayout>
              <c:xMode val="edge"/>
              <c:yMode val="edge"/>
              <c:x val="1.0816165461834755E-2"/>
              <c:y val="0.439897672790903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37568"/>
        <c:crosses val="autoZero"/>
        <c:crossBetween val="midCat"/>
        <c:majorUnit val="5"/>
        <c:minorUnit val="1"/>
      </c:valAx>
      <c:catAx>
        <c:axId val="103042432"/>
        <c:scaling>
          <c:orientation val="minMax"/>
        </c:scaling>
        <c:delete val="1"/>
        <c:axPos val="b"/>
        <c:majorTickMark val="out"/>
        <c:minorTickMark val="none"/>
        <c:tickLblPos val="none"/>
        <c:crossAx val="103044224"/>
        <c:crossesAt val="120"/>
        <c:auto val="0"/>
        <c:lblAlgn val="ctr"/>
        <c:lblOffset val="100"/>
        <c:noMultiLvlLbl val="0"/>
      </c:catAx>
      <c:valAx>
        <c:axId val="103044224"/>
        <c:scaling>
          <c:orientation val="minMax"/>
          <c:max val="190"/>
          <c:min val="120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gr. rationament / Femelles</a:t>
                </a:r>
              </a:p>
            </c:rich>
          </c:tx>
          <c:layout>
            <c:manualLayout>
              <c:xMode val="edge"/>
              <c:yMode val="edge"/>
              <c:x val="0.96853487719629461"/>
              <c:y val="0.416879790026248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42432"/>
        <c:crosses val="max"/>
        <c:crossBetween val="midCat"/>
        <c:majorUnit val="5"/>
        <c:minorUnit val="2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75119631025238"/>
          <c:y val="0.96547317585301828"/>
          <c:w val="0.38643068217871507"/>
          <c:h val="3.069060367454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r>
              <a:rPr lang="es-ES"/>
              <a:t>RATIO POID MÂLES /ÉCLOSION</a:t>
            </a:r>
          </a:p>
        </c:rich>
      </c:tx>
      <c:layout>
        <c:manualLayout>
          <c:xMode val="edge"/>
          <c:yMode val="edge"/>
          <c:x val="0.32689261668378533"/>
          <c:y val="3.0588235294117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08200936306325E-2"/>
          <c:y val="0.14117647058823529"/>
          <c:w val="0.8196470216369478"/>
          <c:h val="0.6823529411764705"/>
        </c:manualLayout>
      </c:layout>
      <c:lineChart>
        <c:grouping val="standard"/>
        <c:varyColors val="0"/>
        <c:ser>
          <c:idx val="0"/>
          <c:order val="0"/>
          <c:tx>
            <c:strRef>
              <c:f>'Prod-Rec'!$M$6:$M$7</c:f>
              <c:strCache>
                <c:ptCount val="1"/>
                <c:pt idx="0">
                  <c:v>POIDS STD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'Prod-Rec'!$B$11:$B$54</c:f>
              <c:numCache>
                <c:formatCode>General</c:formatCode>
                <c:ptCount val="4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</c:numCache>
            </c:numRef>
          </c:cat>
          <c:val>
            <c:numRef>
              <c:f>'Prod-Rec'!$M$11:$M$54</c:f>
              <c:numCache>
                <c:formatCode>General</c:formatCode>
                <c:ptCount val="44"/>
                <c:pt idx="0">
                  <c:v>2850</c:v>
                </c:pt>
                <c:pt idx="1">
                  <c:v>2970</c:v>
                </c:pt>
                <c:pt idx="2">
                  <c:v>3230</c:v>
                </c:pt>
                <c:pt idx="3">
                  <c:v>3355</c:v>
                </c:pt>
                <c:pt idx="4">
                  <c:v>3485</c:v>
                </c:pt>
                <c:pt idx="5">
                  <c:v>3610</c:v>
                </c:pt>
                <c:pt idx="6">
                  <c:v>3735</c:v>
                </c:pt>
                <c:pt idx="7">
                  <c:v>3865</c:v>
                </c:pt>
                <c:pt idx="8">
                  <c:v>3930</c:v>
                </c:pt>
                <c:pt idx="9">
                  <c:v>3970</c:v>
                </c:pt>
                <c:pt idx="10">
                  <c:v>4015</c:v>
                </c:pt>
                <c:pt idx="11">
                  <c:v>4060</c:v>
                </c:pt>
                <c:pt idx="12">
                  <c:v>4085</c:v>
                </c:pt>
                <c:pt idx="13">
                  <c:v>4105</c:v>
                </c:pt>
                <c:pt idx="14">
                  <c:v>4130</c:v>
                </c:pt>
                <c:pt idx="15">
                  <c:v>4150</c:v>
                </c:pt>
                <c:pt idx="16">
                  <c:v>4170</c:v>
                </c:pt>
                <c:pt idx="17">
                  <c:v>4195</c:v>
                </c:pt>
                <c:pt idx="18">
                  <c:v>4215</c:v>
                </c:pt>
                <c:pt idx="19">
                  <c:v>4240</c:v>
                </c:pt>
                <c:pt idx="20">
                  <c:v>4260</c:v>
                </c:pt>
                <c:pt idx="21">
                  <c:v>4285</c:v>
                </c:pt>
                <c:pt idx="22">
                  <c:v>4305</c:v>
                </c:pt>
                <c:pt idx="23">
                  <c:v>4330</c:v>
                </c:pt>
                <c:pt idx="24">
                  <c:v>4350</c:v>
                </c:pt>
                <c:pt idx="25">
                  <c:v>4370</c:v>
                </c:pt>
                <c:pt idx="26">
                  <c:v>4395</c:v>
                </c:pt>
                <c:pt idx="27">
                  <c:v>4415</c:v>
                </c:pt>
                <c:pt idx="28">
                  <c:v>4440</c:v>
                </c:pt>
                <c:pt idx="29">
                  <c:v>4460</c:v>
                </c:pt>
                <c:pt idx="30">
                  <c:v>4485</c:v>
                </c:pt>
                <c:pt idx="31">
                  <c:v>4505</c:v>
                </c:pt>
                <c:pt idx="32">
                  <c:v>4530</c:v>
                </c:pt>
                <c:pt idx="33">
                  <c:v>4550</c:v>
                </c:pt>
                <c:pt idx="34">
                  <c:v>4575</c:v>
                </c:pt>
                <c:pt idx="35">
                  <c:v>4595</c:v>
                </c:pt>
                <c:pt idx="36">
                  <c:v>4615</c:v>
                </c:pt>
                <c:pt idx="37">
                  <c:v>4640</c:v>
                </c:pt>
                <c:pt idx="38">
                  <c:v>4660</c:v>
                </c:pt>
                <c:pt idx="39">
                  <c:v>4685</c:v>
                </c:pt>
                <c:pt idx="40">
                  <c:v>4705</c:v>
                </c:pt>
                <c:pt idx="41">
                  <c:v>4725</c:v>
                </c:pt>
                <c:pt idx="42">
                  <c:v>4750</c:v>
                </c:pt>
                <c:pt idx="43">
                  <c:v>4770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'Prod-Rec'!$N$6:$N$7</c:f>
              <c:strCache>
                <c:ptCount val="1"/>
                <c:pt idx="0">
                  <c:v>POIDS RÉEL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'Prod-Rec'!$N$11:$N$54</c:f>
              <c:numCache>
                <c:formatCode>0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97312"/>
        <c:axId val="103200256"/>
      </c:lineChart>
      <c:lineChart>
        <c:grouping val="standard"/>
        <c:varyColors val="0"/>
        <c:ser>
          <c:idx val="2"/>
          <c:order val="2"/>
          <c:tx>
            <c:strRef>
              <c:f>Inc!$O$5:$O$6</c:f>
              <c:strCache>
                <c:ptCount val="1"/>
                <c:pt idx="0">
                  <c:v>STD SEM % INCUB.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Inc!$O$10:$O$53</c:f>
              <c:numCache>
                <c:formatCode>General</c:formatCode>
                <c:ptCount val="44"/>
                <c:pt idx="3" formatCode="0.0">
                  <c:v>72</c:v>
                </c:pt>
                <c:pt idx="4" formatCode="0.0">
                  <c:v>78</c:v>
                </c:pt>
                <c:pt idx="5" formatCode="0.0">
                  <c:v>80</c:v>
                </c:pt>
                <c:pt idx="6" formatCode="0.0">
                  <c:v>82</c:v>
                </c:pt>
                <c:pt idx="7" formatCode="0.0">
                  <c:v>84</c:v>
                </c:pt>
                <c:pt idx="8" formatCode="0.0">
                  <c:v>85</c:v>
                </c:pt>
                <c:pt idx="9" formatCode="0.0">
                  <c:v>86</c:v>
                </c:pt>
                <c:pt idx="10" formatCode="0.0">
                  <c:v>87</c:v>
                </c:pt>
                <c:pt idx="11" formatCode="0.0">
                  <c:v>88</c:v>
                </c:pt>
                <c:pt idx="12" formatCode="0.0">
                  <c:v>89</c:v>
                </c:pt>
                <c:pt idx="13" formatCode="0.0">
                  <c:v>90</c:v>
                </c:pt>
                <c:pt idx="14" formatCode="0.0">
                  <c:v>89.9</c:v>
                </c:pt>
                <c:pt idx="15" formatCode="0.0">
                  <c:v>89.8</c:v>
                </c:pt>
                <c:pt idx="16" formatCode="0.0">
                  <c:v>89.6</c:v>
                </c:pt>
                <c:pt idx="17" formatCode="0.0">
                  <c:v>89.4</c:v>
                </c:pt>
                <c:pt idx="18" formatCode="0.0">
                  <c:v>89.1</c:v>
                </c:pt>
                <c:pt idx="19" formatCode="0.0">
                  <c:v>88.9</c:v>
                </c:pt>
                <c:pt idx="20" formatCode="0.0">
                  <c:v>88.6</c:v>
                </c:pt>
                <c:pt idx="21" formatCode="0.0">
                  <c:v>88.3</c:v>
                </c:pt>
                <c:pt idx="22" formatCode="0.0">
                  <c:v>87.9</c:v>
                </c:pt>
                <c:pt idx="23" formatCode="0.0">
                  <c:v>87.5</c:v>
                </c:pt>
                <c:pt idx="24" formatCode="0.0">
                  <c:v>87.1</c:v>
                </c:pt>
                <c:pt idx="25" formatCode="0.0">
                  <c:v>86.7</c:v>
                </c:pt>
                <c:pt idx="26" formatCode="0.0">
                  <c:v>86.3</c:v>
                </c:pt>
                <c:pt idx="27" formatCode="0.0">
                  <c:v>85.9</c:v>
                </c:pt>
                <c:pt idx="28" formatCode="0.0">
                  <c:v>85.5</c:v>
                </c:pt>
                <c:pt idx="29" formatCode="0.0">
                  <c:v>85.1</c:v>
                </c:pt>
                <c:pt idx="30" formatCode="0.0">
                  <c:v>84.7</c:v>
                </c:pt>
                <c:pt idx="31" formatCode="0.0">
                  <c:v>84.3</c:v>
                </c:pt>
                <c:pt idx="32" formatCode="0.0">
                  <c:v>83.9</c:v>
                </c:pt>
                <c:pt idx="33" formatCode="0.0">
                  <c:v>83.4</c:v>
                </c:pt>
                <c:pt idx="34" formatCode="0.0">
                  <c:v>82.9</c:v>
                </c:pt>
                <c:pt idx="35" formatCode="0.0">
                  <c:v>82.4</c:v>
                </c:pt>
                <c:pt idx="36" formatCode="0.0">
                  <c:v>81.900000000000006</c:v>
                </c:pt>
                <c:pt idx="37" formatCode="0.0">
                  <c:v>81.400000000000006</c:v>
                </c:pt>
                <c:pt idx="38" formatCode="0.0">
                  <c:v>80.900000000000006</c:v>
                </c:pt>
                <c:pt idx="39" formatCode="0.0">
                  <c:v>80.400000000000006</c:v>
                </c:pt>
                <c:pt idx="40" formatCode="0.0">
                  <c:v>79.900000000000006</c:v>
                </c:pt>
                <c:pt idx="41" formatCode="0.0">
                  <c:v>79.400000000000006</c:v>
                </c:pt>
                <c:pt idx="42" formatCode="0.0">
                  <c:v>78.900000000000006</c:v>
                </c:pt>
                <c:pt idx="43" formatCode="0.0">
                  <c:v>78.400000000000006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Inc!$N$5:$N$6</c:f>
              <c:strCache>
                <c:ptCount val="1"/>
                <c:pt idx="0">
                  <c:v>% INCUB. SEMAINE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4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Inc!$N$10:$N$53</c:f>
              <c:numCache>
                <c:formatCode>0.0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02176"/>
        <c:axId val="103208064"/>
      </c:lineChart>
      <c:catAx>
        <c:axId val="10319731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sem.</a:t>
                </a:r>
              </a:p>
            </c:rich>
          </c:tx>
          <c:layout>
            <c:manualLayout>
              <c:xMode val="edge"/>
              <c:yMode val="edge"/>
              <c:x val="0.48792355061897458"/>
              <c:y val="0.868235294117647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0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200256"/>
        <c:scaling>
          <c:orientation val="minMax"/>
          <c:max val="6000"/>
          <c:min val="3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Poid Mäle</a:t>
                </a:r>
              </a:p>
            </c:rich>
          </c:tx>
          <c:layout>
            <c:manualLayout>
              <c:xMode val="edge"/>
              <c:yMode val="edge"/>
              <c:x val="2.5764895330112617E-2"/>
              <c:y val="0.402352941176472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197312"/>
        <c:crosses val="autoZero"/>
        <c:crossBetween val="midCat"/>
        <c:majorUnit val="200"/>
        <c:minorUnit val="100"/>
      </c:valAx>
      <c:catAx>
        <c:axId val="103202176"/>
        <c:scaling>
          <c:orientation val="minMax"/>
        </c:scaling>
        <c:delete val="1"/>
        <c:axPos val="b"/>
        <c:majorTickMark val="out"/>
        <c:minorTickMark val="none"/>
        <c:tickLblPos val="none"/>
        <c:crossAx val="103208064"/>
        <c:crosses val="autoZero"/>
        <c:auto val="1"/>
        <c:lblAlgn val="ctr"/>
        <c:lblOffset val="100"/>
        <c:noMultiLvlLbl val="0"/>
      </c:catAx>
      <c:valAx>
        <c:axId val="103208064"/>
        <c:scaling>
          <c:orientation val="minMax"/>
          <c:min val="40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/>
                  <a:t>% ÉCLOSION</a:t>
                </a:r>
              </a:p>
            </c:rich>
          </c:tx>
          <c:layout>
            <c:manualLayout>
              <c:xMode val="edge"/>
              <c:yMode val="edge"/>
              <c:x val="0.94203050705618363"/>
              <c:y val="0.3858823529411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02176"/>
        <c:crosses val="max"/>
        <c:crossBetween val="midCat"/>
      </c:valAx>
      <c:spPr>
        <a:solidFill>
          <a:srgbClr val="E3E3E3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5136892912540595"/>
          <c:y val="0.93176470588234916"/>
          <c:w val="0.70531519308878765"/>
          <c:h val="5.17647058823531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000000000000266" r="0.75000000000000266" t="1" header="0" footer="0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" footer="0"/>
  <pageSetup paperSize="9" orientation="landscape" horizontalDpi="360" verticalDpi="360" r:id="rId1"/>
  <headerFooter alignWithMargins="0">
    <oddFooter>&amp;L&amp;8&amp;F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" footer="0"/>
  <pageSetup paperSize="9" orientation="landscape" horizontalDpi="360" verticalDpi="360" r:id="rId1"/>
  <headerFooter alignWithMargins="0">
    <oddFooter>&amp;L&amp;8&amp;F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" footer="0"/>
  <pageSetup paperSize="9" orientation="landscape" horizontalDpi="360" verticalDpi="360" r:id="rId1"/>
  <headerFooter alignWithMargins="0">
    <oddFooter>&amp;L&amp;8&amp;F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" footer="0"/>
  <pageSetup paperSize="9" orientation="landscape" horizontalDpi="360" verticalDpi="360" r:id="rId1"/>
  <headerFooter alignWithMargins="0">
    <oddFooter>&amp;L&amp;8&amp;F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" footer="0"/>
  <pageSetup paperSize="9" orientation="landscape" horizontalDpi="360" verticalDpi="360" r:id="rId1"/>
  <headerFooter alignWithMargins="0">
    <oddFooter>&amp;L&amp;F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" footer="0"/>
  <pageSetup paperSize="9" orientation="landscape" horizontalDpi="360" verticalDpi="360" r:id="rId1"/>
  <headerFooter alignWithMargins="0">
    <oddFooter>&amp;L&amp;8&amp;F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98425196850393704" right="0" top="0" bottom="0" header="0" footer="0"/>
  <pageSetup paperSize="9" orientation="landscape" horizontalDpi="360" verticalDpi="360" r:id="rId1"/>
  <headerFooter alignWithMargins="0">
    <oddFooter>&amp;L&amp;8&amp;F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" footer="0"/>
  <pageSetup paperSize="9" orientation="landscape" horizontalDpi="360" verticalDpi="360" r:id="rId1"/>
  <headerFooter alignWithMargins="0">
    <oddFooter>&amp;L&amp;8&amp;F</oddFooter>
  </headerFooter>
  <drawing r:id="rId2"/>
</chartsheet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sp macro="" textlink="" fLocksText="0">
      <xdr:nvSpPr>
        <xdr:cNvPr id="1098" name="Text 1"/>
        <xdr:cNvSpPr txBox="1">
          <a:spLocks noChangeArrowheads="1"/>
        </xdr:cNvSpPr>
      </xdr:nvSpPr>
      <xdr:spPr bwMode="auto">
        <a:xfrm>
          <a:off x="2657475" y="5076825"/>
          <a:ext cx="12477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LocksWithSheet="0"/>
  </xdr:twoCellAnchor>
  <xdr:twoCellAnchor>
    <xdr:from>
      <xdr:col>0</xdr:col>
      <xdr:colOff>0</xdr:colOff>
      <xdr:row>11</xdr:row>
      <xdr:rowOff>0</xdr:rowOff>
    </xdr:from>
    <xdr:to>
      <xdr:col>0</xdr:col>
      <xdr:colOff>2581275</xdr:colOff>
      <xdr:row>11</xdr:row>
      <xdr:rowOff>0</xdr:rowOff>
    </xdr:to>
    <xdr:sp macro="" textlink="" fLocksText="0">
      <xdr:nvSpPr>
        <xdr:cNvPr id="1099" name="Text 2"/>
        <xdr:cNvSpPr txBox="1">
          <a:spLocks noChangeArrowheads="1"/>
        </xdr:cNvSpPr>
      </xdr:nvSpPr>
      <xdr:spPr bwMode="auto">
        <a:xfrm>
          <a:off x="0" y="5076825"/>
          <a:ext cx="25812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3</xdr:col>
          <xdr:colOff>1724025</xdr:colOff>
          <xdr:row>1</xdr:row>
          <xdr:rowOff>9525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14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</xdr:row>
      <xdr:rowOff>0</xdr:rowOff>
    </xdr:from>
    <xdr:to>
      <xdr:col>15</xdr:col>
      <xdr:colOff>752475</xdr:colOff>
      <xdr:row>26</xdr:row>
      <xdr:rowOff>9525</xdr:rowOff>
    </xdr:to>
    <xdr:graphicFrame macro="">
      <xdr:nvGraphicFramePr>
        <xdr:cNvPr id="114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27</xdr:row>
      <xdr:rowOff>0</xdr:rowOff>
    </xdr:from>
    <xdr:to>
      <xdr:col>15</xdr:col>
      <xdr:colOff>752475</xdr:colOff>
      <xdr:row>52</xdr:row>
      <xdr:rowOff>19050</xdr:rowOff>
    </xdr:to>
    <xdr:graphicFrame macro="">
      <xdr:nvGraphicFramePr>
        <xdr:cNvPr id="114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27</xdr:row>
      <xdr:rowOff>0</xdr:rowOff>
    </xdr:from>
    <xdr:to>
      <xdr:col>7</xdr:col>
      <xdr:colOff>752475</xdr:colOff>
      <xdr:row>52</xdr:row>
      <xdr:rowOff>19050</xdr:rowOff>
    </xdr:to>
    <xdr:graphicFrame macro="">
      <xdr:nvGraphicFramePr>
        <xdr:cNvPr id="114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6</xdr:row>
      <xdr:rowOff>0</xdr:rowOff>
    </xdr:from>
    <xdr:to>
      <xdr:col>18</xdr:col>
      <xdr:colOff>276225</xdr:colOff>
      <xdr:row>38</xdr:row>
      <xdr:rowOff>28575</xdr:rowOff>
    </xdr:to>
    <xdr:graphicFrame macro="">
      <xdr:nvGraphicFramePr>
        <xdr:cNvPr id="82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0</xdr:row>
          <xdr:rowOff>19050</xdr:rowOff>
        </xdr:from>
        <xdr:to>
          <xdr:col>4</xdr:col>
          <xdr:colOff>609600</xdr:colOff>
          <xdr:row>0</xdr:row>
          <xdr:rowOff>762000</xdr:rowOff>
        </xdr:to>
        <xdr:sp macro="" textlink="">
          <xdr:nvSpPr>
            <xdr:cNvPr id="7169" name="Picture 3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28575</xdr:colOff>
      <xdr:row>7</xdr:row>
      <xdr:rowOff>0</xdr:rowOff>
    </xdr:from>
    <xdr:to>
      <xdr:col>36</xdr:col>
      <xdr:colOff>428625</xdr:colOff>
      <xdr:row>17</xdr:row>
      <xdr:rowOff>38100</xdr:rowOff>
    </xdr:to>
    <xdr:graphicFrame macro="">
      <xdr:nvGraphicFramePr>
        <xdr:cNvPr id="208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505950" cy="709612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3"/>
  </sheetPr>
  <dimension ref="A1:M78"/>
  <sheetViews>
    <sheetView showGridLines="0" view="pageBreakPreview" topLeftCell="A22" zoomScale="150" zoomScaleSheetLayoutView="150" workbookViewId="0">
      <selection activeCell="D5" sqref="D5"/>
    </sheetView>
  </sheetViews>
  <sheetFormatPr baseColWidth="10" defaultColWidth="9.140625" defaultRowHeight="12.75" x14ac:dyDescent="0.2"/>
  <cols>
    <col min="1" max="1" width="44.7109375" style="4" customWidth="1"/>
    <col min="2" max="2" width="18.7109375" style="5" customWidth="1"/>
    <col min="3" max="3" width="5.42578125" style="5" customWidth="1"/>
    <col min="4" max="4" width="38.7109375" customWidth="1"/>
    <col min="5" max="5" width="2.7109375" customWidth="1"/>
    <col min="6" max="6" width="19.7109375" customWidth="1"/>
    <col min="7" max="7" width="13.7109375" customWidth="1"/>
    <col min="8" max="9" width="9.140625" customWidth="1"/>
    <col min="10" max="10" width="23.85546875" customWidth="1"/>
    <col min="11" max="11" width="18.5703125" customWidth="1"/>
  </cols>
  <sheetData>
    <row r="1" spans="1:13" ht="116.25" customHeight="1" x14ac:dyDescent="0.2">
      <c r="C1" s="9"/>
      <c r="D1" s="10"/>
      <c r="E1" s="10"/>
    </row>
    <row r="2" spans="1:13" ht="13.5" customHeight="1" thickBot="1" x14ac:dyDescent="0.25">
      <c r="C2" s="9"/>
      <c r="D2" s="10"/>
      <c r="E2" s="10"/>
    </row>
    <row r="3" spans="1:13" s="2" customFormat="1" ht="30" customHeight="1" thickTop="1" x14ac:dyDescent="0.35">
      <c r="A3" s="585" t="s">
        <v>69</v>
      </c>
      <c r="B3" s="612" t="s">
        <v>257</v>
      </c>
      <c r="C3" s="612"/>
      <c r="D3" s="612"/>
      <c r="E3" s="12"/>
      <c r="F3" s="608" t="s">
        <v>78</v>
      </c>
      <c r="G3" s="609"/>
    </row>
    <row r="4" spans="1:13" s="2" customFormat="1" ht="30" customHeight="1" thickBot="1" x14ac:dyDescent="0.4">
      <c r="A4" s="586" t="s">
        <v>70</v>
      </c>
      <c r="B4" s="455">
        <v>43250</v>
      </c>
      <c r="C4" s="11"/>
      <c r="D4" s="200"/>
      <c r="E4" s="200"/>
      <c r="F4" s="610" t="str">
        <f ca="1">INT((TODAY()-$B$4)/7)&amp;" sem. + "&amp;MOD((TODAY()-$B$4),7)&amp;" jour"</f>
        <v>7 sem. + 0 jour</v>
      </c>
      <c r="G4" s="611"/>
      <c r="H4" s="98"/>
    </row>
    <row r="5" spans="1:13" s="2" customFormat="1" ht="30" customHeight="1" thickTop="1" thickBot="1" x14ac:dyDescent="0.4">
      <c r="A5" s="586" t="s">
        <v>71</v>
      </c>
      <c r="B5" s="456">
        <v>7872</v>
      </c>
      <c r="C5" s="8"/>
      <c r="F5" s="198" t="s">
        <v>79</v>
      </c>
      <c r="G5" s="196" t="s">
        <v>80</v>
      </c>
      <c r="H5" s="98"/>
    </row>
    <row r="6" spans="1:13" s="2" customFormat="1" ht="30" customHeight="1" thickTop="1" thickBot="1" x14ac:dyDescent="0.4">
      <c r="A6" s="586" t="s">
        <v>72</v>
      </c>
      <c r="B6" s="456">
        <v>1200</v>
      </c>
      <c r="C6" s="8"/>
      <c r="D6" s="12"/>
      <c r="E6" s="12"/>
      <c r="F6" s="199" t="s">
        <v>81</v>
      </c>
      <c r="G6" s="197" t="s">
        <v>82</v>
      </c>
      <c r="H6" s="98"/>
      <c r="J6" s="106" t="s">
        <v>83</v>
      </c>
      <c r="K6" s="587"/>
    </row>
    <row r="7" spans="1:13" s="2" customFormat="1" ht="30" customHeight="1" thickBot="1" x14ac:dyDescent="0.4">
      <c r="A7" s="586" t="s">
        <v>73</v>
      </c>
      <c r="B7" s="607" t="s">
        <v>258</v>
      </c>
      <c r="C7" s="607"/>
      <c r="D7" s="607"/>
      <c r="E7" s="12"/>
      <c r="F7" s="252" t="str">
        <f t="shared" ref="F7:F12" si="0">IF(G7="","",INT((G7-$B$4)/7)&amp;" sem. + "&amp;MOD((G7-$B$4),7)&amp;" dias")</f>
        <v/>
      </c>
      <c r="G7" s="248"/>
      <c r="H7" s="98"/>
      <c r="J7" s="107" t="s">
        <v>84</v>
      </c>
      <c r="K7" s="108" t="s">
        <v>85</v>
      </c>
    </row>
    <row r="8" spans="1:13" s="2" customFormat="1" ht="30" customHeight="1" x14ac:dyDescent="0.35">
      <c r="A8" s="586" t="s">
        <v>74</v>
      </c>
      <c r="B8" s="607"/>
      <c r="C8" s="607"/>
      <c r="D8" s="607"/>
      <c r="E8" s="12"/>
      <c r="F8" s="253" t="str">
        <f t="shared" si="0"/>
        <v/>
      </c>
      <c r="G8" s="249"/>
      <c r="H8" s="98"/>
      <c r="J8" s="100"/>
      <c r="K8" s="101"/>
    </row>
    <row r="9" spans="1:13" s="2" customFormat="1" ht="30" customHeight="1" x14ac:dyDescent="0.35">
      <c r="A9" s="586" t="s">
        <v>75</v>
      </c>
      <c r="B9" s="118" t="str">
        <f>IF('Pon-Rec'!C13="","",'Pon-Rec'!C13)</f>
        <v/>
      </c>
      <c r="C9" s="8"/>
      <c r="D9" s="12"/>
      <c r="E9" s="12"/>
      <c r="F9" s="253" t="str">
        <f t="shared" si="0"/>
        <v/>
      </c>
      <c r="G9" s="249"/>
      <c r="J9" s="102"/>
      <c r="K9" s="103"/>
    </row>
    <row r="10" spans="1:13" s="2" customFormat="1" ht="30" customHeight="1" x14ac:dyDescent="0.35">
      <c r="A10" s="586" t="s">
        <v>76</v>
      </c>
      <c r="B10" s="118" t="str">
        <f>IF('Pon-Rec'!D13="","",'Pon-Rec'!D13)</f>
        <v/>
      </c>
      <c r="C10" s="8"/>
      <c r="D10" s="12"/>
      <c r="E10" s="12"/>
      <c r="F10" s="253" t="str">
        <f t="shared" si="0"/>
        <v/>
      </c>
      <c r="G10" s="250"/>
      <c r="J10" s="102"/>
      <c r="K10" s="103"/>
    </row>
    <row r="11" spans="1:13" s="2" customFormat="1" ht="30" customHeight="1" thickBot="1" x14ac:dyDescent="0.4">
      <c r="A11" s="586" t="s">
        <v>77</v>
      </c>
      <c r="B11" s="191"/>
      <c r="C11" s="11"/>
      <c r="F11" s="254" t="str">
        <f t="shared" si="0"/>
        <v/>
      </c>
      <c r="G11" s="251"/>
      <c r="J11" s="104"/>
      <c r="K11" s="105"/>
    </row>
    <row r="12" spans="1:13" s="3" customFormat="1" ht="30" customHeight="1" thickTop="1" thickBot="1" x14ac:dyDescent="0.25">
      <c r="A12" s="4"/>
      <c r="B12" s="5"/>
      <c r="C12" s="9"/>
      <c r="D12" s="13"/>
      <c r="E12" s="13"/>
      <c r="F12" s="201" t="str">
        <f t="shared" si="0"/>
        <v/>
      </c>
      <c r="G12" s="202"/>
      <c r="K12" s="99">
        <f>SUM(K8:K11)</f>
        <v>0</v>
      </c>
    </row>
    <row r="13" spans="1:13" s="3" customFormat="1" ht="16.149999999999999" customHeight="1" thickTop="1" x14ac:dyDescent="0.4">
      <c r="A13" s="6" t="s">
        <v>73</v>
      </c>
      <c r="B13" s="5"/>
      <c r="C13" s="9"/>
      <c r="D13" s="14" t="s">
        <v>74</v>
      </c>
      <c r="E13" s="14"/>
      <c r="F13" s="588"/>
      <c r="G13" s="588"/>
      <c r="H13" s="588"/>
      <c r="I13" s="588"/>
      <c r="J13" s="588"/>
      <c r="K13" s="588"/>
      <c r="L13" s="588"/>
      <c r="M13" s="588"/>
    </row>
    <row r="14" spans="1:13" s="3" customFormat="1" ht="16.149999999999999" customHeight="1" x14ac:dyDescent="0.2">
      <c r="A14" s="4"/>
      <c r="B14" s="5"/>
      <c r="C14" s="9"/>
      <c r="D14" s="589"/>
      <c r="E14" s="589"/>
      <c r="F14" s="588"/>
      <c r="G14" s="588"/>
      <c r="H14" s="588"/>
      <c r="I14" s="588"/>
      <c r="J14" s="588"/>
      <c r="K14" s="588"/>
      <c r="L14" s="588"/>
      <c r="M14" s="588"/>
    </row>
    <row r="15" spans="1:13" s="3" customFormat="1" ht="19.899999999999999" customHeight="1" x14ac:dyDescent="0.2">
      <c r="A15" s="588" t="s">
        <v>86</v>
      </c>
      <c r="B15" s="590"/>
      <c r="C15" s="15"/>
      <c r="D15" s="588" t="s">
        <v>87</v>
      </c>
      <c r="E15" s="589"/>
      <c r="F15" s="590"/>
      <c r="G15" s="588"/>
      <c r="H15" s="588"/>
      <c r="I15" s="588"/>
      <c r="J15" s="588" t="s">
        <v>88</v>
      </c>
      <c r="K15" s="590"/>
      <c r="L15" s="588"/>
      <c r="M15" s="588"/>
    </row>
    <row r="16" spans="1:13" s="3" customFormat="1" ht="19.899999999999999" customHeight="1" x14ac:dyDescent="0.2">
      <c r="A16" s="588" t="s">
        <v>89</v>
      </c>
      <c r="B16" s="590"/>
      <c r="C16" s="15"/>
      <c r="D16" s="588" t="s">
        <v>90</v>
      </c>
      <c r="E16" s="589"/>
      <c r="F16" s="590"/>
      <c r="G16" s="588"/>
      <c r="H16" s="588"/>
      <c r="I16" s="588"/>
      <c r="J16" s="588" t="s">
        <v>91</v>
      </c>
      <c r="K16" s="590"/>
      <c r="L16" s="588"/>
      <c r="M16" s="588"/>
    </row>
    <row r="17" spans="1:13" s="3" customFormat="1" ht="19.899999999999999" customHeight="1" x14ac:dyDescent="0.2">
      <c r="A17" s="588" t="s">
        <v>92</v>
      </c>
      <c r="B17" s="590"/>
      <c r="C17" s="15"/>
      <c r="D17" s="588" t="s">
        <v>93</v>
      </c>
      <c r="E17" s="589"/>
      <c r="F17" s="590"/>
      <c r="G17" s="588"/>
      <c r="H17" s="588"/>
      <c r="I17" s="588"/>
      <c r="J17" s="588" t="s">
        <v>94</v>
      </c>
      <c r="K17" s="590"/>
      <c r="L17" s="588"/>
      <c r="M17" s="588"/>
    </row>
    <row r="18" spans="1:13" s="3" customFormat="1" ht="19.899999999999999" customHeight="1" x14ac:dyDescent="0.2">
      <c r="A18" s="588" t="s">
        <v>95</v>
      </c>
      <c r="B18" s="590"/>
      <c r="C18" s="15"/>
      <c r="D18" s="588" t="s">
        <v>96</v>
      </c>
      <c r="E18" s="589"/>
      <c r="F18" s="590"/>
      <c r="G18" s="588"/>
      <c r="H18" s="588"/>
      <c r="I18" s="588"/>
      <c r="J18" s="588" t="s">
        <v>1</v>
      </c>
      <c r="K18" s="590"/>
      <c r="L18" s="588"/>
      <c r="M18" s="588"/>
    </row>
    <row r="19" spans="1:13" s="3" customFormat="1" ht="19.899999999999999" customHeight="1" x14ac:dyDescent="0.2">
      <c r="A19" s="588" t="s">
        <v>87</v>
      </c>
      <c r="B19" s="590"/>
      <c r="C19" s="15"/>
      <c r="D19" s="588" t="s">
        <v>97</v>
      </c>
      <c r="E19" s="589"/>
      <c r="F19" s="590"/>
      <c r="G19" s="588"/>
      <c r="H19" s="588"/>
      <c r="I19" s="588"/>
      <c r="J19" s="588"/>
      <c r="K19" s="588"/>
      <c r="L19" s="588"/>
      <c r="M19" s="588"/>
    </row>
    <row r="20" spans="1:13" s="3" customFormat="1" ht="19.899999999999999" customHeight="1" x14ac:dyDescent="0.2">
      <c r="A20" s="588" t="s">
        <v>90</v>
      </c>
      <c r="B20" s="590"/>
      <c r="C20" s="15"/>
      <c r="D20" s="588" t="s">
        <v>98</v>
      </c>
      <c r="E20" s="588"/>
      <c r="F20" s="590"/>
      <c r="G20" s="588"/>
      <c r="H20" s="588"/>
      <c r="I20" s="588"/>
      <c r="J20" s="588"/>
      <c r="K20" s="588"/>
      <c r="L20" s="588"/>
      <c r="M20" s="588"/>
    </row>
    <row r="21" spans="1:13" s="3" customFormat="1" ht="19.899999999999999" customHeight="1" x14ac:dyDescent="0.2">
      <c r="A21" s="588" t="s">
        <v>99</v>
      </c>
      <c r="B21" s="590"/>
      <c r="C21" s="15"/>
      <c r="D21" s="589" t="s">
        <v>100</v>
      </c>
      <c r="E21" s="589"/>
      <c r="F21" s="590"/>
      <c r="G21" s="588"/>
      <c r="H21" s="588"/>
      <c r="I21" s="588"/>
      <c r="J21" s="588"/>
      <c r="K21" s="588"/>
      <c r="L21" s="588"/>
      <c r="M21" s="588"/>
    </row>
    <row r="22" spans="1:13" s="3" customFormat="1" ht="19.899999999999999" customHeight="1" x14ac:dyDescent="0.2">
      <c r="A22" s="588" t="s">
        <v>93</v>
      </c>
      <c r="B22" s="590"/>
      <c r="C22" s="15"/>
      <c r="D22" s="589" t="s">
        <v>101</v>
      </c>
      <c r="E22" s="589"/>
      <c r="F22" s="590"/>
      <c r="G22" s="588"/>
      <c r="H22" s="588"/>
      <c r="I22" s="588"/>
      <c r="J22" s="588"/>
      <c r="K22" s="588"/>
      <c r="L22" s="588"/>
      <c r="M22" s="588"/>
    </row>
    <row r="23" spans="1:13" s="3" customFormat="1" ht="19.899999999999999" customHeight="1" x14ac:dyDescent="0.2">
      <c r="A23" s="588" t="s">
        <v>102</v>
      </c>
      <c r="B23" s="590"/>
      <c r="C23" s="15"/>
      <c r="D23" s="588" t="s">
        <v>103</v>
      </c>
      <c r="E23" s="588"/>
      <c r="F23" s="590"/>
      <c r="G23" s="588"/>
      <c r="H23" s="588"/>
      <c r="I23" s="588"/>
      <c r="J23" s="588"/>
      <c r="K23" s="588"/>
      <c r="L23" s="588"/>
      <c r="M23" s="588"/>
    </row>
    <row r="24" spans="1:13" s="3" customFormat="1" ht="19.899999999999999" customHeight="1" x14ac:dyDescent="0.2">
      <c r="A24" s="588" t="s">
        <v>104</v>
      </c>
      <c r="B24" s="590"/>
      <c r="C24" s="15"/>
      <c r="D24" s="588" t="s">
        <v>105</v>
      </c>
      <c r="E24" s="589"/>
      <c r="F24" s="590"/>
      <c r="G24" s="588"/>
      <c r="H24" s="588"/>
      <c r="I24" s="588"/>
      <c r="J24" s="588"/>
      <c r="K24" s="588"/>
      <c r="L24" s="588"/>
      <c r="M24" s="588"/>
    </row>
    <row r="25" spans="1:13" s="3" customFormat="1" ht="19.899999999999999" customHeight="1" x14ac:dyDescent="0.2">
      <c r="A25" s="588" t="s">
        <v>98</v>
      </c>
      <c r="B25" s="590"/>
      <c r="C25" s="15"/>
      <c r="D25" s="588" t="s">
        <v>106</v>
      </c>
      <c r="E25" s="589"/>
      <c r="F25" s="590"/>
      <c r="G25" s="588"/>
      <c r="H25" s="588"/>
      <c r="I25" s="588"/>
      <c r="J25" s="588"/>
      <c r="K25" s="588"/>
      <c r="L25" s="588"/>
      <c r="M25" s="588"/>
    </row>
    <row r="26" spans="1:13" s="3" customFormat="1" ht="19.899999999999999" customHeight="1" x14ac:dyDescent="0.2">
      <c r="A26" s="588" t="s">
        <v>107</v>
      </c>
      <c r="B26" s="590"/>
      <c r="C26" s="15"/>
      <c r="D26" s="588" t="s">
        <v>108</v>
      </c>
      <c r="E26" s="589"/>
      <c r="F26" s="590"/>
      <c r="G26" s="588"/>
      <c r="H26" s="588"/>
      <c r="I26" s="588"/>
      <c r="J26" s="588"/>
      <c r="K26" s="588"/>
      <c r="L26" s="588"/>
      <c r="M26" s="588"/>
    </row>
    <row r="27" spans="1:13" s="3" customFormat="1" ht="19.899999999999999" customHeight="1" x14ac:dyDescent="0.2">
      <c r="A27" s="588" t="s">
        <v>97</v>
      </c>
      <c r="B27" s="590"/>
      <c r="C27" s="15"/>
      <c r="D27" s="588" t="s">
        <v>109</v>
      </c>
      <c r="E27" s="589"/>
      <c r="F27" s="590"/>
      <c r="G27" s="588"/>
      <c r="H27" s="588"/>
      <c r="I27" s="588"/>
      <c r="J27" s="588"/>
      <c r="K27" s="588"/>
      <c r="L27" s="588"/>
      <c r="M27" s="588"/>
    </row>
    <row r="28" spans="1:13" s="3" customFormat="1" ht="19.899999999999999" customHeight="1" x14ac:dyDescent="0.2">
      <c r="A28" s="588" t="s">
        <v>106</v>
      </c>
      <c r="B28" s="590"/>
      <c r="C28" s="15"/>
      <c r="D28" s="588" t="s">
        <v>110</v>
      </c>
      <c r="E28" s="589"/>
      <c r="F28" s="590"/>
      <c r="G28" s="588"/>
      <c r="H28" s="588"/>
      <c r="I28" s="588"/>
      <c r="J28" s="588"/>
      <c r="K28" s="588"/>
      <c r="L28" s="588"/>
      <c r="M28" s="588"/>
    </row>
    <row r="29" spans="1:13" s="3" customFormat="1" ht="19.899999999999999" customHeight="1" x14ac:dyDescent="0.2">
      <c r="A29" s="588" t="s">
        <v>108</v>
      </c>
      <c r="B29" s="590"/>
      <c r="C29" s="15"/>
      <c r="D29" s="589" t="s">
        <v>111</v>
      </c>
      <c r="E29" s="589"/>
      <c r="F29" s="590"/>
      <c r="G29" s="588"/>
      <c r="H29" s="588"/>
      <c r="I29" s="588"/>
      <c r="J29" s="588"/>
      <c r="K29" s="588"/>
      <c r="L29" s="588"/>
      <c r="M29" s="588"/>
    </row>
    <row r="30" spans="1:13" s="3" customFormat="1" ht="19.899999999999999" customHeight="1" x14ac:dyDescent="0.2">
      <c r="A30" s="588" t="s">
        <v>109</v>
      </c>
      <c r="B30" s="590"/>
      <c r="C30" s="15"/>
      <c r="D30" s="589" t="s">
        <v>112</v>
      </c>
      <c r="E30" s="589"/>
      <c r="F30" s="590"/>
      <c r="G30" s="588"/>
      <c r="H30" s="588"/>
      <c r="I30" s="588"/>
      <c r="J30" s="588"/>
      <c r="K30" s="588"/>
      <c r="L30" s="588"/>
      <c r="M30" s="588"/>
    </row>
    <row r="31" spans="1:13" s="3" customFormat="1" ht="19.899999999999999" customHeight="1" x14ac:dyDescent="0.2">
      <c r="A31" s="588" t="s">
        <v>110</v>
      </c>
      <c r="B31" s="590"/>
      <c r="C31" s="15"/>
      <c r="D31" s="589" t="s">
        <v>13</v>
      </c>
      <c r="E31" s="589"/>
      <c r="F31" s="590"/>
      <c r="G31" s="588"/>
      <c r="H31" s="588"/>
      <c r="I31" s="588"/>
      <c r="J31" s="588"/>
      <c r="K31" s="588"/>
      <c r="L31" s="588"/>
      <c r="M31" s="588"/>
    </row>
    <row r="32" spans="1:13" s="3" customFormat="1" ht="19.899999999999999" customHeight="1" x14ac:dyDescent="0.2">
      <c r="A32" s="588" t="s">
        <v>113</v>
      </c>
      <c r="B32" s="590"/>
      <c r="C32" s="15"/>
      <c r="D32" s="589" t="s">
        <v>114</v>
      </c>
      <c r="E32" s="589"/>
      <c r="F32" s="590"/>
      <c r="G32" s="588"/>
      <c r="H32" s="588"/>
      <c r="I32" s="588"/>
      <c r="J32" s="588"/>
      <c r="K32" s="588"/>
      <c r="L32" s="588"/>
      <c r="M32" s="588"/>
    </row>
    <row r="33" spans="1:13" s="3" customFormat="1" ht="19.899999999999999" customHeight="1" x14ac:dyDescent="0.2">
      <c r="A33" s="588" t="s">
        <v>115</v>
      </c>
      <c r="B33" s="590"/>
      <c r="C33" s="15"/>
      <c r="D33" s="588" t="s">
        <v>116</v>
      </c>
      <c r="E33" s="589"/>
      <c r="F33" s="590"/>
      <c r="G33" s="588"/>
      <c r="H33" s="588"/>
      <c r="I33" s="588"/>
      <c r="J33" s="588"/>
      <c r="K33" s="588"/>
      <c r="L33" s="588"/>
      <c r="M33" s="588"/>
    </row>
    <row r="34" spans="1:13" s="3" customFormat="1" ht="19.899999999999999" customHeight="1" x14ac:dyDescent="0.2">
      <c r="A34" s="588" t="s">
        <v>116</v>
      </c>
      <c r="B34" s="590"/>
      <c r="C34" s="15"/>
      <c r="D34" s="591" t="s">
        <v>117</v>
      </c>
      <c r="E34" s="591"/>
      <c r="F34" s="590"/>
      <c r="G34" s="588"/>
      <c r="H34" s="588"/>
      <c r="I34" s="588"/>
      <c r="J34" s="588"/>
      <c r="K34" s="588"/>
      <c r="L34" s="588"/>
      <c r="M34" s="588"/>
    </row>
    <row r="35" spans="1:13" s="3" customFormat="1" ht="19.899999999999999" customHeight="1" x14ac:dyDescent="0.2">
      <c r="A35" s="588" t="s">
        <v>118</v>
      </c>
      <c r="B35" s="590"/>
      <c r="C35" s="15"/>
      <c r="D35" s="588" t="s">
        <v>118</v>
      </c>
      <c r="E35" s="591"/>
      <c r="F35" s="590"/>
      <c r="G35" s="588"/>
      <c r="H35" s="588"/>
      <c r="I35" s="588"/>
      <c r="J35" s="588"/>
      <c r="K35" s="588"/>
      <c r="L35" s="588"/>
      <c r="M35" s="588"/>
    </row>
    <row r="36" spans="1:13" s="3" customFormat="1" ht="19.899999999999999" customHeight="1" x14ac:dyDescent="0.2">
      <c r="A36" s="588" t="s">
        <v>119</v>
      </c>
      <c r="B36" s="590"/>
      <c r="C36" s="15"/>
      <c r="D36" s="588" t="s">
        <v>119</v>
      </c>
      <c r="E36" s="588"/>
      <c r="F36" s="590"/>
      <c r="G36" s="588"/>
      <c r="H36" s="588"/>
      <c r="I36" s="588"/>
      <c r="J36" s="588"/>
      <c r="K36" s="588"/>
      <c r="L36" s="588"/>
      <c r="M36" s="588"/>
    </row>
    <row r="37" spans="1:13" s="3" customFormat="1" ht="19.899999999999999" customHeight="1" x14ac:dyDescent="0.2">
      <c r="A37" s="588" t="s">
        <v>120</v>
      </c>
      <c r="B37" s="590"/>
      <c r="C37" s="15"/>
      <c r="D37" s="589" t="s">
        <v>121</v>
      </c>
      <c r="E37" s="589"/>
      <c r="F37" s="590"/>
      <c r="G37" s="588"/>
      <c r="H37" s="588"/>
      <c r="I37" s="588"/>
      <c r="J37" s="588"/>
      <c r="K37" s="588"/>
      <c r="L37" s="588"/>
      <c r="M37" s="588"/>
    </row>
    <row r="38" spans="1:13" s="3" customFormat="1" ht="19.899999999999999" customHeight="1" x14ac:dyDescent="0.2">
      <c r="A38" s="588" t="s">
        <v>122</v>
      </c>
      <c r="B38" s="590"/>
      <c r="C38" s="15"/>
      <c r="D38" s="589" t="s">
        <v>123</v>
      </c>
      <c r="E38" s="589"/>
      <c r="F38" s="590"/>
      <c r="G38" s="588"/>
      <c r="H38" s="588"/>
      <c r="I38" s="588"/>
      <c r="J38" s="588"/>
      <c r="K38" s="588"/>
      <c r="L38" s="588"/>
      <c r="M38" s="588"/>
    </row>
    <row r="39" spans="1:13" s="3" customFormat="1" ht="19.899999999999999" customHeight="1" x14ac:dyDescent="0.2">
      <c r="A39" s="588"/>
      <c r="B39" s="588"/>
      <c r="C39" s="7"/>
      <c r="D39" s="589" t="s">
        <v>124</v>
      </c>
      <c r="E39" s="589"/>
      <c r="F39" s="590"/>
      <c r="G39" s="588"/>
      <c r="H39" s="588"/>
      <c r="I39" s="588"/>
      <c r="J39" s="588"/>
      <c r="K39" s="588"/>
      <c r="L39" s="588"/>
      <c r="M39" s="588"/>
    </row>
    <row r="40" spans="1:13" s="3" customFormat="1" ht="19.899999999999999" customHeight="1" x14ac:dyDescent="0.2">
      <c r="A40" s="588"/>
      <c r="B40" s="5"/>
      <c r="C40" s="5"/>
      <c r="D40" s="588" t="s">
        <v>120</v>
      </c>
      <c r="E40" s="589"/>
      <c r="F40" s="590"/>
      <c r="G40" s="588"/>
      <c r="H40" s="588"/>
      <c r="I40" s="588"/>
      <c r="J40" s="588"/>
      <c r="K40" s="588"/>
      <c r="L40" s="588"/>
      <c r="M40" s="588"/>
    </row>
    <row r="41" spans="1:13" s="3" customFormat="1" ht="19.899999999999999" customHeight="1" x14ac:dyDescent="0.2">
      <c r="B41" s="5"/>
      <c r="C41" s="5"/>
    </row>
    <row r="42" spans="1:13" s="3" customFormat="1" ht="19.899999999999999" customHeight="1" x14ac:dyDescent="0.2">
      <c r="B42" s="5"/>
      <c r="C42" s="5"/>
    </row>
    <row r="43" spans="1:13" s="3" customFormat="1" ht="16.149999999999999" customHeight="1" x14ac:dyDescent="0.2">
      <c r="B43" s="5"/>
      <c r="C43" s="5"/>
    </row>
    <row r="44" spans="1:13" s="3" customFormat="1" ht="16.149999999999999" customHeight="1" x14ac:dyDescent="0.2">
      <c r="B44" s="5"/>
      <c r="C44" s="5"/>
    </row>
    <row r="45" spans="1:13" s="3" customFormat="1" ht="16.149999999999999" customHeight="1" x14ac:dyDescent="0.2">
      <c r="B45" s="5"/>
      <c r="C45" s="5"/>
    </row>
    <row r="46" spans="1:13" s="3" customFormat="1" ht="16.149999999999999" customHeight="1" x14ac:dyDescent="0.2">
      <c r="A46" s="4"/>
      <c r="B46" s="5"/>
      <c r="C46" s="5"/>
    </row>
    <row r="47" spans="1:13" s="3" customFormat="1" ht="16.149999999999999" customHeight="1" x14ac:dyDescent="0.2">
      <c r="A47" s="4"/>
      <c r="B47" s="5"/>
      <c r="C47" s="5"/>
    </row>
    <row r="48" spans="1:13" s="3" customFormat="1" ht="16.149999999999999" customHeight="1" x14ac:dyDescent="0.2">
      <c r="A48" s="4"/>
      <c r="B48" s="5"/>
      <c r="C48" s="5"/>
    </row>
    <row r="49" spans="1:3" s="3" customFormat="1" ht="16.149999999999999" customHeight="1" x14ac:dyDescent="0.2">
      <c r="A49" s="4"/>
      <c r="B49" s="5"/>
      <c r="C49" s="5"/>
    </row>
    <row r="50" spans="1:3" s="3" customFormat="1" ht="16.149999999999999" customHeight="1" x14ac:dyDescent="0.2">
      <c r="A50" s="4"/>
      <c r="B50" s="5"/>
      <c r="C50" s="5"/>
    </row>
    <row r="51" spans="1:3" s="3" customFormat="1" ht="16.149999999999999" customHeight="1" x14ac:dyDescent="0.2">
      <c r="A51" s="4"/>
      <c r="B51" s="5"/>
      <c r="C51" s="5"/>
    </row>
    <row r="52" spans="1:3" s="3" customFormat="1" ht="16.149999999999999" customHeight="1" x14ac:dyDescent="0.2">
      <c r="A52" s="4"/>
      <c r="B52" s="5"/>
      <c r="C52" s="5"/>
    </row>
    <row r="53" spans="1:3" s="3" customFormat="1" ht="16.149999999999999" customHeight="1" x14ac:dyDescent="0.2">
      <c r="A53" s="4"/>
      <c r="B53" s="5"/>
      <c r="C53" s="5"/>
    </row>
    <row r="54" spans="1:3" s="3" customFormat="1" ht="16.149999999999999" customHeight="1" x14ac:dyDescent="0.2">
      <c r="A54" s="4"/>
      <c r="B54" s="5"/>
      <c r="C54" s="5"/>
    </row>
    <row r="55" spans="1:3" s="3" customFormat="1" ht="16.149999999999999" customHeight="1" x14ac:dyDescent="0.2">
      <c r="A55" s="4"/>
      <c r="B55" s="5"/>
      <c r="C55" s="5"/>
    </row>
    <row r="56" spans="1:3" s="3" customFormat="1" ht="16.149999999999999" customHeight="1" x14ac:dyDescent="0.2">
      <c r="A56" s="4"/>
      <c r="B56" s="5"/>
      <c r="C56" s="5"/>
    </row>
    <row r="57" spans="1:3" s="3" customFormat="1" ht="16.149999999999999" customHeight="1" x14ac:dyDescent="0.2">
      <c r="A57" s="4"/>
      <c r="B57" s="5"/>
      <c r="C57" s="5"/>
    </row>
    <row r="58" spans="1:3" s="3" customFormat="1" ht="16.149999999999999" customHeight="1" x14ac:dyDescent="0.2">
      <c r="A58" s="4"/>
      <c r="B58" s="5"/>
      <c r="C58" s="5"/>
    </row>
    <row r="59" spans="1:3" s="3" customFormat="1" ht="16.149999999999999" customHeight="1" x14ac:dyDescent="0.2">
      <c r="A59" s="4"/>
      <c r="B59" s="5"/>
      <c r="C59" s="5"/>
    </row>
    <row r="60" spans="1:3" s="3" customFormat="1" ht="16.149999999999999" customHeight="1" x14ac:dyDescent="0.2">
      <c r="A60" s="4"/>
      <c r="B60" s="5"/>
      <c r="C60" s="5"/>
    </row>
    <row r="61" spans="1:3" s="3" customFormat="1" ht="16.149999999999999" customHeight="1" x14ac:dyDescent="0.2">
      <c r="A61" s="4"/>
      <c r="B61" s="5"/>
      <c r="C61" s="5"/>
    </row>
    <row r="62" spans="1:3" s="3" customFormat="1" ht="16.149999999999999" customHeight="1" x14ac:dyDescent="0.2">
      <c r="A62" s="4"/>
      <c r="B62" s="5"/>
      <c r="C62" s="5"/>
    </row>
    <row r="63" spans="1:3" s="3" customFormat="1" ht="16.149999999999999" customHeight="1" x14ac:dyDescent="0.2">
      <c r="A63" s="4"/>
      <c r="B63" s="5"/>
      <c r="C63" s="5"/>
    </row>
    <row r="64" spans="1:3" s="3" customFormat="1" ht="16.149999999999999" customHeight="1" x14ac:dyDescent="0.2">
      <c r="A64" s="4"/>
      <c r="B64" s="5"/>
      <c r="C64" s="5"/>
    </row>
    <row r="65" spans="1:3" s="3" customFormat="1" ht="16.149999999999999" customHeight="1" x14ac:dyDescent="0.2">
      <c r="A65" s="4"/>
      <c r="B65" s="5"/>
      <c r="C65" s="5"/>
    </row>
    <row r="66" spans="1:3" s="3" customFormat="1" ht="12.75" customHeight="1" x14ac:dyDescent="0.2">
      <c r="A66" s="4"/>
      <c r="B66" s="5"/>
      <c r="C66" s="5"/>
    </row>
    <row r="67" spans="1:3" s="3" customFormat="1" ht="12.75" customHeight="1" x14ac:dyDescent="0.2">
      <c r="A67" s="4"/>
      <c r="B67" s="5"/>
      <c r="C67" s="5"/>
    </row>
    <row r="68" spans="1:3" s="3" customFormat="1" ht="12.75" customHeight="1" x14ac:dyDescent="0.2">
      <c r="A68" s="4"/>
      <c r="B68" s="5"/>
      <c r="C68" s="5"/>
    </row>
    <row r="69" spans="1:3" s="3" customFormat="1" ht="12.75" customHeight="1" x14ac:dyDescent="0.2">
      <c r="A69" s="4"/>
      <c r="B69" s="5"/>
      <c r="C69" s="5"/>
    </row>
    <row r="70" spans="1:3" s="3" customFormat="1" ht="12.75" customHeight="1" x14ac:dyDescent="0.2">
      <c r="A70" s="4"/>
      <c r="B70" s="5"/>
      <c r="C70" s="5"/>
    </row>
    <row r="71" spans="1:3" s="3" customFormat="1" ht="12.75" customHeight="1" x14ac:dyDescent="0.2">
      <c r="A71" s="4"/>
      <c r="B71" s="5"/>
      <c r="C71" s="5"/>
    </row>
    <row r="72" spans="1:3" s="3" customFormat="1" ht="12.75" customHeight="1" x14ac:dyDescent="0.2">
      <c r="A72" s="4"/>
      <c r="B72" s="5"/>
      <c r="C72" s="5"/>
    </row>
    <row r="73" spans="1:3" s="3" customFormat="1" ht="12.75" customHeight="1" x14ac:dyDescent="0.2">
      <c r="A73" s="4"/>
      <c r="B73" s="5"/>
      <c r="C73" s="5"/>
    </row>
    <row r="74" spans="1:3" s="3" customFormat="1" ht="12.75" customHeight="1" x14ac:dyDescent="0.2">
      <c r="A74" s="4"/>
      <c r="B74" s="5"/>
      <c r="C74" s="5"/>
    </row>
    <row r="75" spans="1:3" s="3" customFormat="1" ht="12.75" customHeight="1" x14ac:dyDescent="0.2">
      <c r="A75" s="4"/>
      <c r="B75" s="5"/>
      <c r="C75" s="5"/>
    </row>
    <row r="76" spans="1:3" s="3" customFormat="1" ht="12.75" customHeight="1" x14ac:dyDescent="0.2">
      <c r="A76" s="4"/>
      <c r="B76" s="5"/>
      <c r="C76" s="5"/>
    </row>
    <row r="77" spans="1:3" s="3" customFormat="1" ht="12.75" customHeight="1" x14ac:dyDescent="0.2">
      <c r="A77" s="4"/>
      <c r="B77" s="5"/>
      <c r="C77" s="5"/>
    </row>
    <row r="78" spans="1:3" s="3" customFormat="1" ht="12.75" customHeight="1" x14ac:dyDescent="0.2">
      <c r="A78" s="4"/>
      <c r="B78" s="5"/>
      <c r="C78" s="5"/>
    </row>
  </sheetData>
  <customSheetViews>
    <customSheetView guid="{C68E5F61-A3F5-11D2-8BB4-0080C77DE7BF}" scale="70" fitToPage="1" showRuler="0">
      <selection activeCell="A2" sqref="A2"/>
      <pageMargins left="0.75" right="0.75" top="1" bottom="1" header="0.5" footer="0.5"/>
      <pageSetup paperSize="9" scale="59" orientation="portrait" horizontalDpi="180" verticalDpi="180" r:id="rId1"/>
      <headerFooter alignWithMargins="0">
        <oddHeader>&amp;CFLOCK REPORT</oddHeader>
        <oddFooter>Prepared by LIONEL HALLS &amp;D&amp;RPage &amp;P</oddFooter>
      </headerFooter>
    </customSheetView>
  </customSheetViews>
  <mergeCells count="5">
    <mergeCell ref="B8:D8"/>
    <mergeCell ref="F3:G3"/>
    <mergeCell ref="F4:G4"/>
    <mergeCell ref="B3:D3"/>
    <mergeCell ref="B7:D7"/>
  </mergeCells>
  <phoneticPr fontId="17" type="noConversion"/>
  <printOptions horizontalCentered="1" verticalCentered="1"/>
  <pageMargins left="0.25" right="0.25" top="0.75" bottom="0.75" header="0.3" footer="0.3"/>
  <pageSetup paperSize="9" scale="65" orientation="portrait" horizontalDpi="180" verticalDpi="180" r:id="rId2"/>
  <headerFooter alignWithMargins="0">
    <oddHeader>&amp;CINFORME LOTE</oddHeader>
    <oddFooter>&amp;L&amp;6&amp;F&amp;C&amp;8Preparado por COBB Española&amp;D</oddFooter>
  </headerFooter>
  <drawing r:id="rId3"/>
  <legacyDrawing r:id="rId4"/>
  <oleObjects>
    <mc:AlternateContent xmlns:mc="http://schemas.openxmlformats.org/markup-compatibility/2006">
      <mc:Choice Requires="x14">
        <oleObject shapeId="1029" r:id="rId5">
          <objectPr defaultSize="0" r:id="rId6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3</xdr:col>
                <xdr:colOff>1724025</xdr:colOff>
                <xdr:row>1</xdr:row>
                <xdr:rowOff>9525</xdr:rowOff>
              </to>
            </anchor>
          </objectPr>
        </oleObject>
      </mc:Choice>
      <mc:Fallback>
        <oleObject shapeId="1029" r:id="rId5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34" workbookViewId="0">
      <selection activeCell="E10" sqref="E10"/>
    </sheetView>
  </sheetViews>
  <sheetFormatPr baseColWidth="10" defaultRowHeight="12.75" x14ac:dyDescent="0.2"/>
  <sheetData/>
  <phoneticPr fontId="17" type="noConversion"/>
  <pageMargins left="0.59055118110236227" right="0" top="0.98425196850393704" bottom="0.98425196850393704" header="0" footer="0"/>
  <pageSetup paperSize="9" orientation="portrait" horizontalDpi="360" verticalDpi="36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B80"/>
  <sheetViews>
    <sheetView showGridLines="0" showZeros="0" zoomScale="75" workbookViewId="0">
      <pane xSplit="2" ySplit="9" topLeftCell="C19" activePane="bottomRight" state="frozen"/>
      <selection pane="topRight" activeCell="C1" sqref="C1"/>
      <selection pane="bottomLeft" activeCell="A10" sqref="A10"/>
      <selection pane="bottomRight" activeCell="F13" sqref="F13"/>
    </sheetView>
  </sheetViews>
  <sheetFormatPr baseColWidth="10" defaultRowHeight="12.75" x14ac:dyDescent="0.2"/>
  <cols>
    <col min="1" max="1" width="11.42578125" customWidth="1"/>
    <col min="2" max="2" width="5.28515625" bestFit="1" customWidth="1"/>
    <col min="3" max="3" width="10.7109375" customWidth="1"/>
    <col min="4" max="5" width="9.7109375" customWidth="1"/>
    <col min="6" max="6" width="11.42578125" customWidth="1"/>
    <col min="7" max="7" width="10.28515625" customWidth="1"/>
    <col min="8" max="8" width="10.7109375" customWidth="1"/>
    <col min="9" max="9" width="9.7109375" customWidth="1"/>
    <col min="10" max="10" width="10.28515625" customWidth="1"/>
    <col min="11" max="11" width="10.140625" customWidth="1"/>
    <col min="12" max="12" width="3.28515625" customWidth="1"/>
    <col min="13" max="13" width="11.5703125" customWidth="1"/>
    <col min="14" max="14" width="11.7109375" customWidth="1"/>
    <col min="15" max="15" width="11.28515625" customWidth="1"/>
    <col min="16" max="16" width="12" customWidth="1"/>
    <col min="17" max="17" width="6.5703125" customWidth="1"/>
    <col min="18" max="19" width="6.7109375" customWidth="1"/>
    <col min="20" max="21" width="6.42578125" customWidth="1"/>
    <col min="22" max="23" width="6.7109375" customWidth="1"/>
    <col min="24" max="24" width="7.7109375" customWidth="1"/>
    <col min="25" max="25" width="6.42578125" customWidth="1"/>
    <col min="26" max="27" width="6.7109375" customWidth="1"/>
    <col min="28" max="28" width="6.85546875" customWidth="1"/>
  </cols>
  <sheetData>
    <row r="1" spans="1:28" ht="24.95" customHeight="1" x14ac:dyDescent="0.25">
      <c r="A1" s="20" t="s">
        <v>125</v>
      </c>
      <c r="B1" s="21"/>
      <c r="C1" s="22"/>
      <c r="D1" s="207" t="str">
        <f>IF(LOT!$B$3="","",LOT!$B$3)</f>
        <v>CASAP-BLIDA</v>
      </c>
      <c r="E1" s="22"/>
      <c r="F1" s="23"/>
      <c r="G1" s="21"/>
      <c r="H1" s="24" t="s">
        <v>70</v>
      </c>
      <c r="I1" s="25"/>
      <c r="J1" s="302">
        <f>IF(LOT!$B$4="","",LOT!$B$4)</f>
        <v>43250</v>
      </c>
      <c r="K1" s="22"/>
    </row>
    <row r="2" spans="1:28" ht="24.95" customHeight="1" x14ac:dyDescent="0.25">
      <c r="A2" s="24" t="s">
        <v>73</v>
      </c>
      <c r="B2" s="21"/>
      <c r="C2" s="22"/>
      <c r="D2" s="207" t="str">
        <f>IF(LOT!$B$7="","",LOT!$B$7)</f>
        <v>AIN OUSSERA-ALGERIE</v>
      </c>
      <c r="E2" s="22"/>
      <c r="F2" s="22"/>
      <c r="G2" s="21"/>
      <c r="H2" s="24" t="s">
        <v>134</v>
      </c>
      <c r="I2" s="24"/>
      <c r="J2" s="309">
        <f>IF(LOT!$B$5="","",LOT!$B$5)</f>
        <v>7872</v>
      </c>
      <c r="K2" s="22"/>
    </row>
    <row r="3" spans="1:28" ht="24.95" customHeight="1" x14ac:dyDescent="0.25">
      <c r="A3" s="24" t="s">
        <v>74</v>
      </c>
      <c r="B3" s="21"/>
      <c r="C3" s="22"/>
      <c r="D3" s="207" t="str">
        <f>IF(LOT!$B$8="","",LOT!$B$8)</f>
        <v/>
      </c>
      <c r="E3" s="22"/>
      <c r="F3" s="22"/>
      <c r="G3" s="21"/>
      <c r="H3" s="24" t="s">
        <v>135</v>
      </c>
      <c r="I3" s="24"/>
      <c r="J3" s="309">
        <f>IF(LOT!$B$6="","",LOT!$B$6)</f>
        <v>1200</v>
      </c>
      <c r="K3" s="22"/>
    </row>
    <row r="4" spans="1:28" ht="20.25" customHeight="1" x14ac:dyDescent="0.2">
      <c r="D4" s="25" t="s">
        <v>17</v>
      </c>
      <c r="E4" s="21"/>
      <c r="F4" s="311" t="str">
        <f>'Pon-Rec'!$C$13</f>
        <v/>
      </c>
      <c r="G4" s="16"/>
      <c r="H4" s="35" t="s">
        <v>205</v>
      </c>
      <c r="I4" s="22"/>
      <c r="J4" s="312">
        <f>IF($J$2="","",$J$2-SUM('Dem-Rec'!$C$8:$C$29))</f>
        <v>7695</v>
      </c>
      <c r="K4" s="16"/>
    </row>
    <row r="5" spans="1:28" ht="20.25" customHeight="1" x14ac:dyDescent="0.2">
      <c r="D5" s="16"/>
      <c r="E5" s="16"/>
      <c r="F5" s="16"/>
      <c r="G5" s="16"/>
      <c r="H5" s="35" t="s">
        <v>206</v>
      </c>
      <c r="I5" s="217"/>
      <c r="J5" s="309">
        <f>IF(J3="","",(J2+J3)-SUM('Dem-Rec'!$C$8:$C$29)-SUM('Dem-Rec'!$J$8:$J$29))</f>
        <v>8851</v>
      </c>
      <c r="K5" s="16"/>
    </row>
    <row r="6" spans="1:28" ht="20.25" customHeight="1" thickBot="1" x14ac:dyDescent="0.25"/>
    <row r="7" spans="1:28" ht="20.25" customHeight="1" thickTop="1" thickBot="1" x14ac:dyDescent="0.3">
      <c r="C7" s="651" t="s">
        <v>207</v>
      </c>
      <c r="D7" s="652"/>
      <c r="E7" s="652"/>
      <c r="F7" s="652"/>
      <c r="G7" s="652"/>
      <c r="H7" s="652"/>
      <c r="I7" s="652"/>
      <c r="J7" s="652"/>
      <c r="K7" s="653"/>
      <c r="M7" s="678" t="s">
        <v>208</v>
      </c>
      <c r="N7" s="679"/>
      <c r="O7" s="679"/>
      <c r="P7" s="680"/>
      <c r="Q7" s="651" t="s">
        <v>209</v>
      </c>
      <c r="R7" s="652"/>
      <c r="S7" s="652"/>
      <c r="T7" s="653"/>
      <c r="U7" s="651" t="s">
        <v>28</v>
      </c>
      <c r="V7" s="652"/>
      <c r="W7" s="652"/>
      <c r="X7" s="652"/>
      <c r="Y7" s="652"/>
      <c r="Z7" s="652"/>
      <c r="AA7" s="652"/>
      <c r="AB7" s="653"/>
    </row>
    <row r="8" spans="1:28" ht="24" customHeight="1" thickTop="1" thickBot="1" x14ac:dyDescent="0.25">
      <c r="A8" s="18"/>
      <c r="B8" s="17"/>
      <c r="C8" s="31" t="s">
        <v>16</v>
      </c>
      <c r="D8" s="212" t="s">
        <v>18</v>
      </c>
      <c r="E8" s="212" t="s">
        <v>210</v>
      </c>
      <c r="F8" s="36" t="s">
        <v>211</v>
      </c>
      <c r="G8" s="36" t="s">
        <v>211</v>
      </c>
      <c r="H8" s="38" t="s">
        <v>212</v>
      </c>
      <c r="I8" s="228" t="s">
        <v>213</v>
      </c>
      <c r="J8" s="236" t="s">
        <v>214</v>
      </c>
      <c r="K8" s="33" t="s">
        <v>19</v>
      </c>
      <c r="M8" s="377" t="s">
        <v>29</v>
      </c>
      <c r="N8" s="378" t="s">
        <v>29</v>
      </c>
      <c r="O8" s="378" t="s">
        <v>29</v>
      </c>
      <c r="P8" s="379" t="s">
        <v>29</v>
      </c>
      <c r="Q8" s="283" t="s">
        <v>215</v>
      </c>
      <c r="R8" s="284" t="s">
        <v>0</v>
      </c>
      <c r="S8" s="370" t="s">
        <v>0</v>
      </c>
      <c r="T8" s="371" t="s">
        <v>0</v>
      </c>
      <c r="U8" s="322" t="s">
        <v>24</v>
      </c>
      <c r="V8" s="380" t="s">
        <v>24</v>
      </c>
      <c r="W8" s="380" t="s">
        <v>25</v>
      </c>
      <c r="X8" s="284" t="s">
        <v>25</v>
      </c>
      <c r="Y8" s="284" t="s">
        <v>31</v>
      </c>
      <c r="Z8" s="284" t="s">
        <v>31</v>
      </c>
      <c r="AA8" s="407" t="s">
        <v>32</v>
      </c>
      <c r="AB8" s="371" t="s">
        <v>27</v>
      </c>
    </row>
    <row r="9" spans="1:28" ht="24" customHeight="1" thickTop="1" thickBot="1" x14ac:dyDescent="0.25">
      <c r="A9" s="53" t="s">
        <v>80</v>
      </c>
      <c r="B9" s="39" t="s">
        <v>79</v>
      </c>
      <c r="C9" s="27" t="s">
        <v>216</v>
      </c>
      <c r="D9" s="27" t="s">
        <v>187</v>
      </c>
      <c r="E9" s="27" t="s">
        <v>151</v>
      </c>
      <c r="F9" s="28" t="s">
        <v>217</v>
      </c>
      <c r="G9" s="28" t="s">
        <v>218</v>
      </c>
      <c r="H9" s="30" t="s">
        <v>219</v>
      </c>
      <c r="I9" s="229" t="s">
        <v>186</v>
      </c>
      <c r="J9" s="237" t="s">
        <v>220</v>
      </c>
      <c r="K9" s="34" t="s">
        <v>221</v>
      </c>
      <c r="M9" s="319" t="s">
        <v>138</v>
      </c>
      <c r="N9" s="320" t="s">
        <v>139</v>
      </c>
      <c r="O9" s="320" t="s">
        <v>22</v>
      </c>
      <c r="P9" s="321" t="s">
        <v>10</v>
      </c>
      <c r="Q9" s="374" t="s">
        <v>24</v>
      </c>
      <c r="R9" s="375" t="s">
        <v>25</v>
      </c>
      <c r="S9" s="375" t="s">
        <v>26</v>
      </c>
      <c r="T9" s="376" t="s">
        <v>27</v>
      </c>
      <c r="U9" s="374" t="s">
        <v>14</v>
      </c>
      <c r="V9" s="381" t="s">
        <v>30</v>
      </c>
      <c r="W9" s="381" t="s">
        <v>14</v>
      </c>
      <c r="X9" s="375" t="s">
        <v>30</v>
      </c>
      <c r="Y9" s="375" t="s">
        <v>14</v>
      </c>
      <c r="Z9" s="375" t="s">
        <v>30</v>
      </c>
      <c r="AA9" s="382" t="s">
        <v>14</v>
      </c>
      <c r="AB9" s="376" t="s">
        <v>30</v>
      </c>
    </row>
    <row r="10" spans="1:28" ht="24" customHeight="1" x14ac:dyDescent="0.2">
      <c r="A10" s="299">
        <f>+J1+7</f>
        <v>43257</v>
      </c>
      <c r="B10" s="136">
        <v>1</v>
      </c>
      <c r="C10" s="208">
        <v>157.4</v>
      </c>
      <c r="D10" s="213">
        <f>IF(C10="","",SUM($C$10:C10))</f>
        <v>157.4</v>
      </c>
      <c r="E10" s="233"/>
      <c r="F10" s="203">
        <f>IF(C10="","",(SUM($C$10:C10)/$J$2))</f>
        <v>1.9994918699186993E-2</v>
      </c>
      <c r="G10" s="203">
        <f>IF(C10="","",(SUM($C$10:C10)/$J$4))</f>
        <v>2.0454840805718001E-2</v>
      </c>
      <c r="H10" s="218">
        <f>IF(C10="","",(SUM($C$10:C10)/$J$5))</f>
        <v>1.7783301321884534E-2</v>
      </c>
      <c r="I10" s="230"/>
      <c r="J10" s="238"/>
      <c r="K10" s="239"/>
      <c r="M10" s="313">
        <f>IF(OR('Dem-Rec'!C8="",'Dem-Rec'!F8=""),0,($J$2-SUM('Dem-Rec'!$C$8:C8))*'Dem-Rec'!F8*7/1000)</f>
        <v>0</v>
      </c>
      <c r="N10" s="314">
        <f>IF(OR('Dem-Rec'!J8="",'Dem-Rec'!M8=""),0,($J$3-SUM('Dem-Rec'!$J$8:J8))*'Dem-Rec'!M8*7/1000)</f>
        <v>0</v>
      </c>
      <c r="O10" s="314">
        <f>IF(AND(M10=0,N10=0),0,M10+N10)</f>
        <v>0</v>
      </c>
      <c r="P10" s="315">
        <f>IF(O10=0,0,O10)</f>
        <v>0</v>
      </c>
      <c r="Q10" s="265">
        <v>2868</v>
      </c>
      <c r="R10" s="372">
        <v>20</v>
      </c>
      <c r="S10" s="372">
        <v>0.45</v>
      </c>
      <c r="T10" s="373">
        <v>1</v>
      </c>
      <c r="U10" s="392" t="str">
        <f>IF('Dem-Rec'!F8="","",IF(Aliment!Q10="","",'Dem-Rec'!F8*Aliment!Q10*7*0.001))</f>
        <v/>
      </c>
      <c r="V10" s="383" t="str">
        <f>U10</f>
        <v/>
      </c>
      <c r="W10" s="397" t="str">
        <f>IF('Dem-Rec'!F8="","",IF(Aliment!R10="","",'Dem-Rec'!F8*Aliment!R10*7*0.01))</f>
        <v/>
      </c>
      <c r="X10" s="235" t="str">
        <f>W10</f>
        <v/>
      </c>
      <c r="Y10" s="384" t="str">
        <f>IF('Dem-Rec'!F8="","",IF(Aliment!S10="","",'Dem-Rec'!F8*Aliment!S10*7*0.01))</f>
        <v/>
      </c>
      <c r="Z10" s="398" t="str">
        <f>Y10</f>
        <v/>
      </c>
      <c r="AA10" s="385" t="str">
        <f>IF('Dem-Rec'!F8="","",IF(Aliment!T10="","",'Dem-Rec'!F8*Aliment!T10*7*0.01))</f>
        <v/>
      </c>
      <c r="AB10" s="408" t="str">
        <f>AA10</f>
        <v/>
      </c>
    </row>
    <row r="11" spans="1:28" ht="24" customHeight="1" x14ac:dyDescent="0.2">
      <c r="A11" s="300">
        <f t="shared" ref="A11:A26" si="0">A10+7</f>
        <v>43264</v>
      </c>
      <c r="B11" s="137">
        <f>+B10+1</f>
        <v>2</v>
      </c>
      <c r="C11" s="209">
        <v>291.3</v>
      </c>
      <c r="D11" s="214">
        <f>IF(C11="","",SUM($C$10:C11))</f>
        <v>448.70000000000005</v>
      </c>
      <c r="E11" s="234"/>
      <c r="F11" s="204">
        <f>IF(C11="","",(SUM($C$10:C11)/$J$2))</f>
        <v>5.6999491869918706E-2</v>
      </c>
      <c r="G11" s="204">
        <f>IF(C11="","",(SUM($C$10:C11)/$J$4))</f>
        <v>5.8310591293047442E-2</v>
      </c>
      <c r="H11" s="219">
        <f>IF(C11="","",(SUM($C$10:C11)/$J$5))</f>
        <v>5.069483674161112E-2</v>
      </c>
      <c r="I11" s="231"/>
      <c r="J11" s="240"/>
      <c r="K11" s="241"/>
      <c r="M11" s="313">
        <f>IF(OR('Dem-Rec'!C9="",'Dem-Rec'!F9=""),0,($J$2-SUM('Dem-Rec'!$C$8:C9))*'Dem-Rec'!F9*7/1000)</f>
        <v>2221.38</v>
      </c>
      <c r="N11" s="314">
        <f>IF(OR('Dem-Rec'!J9="",'Dem-Rec'!M9=""),0,($J$3-SUM('Dem-Rec'!$J$8:J9))*'Dem-Rec'!M9*7/1000)</f>
        <v>384.93</v>
      </c>
      <c r="O11" s="314">
        <f>IF(AND(M11=0,N11=0),0,M11+N11)</f>
        <v>2606.31</v>
      </c>
      <c r="P11" s="315">
        <f>IF(O11=0,0,O11+P10)</f>
        <v>2606.31</v>
      </c>
      <c r="Q11" s="265">
        <v>2868</v>
      </c>
      <c r="R11" s="372">
        <v>20</v>
      </c>
      <c r="S11" s="372">
        <v>0.45</v>
      </c>
      <c r="T11" s="365">
        <v>1</v>
      </c>
      <c r="U11" s="393">
        <f>IF('Dem-Rec'!F9="","",IF(Aliment!Q11="","",'Dem-Rec'!F9*Aliment!Q11*7*0.001))</f>
        <v>823.11599999999999</v>
      </c>
      <c r="V11" s="214">
        <f>SUM($U$10:U11)</f>
        <v>823.11599999999999</v>
      </c>
      <c r="W11" s="399">
        <f>IF('Dem-Rec'!F9="","",IF(Aliment!R11="","",'Dem-Rec'!F9*Aliment!R11*7*0.01))</f>
        <v>57.4</v>
      </c>
      <c r="X11" s="405">
        <f>SUM($W$10:W11)</f>
        <v>57.4</v>
      </c>
      <c r="Y11" s="386">
        <f>IF('Dem-Rec'!F9="","",IF(Aliment!S11="","",'Dem-Rec'!F9*Aliment!S11*7*0.01))</f>
        <v>1.2915000000000001</v>
      </c>
      <c r="Z11" s="400">
        <f>SUM($Y$10:Y11)</f>
        <v>1.2915000000000001</v>
      </c>
      <c r="AA11" s="387">
        <f>IF('Dem-Rec'!F9="","",IF(Aliment!T11="","",'Dem-Rec'!F9*Aliment!T11*7*0.01))</f>
        <v>2.87</v>
      </c>
      <c r="AB11" s="409">
        <f>SUM($AA$10:AA11)</f>
        <v>2.87</v>
      </c>
    </row>
    <row r="12" spans="1:28" ht="24" customHeight="1" x14ac:dyDescent="0.2">
      <c r="A12" s="300">
        <f t="shared" si="0"/>
        <v>43271</v>
      </c>
      <c r="B12" s="137">
        <f t="shared" ref="B12:B27" si="1">+B11+1</f>
        <v>3</v>
      </c>
      <c r="C12" s="209"/>
      <c r="D12" s="214" t="str">
        <f>IF(C12="","",SUM($C$10:C12))</f>
        <v/>
      </c>
      <c r="E12" s="234"/>
      <c r="F12" s="204" t="str">
        <f>IF(C12="","",(SUM($C$10:C12)/$J$2))</f>
        <v/>
      </c>
      <c r="G12" s="204" t="str">
        <f>IF(C12="","",(SUM($C$10:C12)/$J$4))</f>
        <v/>
      </c>
      <c r="H12" s="219" t="str">
        <f>IF(C12="","",(SUM($C$10:C12)/$J$5))</f>
        <v/>
      </c>
      <c r="I12" s="231"/>
      <c r="J12" s="240"/>
      <c r="K12" s="241"/>
      <c r="M12" s="313">
        <f>IF(OR('Dem-Rec'!C10="",'Dem-Rec'!F10=""),0,($J$2-SUM('Dem-Rec'!$C$8:C10))*'Dem-Rec'!F10*7/1000)</f>
        <v>2378.6840000000002</v>
      </c>
      <c r="N12" s="314">
        <f>IF(OR('Dem-Rec'!J10="",'Dem-Rec'!M10=""),0,($J$3-SUM('Dem-Rec'!$J$8:J10))*'Dem-Rec'!M10*7/1000)</f>
        <v>488.04</v>
      </c>
      <c r="O12" s="314">
        <f>IF(AND(M12=0,N12=0),0,M12+N12)</f>
        <v>2866.7240000000002</v>
      </c>
      <c r="P12" s="315">
        <f>IF(O12=0,0,O12+P11)</f>
        <v>5473.0339999999997</v>
      </c>
      <c r="Q12" s="209">
        <v>2796</v>
      </c>
      <c r="R12" s="372">
        <v>18</v>
      </c>
      <c r="S12" s="372">
        <v>0.45</v>
      </c>
      <c r="T12" s="365">
        <v>1.1499999999999999</v>
      </c>
      <c r="U12" s="393">
        <f>IF('Dem-Rec'!F10="","",IF(Aliment!Q12="","",'Dem-Rec'!F10*Aliment!Q12*7*0.001))</f>
        <v>861.16800000000001</v>
      </c>
      <c r="V12" s="214">
        <f>SUM($U$10:U12)</f>
        <v>1684.2840000000001</v>
      </c>
      <c r="W12" s="399">
        <f>IF('Dem-Rec'!F10="","",IF(Aliment!R12="","",'Dem-Rec'!F10*Aliment!R12*7*0.01))</f>
        <v>55.44</v>
      </c>
      <c r="X12" s="405">
        <f>SUM($W$10:W12)</f>
        <v>112.84</v>
      </c>
      <c r="Y12" s="386">
        <f>IF('Dem-Rec'!F10="","",IF(Aliment!S12="","",'Dem-Rec'!F10*Aliment!S12*7*0.01))</f>
        <v>1.3859999999999999</v>
      </c>
      <c r="Z12" s="400">
        <f>SUM($Y$10:Y12)</f>
        <v>2.6775000000000002</v>
      </c>
      <c r="AA12" s="387">
        <f>IF('Dem-Rec'!F10="","",IF(Aliment!T12="","",'Dem-Rec'!F10*Aliment!T12*7*0.01))</f>
        <v>3.5419999999999994</v>
      </c>
      <c r="AB12" s="409">
        <f>SUM($AA$10:AA12)</f>
        <v>6.411999999999999</v>
      </c>
    </row>
    <row r="13" spans="1:28" ht="24" customHeight="1" x14ac:dyDescent="0.2">
      <c r="A13" s="300">
        <f t="shared" si="0"/>
        <v>43278</v>
      </c>
      <c r="B13" s="137">
        <f t="shared" si="1"/>
        <v>4</v>
      </c>
      <c r="C13" s="209"/>
      <c r="D13" s="214" t="str">
        <f>IF(C13="","",SUM($C$10:C13))</f>
        <v/>
      </c>
      <c r="E13" s="234"/>
      <c r="F13" s="204" t="str">
        <f>IF(C13="","",(SUM($C$10:C13)/$J$2))</f>
        <v/>
      </c>
      <c r="G13" s="204" t="str">
        <f>IF(C13="","",(SUM($C$10:C13)/$J$4))</f>
        <v/>
      </c>
      <c r="H13" s="219" t="str">
        <f>IF(C13="","",(SUM($C$10:C13)/$J$5))</f>
        <v/>
      </c>
      <c r="I13" s="231"/>
      <c r="J13" s="240"/>
      <c r="K13" s="241"/>
      <c r="M13" s="313">
        <f>IF(OR('Dem-Rec'!C11="",'Dem-Rec'!F11=""),0,($J$2-SUM('Dem-Rec'!$C$8:C11))*'Dem-Rec'!F11*7/1000)</f>
        <v>2538.893</v>
      </c>
      <c r="N13" s="314">
        <f>IF(OR('Dem-Rec'!J11="",'Dem-Rec'!M11=""),0,($J$3-SUM('Dem-Rec'!$J$8:J11))*'Dem-Rec'!M11*7/1000)</f>
        <v>503.44</v>
      </c>
      <c r="O13" s="314">
        <f>IF(AND(M13=0,N13=0),0,M13+N13)</f>
        <v>3042.3330000000001</v>
      </c>
      <c r="P13" s="315">
        <f>IF(O13=0,0,O13+P12)</f>
        <v>8515.3670000000002</v>
      </c>
      <c r="Q13" s="209">
        <v>2796</v>
      </c>
      <c r="R13" s="372">
        <v>18</v>
      </c>
      <c r="S13" s="372">
        <v>0.45</v>
      </c>
      <c r="T13" s="365">
        <v>1.1499999999999999</v>
      </c>
      <c r="U13" s="393">
        <f>IF('Dem-Rec'!F11="","",IF(Aliment!Q13="","",'Dem-Rec'!F11*Aliment!Q13*7*0.001))</f>
        <v>919.88400000000001</v>
      </c>
      <c r="V13" s="214">
        <f>SUM($U$10:U13)</f>
        <v>2604.1680000000001</v>
      </c>
      <c r="W13" s="399">
        <f>IF('Dem-Rec'!F11="","",IF(Aliment!R13="","",'Dem-Rec'!F11*Aliment!R13*7*0.01))</f>
        <v>59.22</v>
      </c>
      <c r="X13" s="405">
        <f>SUM($W$10:W13)</f>
        <v>172.06</v>
      </c>
      <c r="Y13" s="386">
        <f>IF('Dem-Rec'!F11="","",IF(Aliment!S13="","",'Dem-Rec'!F11*Aliment!S13*7*0.01))</f>
        <v>1.4805000000000001</v>
      </c>
      <c r="Z13" s="400">
        <f>SUM($Y$10:Y13)</f>
        <v>4.1580000000000004</v>
      </c>
      <c r="AA13" s="387">
        <f>IF('Dem-Rec'!F11="","",IF(Aliment!T13="","",'Dem-Rec'!F11*Aliment!T13*7*0.01))</f>
        <v>3.7834999999999996</v>
      </c>
      <c r="AB13" s="409">
        <f>SUM($AA$10:AA13)</f>
        <v>10.195499999999999</v>
      </c>
    </row>
    <row r="14" spans="1:28" ht="24" customHeight="1" x14ac:dyDescent="0.2">
      <c r="A14" s="300">
        <f t="shared" si="0"/>
        <v>43285</v>
      </c>
      <c r="B14" s="137">
        <f t="shared" si="1"/>
        <v>5</v>
      </c>
      <c r="C14" s="209"/>
      <c r="D14" s="214" t="str">
        <f>IF(C14="","",SUM($C$10:C14))</f>
        <v/>
      </c>
      <c r="E14" s="234"/>
      <c r="F14" s="204" t="str">
        <f>IF(C14="","",(SUM($C$10:C14)/$J$2))</f>
        <v/>
      </c>
      <c r="G14" s="204" t="str">
        <f>IF(C14="","",(SUM($C$10:C14)/$J$4))</f>
        <v/>
      </c>
      <c r="H14" s="219" t="str">
        <f>IF(C14="","",(SUM($C$10:C14)/$J$5))</f>
        <v/>
      </c>
      <c r="I14" s="231"/>
      <c r="J14" s="240"/>
      <c r="K14" s="241"/>
      <c r="M14" s="313">
        <f>IF(OR('Dem-Rec'!C12="",'Dem-Rec'!F12=""),0,($J$2-SUM('Dem-Rec'!$C$8:C12))*'Dem-Rec'!F12*7/1000)</f>
        <v>2789.5349999999999</v>
      </c>
      <c r="N14" s="314">
        <f>IF(OR('Dem-Rec'!J12="",'Dem-Rec'!M12=""),0,($J$3-SUM('Dem-Rec'!$J$8:J12))*'Dem-Rec'!M12*7/1000)</f>
        <v>527.34500000000003</v>
      </c>
      <c r="O14" s="314">
        <f t="shared" ref="O14:O29" si="2">IF(AND(M14=0,N14=0),0,M14+N14)</f>
        <v>3316.88</v>
      </c>
      <c r="P14" s="315">
        <f t="shared" ref="P14:P29" si="3">IF(O14=0,0,O14+P13)</f>
        <v>11832.246999999999</v>
      </c>
      <c r="Q14" s="209">
        <v>2581</v>
      </c>
      <c r="R14" s="372">
        <v>14.5</v>
      </c>
      <c r="S14" s="372">
        <v>0.4</v>
      </c>
      <c r="T14" s="365">
        <v>1.5</v>
      </c>
      <c r="U14" s="393">
        <f>IF('Dem-Rec'!F12="","",IF(Aliment!Q14="","",'Dem-Rec'!F12*Aliment!Q14*7*0.001))</f>
        <v>933.4616666666667</v>
      </c>
      <c r="V14" s="214">
        <f>SUM($U$10:U14)</f>
        <v>3537.6296666666667</v>
      </c>
      <c r="W14" s="399">
        <f>IF('Dem-Rec'!F12="","",IF(Aliment!R14="","",'Dem-Rec'!F12*Aliment!R14*7*0.01))</f>
        <v>52.441666666666663</v>
      </c>
      <c r="X14" s="405">
        <f>SUM($W$10:W14)</f>
        <v>224.50166666666667</v>
      </c>
      <c r="Y14" s="386">
        <f>IF('Dem-Rec'!F12="","",IF(Aliment!S14="","",'Dem-Rec'!F12*Aliment!S14*7*0.01))</f>
        <v>1.446666666666667</v>
      </c>
      <c r="Z14" s="400">
        <f>SUM($Y$10:Y14)</f>
        <v>5.6046666666666676</v>
      </c>
      <c r="AA14" s="387">
        <f>IF('Dem-Rec'!F12="","",IF(Aliment!T14="","",'Dem-Rec'!F12*Aliment!T14*7*0.01))</f>
        <v>5.4249999999999998</v>
      </c>
      <c r="AB14" s="409">
        <f>SUM($AA$10:AA14)</f>
        <v>15.6205</v>
      </c>
    </row>
    <row r="15" spans="1:28" ht="24" customHeight="1" x14ac:dyDescent="0.2">
      <c r="A15" s="300">
        <f t="shared" si="0"/>
        <v>43292</v>
      </c>
      <c r="B15" s="137">
        <f t="shared" si="1"/>
        <v>6</v>
      </c>
      <c r="C15" s="209"/>
      <c r="D15" s="214" t="str">
        <f>IF(C15="","",SUM($C$10:C15))</f>
        <v/>
      </c>
      <c r="E15" s="234"/>
      <c r="F15" s="204" t="str">
        <f>IF(C15="","",(SUM($C$10:C15)/$J$2))</f>
        <v/>
      </c>
      <c r="G15" s="204" t="str">
        <f>IF(C15="","",(SUM($C$10:C15)/$J$4))</f>
        <v/>
      </c>
      <c r="H15" s="219" t="str">
        <f>IF(C15="","",(SUM($C$10:C15)/$J$5))</f>
        <v/>
      </c>
      <c r="I15" s="231"/>
      <c r="J15" s="240"/>
      <c r="K15" s="241"/>
      <c r="M15" s="313">
        <f>IF(OR('Dem-Rec'!C13="",'Dem-Rec'!F13=""),0,($J$2-SUM('Dem-Rec'!$C$8:C13))*'Dem-Rec'!F13*7/1000)</f>
        <v>2947.681333333333</v>
      </c>
      <c r="N15" s="314">
        <f>IF(OR('Dem-Rec'!J13="",'Dem-Rec'!M13=""),0,($J$3-SUM('Dem-Rec'!$J$8:J13))*'Dem-Rec'!M13*7/1000)</f>
        <v>550.73199999999997</v>
      </c>
      <c r="O15" s="314">
        <f t="shared" si="2"/>
        <v>3498.413333333333</v>
      </c>
      <c r="P15" s="315">
        <f t="shared" si="3"/>
        <v>15330.660333333333</v>
      </c>
      <c r="Q15" s="209">
        <v>2581</v>
      </c>
      <c r="R15" s="372">
        <v>14.5</v>
      </c>
      <c r="S15" s="372">
        <v>0.4</v>
      </c>
      <c r="T15" s="365">
        <v>1.5</v>
      </c>
      <c r="U15" s="393">
        <f>IF('Dem-Rec'!F13="","",IF(Aliment!Q15="","",'Dem-Rec'!F13*Aliment!Q15*7*0.001))</f>
        <v>987.66266666666661</v>
      </c>
      <c r="V15" s="214">
        <f>SUM($U$10:U15)</f>
        <v>4525.2923333333329</v>
      </c>
      <c r="W15" s="399">
        <f>IF('Dem-Rec'!F13="","",IF(Aliment!R15="","",'Dem-Rec'!F13*Aliment!R15*7*0.01))</f>
        <v>55.486666666666665</v>
      </c>
      <c r="X15" s="405">
        <f>SUM($W$10:W15)</f>
        <v>279.98833333333334</v>
      </c>
      <c r="Y15" s="386">
        <f>IF('Dem-Rec'!F13="","",IF(Aliment!S15="","",'Dem-Rec'!F13*Aliment!S15*7*0.01))</f>
        <v>1.5306666666666666</v>
      </c>
      <c r="Z15" s="400">
        <f>SUM($Y$10:Y15)</f>
        <v>7.1353333333333344</v>
      </c>
      <c r="AA15" s="387">
        <f>IF('Dem-Rec'!F13="","",IF(Aliment!T15="","",'Dem-Rec'!F13*Aliment!T15*7*0.01))</f>
        <v>5.74</v>
      </c>
      <c r="AB15" s="409">
        <f>SUM($AA$10:AA15)</f>
        <v>21.360500000000002</v>
      </c>
    </row>
    <row r="16" spans="1:28" ht="24" customHeight="1" x14ac:dyDescent="0.2">
      <c r="A16" s="300">
        <f t="shared" si="0"/>
        <v>43299</v>
      </c>
      <c r="B16" s="137">
        <f t="shared" si="1"/>
        <v>7</v>
      </c>
      <c r="C16" s="209"/>
      <c r="D16" s="214" t="str">
        <f>IF(C16="","",SUM($C$10:C16))</f>
        <v/>
      </c>
      <c r="E16" s="234"/>
      <c r="F16" s="204" t="str">
        <f>IF(C16="","",(SUM($C$10:C16)/$J$2))</f>
        <v/>
      </c>
      <c r="G16" s="204" t="str">
        <f>IF(C16="","",(SUM($C$10:C16)/$J$4))</f>
        <v/>
      </c>
      <c r="H16" s="219" t="str">
        <f>IF(C16="","",(SUM($C$10:C16)/$J$5))</f>
        <v/>
      </c>
      <c r="I16" s="231"/>
      <c r="J16" s="240"/>
      <c r="K16" s="241"/>
      <c r="M16" s="313">
        <f>IF(OR('Dem-Rec'!C14="",'Dem-Rec'!F14=""),0,($J$2-SUM('Dem-Rec'!$C$8:C14))*'Dem-Rec'!F14*7/1000)</f>
        <v>2998.4850000000001</v>
      </c>
      <c r="N16" s="314">
        <f>IF(OR('Dem-Rec'!J14="",'Dem-Rec'!M14=""),0,($J$3-SUM('Dem-Rec'!$J$8:J14))*'Dem-Rec'!M14*7/1000)</f>
        <v>550.25599999999997</v>
      </c>
      <c r="O16" s="314">
        <f t="shared" si="2"/>
        <v>3548.741</v>
      </c>
      <c r="P16" s="315">
        <f t="shared" si="3"/>
        <v>18879.401333333335</v>
      </c>
      <c r="Q16" s="209">
        <v>2581</v>
      </c>
      <c r="R16" s="372">
        <v>14.5</v>
      </c>
      <c r="S16" s="372">
        <v>0.4</v>
      </c>
      <c r="T16" s="365">
        <v>1.5</v>
      </c>
      <c r="U16" s="393">
        <f>IF('Dem-Rec'!F14="","",IF(Aliment!Q16="","",'Dem-Rec'!F14*Aliment!Q16*7*0.001))</f>
        <v>1005.7296666666666</v>
      </c>
      <c r="V16" s="214">
        <f>SUM($U$10:U16)</f>
        <v>5531.021999999999</v>
      </c>
      <c r="W16" s="399">
        <f>IF('Dem-Rec'!F14="","",IF(Aliment!R16="","",'Dem-Rec'!F14*Aliment!R16*7*0.01))</f>
        <v>56.501666666666665</v>
      </c>
      <c r="X16" s="405">
        <f>SUM($W$10:W16)</f>
        <v>336.49</v>
      </c>
      <c r="Y16" s="386">
        <f>IF('Dem-Rec'!F14="","",IF(Aliment!S16="","",'Dem-Rec'!F14*Aliment!S16*7*0.01))</f>
        <v>1.5586666666666669</v>
      </c>
      <c r="Z16" s="400">
        <f>SUM($Y$10:Y16)</f>
        <v>8.6940000000000008</v>
      </c>
      <c r="AA16" s="387">
        <f>IF('Dem-Rec'!F14="","",IF(Aliment!T16="","",'Dem-Rec'!F14*Aliment!T16*7*0.01))</f>
        <v>5.8449999999999998</v>
      </c>
      <c r="AB16" s="409">
        <f>SUM($AA$10:AA16)</f>
        <v>27.205500000000001</v>
      </c>
    </row>
    <row r="17" spans="1:28" ht="24" customHeight="1" x14ac:dyDescent="0.2">
      <c r="A17" s="300">
        <f t="shared" si="0"/>
        <v>43306</v>
      </c>
      <c r="B17" s="137">
        <f t="shared" si="1"/>
        <v>8</v>
      </c>
      <c r="C17" s="209"/>
      <c r="D17" s="214" t="str">
        <f>IF(C17="","",SUM($C$10:C17))</f>
        <v/>
      </c>
      <c r="E17" s="234"/>
      <c r="F17" s="204" t="str">
        <f>IF(C17="","",(SUM($C$10:C17)/$J$2))</f>
        <v/>
      </c>
      <c r="G17" s="204" t="str">
        <f>IF(C17="","",(SUM($C$10:C17)/$J$4))</f>
        <v/>
      </c>
      <c r="H17" s="219" t="str">
        <f>IF(C17="","",(SUM($C$10:C17)/$J$5))</f>
        <v/>
      </c>
      <c r="I17" s="231"/>
      <c r="J17" s="240"/>
      <c r="K17" s="241"/>
      <c r="M17" s="313">
        <f>IF(OR('Dem-Rec'!C15="",'Dem-Rec'!F15=""),0,($J$2-SUM('Dem-Rec'!$C$8:C15))*'Dem-Rec'!F15*7/1000)</f>
        <v>0</v>
      </c>
      <c r="N17" s="314">
        <f>IF(OR('Dem-Rec'!J15="",'Dem-Rec'!M15=""),0,($J$3-SUM('Dem-Rec'!$J$8:J15))*'Dem-Rec'!M15*7/1000)</f>
        <v>0</v>
      </c>
      <c r="O17" s="314">
        <f t="shared" si="2"/>
        <v>0</v>
      </c>
      <c r="P17" s="315">
        <f t="shared" si="3"/>
        <v>0</v>
      </c>
      <c r="Q17" s="209">
        <v>2581</v>
      </c>
      <c r="R17" s="372">
        <v>14.5</v>
      </c>
      <c r="S17" s="372">
        <v>0.4</v>
      </c>
      <c r="T17" s="365">
        <v>1.5</v>
      </c>
      <c r="U17" s="393" t="str">
        <f>IF('Dem-Rec'!F15="","",IF(Aliment!Q17="","",'Dem-Rec'!F15*Aliment!Q17*7*0.001))</f>
        <v/>
      </c>
      <c r="V17" s="214">
        <f>SUM($U$10:U17)</f>
        <v>5531.021999999999</v>
      </c>
      <c r="W17" s="399" t="str">
        <f>IF('Dem-Rec'!F15="","",IF(Aliment!R17="","",'Dem-Rec'!F15*Aliment!R17*7*0.01))</f>
        <v/>
      </c>
      <c r="X17" s="405">
        <f>SUM($W$10:W17)</f>
        <v>336.49</v>
      </c>
      <c r="Y17" s="386" t="str">
        <f>IF('Dem-Rec'!F15="","",IF(Aliment!S17="","",'Dem-Rec'!F15*Aliment!S17*7*0.01))</f>
        <v/>
      </c>
      <c r="Z17" s="400">
        <f>SUM($Y$10:Y17)</f>
        <v>8.6940000000000008</v>
      </c>
      <c r="AA17" s="387" t="str">
        <f>IF('Dem-Rec'!F15="","",IF(Aliment!T17="","",'Dem-Rec'!F15*Aliment!T17*7*0.01))</f>
        <v/>
      </c>
      <c r="AB17" s="409">
        <f>SUM($AA$10:AA17)</f>
        <v>27.205500000000001</v>
      </c>
    </row>
    <row r="18" spans="1:28" ht="24" customHeight="1" x14ac:dyDescent="0.2">
      <c r="A18" s="300">
        <f t="shared" si="0"/>
        <v>43313</v>
      </c>
      <c r="B18" s="137">
        <f t="shared" si="1"/>
        <v>9</v>
      </c>
      <c r="C18" s="209"/>
      <c r="D18" s="214" t="str">
        <f>IF(C18="","",SUM($C$10:C18))</f>
        <v/>
      </c>
      <c r="E18" s="234"/>
      <c r="F18" s="204" t="str">
        <f>IF(C18="","",(SUM($C$10:C18)/$J$2))</f>
        <v/>
      </c>
      <c r="G18" s="204" t="str">
        <f>IF(C18="","",(SUM($C$10:C18)/$J$4))</f>
        <v/>
      </c>
      <c r="H18" s="219" t="str">
        <f>IF(C18="","",(SUM($C$10:C18)/$J$5))</f>
        <v/>
      </c>
      <c r="I18" s="231"/>
      <c r="J18" s="240"/>
      <c r="K18" s="241"/>
      <c r="M18" s="313">
        <f>IF(OR('Dem-Rec'!C16="",'Dem-Rec'!F16=""),0,($J$2-SUM('Dem-Rec'!$C$8:C16))*'Dem-Rec'!F16*7/1000)</f>
        <v>0</v>
      </c>
      <c r="N18" s="314">
        <f>IF(OR('Dem-Rec'!J16="",'Dem-Rec'!M16=""),0,($J$3-SUM('Dem-Rec'!$J$8:J16))*'Dem-Rec'!M16*7/1000)</f>
        <v>0</v>
      </c>
      <c r="O18" s="314">
        <f t="shared" si="2"/>
        <v>0</v>
      </c>
      <c r="P18" s="315">
        <f t="shared" si="3"/>
        <v>0</v>
      </c>
      <c r="Q18" s="209">
        <v>2581</v>
      </c>
      <c r="R18" s="372">
        <v>14.5</v>
      </c>
      <c r="S18" s="372">
        <v>0.4</v>
      </c>
      <c r="T18" s="365">
        <v>1.5</v>
      </c>
      <c r="U18" s="393" t="str">
        <f>IF('Dem-Rec'!F16="","",IF(Aliment!Q18="","",'Dem-Rec'!F16*Aliment!Q18*7*0.001))</f>
        <v/>
      </c>
      <c r="V18" s="214">
        <f>SUM($U$10:U18)</f>
        <v>5531.021999999999</v>
      </c>
      <c r="W18" s="399" t="str">
        <f>IF('Dem-Rec'!F16="","",IF(Aliment!R18="","",'Dem-Rec'!F16*Aliment!R18*7*0.01))</f>
        <v/>
      </c>
      <c r="X18" s="405">
        <f>SUM($W$10:W18)</f>
        <v>336.49</v>
      </c>
      <c r="Y18" s="386" t="str">
        <f>IF('Dem-Rec'!F16="","",IF(Aliment!S18="","",'Dem-Rec'!F16*Aliment!S18*7*0.01))</f>
        <v/>
      </c>
      <c r="Z18" s="400">
        <f>SUM($Y$10:Y18)</f>
        <v>8.6940000000000008</v>
      </c>
      <c r="AA18" s="387" t="str">
        <f>IF('Dem-Rec'!F16="","",IF(Aliment!T18="","",'Dem-Rec'!F16*Aliment!T18*7*0.01))</f>
        <v/>
      </c>
      <c r="AB18" s="409">
        <f>SUM($AA$10:AA18)</f>
        <v>27.205500000000001</v>
      </c>
    </row>
    <row r="19" spans="1:28" ht="24" customHeight="1" x14ac:dyDescent="0.2">
      <c r="A19" s="300">
        <f t="shared" si="0"/>
        <v>43320</v>
      </c>
      <c r="B19" s="137">
        <f t="shared" si="1"/>
        <v>10</v>
      </c>
      <c r="C19" s="209"/>
      <c r="D19" s="214" t="str">
        <f>IF(C19="","",SUM($C$10:C19))</f>
        <v/>
      </c>
      <c r="E19" s="234"/>
      <c r="F19" s="204" t="str">
        <f>IF(C19="","",(SUM($C$10:C19)/$J$2))</f>
        <v/>
      </c>
      <c r="G19" s="204" t="str">
        <f>IF(C19="","",(SUM($C$10:C19)/$J$4))</f>
        <v/>
      </c>
      <c r="H19" s="219" t="str">
        <f>IF(C19="","",(SUM($C$10:C19)/$J$5))</f>
        <v/>
      </c>
      <c r="I19" s="231"/>
      <c r="J19" s="240"/>
      <c r="K19" s="241"/>
      <c r="M19" s="313">
        <f>IF(OR('Dem-Rec'!C17="",'Dem-Rec'!F17=""),0,($J$2-SUM('Dem-Rec'!$C$8:C17))*'Dem-Rec'!F17*7/1000)</f>
        <v>0</v>
      </c>
      <c r="N19" s="314">
        <f>IF(OR('Dem-Rec'!J17="",'Dem-Rec'!M17=""),0,($J$3-SUM('Dem-Rec'!$J$8:J17))*'Dem-Rec'!M17*7/1000)</f>
        <v>0</v>
      </c>
      <c r="O19" s="314">
        <f t="shared" si="2"/>
        <v>0</v>
      </c>
      <c r="P19" s="315">
        <f t="shared" si="3"/>
        <v>0</v>
      </c>
      <c r="Q19" s="209">
        <v>2581</v>
      </c>
      <c r="R19" s="372">
        <v>14.5</v>
      </c>
      <c r="S19" s="372">
        <v>0.4</v>
      </c>
      <c r="T19" s="365">
        <v>1.5</v>
      </c>
      <c r="U19" s="393" t="str">
        <f>IF('Dem-Rec'!F17="","",IF(Aliment!Q19="","",'Dem-Rec'!F17*Aliment!Q19*7*0.001))</f>
        <v/>
      </c>
      <c r="V19" s="214">
        <f>SUM($U$10:U19)</f>
        <v>5531.021999999999</v>
      </c>
      <c r="W19" s="399" t="str">
        <f>IF('Dem-Rec'!F17="","",IF(Aliment!R19="","",'Dem-Rec'!F17*Aliment!R19*7*0.01))</f>
        <v/>
      </c>
      <c r="X19" s="405">
        <f>SUM($W$10:W19)</f>
        <v>336.49</v>
      </c>
      <c r="Y19" s="386" t="str">
        <f>IF('Dem-Rec'!F17="","",IF(Aliment!S19="","",'Dem-Rec'!F17*Aliment!S19*7*0.01))</f>
        <v/>
      </c>
      <c r="Z19" s="400">
        <f>SUM($Y$10:Y19)</f>
        <v>8.6940000000000008</v>
      </c>
      <c r="AA19" s="387" t="str">
        <f>IF('Dem-Rec'!F17="","",IF(Aliment!T19="","",'Dem-Rec'!F17*Aliment!T19*7*0.01))</f>
        <v/>
      </c>
      <c r="AB19" s="409">
        <f>SUM($AA$10:AA19)</f>
        <v>27.205500000000001</v>
      </c>
    </row>
    <row r="20" spans="1:28" ht="24" customHeight="1" x14ac:dyDescent="0.2">
      <c r="A20" s="300">
        <f t="shared" si="0"/>
        <v>43327</v>
      </c>
      <c r="B20" s="137">
        <f t="shared" si="1"/>
        <v>11</v>
      </c>
      <c r="C20" s="209"/>
      <c r="D20" s="214" t="str">
        <f>IF(C20="","",SUM($C$10:C20))</f>
        <v/>
      </c>
      <c r="E20" s="234"/>
      <c r="F20" s="204" t="str">
        <f>IF(C20="","",(SUM($C$10:C20)/$J$2))</f>
        <v/>
      </c>
      <c r="G20" s="204" t="str">
        <f>IF(C20="","",(SUM($C$10:C20)/$J$4))</f>
        <v/>
      </c>
      <c r="H20" s="219" t="str">
        <f>IF(C20="","",(SUM($C$10:C20)/$J$5))</f>
        <v/>
      </c>
      <c r="I20" s="231"/>
      <c r="J20" s="240"/>
      <c r="K20" s="241"/>
      <c r="M20" s="313">
        <f>IF(OR('Dem-Rec'!C18="",'Dem-Rec'!F18=""),0,($J$2-SUM('Dem-Rec'!$C$8:C18))*'Dem-Rec'!F18*7/1000)</f>
        <v>0</v>
      </c>
      <c r="N20" s="314">
        <f>IF(OR('Dem-Rec'!J18="",'Dem-Rec'!M18=""),0,($J$3-SUM('Dem-Rec'!$J$8:J18))*'Dem-Rec'!M18*7/1000)</f>
        <v>0</v>
      </c>
      <c r="O20" s="314">
        <f t="shared" si="2"/>
        <v>0</v>
      </c>
      <c r="P20" s="315">
        <f t="shared" si="3"/>
        <v>0</v>
      </c>
      <c r="Q20" s="209">
        <v>2581</v>
      </c>
      <c r="R20" s="372">
        <v>14.5</v>
      </c>
      <c r="S20" s="372">
        <v>0.4</v>
      </c>
      <c r="T20" s="365">
        <v>1.5</v>
      </c>
      <c r="U20" s="393" t="str">
        <f>IF('Dem-Rec'!F18="","",IF(Aliment!Q20="","",'Dem-Rec'!F18*Aliment!Q20*7*0.001))</f>
        <v/>
      </c>
      <c r="V20" s="214">
        <f>SUM($U$10:U20)</f>
        <v>5531.021999999999</v>
      </c>
      <c r="W20" s="399" t="str">
        <f>IF('Dem-Rec'!F18="","",IF(Aliment!R20="","",'Dem-Rec'!F18*Aliment!R20*7*0.01))</f>
        <v/>
      </c>
      <c r="X20" s="405">
        <f>SUM($W$10:W20)</f>
        <v>336.49</v>
      </c>
      <c r="Y20" s="386" t="str">
        <f>IF('Dem-Rec'!F18="","",IF(Aliment!S20="","",'Dem-Rec'!F18*Aliment!S20*7*0.01))</f>
        <v/>
      </c>
      <c r="Z20" s="400">
        <f>SUM($Y$10:Y20)</f>
        <v>8.6940000000000008</v>
      </c>
      <c r="AA20" s="387" t="str">
        <f>IF('Dem-Rec'!F18="","",IF(Aliment!T20="","",'Dem-Rec'!F18*Aliment!T20*7*0.01))</f>
        <v/>
      </c>
      <c r="AB20" s="409">
        <f>SUM($AA$10:AA20)</f>
        <v>27.205500000000001</v>
      </c>
    </row>
    <row r="21" spans="1:28" ht="24" customHeight="1" x14ac:dyDescent="0.2">
      <c r="A21" s="300">
        <f t="shared" si="0"/>
        <v>43334</v>
      </c>
      <c r="B21" s="137">
        <f t="shared" si="1"/>
        <v>12</v>
      </c>
      <c r="C21" s="209"/>
      <c r="D21" s="214" t="str">
        <f>IF(C21="","",SUM($C$10:C21))</f>
        <v/>
      </c>
      <c r="E21" s="234"/>
      <c r="F21" s="204" t="str">
        <f>IF(C21="","",(SUM($C$10:C21)/$J$2))</f>
        <v/>
      </c>
      <c r="G21" s="204" t="str">
        <f>IF(C21="","",(SUM($C$10:C21)/$J$4))</f>
        <v/>
      </c>
      <c r="H21" s="219" t="str">
        <f>IF(C21="","",(SUM($C$10:C21)/$J$5))</f>
        <v/>
      </c>
      <c r="I21" s="231"/>
      <c r="J21" s="240"/>
      <c r="K21" s="241"/>
      <c r="M21" s="313">
        <f>IF(OR('Dem-Rec'!C19="",'Dem-Rec'!F19=""),0,($J$2-SUM('Dem-Rec'!$C$8:C19))*'Dem-Rec'!F19*7/1000)</f>
        <v>0</v>
      </c>
      <c r="N21" s="314">
        <f>IF(OR('Dem-Rec'!J19="",'Dem-Rec'!M19=""),0,($J$3-SUM('Dem-Rec'!$J$8:J19))*'Dem-Rec'!M19*7/1000)</f>
        <v>0</v>
      </c>
      <c r="O21" s="314">
        <f t="shared" si="2"/>
        <v>0</v>
      </c>
      <c r="P21" s="315">
        <f t="shared" si="3"/>
        <v>0</v>
      </c>
      <c r="Q21" s="209">
        <v>2581</v>
      </c>
      <c r="R21" s="372">
        <v>14.5</v>
      </c>
      <c r="S21" s="372">
        <v>0.4</v>
      </c>
      <c r="T21" s="365">
        <v>1.5</v>
      </c>
      <c r="U21" s="393" t="str">
        <f>IF('Dem-Rec'!F19="","",IF(Aliment!Q21="","",'Dem-Rec'!F19*Aliment!Q21*7*0.001))</f>
        <v/>
      </c>
      <c r="V21" s="214">
        <f>SUM($U$10:U21)</f>
        <v>5531.021999999999</v>
      </c>
      <c r="W21" s="399" t="str">
        <f>IF('Dem-Rec'!F19="","",IF(Aliment!R21="","",'Dem-Rec'!F19*Aliment!R21*7*0.01))</f>
        <v/>
      </c>
      <c r="X21" s="405">
        <f>SUM($W$10:W21)</f>
        <v>336.49</v>
      </c>
      <c r="Y21" s="386" t="str">
        <f>IF('Dem-Rec'!F19="","",IF(Aliment!S21="","",'Dem-Rec'!F19*Aliment!S21*7*0.01))</f>
        <v/>
      </c>
      <c r="Z21" s="400">
        <f>SUM($Y$10:Y21)</f>
        <v>8.6940000000000008</v>
      </c>
      <c r="AA21" s="387" t="str">
        <f>IF('Dem-Rec'!F19="","",IF(Aliment!T21="","",'Dem-Rec'!F19*Aliment!T21*7*0.01))</f>
        <v/>
      </c>
      <c r="AB21" s="409">
        <f>SUM($AA$10:AA21)</f>
        <v>27.205500000000001</v>
      </c>
    </row>
    <row r="22" spans="1:28" ht="24" customHeight="1" x14ac:dyDescent="0.2">
      <c r="A22" s="300">
        <f t="shared" si="0"/>
        <v>43341</v>
      </c>
      <c r="B22" s="137">
        <f t="shared" si="1"/>
        <v>13</v>
      </c>
      <c r="C22" s="209"/>
      <c r="D22" s="214" t="str">
        <f>IF(C22="","",SUM($C$10:C22))</f>
        <v/>
      </c>
      <c r="E22" s="234"/>
      <c r="F22" s="204" t="str">
        <f>IF(C22="","",(SUM($C$10:C22)/$J$2))</f>
        <v/>
      </c>
      <c r="G22" s="204" t="str">
        <f>IF(C22="","",(SUM($C$10:C22)/$J$4))</f>
        <v/>
      </c>
      <c r="H22" s="219" t="str">
        <f>IF(C22="","",(SUM($C$10:C22)/$J$5))</f>
        <v/>
      </c>
      <c r="I22" s="231"/>
      <c r="J22" s="240"/>
      <c r="K22" s="241"/>
      <c r="M22" s="313">
        <f>IF(OR('Dem-Rec'!C20="",'Dem-Rec'!F20=""),0,($J$2-SUM('Dem-Rec'!$C$8:C20))*'Dem-Rec'!F20*7/1000)</f>
        <v>0</v>
      </c>
      <c r="N22" s="314">
        <f>IF(OR('Dem-Rec'!J20="",'Dem-Rec'!M20=""),0,($J$3-SUM('Dem-Rec'!$J$8:J20))*'Dem-Rec'!M20*7/1000)</f>
        <v>0</v>
      </c>
      <c r="O22" s="314">
        <f t="shared" si="2"/>
        <v>0</v>
      </c>
      <c r="P22" s="315">
        <f t="shared" si="3"/>
        <v>0</v>
      </c>
      <c r="Q22" s="209">
        <v>2581</v>
      </c>
      <c r="R22" s="372">
        <v>14.5</v>
      </c>
      <c r="S22" s="372">
        <v>0.4</v>
      </c>
      <c r="T22" s="365">
        <v>1.5</v>
      </c>
      <c r="U22" s="393" t="str">
        <f>IF('Dem-Rec'!F20="","",IF(Aliment!Q22="","",'Dem-Rec'!F20*Aliment!Q22*7*0.001))</f>
        <v/>
      </c>
      <c r="V22" s="214">
        <f>SUM($U$10:U22)</f>
        <v>5531.021999999999</v>
      </c>
      <c r="W22" s="399" t="str">
        <f>IF('Dem-Rec'!F20="","",IF(Aliment!R22="","",'Dem-Rec'!F20*Aliment!R22*7*0.01))</f>
        <v/>
      </c>
      <c r="X22" s="405">
        <f>SUM($W$10:W22)</f>
        <v>336.49</v>
      </c>
      <c r="Y22" s="386" t="str">
        <f>IF('Dem-Rec'!F20="","",IF(Aliment!S22="","",'Dem-Rec'!F20*Aliment!S22*7*0.01))</f>
        <v/>
      </c>
      <c r="Z22" s="400">
        <f>SUM($Y$10:Y22)</f>
        <v>8.6940000000000008</v>
      </c>
      <c r="AA22" s="387" t="str">
        <f>IF('Dem-Rec'!F20="","",IF(Aliment!T22="","",'Dem-Rec'!F20*Aliment!T22*7*0.01))</f>
        <v/>
      </c>
      <c r="AB22" s="409">
        <f>SUM($AA$10:AA22)</f>
        <v>27.205500000000001</v>
      </c>
    </row>
    <row r="23" spans="1:28" ht="24" customHeight="1" x14ac:dyDescent="0.2">
      <c r="A23" s="300">
        <f t="shared" si="0"/>
        <v>43348</v>
      </c>
      <c r="B23" s="137">
        <f t="shared" si="1"/>
        <v>14</v>
      </c>
      <c r="C23" s="209"/>
      <c r="D23" s="214" t="str">
        <f>IF(C23="","",SUM($C$10:C23))</f>
        <v/>
      </c>
      <c r="E23" s="234"/>
      <c r="F23" s="204" t="str">
        <f>IF(C23="","",(SUM($C$10:C23)/$J$2))</f>
        <v/>
      </c>
      <c r="G23" s="204" t="str">
        <f>IF(C23="","",(SUM($C$10:C23)/$J$4))</f>
        <v/>
      </c>
      <c r="H23" s="219" t="str">
        <f>IF(C23="","",(SUM($C$10:C23)/$J$5))</f>
        <v/>
      </c>
      <c r="I23" s="231"/>
      <c r="J23" s="240"/>
      <c r="K23" s="241"/>
      <c r="M23" s="313">
        <f>IF(OR('Dem-Rec'!C21="",'Dem-Rec'!F21=""),0,($J$2-SUM('Dem-Rec'!$C$8:C21))*'Dem-Rec'!F21*7/1000)</f>
        <v>0</v>
      </c>
      <c r="N23" s="314">
        <f>IF(OR('Dem-Rec'!J21="",'Dem-Rec'!M21=""),0,($J$3-SUM('Dem-Rec'!$J$8:J21))*'Dem-Rec'!M21*7/1000)</f>
        <v>0</v>
      </c>
      <c r="O23" s="314">
        <f t="shared" si="2"/>
        <v>0</v>
      </c>
      <c r="P23" s="315">
        <f t="shared" si="3"/>
        <v>0</v>
      </c>
      <c r="Q23" s="209">
        <v>2581</v>
      </c>
      <c r="R23" s="372">
        <v>14.5</v>
      </c>
      <c r="S23" s="372">
        <v>0.4</v>
      </c>
      <c r="T23" s="365">
        <v>1.5</v>
      </c>
      <c r="U23" s="393" t="str">
        <f>IF('Dem-Rec'!F21="","",IF(Aliment!Q23="","",'Dem-Rec'!F21*Aliment!Q23*7*0.001))</f>
        <v/>
      </c>
      <c r="V23" s="214">
        <f>SUM($U$10:U23)</f>
        <v>5531.021999999999</v>
      </c>
      <c r="W23" s="399" t="str">
        <f>IF('Dem-Rec'!F21="","",IF(Aliment!R23="","",'Dem-Rec'!F21*Aliment!R23*7*0.01))</f>
        <v/>
      </c>
      <c r="X23" s="405">
        <f>SUM($W$10:W23)</f>
        <v>336.49</v>
      </c>
      <c r="Y23" s="386" t="str">
        <f>IF('Dem-Rec'!F21="","",IF(Aliment!S23="","",'Dem-Rec'!F21*Aliment!S23*7*0.01))</f>
        <v/>
      </c>
      <c r="Z23" s="400">
        <f>SUM($Y$10:Y23)</f>
        <v>8.6940000000000008</v>
      </c>
      <c r="AA23" s="387" t="str">
        <f>IF('Dem-Rec'!F21="","",IF(Aliment!T23="","",'Dem-Rec'!F21*Aliment!T23*7*0.01))</f>
        <v/>
      </c>
      <c r="AB23" s="409">
        <f>SUM($AA$10:AA23)</f>
        <v>27.205500000000001</v>
      </c>
    </row>
    <row r="24" spans="1:28" ht="24" customHeight="1" x14ac:dyDescent="0.2">
      <c r="A24" s="300">
        <f t="shared" si="0"/>
        <v>43355</v>
      </c>
      <c r="B24" s="137">
        <f t="shared" si="1"/>
        <v>15</v>
      </c>
      <c r="C24" s="209"/>
      <c r="D24" s="214" t="str">
        <f>IF(C24="","",SUM($C$10:C24))</f>
        <v/>
      </c>
      <c r="E24" s="234"/>
      <c r="F24" s="204" t="str">
        <f>IF(C24="","",(SUM($C$10:C24)/$J$2))</f>
        <v/>
      </c>
      <c r="G24" s="204" t="str">
        <f>IF(C24="","",(SUM($C$10:C24)/$J$4))</f>
        <v/>
      </c>
      <c r="H24" s="220" t="str">
        <f>IF(C24="","",(SUM($C$10:C24)/$J$5))</f>
        <v/>
      </c>
      <c r="I24" s="231"/>
      <c r="J24" s="240"/>
      <c r="K24" s="241"/>
      <c r="M24" s="313">
        <f>IF(OR('Dem-Rec'!C22="",'Dem-Rec'!F22=""),0,($J$2-SUM('Dem-Rec'!$C$8:C22))*'Dem-Rec'!F22*7/1000)</f>
        <v>0</v>
      </c>
      <c r="N24" s="314">
        <f>IF(OR('Dem-Rec'!J22="",'Dem-Rec'!M22=""),0,($J$3-SUM('Dem-Rec'!$J$8:J22))*'Dem-Rec'!M22*7/1000)</f>
        <v>0</v>
      </c>
      <c r="O24" s="314">
        <f t="shared" si="2"/>
        <v>0</v>
      </c>
      <c r="P24" s="315">
        <f t="shared" si="3"/>
        <v>0</v>
      </c>
      <c r="Q24" s="209">
        <v>2581</v>
      </c>
      <c r="R24" s="372">
        <v>14.5</v>
      </c>
      <c r="S24" s="372">
        <v>0.4</v>
      </c>
      <c r="T24" s="365">
        <v>1.5</v>
      </c>
      <c r="U24" s="393" t="str">
        <f>IF('Dem-Rec'!F22="","",IF(Aliment!Q24="","",'Dem-Rec'!F22*Aliment!Q24*7*0.001))</f>
        <v/>
      </c>
      <c r="V24" s="214">
        <f>SUM($U$10:U24)</f>
        <v>5531.021999999999</v>
      </c>
      <c r="W24" s="399" t="str">
        <f>IF('Dem-Rec'!F22="","",IF(Aliment!R24="","",'Dem-Rec'!F22*Aliment!R24*7*0.01))</f>
        <v/>
      </c>
      <c r="X24" s="405">
        <f>SUM($W$10:W24)</f>
        <v>336.49</v>
      </c>
      <c r="Y24" s="386" t="str">
        <f>IF('Dem-Rec'!F22="","",IF(Aliment!S24="","",'Dem-Rec'!F22*Aliment!S24*7*0.01))</f>
        <v/>
      </c>
      <c r="Z24" s="400">
        <f>SUM($Y$10:Y24)</f>
        <v>8.6940000000000008</v>
      </c>
      <c r="AA24" s="387" t="str">
        <f>IF('Dem-Rec'!F22="","",IF(Aliment!T24="","",'Dem-Rec'!F22*Aliment!T24*7*0.01))</f>
        <v/>
      </c>
      <c r="AB24" s="409">
        <f>SUM($AA$10:AA24)</f>
        <v>27.205500000000001</v>
      </c>
    </row>
    <row r="25" spans="1:28" ht="24" customHeight="1" x14ac:dyDescent="0.2">
      <c r="A25" s="300">
        <f t="shared" si="0"/>
        <v>43362</v>
      </c>
      <c r="B25" s="137">
        <f t="shared" si="1"/>
        <v>16</v>
      </c>
      <c r="C25" s="209"/>
      <c r="D25" s="214" t="str">
        <f>IF(C25="","",SUM($C$10:C25))</f>
        <v/>
      </c>
      <c r="E25" s="234"/>
      <c r="F25" s="204" t="str">
        <f>IF(C25="","",(SUM($C$10:C25)/$J$2))</f>
        <v/>
      </c>
      <c r="G25" s="204" t="str">
        <f>IF(C25="","",(SUM($C$10:C25)/$J$4))</f>
        <v/>
      </c>
      <c r="H25" s="220" t="str">
        <f>IF(C25="","",(SUM($C$10:C25)/$J$5))</f>
        <v/>
      </c>
      <c r="I25" s="231"/>
      <c r="J25" s="240"/>
      <c r="K25" s="241"/>
      <c r="M25" s="313">
        <f>IF(OR('Dem-Rec'!C23="",'Dem-Rec'!F23=""),0,($J$2-SUM('Dem-Rec'!$C$8:C23))*'Dem-Rec'!F23*7/1000)</f>
        <v>0</v>
      </c>
      <c r="N25" s="314">
        <f>IF(OR('Dem-Rec'!J23="",'Dem-Rec'!M23=""),0,($J$3-SUM('Dem-Rec'!$J$8:J23))*'Dem-Rec'!M23*7/1000)</f>
        <v>0</v>
      </c>
      <c r="O25" s="314">
        <f t="shared" si="2"/>
        <v>0</v>
      </c>
      <c r="P25" s="315">
        <f t="shared" si="3"/>
        <v>0</v>
      </c>
      <c r="Q25" s="209">
        <v>2581</v>
      </c>
      <c r="R25" s="372">
        <v>14.5</v>
      </c>
      <c r="S25" s="372">
        <v>0.4</v>
      </c>
      <c r="T25" s="365">
        <v>1.5</v>
      </c>
      <c r="U25" s="393" t="str">
        <f>IF('Dem-Rec'!F23="","",IF(Aliment!Q25="","",'Dem-Rec'!F23*Aliment!Q25*7*0.001))</f>
        <v/>
      </c>
      <c r="V25" s="214">
        <f>SUM($U$10:U25)</f>
        <v>5531.021999999999</v>
      </c>
      <c r="W25" s="399" t="str">
        <f>IF('Dem-Rec'!F23="","",IF(Aliment!R25="","",'Dem-Rec'!F23*Aliment!R25*7*0.01))</f>
        <v/>
      </c>
      <c r="X25" s="405">
        <f>SUM($W$10:W25)</f>
        <v>336.49</v>
      </c>
      <c r="Y25" s="386" t="str">
        <f>IF('Dem-Rec'!F23="","",IF(Aliment!S25="","",'Dem-Rec'!F23*Aliment!S25*7*0.01))</f>
        <v/>
      </c>
      <c r="Z25" s="400">
        <f>SUM($Y$10:Y25)</f>
        <v>8.6940000000000008</v>
      </c>
      <c r="AA25" s="387" t="str">
        <f>IF('Dem-Rec'!F23="","",IF(Aliment!T25="","",'Dem-Rec'!F23*Aliment!T25*7*0.01))</f>
        <v/>
      </c>
      <c r="AB25" s="409">
        <f>SUM($AA$10:AA25)</f>
        <v>27.205500000000001</v>
      </c>
    </row>
    <row r="26" spans="1:28" ht="24" customHeight="1" x14ac:dyDescent="0.2">
      <c r="A26" s="300">
        <f t="shared" si="0"/>
        <v>43369</v>
      </c>
      <c r="B26" s="137">
        <f t="shared" si="1"/>
        <v>17</v>
      </c>
      <c r="C26" s="209"/>
      <c r="D26" s="214" t="str">
        <f>IF(C26="","",SUM($C$10:C26))</f>
        <v/>
      </c>
      <c r="E26" s="234"/>
      <c r="F26" s="204" t="str">
        <f>IF(C26="","",(SUM($C$10:C26)/$J$2))</f>
        <v/>
      </c>
      <c r="G26" s="204" t="str">
        <f>IF(C26="","",(SUM($C$10:C26)/$J$4))</f>
        <v/>
      </c>
      <c r="H26" s="220" t="str">
        <f>IF(C26="","",(SUM($C$10:C26)/$J$5))</f>
        <v/>
      </c>
      <c r="I26" s="231"/>
      <c r="J26" s="240"/>
      <c r="K26" s="241"/>
      <c r="M26" s="313">
        <f>IF(OR('Dem-Rec'!C24="",'Dem-Rec'!F24=""),0,($J$2-SUM('Dem-Rec'!$C$8:C24))*'Dem-Rec'!F24*7/1000)</f>
        <v>0</v>
      </c>
      <c r="N26" s="314">
        <f>IF(OR('Dem-Rec'!J24="",'Dem-Rec'!M24=""),0,($J$3-SUM('Dem-Rec'!$J$8:J24))*'Dem-Rec'!M24*7/1000)</f>
        <v>0</v>
      </c>
      <c r="O26" s="314">
        <f t="shared" si="2"/>
        <v>0</v>
      </c>
      <c r="P26" s="315">
        <f t="shared" si="3"/>
        <v>0</v>
      </c>
      <c r="Q26" s="209">
        <v>2581</v>
      </c>
      <c r="R26" s="372">
        <v>14.5</v>
      </c>
      <c r="S26" s="372">
        <v>0.4</v>
      </c>
      <c r="T26" s="365">
        <v>1.5</v>
      </c>
      <c r="U26" s="393" t="str">
        <f>IF('Dem-Rec'!F24="","",IF(Aliment!Q26="","",'Dem-Rec'!F24*Aliment!Q26*7*0.001))</f>
        <v/>
      </c>
      <c r="V26" s="214">
        <f>SUM($U$10:U26)</f>
        <v>5531.021999999999</v>
      </c>
      <c r="W26" s="399" t="str">
        <f>IF('Dem-Rec'!F24="","",IF(Aliment!R26="","",'Dem-Rec'!F24*Aliment!R26*7*0.01))</f>
        <v/>
      </c>
      <c r="X26" s="405">
        <f>SUM($W$10:W26)</f>
        <v>336.49</v>
      </c>
      <c r="Y26" s="386" t="str">
        <f>IF('Dem-Rec'!F24="","",IF(Aliment!S26="","",'Dem-Rec'!F24*Aliment!S26*7*0.01))</f>
        <v/>
      </c>
      <c r="Z26" s="400">
        <f>SUM($Y$10:Y26)</f>
        <v>8.6940000000000008</v>
      </c>
      <c r="AA26" s="387" t="str">
        <f>IF('Dem-Rec'!F24="","",IF(Aliment!T26="","",'Dem-Rec'!F24*Aliment!T26*7*0.01))</f>
        <v/>
      </c>
      <c r="AB26" s="409">
        <f>SUM($AA$10:AA26)</f>
        <v>27.205500000000001</v>
      </c>
    </row>
    <row r="27" spans="1:28" ht="24" customHeight="1" x14ac:dyDescent="0.2">
      <c r="A27" s="300">
        <f>A26+7</f>
        <v>43376</v>
      </c>
      <c r="B27" s="137">
        <f t="shared" si="1"/>
        <v>18</v>
      </c>
      <c r="C27" s="209"/>
      <c r="D27" s="214" t="str">
        <f>IF(C27="","",SUM($C$10:C27))</f>
        <v/>
      </c>
      <c r="E27" s="234"/>
      <c r="F27" s="204" t="str">
        <f>IF(C27="","",(SUM($C$10:C27)/$J$2))</f>
        <v/>
      </c>
      <c r="G27" s="204" t="str">
        <f>IF(C27="","",(SUM($C$10:C27)/$J$4))</f>
        <v/>
      </c>
      <c r="H27" s="220" t="str">
        <f>IF(C27="","",(SUM($C$10:C27)/$J$5))</f>
        <v/>
      </c>
      <c r="I27" s="231"/>
      <c r="J27" s="240"/>
      <c r="K27" s="241"/>
      <c r="M27" s="313">
        <f>IF(OR('Dem-Rec'!C25="",'Dem-Rec'!F25=""),0,($J$2-SUM('Dem-Rec'!$C$8:C25))*'Dem-Rec'!F25*7/1000)</f>
        <v>0</v>
      </c>
      <c r="N27" s="314">
        <f>IF(OR('Dem-Rec'!J25="",'Dem-Rec'!M25=""),0,($J$3-SUM('Dem-Rec'!$J$8:J25))*'Dem-Rec'!M25*7/1000)</f>
        <v>0</v>
      </c>
      <c r="O27" s="314">
        <f t="shared" si="2"/>
        <v>0</v>
      </c>
      <c r="P27" s="315">
        <f t="shared" si="3"/>
        <v>0</v>
      </c>
      <c r="Q27" s="209">
        <v>2581</v>
      </c>
      <c r="R27" s="372">
        <v>14.5</v>
      </c>
      <c r="S27" s="364">
        <v>0.4</v>
      </c>
      <c r="T27" s="365">
        <v>1.5</v>
      </c>
      <c r="U27" s="393" t="str">
        <f>IF('Dem-Rec'!F25="","",IF(Aliment!Q27="","",'Dem-Rec'!F25*Aliment!Q27*7*0.001))</f>
        <v/>
      </c>
      <c r="V27" s="214">
        <f>SUM($U$10:U27)</f>
        <v>5531.021999999999</v>
      </c>
      <c r="W27" s="399" t="str">
        <f>IF('Dem-Rec'!F25="","",IF(Aliment!R27="","",'Dem-Rec'!F25*Aliment!R27*7*0.01))</f>
        <v/>
      </c>
      <c r="X27" s="405">
        <f>SUM($W$10:W27)</f>
        <v>336.49</v>
      </c>
      <c r="Y27" s="386" t="str">
        <f>IF('Dem-Rec'!F25="","",IF(Aliment!S27="","",'Dem-Rec'!F25*Aliment!S27*7*0.01))</f>
        <v/>
      </c>
      <c r="Z27" s="400">
        <f>SUM($Y$10:Y27)</f>
        <v>8.6940000000000008</v>
      </c>
      <c r="AA27" s="387" t="str">
        <f>IF('Dem-Rec'!F25="","",IF(Aliment!T27="","",'Dem-Rec'!F25*Aliment!T27*7*0.01))</f>
        <v/>
      </c>
      <c r="AB27" s="409">
        <f>SUM($AA$10:AA27)</f>
        <v>27.205500000000001</v>
      </c>
    </row>
    <row r="28" spans="1:28" ht="24" customHeight="1" x14ac:dyDescent="0.2">
      <c r="A28" s="300">
        <f>A27+7</f>
        <v>43383</v>
      </c>
      <c r="B28" s="137">
        <f>+B27+1</f>
        <v>19</v>
      </c>
      <c r="C28" s="209"/>
      <c r="D28" s="214" t="str">
        <f>IF(C28="","",SUM($C$10:C28))</f>
        <v/>
      </c>
      <c r="E28" s="234"/>
      <c r="F28" s="204" t="str">
        <f>IF(C28="","",(SUM($C$10:C28)/$J$2))</f>
        <v/>
      </c>
      <c r="G28" s="204" t="str">
        <f>IF(C28="","",(SUM($C$10:C28)/$J$4))</f>
        <v/>
      </c>
      <c r="H28" s="220" t="str">
        <f>IF(C28="","",(SUM($C$10:C28)/$J$5))</f>
        <v/>
      </c>
      <c r="I28" s="231"/>
      <c r="J28" s="240"/>
      <c r="K28" s="241"/>
      <c r="M28" s="313">
        <f>IF(OR('Dem-Rec'!C26="",'Dem-Rec'!F26=""),0,($J$2-SUM('Dem-Rec'!$C$8:C26))*'Dem-Rec'!F26*7/1000)</f>
        <v>0</v>
      </c>
      <c r="N28" s="314">
        <f>IF(OR('Dem-Rec'!J26="",'Dem-Rec'!M26=""),0,($J$3-SUM('Dem-Rec'!$J$8:J26))*'Dem-Rec'!M26*7/1000)</f>
        <v>0</v>
      </c>
      <c r="O28" s="314">
        <f t="shared" si="2"/>
        <v>0</v>
      </c>
      <c r="P28" s="315">
        <f t="shared" si="3"/>
        <v>0</v>
      </c>
      <c r="Q28" s="209">
        <v>2761</v>
      </c>
      <c r="R28" s="364">
        <v>15</v>
      </c>
      <c r="S28" s="364">
        <v>0.4</v>
      </c>
      <c r="T28" s="365">
        <v>1.5</v>
      </c>
      <c r="U28" s="393" t="str">
        <f>IF('Dem-Rec'!F26="","",IF(Aliment!Q28="","",'Dem-Rec'!F26*Aliment!Q28*7*0.001))</f>
        <v/>
      </c>
      <c r="V28" s="214">
        <f>SUM($U$10:U28)</f>
        <v>5531.021999999999</v>
      </c>
      <c r="W28" s="399" t="str">
        <f>IF('Dem-Rec'!F26="","",IF(Aliment!R28="","",'Dem-Rec'!F26*Aliment!R28*7*0.01))</f>
        <v/>
      </c>
      <c r="X28" s="405">
        <f>SUM($W$10:W28)</f>
        <v>336.49</v>
      </c>
      <c r="Y28" s="386" t="str">
        <f>IF('Dem-Rec'!F26="","",IF(Aliment!S28="","",'Dem-Rec'!F26*Aliment!S28*7*0.01))</f>
        <v/>
      </c>
      <c r="Z28" s="400">
        <f>SUM($Y$10:Y28)</f>
        <v>8.6940000000000008</v>
      </c>
      <c r="AA28" s="387" t="str">
        <f>IF('Dem-Rec'!F26="","",IF(Aliment!T28="","",'Dem-Rec'!F26*Aliment!T28*7*0.01))</f>
        <v/>
      </c>
      <c r="AB28" s="409">
        <f>SUM($AA$10:AA28)</f>
        <v>27.205500000000001</v>
      </c>
    </row>
    <row r="29" spans="1:28" ht="24" customHeight="1" x14ac:dyDescent="0.2">
      <c r="A29" s="300">
        <f>A28+7</f>
        <v>43390</v>
      </c>
      <c r="B29" s="137">
        <f>+B28+1</f>
        <v>20</v>
      </c>
      <c r="C29" s="209"/>
      <c r="D29" s="214" t="str">
        <f>IF(C29="","",SUM($C$10:C29))</f>
        <v/>
      </c>
      <c r="E29" s="234"/>
      <c r="F29" s="204" t="str">
        <f>IF(C29="","",(SUM($C$10:C29)/$J$2))</f>
        <v/>
      </c>
      <c r="G29" s="204" t="str">
        <f>IF(C29="","",(SUM($C$10:C29)/$J$4))</f>
        <v/>
      </c>
      <c r="H29" s="220" t="str">
        <f>IF(C29="","",(SUM($C$10:C29)/$J$5))</f>
        <v/>
      </c>
      <c r="I29" s="231"/>
      <c r="J29" s="240"/>
      <c r="K29" s="241"/>
      <c r="M29" s="313">
        <f>IF(OR('Dem-Rec'!C27="",'Dem-Rec'!F27=""),0,($J$2-SUM('Dem-Rec'!$C$8:C27))*'Dem-Rec'!F27*7/1000)</f>
        <v>0</v>
      </c>
      <c r="N29" s="314">
        <f>IF(OR('Dem-Rec'!J27="",'Dem-Rec'!M27=""),0,($J$3-SUM('Dem-Rec'!$J$8:J27))*'Dem-Rec'!M27*7/1000)</f>
        <v>0</v>
      </c>
      <c r="O29" s="314">
        <f t="shared" si="2"/>
        <v>0</v>
      </c>
      <c r="P29" s="315">
        <f t="shared" si="3"/>
        <v>0</v>
      </c>
      <c r="Q29" s="209">
        <v>2761</v>
      </c>
      <c r="R29" s="364">
        <v>15</v>
      </c>
      <c r="S29" s="364">
        <v>0.4</v>
      </c>
      <c r="T29" s="365">
        <v>1.5</v>
      </c>
      <c r="U29" s="393" t="str">
        <f>IF('Dem-Rec'!F27="","",IF(Aliment!Q29="","",'Dem-Rec'!F27*Aliment!Q29*7*0.001))</f>
        <v/>
      </c>
      <c r="V29" s="214">
        <f>SUM($U$10:U29)</f>
        <v>5531.021999999999</v>
      </c>
      <c r="W29" s="399" t="str">
        <f>IF('Dem-Rec'!F27="","",IF(Aliment!R29="","",'Dem-Rec'!F27*Aliment!R29*7*0.01))</f>
        <v/>
      </c>
      <c r="X29" s="405">
        <f>SUM($W$10:W29)</f>
        <v>336.49</v>
      </c>
      <c r="Y29" s="386" t="str">
        <f>IF('Dem-Rec'!F27="","",IF(Aliment!S29="","",'Dem-Rec'!F27*Aliment!S29*7*0.01))</f>
        <v/>
      </c>
      <c r="Z29" s="400">
        <f>SUM($Y$10:Y29)</f>
        <v>8.6940000000000008</v>
      </c>
      <c r="AA29" s="387" t="str">
        <f>IF('Dem-Rec'!F27="","",IF(Aliment!T29="","",'Dem-Rec'!F27*Aliment!T29*7*0.01))</f>
        <v/>
      </c>
      <c r="AB29" s="409">
        <f>SUM($AA$10:AA29)</f>
        <v>27.205500000000001</v>
      </c>
    </row>
    <row r="30" spans="1:28" ht="24" customHeight="1" x14ac:dyDescent="0.2">
      <c r="A30" s="300">
        <f>A29+7</f>
        <v>43397</v>
      </c>
      <c r="B30" s="137">
        <f>+B29+1</f>
        <v>21</v>
      </c>
      <c r="C30" s="209"/>
      <c r="D30" s="214" t="str">
        <f>IF(C30="","",SUM($C$10:C30))</f>
        <v/>
      </c>
      <c r="E30" s="234"/>
      <c r="F30" s="204" t="str">
        <f>IF(C30="","",(SUM($C$10:C30)/$J$2))</f>
        <v/>
      </c>
      <c r="G30" s="204" t="str">
        <f>IF(C30="","",(SUM($C$10:C30)/$J$4))</f>
        <v/>
      </c>
      <c r="H30" s="220" t="str">
        <f>IF(C30="","",(SUM($C$10:C30)/$J$5))</f>
        <v/>
      </c>
      <c r="I30" s="231"/>
      <c r="J30" s="240"/>
      <c r="K30" s="241"/>
      <c r="M30" s="313">
        <f>IF(OR('Pon-Rec'!C10="",'Prod-Rec'!F11=""),0,'Pon-Rec'!C10*'Prod-Rec'!F11*7/1000)</f>
        <v>0</v>
      </c>
      <c r="N30" s="314">
        <f>IF(OR('Pon-Rec'!D10="",'Prod-Rec'!L11=""),0,'Pon-Rec'!D10*'Prod-Rec'!L11*7/1000)</f>
        <v>0</v>
      </c>
      <c r="O30" s="314">
        <f>IF(AND(M30=0,N30=0),0,M30+N30)</f>
        <v>0</v>
      </c>
      <c r="P30" s="315">
        <f>IF(O30=0,0,O30+P29)</f>
        <v>0</v>
      </c>
      <c r="Q30" s="209">
        <v>2761</v>
      </c>
      <c r="R30" s="364">
        <v>15</v>
      </c>
      <c r="S30" s="364">
        <v>0.4</v>
      </c>
      <c r="T30" s="365">
        <v>1.5</v>
      </c>
      <c r="U30" s="393" t="str">
        <f>IF('Dem-Rec'!F28="","",IF(Aliment!Q30="","",'Dem-Rec'!F28*Aliment!Q30*7*0.001))</f>
        <v/>
      </c>
      <c r="V30" s="214">
        <f>SUM($U$10:U30)</f>
        <v>5531.021999999999</v>
      </c>
      <c r="W30" s="399" t="str">
        <f>IF('Dem-Rec'!F28="","",IF(Aliment!R30="","",'Dem-Rec'!F28*Aliment!R30*7*0.01))</f>
        <v/>
      </c>
      <c r="X30" s="405">
        <f>SUM($W$10:W30)</f>
        <v>336.49</v>
      </c>
      <c r="Y30" s="386" t="str">
        <f>IF('Dem-Rec'!F28="","",IF(Aliment!S30="","",'Dem-Rec'!F28*Aliment!S30*7*0.01))</f>
        <v/>
      </c>
      <c r="Z30" s="400">
        <f>SUM($Y$10:Y30)</f>
        <v>8.6940000000000008</v>
      </c>
      <c r="AA30" s="387" t="str">
        <f>IF('Dem-Rec'!F28="","",IF(Aliment!T30="","",'Dem-Rec'!F28*Aliment!T30*7*0.01))</f>
        <v/>
      </c>
      <c r="AB30" s="409">
        <f>SUM($AA$10:AA30)</f>
        <v>27.205500000000001</v>
      </c>
    </row>
    <row r="31" spans="1:28" ht="24" customHeight="1" x14ac:dyDescent="0.2">
      <c r="A31" s="300">
        <f t="shared" ref="A31:A79" si="4">A30+7</f>
        <v>43404</v>
      </c>
      <c r="B31" s="137">
        <f t="shared" ref="B31:B79" si="5">+B30+1</f>
        <v>22</v>
      </c>
      <c r="C31" s="210"/>
      <c r="D31" s="215" t="str">
        <f>IF(C31="","",SUM($C$10:C31))</f>
        <v/>
      </c>
      <c r="E31" s="235"/>
      <c r="F31" s="205" t="str">
        <f>IF(C31="","",(SUM($C$10:C31)/$J$2))</f>
        <v/>
      </c>
      <c r="G31" s="205" t="str">
        <f>IF(C31="","",(SUM($C$10:C31)/$J$4))</f>
        <v/>
      </c>
      <c r="H31" s="221" t="str">
        <f>IF(C31="","",(SUM($C$10:C31)/$J$5))</f>
        <v/>
      </c>
      <c r="I31" s="231"/>
      <c r="J31" s="240"/>
      <c r="K31" s="241"/>
      <c r="M31" s="313">
        <f>IF(OR('Pon-Rec'!C11="",'Prod-Rec'!F12=""),0,'Pon-Rec'!C11*'Prod-Rec'!F12*7/1000)</f>
        <v>0</v>
      </c>
      <c r="N31" s="314">
        <f>IF(OR('Pon-Rec'!D11="",'Prod-Rec'!L12=""),0,'Pon-Rec'!D11*'Prod-Rec'!L12*7/1000)</f>
        <v>0</v>
      </c>
      <c r="O31" s="314">
        <f>IF(AND(M31=0,N31=0),0,M31+N31)</f>
        <v>0</v>
      </c>
      <c r="P31" s="315">
        <f>IF(O31=0,0,O31+P30)</f>
        <v>0</v>
      </c>
      <c r="Q31" s="209">
        <v>2761</v>
      </c>
      <c r="R31" s="364">
        <v>15</v>
      </c>
      <c r="S31" s="364">
        <v>0.4</v>
      </c>
      <c r="T31" s="367">
        <v>1.5</v>
      </c>
      <c r="U31" s="394" t="str">
        <f>IF('Dem-Rec'!F29="","",IF(Aliment!Q31="","",'Dem-Rec'!F29*Aliment!Q31*7*0.001))</f>
        <v/>
      </c>
      <c r="V31" s="214">
        <f>SUM($U$10:U31)</f>
        <v>5531.021999999999</v>
      </c>
      <c r="W31" s="401" t="str">
        <f>IF('Dem-Rec'!F29="","",IF(Aliment!R31="","",'Dem-Rec'!F29*Aliment!R31*7*0.01))</f>
        <v/>
      </c>
      <c r="X31" s="406">
        <f>SUM($W$10:W31)</f>
        <v>336.49</v>
      </c>
      <c r="Y31" s="388" t="str">
        <f>IF('Dem-Rec'!F29="","",IF(Aliment!S31="","",'Dem-Rec'!F29*Aliment!S31*7*0.01))</f>
        <v/>
      </c>
      <c r="Z31" s="402">
        <f>SUM($Y$10:Y31)</f>
        <v>8.6940000000000008</v>
      </c>
      <c r="AA31" s="389" t="str">
        <f>IF('Dem-Rec'!F29="","",IF(Aliment!T31="","",'Dem-Rec'!F29*Aliment!T31*7*0.01))</f>
        <v/>
      </c>
      <c r="AB31" s="410">
        <f>SUM($AA$10:AA31)</f>
        <v>27.205500000000001</v>
      </c>
    </row>
    <row r="32" spans="1:28" ht="24" customHeight="1" x14ac:dyDescent="0.2">
      <c r="A32" s="300">
        <f t="shared" si="4"/>
        <v>43411</v>
      </c>
      <c r="B32" s="137">
        <f t="shared" si="5"/>
        <v>23</v>
      </c>
      <c r="C32" s="210"/>
      <c r="D32" s="215" t="str">
        <f>IF(C32="","",SUM($C$10:C32))</f>
        <v/>
      </c>
      <c r="E32" s="215" t="str">
        <f>IF(C32="","",SUM($C$32:C32))</f>
        <v/>
      </c>
      <c r="F32" s="205" t="str">
        <f>IF(C32="","",(SUM($C$10:C32)/$J$2))</f>
        <v/>
      </c>
      <c r="G32" s="222"/>
      <c r="H32" s="223"/>
      <c r="I32" s="232"/>
      <c r="J32" s="242"/>
      <c r="K32" s="243"/>
      <c r="M32" s="313">
        <f>IF(OR('Pon-Rec'!C12="",'Prod-Rec'!F13=""),0,'Pon-Rec'!C12*'Prod-Rec'!F13*7/1000)</f>
        <v>0</v>
      </c>
      <c r="N32" s="314">
        <f>IF(OR('Pon-Rec'!D12="",'Prod-Rec'!L13=""),0,'Pon-Rec'!D12*'Prod-Rec'!L13*7/1000)</f>
        <v>0</v>
      </c>
      <c r="O32" s="314">
        <f t="shared" ref="O32:O79" si="6">IF(AND(M32=0,N32=0),0,M32+N32)</f>
        <v>0</v>
      </c>
      <c r="P32" s="315">
        <f t="shared" ref="P32:P79" si="7">IF(O32=0,0,O32+P31)</f>
        <v>0</v>
      </c>
      <c r="Q32" s="209">
        <v>2761</v>
      </c>
      <c r="R32" s="364">
        <v>15</v>
      </c>
      <c r="S32" s="366">
        <v>0.4</v>
      </c>
      <c r="T32" s="367">
        <v>1.5</v>
      </c>
      <c r="U32" s="394" t="str">
        <f>IF('Dem-Rec'!F30="","",IF(Aliment!Q32="","",'Dem-Rec'!F30*Aliment!Q32*7*0.001))</f>
        <v/>
      </c>
      <c r="V32" s="214">
        <f>SUM($U$10:U32)</f>
        <v>5531.021999999999</v>
      </c>
      <c r="W32" s="401" t="str">
        <f>IF('Dem-Rec'!F30="","",IF(Aliment!R32="","",'Dem-Rec'!F30*Aliment!R32*7*0.01))</f>
        <v/>
      </c>
      <c r="X32" s="406">
        <f>SUM($W$10:W32)</f>
        <v>336.49</v>
      </c>
      <c r="Y32" s="388" t="str">
        <f>IF('Dem-Rec'!F30="","",IF(Aliment!S32="","",'Dem-Rec'!F30*Aliment!S32*7*0.01))</f>
        <v/>
      </c>
      <c r="Z32" s="402">
        <f>SUM($Y$10:Y32)</f>
        <v>8.6940000000000008</v>
      </c>
      <c r="AA32" s="389" t="str">
        <f>IF('Dem-Rec'!F30="","",IF(Aliment!T32="","",'Dem-Rec'!F30*Aliment!T32*7*0.01))</f>
        <v/>
      </c>
      <c r="AB32" s="410">
        <f>SUM($AA$10:AA32)</f>
        <v>27.205500000000001</v>
      </c>
    </row>
    <row r="33" spans="1:28" ht="24" customHeight="1" thickBot="1" x14ac:dyDescent="0.25">
      <c r="A33" s="300">
        <f t="shared" si="4"/>
        <v>43418</v>
      </c>
      <c r="B33" s="137">
        <f t="shared" si="5"/>
        <v>24</v>
      </c>
      <c r="C33" s="210"/>
      <c r="D33" s="215" t="str">
        <f>IF(C33="","",SUM($C$10:C33))</f>
        <v/>
      </c>
      <c r="E33" s="215" t="str">
        <f>IF(C33="","",SUM($C$32:C33))</f>
        <v/>
      </c>
      <c r="F33" s="205" t="str">
        <f>IF(C33="","",(SUM($C$10:C33)/$J$2))</f>
        <v/>
      </c>
      <c r="G33" s="224"/>
      <c r="H33" s="225"/>
      <c r="I33" s="205" t="str">
        <f>IF(C33="","",SUM($C$32:C33)/$F$4)</f>
        <v/>
      </c>
      <c r="J33" s="244" t="str">
        <f>IF(C33="","",IF('Pon-Rec'!M13="","",SUM($C$32:C33)/'Pon-Rec'!M13))</f>
        <v/>
      </c>
      <c r="K33" s="245" t="str">
        <f>IF(C33="","",IF(Inc!K13="","",SUM($C$32:C33)/Inc!K13))</f>
        <v/>
      </c>
      <c r="M33" s="313">
        <f>IF(OR('Pon-Rec'!C13="",'Prod-Rec'!F14=""),0,'Pon-Rec'!C13*'Prod-Rec'!F14*7/1000)</f>
        <v>0</v>
      </c>
      <c r="N33" s="314">
        <f>IF(OR('Pon-Rec'!D13="",'Prod-Rec'!L14=""),0,'Pon-Rec'!D13*'Prod-Rec'!L14*7/1000)</f>
        <v>0</v>
      </c>
      <c r="O33" s="314">
        <f t="shared" si="6"/>
        <v>0</v>
      </c>
      <c r="P33" s="315">
        <f t="shared" si="7"/>
        <v>0</v>
      </c>
      <c r="Q33" s="209">
        <v>2761</v>
      </c>
      <c r="R33" s="364">
        <v>15</v>
      </c>
      <c r="S33" s="368">
        <v>0.4</v>
      </c>
      <c r="T33" s="369">
        <v>1.5</v>
      </c>
      <c r="U33" s="395" t="str">
        <f>IF('Dem-Rec'!F31="","",IF(Aliment!Q33="","",'Dem-Rec'!F31*Aliment!Q33*7*0.001))</f>
        <v/>
      </c>
      <c r="V33" s="396">
        <f>SUM($U$10:U33)</f>
        <v>5531.021999999999</v>
      </c>
      <c r="W33" s="403" t="str">
        <f>IF('Dem-Rec'!F31="","",IF(Aliment!R33="","",'Dem-Rec'!F31*Aliment!R33*7*0.01))</f>
        <v/>
      </c>
      <c r="X33" s="396">
        <f>SUM($W$10:W33)</f>
        <v>336.49</v>
      </c>
      <c r="Y33" s="390" t="str">
        <f>IF('Dem-Rec'!F31="","",IF(Aliment!S33="","",'Dem-Rec'!F31*Aliment!S33*7*0.01))</f>
        <v/>
      </c>
      <c r="Z33" s="404">
        <f>SUM($Y$10:Y33)</f>
        <v>8.6940000000000008</v>
      </c>
      <c r="AA33" s="391" t="str">
        <f>IF('Dem-Rec'!F31="","",IF(Aliment!T33="","",'Dem-Rec'!F31*Aliment!T33*7*0.01))</f>
        <v/>
      </c>
      <c r="AB33" s="411">
        <f>SUM($AA$10:AA33)</f>
        <v>27.205500000000001</v>
      </c>
    </row>
    <row r="34" spans="1:28" ht="24" customHeight="1" thickTop="1" x14ac:dyDescent="0.2">
      <c r="A34" s="300">
        <f t="shared" si="4"/>
        <v>43425</v>
      </c>
      <c r="B34" s="137">
        <f t="shared" si="5"/>
        <v>25</v>
      </c>
      <c r="C34" s="210"/>
      <c r="D34" s="215" t="str">
        <f>IF(C34="","",SUM($C$10:C34))</f>
        <v/>
      </c>
      <c r="E34" s="215" t="str">
        <f>IF(C34="","",SUM($C$32:C34))</f>
        <v/>
      </c>
      <c r="F34" s="205" t="str">
        <f>IF(C34="","",(SUM($C$10:C34)/$J$2))</f>
        <v/>
      </c>
      <c r="G34" s="224"/>
      <c r="H34" s="225"/>
      <c r="I34" s="205" t="str">
        <f>IF(C34="","",SUM($C$32:C34)/$F$4)</f>
        <v/>
      </c>
      <c r="J34" s="244" t="str">
        <f>IF(C34="","",IF('Pon-Rec'!M14="","",SUM($C$32:C34)/'Pon-Rec'!M14))</f>
        <v/>
      </c>
      <c r="K34" s="245" t="str">
        <f>IF(C34="","",IF(Inc!K14="","",SUM($C$32:C34)/Inc!K14))</f>
        <v/>
      </c>
      <c r="M34" s="313">
        <f>IF(OR('Pon-Rec'!C14="",'Prod-Rec'!F15=""),0,'Pon-Rec'!C14*'Prod-Rec'!F15*7/1000)</f>
        <v>0</v>
      </c>
      <c r="N34" s="314">
        <f>IF(OR('Pon-Rec'!D14="",'Prod-Rec'!L15=""),0,'Pon-Rec'!D14*'Prod-Rec'!L15*7/1000)</f>
        <v>0</v>
      </c>
      <c r="O34" s="314">
        <f t="shared" si="6"/>
        <v>0</v>
      </c>
      <c r="P34" s="315">
        <f t="shared" si="7"/>
        <v>0</v>
      </c>
    </row>
    <row r="35" spans="1:28" ht="24" customHeight="1" x14ac:dyDescent="0.2">
      <c r="A35" s="300">
        <f t="shared" si="4"/>
        <v>43432</v>
      </c>
      <c r="B35" s="137">
        <f t="shared" si="5"/>
        <v>26</v>
      </c>
      <c r="C35" s="210"/>
      <c r="D35" s="215" t="str">
        <f>IF(C35="","",SUM($C$10:C35))</f>
        <v/>
      </c>
      <c r="E35" s="215" t="str">
        <f>IF(C35="","",SUM($C$32:C35))</f>
        <v/>
      </c>
      <c r="F35" s="205" t="str">
        <f>IF(C35="","",(SUM($C$10:C35)/$J$2))</f>
        <v/>
      </c>
      <c r="G35" s="224"/>
      <c r="H35" s="225"/>
      <c r="I35" s="205" t="str">
        <f>IF(C35="","",SUM($C$32:C35)/$F$4)</f>
        <v/>
      </c>
      <c r="J35" s="244" t="str">
        <f>IF(C35="","",IF('Pon-Rec'!M15="","",SUM($C$32:C35)/'Pon-Rec'!M15))</f>
        <v/>
      </c>
      <c r="K35" s="245" t="str">
        <f>IF(C35="","",IF(Inc!K15="","",SUM($C$32:C35)/Inc!K15))</f>
        <v/>
      </c>
      <c r="M35" s="313">
        <f>IF(OR('Pon-Rec'!C15="",'Prod-Rec'!F16=""),0,'Pon-Rec'!C15*'Prod-Rec'!F16*7/1000)</f>
        <v>0</v>
      </c>
      <c r="N35" s="314">
        <f>IF(OR('Pon-Rec'!D15="",'Prod-Rec'!L16=""),0,'Pon-Rec'!D15*'Prod-Rec'!L16*7/1000)</f>
        <v>0</v>
      </c>
      <c r="O35" s="314">
        <f t="shared" si="6"/>
        <v>0</v>
      </c>
      <c r="P35" s="315">
        <f t="shared" si="7"/>
        <v>0</v>
      </c>
    </row>
    <row r="36" spans="1:28" ht="24" customHeight="1" x14ac:dyDescent="0.2">
      <c r="A36" s="300">
        <f t="shared" si="4"/>
        <v>43439</v>
      </c>
      <c r="B36" s="137">
        <f t="shared" si="5"/>
        <v>27</v>
      </c>
      <c r="C36" s="210"/>
      <c r="D36" s="215" t="str">
        <f>IF(C36="","",SUM($C$10:C36))</f>
        <v/>
      </c>
      <c r="E36" s="215" t="str">
        <f>IF(C36="","",SUM($C$32:C36))</f>
        <v/>
      </c>
      <c r="F36" s="205" t="str">
        <f>IF(C36="","",(SUM($C$10:C36)/$J$2))</f>
        <v/>
      </c>
      <c r="G36" s="224"/>
      <c r="H36" s="225"/>
      <c r="I36" s="205" t="str">
        <f>IF(C36="","",SUM($C$32:C36)/$F$4)</f>
        <v/>
      </c>
      <c r="J36" s="244" t="str">
        <f>IF(C36="","",IF('Pon-Rec'!M16="","",SUM($C$32:C36)/'Pon-Rec'!M16))</f>
        <v/>
      </c>
      <c r="K36" s="245" t="str">
        <f>IF(C36="","",IF(Inc!K16="","",SUM($C$32:C36)/Inc!K16))</f>
        <v/>
      </c>
      <c r="M36" s="313">
        <f>IF(OR('Pon-Rec'!C16="",'Prod-Rec'!F17=""),0,'Pon-Rec'!C16*'Prod-Rec'!F17*7/1000)</f>
        <v>0</v>
      </c>
      <c r="N36" s="314">
        <f>IF(OR('Pon-Rec'!D16="",'Prod-Rec'!L17=""),0,'Pon-Rec'!D16*'Prod-Rec'!L17*7/1000)</f>
        <v>0</v>
      </c>
      <c r="O36" s="314">
        <f t="shared" si="6"/>
        <v>0</v>
      </c>
      <c r="P36" s="315">
        <f t="shared" si="7"/>
        <v>0</v>
      </c>
    </row>
    <row r="37" spans="1:28" ht="24" customHeight="1" x14ac:dyDescent="0.2">
      <c r="A37" s="300">
        <f t="shared" si="4"/>
        <v>43446</v>
      </c>
      <c r="B37" s="137">
        <f t="shared" si="5"/>
        <v>28</v>
      </c>
      <c r="C37" s="210"/>
      <c r="D37" s="215" t="str">
        <f>IF(C37="","",SUM($C$10:C37))</f>
        <v/>
      </c>
      <c r="E37" s="215" t="str">
        <f>IF(C37="","",SUM($C$32:C37))</f>
        <v/>
      </c>
      <c r="F37" s="205" t="str">
        <f>IF(C37="","",(SUM($C$10:C37)/$J$2))</f>
        <v/>
      </c>
      <c r="G37" s="224"/>
      <c r="H37" s="225"/>
      <c r="I37" s="205" t="str">
        <f>IF(C37="","",SUM($C$32:C37)/$F$4)</f>
        <v/>
      </c>
      <c r="J37" s="244" t="str">
        <f>IF(C37="","",IF('Pon-Rec'!M17="","",SUM($C$32:C37)/'Pon-Rec'!M17))</f>
        <v/>
      </c>
      <c r="K37" s="245" t="str">
        <f>IF(C37="","",IF(Inc!K17="","",SUM($C$32:C37)/Inc!K17))</f>
        <v/>
      </c>
      <c r="M37" s="313">
        <f>IF(OR('Pon-Rec'!C17="",'Prod-Rec'!F18=""),0,'Pon-Rec'!C17*'Prod-Rec'!F18*7/1000)</f>
        <v>0</v>
      </c>
      <c r="N37" s="314">
        <f>IF(OR('Pon-Rec'!D17="",'Prod-Rec'!L18=""),0,'Pon-Rec'!D17*'Prod-Rec'!L18*7/1000)</f>
        <v>0</v>
      </c>
      <c r="O37" s="314">
        <f t="shared" si="6"/>
        <v>0</v>
      </c>
      <c r="P37" s="315">
        <f t="shared" si="7"/>
        <v>0</v>
      </c>
    </row>
    <row r="38" spans="1:28" ht="24" customHeight="1" x14ac:dyDescent="0.2">
      <c r="A38" s="300">
        <f t="shared" si="4"/>
        <v>43453</v>
      </c>
      <c r="B38" s="137">
        <f t="shared" si="5"/>
        <v>29</v>
      </c>
      <c r="C38" s="210"/>
      <c r="D38" s="215" t="str">
        <f>IF(C38="","",SUM($C$10:C38))</f>
        <v/>
      </c>
      <c r="E38" s="215" t="str">
        <f>IF(C38="","",SUM($C$32:C38))</f>
        <v/>
      </c>
      <c r="F38" s="205" t="str">
        <f>IF(C38="","",(SUM($C$10:C38)/$J$2))</f>
        <v/>
      </c>
      <c r="G38" s="224"/>
      <c r="H38" s="225"/>
      <c r="I38" s="205" t="str">
        <f>IF(C38="","",SUM($C$32:C38)/$F$4)</f>
        <v/>
      </c>
      <c r="J38" s="244" t="str">
        <f>IF(C38="","",IF('Pon-Rec'!M18="","",SUM($C$32:C38)/'Pon-Rec'!M18))</f>
        <v/>
      </c>
      <c r="K38" s="245" t="str">
        <f>IF(C38="","",IF(Inc!K18="","",SUM($C$32:C38)/Inc!K18))</f>
        <v/>
      </c>
      <c r="M38" s="313">
        <f>IF(OR('Pon-Rec'!C18="",'Prod-Rec'!F19=""),0,'Pon-Rec'!C18*'Prod-Rec'!F19*7/1000)</f>
        <v>0</v>
      </c>
      <c r="N38" s="314">
        <f>IF(OR('Pon-Rec'!D18="",'Prod-Rec'!L19=""),0,'Pon-Rec'!D18*'Prod-Rec'!L19*7/1000)</f>
        <v>0</v>
      </c>
      <c r="O38" s="314">
        <f t="shared" si="6"/>
        <v>0</v>
      </c>
      <c r="P38" s="315">
        <f t="shared" si="7"/>
        <v>0</v>
      </c>
    </row>
    <row r="39" spans="1:28" ht="24" customHeight="1" x14ac:dyDescent="0.2">
      <c r="A39" s="300">
        <f t="shared" si="4"/>
        <v>43460</v>
      </c>
      <c r="B39" s="137">
        <f t="shared" si="5"/>
        <v>30</v>
      </c>
      <c r="C39" s="210"/>
      <c r="D39" s="215" t="str">
        <f>IF(C39="","",SUM($C$10:C39))</f>
        <v/>
      </c>
      <c r="E39" s="215" t="str">
        <f>IF(C39="","",SUM($C$32:C39))</f>
        <v/>
      </c>
      <c r="F39" s="205" t="str">
        <f>IF(C39="","",(SUM($C$10:C39)/$J$2))</f>
        <v/>
      </c>
      <c r="G39" s="224"/>
      <c r="H39" s="225"/>
      <c r="I39" s="205" t="str">
        <f>IF(C39="","",SUM($C$32:C39)/$F$4)</f>
        <v/>
      </c>
      <c r="J39" s="244" t="str">
        <f>IF(C39="","",IF('Pon-Rec'!M19="","",SUM($C$32:C39)/'Pon-Rec'!M19))</f>
        <v/>
      </c>
      <c r="K39" s="245" t="str">
        <f>IF(C39="","",IF(Inc!K19="","",SUM($C$32:C39)/Inc!K19))</f>
        <v/>
      </c>
      <c r="M39" s="313">
        <f>IF(OR('Pon-Rec'!C19="",'Prod-Rec'!F20=""),0,'Pon-Rec'!C19*'Prod-Rec'!F20*7/1000)</f>
        <v>0</v>
      </c>
      <c r="N39" s="314">
        <f>IF(OR('Pon-Rec'!D19="",'Prod-Rec'!L20=""),0,'Pon-Rec'!D19*'Prod-Rec'!L20*7/1000)</f>
        <v>0</v>
      </c>
      <c r="O39" s="314">
        <f t="shared" si="6"/>
        <v>0</v>
      </c>
      <c r="P39" s="315">
        <f t="shared" si="7"/>
        <v>0</v>
      </c>
    </row>
    <row r="40" spans="1:28" ht="24" customHeight="1" x14ac:dyDescent="0.2">
      <c r="A40" s="300">
        <f t="shared" si="4"/>
        <v>43467</v>
      </c>
      <c r="B40" s="137">
        <f t="shared" si="5"/>
        <v>31</v>
      </c>
      <c r="C40" s="210"/>
      <c r="D40" s="215" t="str">
        <f>IF(C40="","",SUM($C$10:C40))</f>
        <v/>
      </c>
      <c r="E40" s="215" t="str">
        <f>IF(C40="","",SUM($C$32:C40))</f>
        <v/>
      </c>
      <c r="F40" s="205" t="str">
        <f>IF(C40="","",(SUM($C$10:C40)/$J$2))</f>
        <v/>
      </c>
      <c r="G40" s="224"/>
      <c r="H40" s="225"/>
      <c r="I40" s="205" t="str">
        <f>IF(C40="","",SUM($C$32:C40)/$F$4)</f>
        <v/>
      </c>
      <c r="J40" s="244" t="str">
        <f>IF(C40="","",IF('Pon-Rec'!M20="","",SUM($C$32:C40)/'Pon-Rec'!M20))</f>
        <v/>
      </c>
      <c r="K40" s="245" t="str">
        <f>IF(C40="","",IF(Inc!K20="","",SUM($C$32:C40)/Inc!K20))</f>
        <v/>
      </c>
      <c r="M40" s="313">
        <f>IF(OR('Pon-Rec'!C20="",'Prod-Rec'!F21=""),0,'Pon-Rec'!C20*'Prod-Rec'!F21*7/1000)</f>
        <v>0</v>
      </c>
      <c r="N40" s="314">
        <f>IF(OR('Pon-Rec'!D20="",'Prod-Rec'!L21=""),0,'Pon-Rec'!D20*'Prod-Rec'!L21*7/1000)</f>
        <v>0</v>
      </c>
      <c r="O40" s="314">
        <f t="shared" si="6"/>
        <v>0</v>
      </c>
      <c r="P40" s="315">
        <f t="shared" si="7"/>
        <v>0</v>
      </c>
    </row>
    <row r="41" spans="1:28" ht="24" customHeight="1" x14ac:dyDescent="0.2">
      <c r="A41" s="300">
        <f t="shared" si="4"/>
        <v>43474</v>
      </c>
      <c r="B41" s="137">
        <f t="shared" si="5"/>
        <v>32</v>
      </c>
      <c r="C41" s="210"/>
      <c r="D41" s="215" t="str">
        <f>IF(C41="","",SUM($C$10:C41))</f>
        <v/>
      </c>
      <c r="E41" s="215" t="str">
        <f>IF(C41="","",SUM($C$32:C41))</f>
        <v/>
      </c>
      <c r="F41" s="205" t="str">
        <f>IF(C41="","",(SUM($C$10:C41)/$J$2))</f>
        <v/>
      </c>
      <c r="G41" s="224"/>
      <c r="H41" s="225"/>
      <c r="I41" s="205" t="str">
        <f>IF(C41="","",SUM($C$32:C41)/$F$4)</f>
        <v/>
      </c>
      <c r="J41" s="244" t="str">
        <f>IF(C41="","",IF('Pon-Rec'!M21="","",SUM($C$32:C41)/'Pon-Rec'!M21))</f>
        <v/>
      </c>
      <c r="K41" s="245" t="str">
        <f>IF(C41="","",IF(Inc!K21="","",SUM($C$32:C41)/Inc!K21))</f>
        <v/>
      </c>
      <c r="M41" s="313">
        <f>IF(OR('Pon-Rec'!C21="",'Prod-Rec'!F22=""),0,'Pon-Rec'!C21*'Prod-Rec'!F22*7/1000)</f>
        <v>0</v>
      </c>
      <c r="N41" s="314">
        <f>IF(OR('Pon-Rec'!D21="",'Prod-Rec'!L22=""),0,'Pon-Rec'!D21*'Prod-Rec'!L22*7/1000)</f>
        <v>0</v>
      </c>
      <c r="O41" s="314">
        <f t="shared" si="6"/>
        <v>0</v>
      </c>
      <c r="P41" s="315">
        <f t="shared" si="7"/>
        <v>0</v>
      </c>
    </row>
    <row r="42" spans="1:28" ht="24" customHeight="1" x14ac:dyDescent="0.2">
      <c r="A42" s="300">
        <f t="shared" si="4"/>
        <v>43481</v>
      </c>
      <c r="B42" s="137">
        <f t="shared" si="5"/>
        <v>33</v>
      </c>
      <c r="C42" s="210"/>
      <c r="D42" s="215" t="str">
        <f>IF(C42="","",SUM($C$10:C42))</f>
        <v/>
      </c>
      <c r="E42" s="215" t="str">
        <f>IF(C42="","",SUM($C$32:C42))</f>
        <v/>
      </c>
      <c r="F42" s="205" t="str">
        <f>IF(C42="","",(SUM($C$10:C42)/$J$2))</f>
        <v/>
      </c>
      <c r="G42" s="224"/>
      <c r="H42" s="225"/>
      <c r="I42" s="205" t="str">
        <f>IF(C42="","",SUM($C$32:C42)/$F$4)</f>
        <v/>
      </c>
      <c r="J42" s="244" t="str">
        <f>IF(C42="","",IF('Pon-Rec'!M22="","",SUM($C$32:C42)/'Pon-Rec'!M22))</f>
        <v/>
      </c>
      <c r="K42" s="245" t="str">
        <f>IF(C42="","",IF(Inc!K22="","",SUM($C$32:C42)/Inc!K22))</f>
        <v/>
      </c>
      <c r="M42" s="313">
        <f>IF(OR('Pon-Rec'!C22="",'Prod-Rec'!F23=""),0,'Pon-Rec'!C22*'Prod-Rec'!F23*7/1000)</f>
        <v>0</v>
      </c>
      <c r="N42" s="314">
        <f>IF(OR('Pon-Rec'!D22="",'Prod-Rec'!L23=""),0,'Pon-Rec'!D22*'Prod-Rec'!L23*7/1000)</f>
        <v>0</v>
      </c>
      <c r="O42" s="314">
        <f t="shared" si="6"/>
        <v>0</v>
      </c>
      <c r="P42" s="315">
        <f t="shared" si="7"/>
        <v>0</v>
      </c>
    </row>
    <row r="43" spans="1:28" ht="24" customHeight="1" x14ac:dyDescent="0.2">
      <c r="A43" s="300">
        <f t="shared" si="4"/>
        <v>43488</v>
      </c>
      <c r="B43" s="137">
        <f t="shared" si="5"/>
        <v>34</v>
      </c>
      <c r="C43" s="210"/>
      <c r="D43" s="215" t="str">
        <f>IF(C43="","",SUM($C$10:C43))</f>
        <v/>
      </c>
      <c r="E43" s="215" t="str">
        <f>IF(C43="","",SUM($C$32:C43))</f>
        <v/>
      </c>
      <c r="F43" s="205" t="str">
        <f>IF(C43="","",(SUM($C$10:C43)/$J$2))</f>
        <v/>
      </c>
      <c r="G43" s="224"/>
      <c r="H43" s="225"/>
      <c r="I43" s="205" t="str">
        <f>IF(C43="","",SUM($C$32:C43)/$F$4)</f>
        <v/>
      </c>
      <c r="J43" s="244" t="str">
        <f>IF(C43="","",IF('Pon-Rec'!M23="","",SUM($C$32:C43)/'Pon-Rec'!M23))</f>
        <v/>
      </c>
      <c r="K43" s="245" t="str">
        <f>IF(C43="","",IF(Inc!K23="","",SUM($C$32:C43)/Inc!K23))</f>
        <v/>
      </c>
      <c r="M43" s="313">
        <f>IF(OR('Pon-Rec'!C23="",'Prod-Rec'!F24=""),0,'Pon-Rec'!C23*'Prod-Rec'!F24*7/1000)</f>
        <v>0</v>
      </c>
      <c r="N43" s="314">
        <f>IF(OR('Pon-Rec'!D23="",'Prod-Rec'!L24=""),0,'Pon-Rec'!D23*'Prod-Rec'!L24*7/1000)</f>
        <v>0</v>
      </c>
      <c r="O43" s="314">
        <f t="shared" si="6"/>
        <v>0</v>
      </c>
      <c r="P43" s="315">
        <f t="shared" si="7"/>
        <v>0</v>
      </c>
    </row>
    <row r="44" spans="1:28" ht="24" customHeight="1" x14ac:dyDescent="0.2">
      <c r="A44" s="300">
        <f t="shared" si="4"/>
        <v>43495</v>
      </c>
      <c r="B44" s="137">
        <f t="shared" si="5"/>
        <v>35</v>
      </c>
      <c r="C44" s="210"/>
      <c r="D44" s="215" t="str">
        <f>IF(C44="","",SUM($C$10:C44))</f>
        <v/>
      </c>
      <c r="E44" s="215" t="str">
        <f>IF(C44="","",SUM($C$32:C44))</f>
        <v/>
      </c>
      <c r="F44" s="205" t="str">
        <f>IF(C44="","",(SUM($C$10:C44)/$J$2))</f>
        <v/>
      </c>
      <c r="G44" s="224"/>
      <c r="H44" s="225"/>
      <c r="I44" s="205" t="str">
        <f>IF(C44="","",SUM($C$32:C44)/$F$4)</f>
        <v/>
      </c>
      <c r="J44" s="244" t="str">
        <f>IF(C44="","",IF('Pon-Rec'!M24="","",SUM($C$32:C44)/'Pon-Rec'!M24))</f>
        <v/>
      </c>
      <c r="K44" s="245" t="str">
        <f>IF(C44="","",IF(Inc!K24="","",SUM($C$32:C44)/Inc!K24))</f>
        <v/>
      </c>
      <c r="M44" s="313">
        <f>IF(OR('Pon-Rec'!C24="",'Prod-Rec'!F25=""),0,'Pon-Rec'!C24*'Prod-Rec'!F25*7/1000)</f>
        <v>0</v>
      </c>
      <c r="N44" s="314">
        <f>IF(OR('Pon-Rec'!D24="",'Prod-Rec'!L25=""),0,'Pon-Rec'!D24*'Prod-Rec'!L25*7/1000)</f>
        <v>0</v>
      </c>
      <c r="O44" s="314">
        <f t="shared" si="6"/>
        <v>0</v>
      </c>
      <c r="P44" s="315">
        <f t="shared" si="7"/>
        <v>0</v>
      </c>
    </row>
    <row r="45" spans="1:28" ht="24" customHeight="1" x14ac:dyDescent="0.2">
      <c r="A45" s="300">
        <f t="shared" si="4"/>
        <v>43502</v>
      </c>
      <c r="B45" s="137">
        <f t="shared" si="5"/>
        <v>36</v>
      </c>
      <c r="C45" s="210"/>
      <c r="D45" s="215" t="str">
        <f>IF(C45="","",SUM($C$10:C45))</f>
        <v/>
      </c>
      <c r="E45" s="215" t="str">
        <f>IF(C45="","",SUM($C$32:C45))</f>
        <v/>
      </c>
      <c r="F45" s="205" t="str">
        <f>IF(C45="","",(SUM($C$10:C45)/$J$2))</f>
        <v/>
      </c>
      <c r="G45" s="224"/>
      <c r="H45" s="225"/>
      <c r="I45" s="205" t="str">
        <f>IF(C45="","",SUM($C$32:C45)/$F$4)</f>
        <v/>
      </c>
      <c r="J45" s="244" t="str">
        <f>IF(C45="","",IF('Pon-Rec'!M25="","",SUM($C$32:C45)/'Pon-Rec'!M25))</f>
        <v/>
      </c>
      <c r="K45" s="245" t="str">
        <f>IF(C45="","",IF(Inc!K25="","",SUM($C$32:C45)/Inc!K25))</f>
        <v/>
      </c>
      <c r="M45" s="313">
        <f>IF(OR('Pon-Rec'!C25="",'Prod-Rec'!F26=""),0,'Pon-Rec'!C25*'Prod-Rec'!F26*7/1000)</f>
        <v>0</v>
      </c>
      <c r="N45" s="314">
        <f>IF(OR('Pon-Rec'!D25="",'Prod-Rec'!L26=""),0,'Pon-Rec'!D25*'Prod-Rec'!L26*7/1000)</f>
        <v>0</v>
      </c>
      <c r="O45" s="314">
        <f t="shared" si="6"/>
        <v>0</v>
      </c>
      <c r="P45" s="315">
        <f t="shared" si="7"/>
        <v>0</v>
      </c>
    </row>
    <row r="46" spans="1:28" ht="24" customHeight="1" x14ac:dyDescent="0.2">
      <c r="A46" s="300">
        <f t="shared" si="4"/>
        <v>43509</v>
      </c>
      <c r="B46" s="137">
        <f t="shared" si="5"/>
        <v>37</v>
      </c>
      <c r="C46" s="210"/>
      <c r="D46" s="215" t="str">
        <f>IF(C46="","",SUM($C$10:C46))</f>
        <v/>
      </c>
      <c r="E46" s="215" t="str">
        <f>IF(C46="","",SUM($C$32:C46))</f>
        <v/>
      </c>
      <c r="F46" s="205" t="str">
        <f>IF(C46="","",(SUM($C$10:C46)/$J$2))</f>
        <v/>
      </c>
      <c r="G46" s="224"/>
      <c r="H46" s="225"/>
      <c r="I46" s="205" t="str">
        <f>IF(C46="","",SUM($C$32:C46)/$F$4)</f>
        <v/>
      </c>
      <c r="J46" s="244" t="str">
        <f>IF(C46="","",IF('Pon-Rec'!M26="","",SUM($C$32:C46)/'Pon-Rec'!M26))</f>
        <v/>
      </c>
      <c r="K46" s="245" t="str">
        <f>IF(C46="","",IF(Inc!K26="","",SUM($C$32:C46)/Inc!K26))</f>
        <v/>
      </c>
      <c r="M46" s="313">
        <f>IF(OR('Pon-Rec'!C26="",'Prod-Rec'!F27=""),0,'Pon-Rec'!C26*'Prod-Rec'!F27*7/1000)</f>
        <v>0</v>
      </c>
      <c r="N46" s="314">
        <f>IF(OR('Pon-Rec'!D26="",'Prod-Rec'!L27=""),0,'Pon-Rec'!D26*'Prod-Rec'!L27*7/1000)</f>
        <v>0</v>
      </c>
      <c r="O46" s="314">
        <f t="shared" si="6"/>
        <v>0</v>
      </c>
      <c r="P46" s="315">
        <f t="shared" si="7"/>
        <v>0</v>
      </c>
    </row>
    <row r="47" spans="1:28" ht="24" customHeight="1" x14ac:dyDescent="0.2">
      <c r="A47" s="300">
        <f t="shared" si="4"/>
        <v>43516</v>
      </c>
      <c r="B47" s="137">
        <f t="shared" si="5"/>
        <v>38</v>
      </c>
      <c r="C47" s="210"/>
      <c r="D47" s="215" t="str">
        <f>IF(C47="","",SUM($C$10:C47))</f>
        <v/>
      </c>
      <c r="E47" s="215" t="str">
        <f>IF(C47="","",SUM($C$32:C47))</f>
        <v/>
      </c>
      <c r="F47" s="205" t="str">
        <f>IF(C47="","",(SUM($C$10:C47)/$J$2))</f>
        <v/>
      </c>
      <c r="G47" s="224"/>
      <c r="H47" s="225"/>
      <c r="I47" s="205" t="str">
        <f>IF(C47="","",SUM($C$32:C47)/$F$4)</f>
        <v/>
      </c>
      <c r="J47" s="244" t="str">
        <f>IF(C47="","",IF('Pon-Rec'!M27="","",SUM($C$32:C47)/'Pon-Rec'!M27))</f>
        <v/>
      </c>
      <c r="K47" s="245" t="str">
        <f>IF(C47="","",IF(Inc!K27="","",SUM($C$32:C47)/Inc!K27))</f>
        <v/>
      </c>
      <c r="M47" s="313">
        <f>IF(OR('Pon-Rec'!C27="",'Prod-Rec'!F28=""),0,'Pon-Rec'!C27*'Prod-Rec'!F28*7/1000)</f>
        <v>0</v>
      </c>
      <c r="N47" s="314">
        <f>IF(OR('Pon-Rec'!D27="",'Prod-Rec'!L28=""),0,'Pon-Rec'!D27*'Prod-Rec'!L28*7/1000)</f>
        <v>0</v>
      </c>
      <c r="O47" s="314">
        <f t="shared" si="6"/>
        <v>0</v>
      </c>
      <c r="P47" s="315">
        <f t="shared" si="7"/>
        <v>0</v>
      </c>
    </row>
    <row r="48" spans="1:28" ht="24" customHeight="1" x14ac:dyDescent="0.2">
      <c r="A48" s="300">
        <f t="shared" si="4"/>
        <v>43523</v>
      </c>
      <c r="B48" s="137">
        <f t="shared" si="5"/>
        <v>39</v>
      </c>
      <c r="C48" s="210"/>
      <c r="D48" s="215" t="str">
        <f>IF(C48="","",SUM($C$10:C48))</f>
        <v/>
      </c>
      <c r="E48" s="215" t="str">
        <f>IF(C48="","",SUM($C$32:C48))</f>
        <v/>
      </c>
      <c r="F48" s="205" t="str">
        <f>IF(C48="","",(SUM($C$10:C48)/$J$2))</f>
        <v/>
      </c>
      <c r="G48" s="224"/>
      <c r="H48" s="225"/>
      <c r="I48" s="205" t="str">
        <f>IF(C48="","",SUM($C$32:C48)/$F$4)</f>
        <v/>
      </c>
      <c r="J48" s="244" t="str">
        <f>IF(C48="","",IF('Pon-Rec'!M28="","",SUM($C$32:C48)/'Pon-Rec'!M28))</f>
        <v/>
      </c>
      <c r="K48" s="245" t="str">
        <f>IF(C48="","",IF(Inc!K28="","",SUM($C$32:C48)/Inc!K28))</f>
        <v/>
      </c>
      <c r="M48" s="313">
        <f>IF(OR('Pon-Rec'!C28="",'Prod-Rec'!F29=""),0,'Pon-Rec'!C28*'Prod-Rec'!F29*7/1000)</f>
        <v>0</v>
      </c>
      <c r="N48" s="314">
        <f>IF(OR('Pon-Rec'!D28="",'Prod-Rec'!L29=""),0,'Pon-Rec'!D28*'Prod-Rec'!L29*7/1000)</f>
        <v>0</v>
      </c>
      <c r="O48" s="314">
        <f t="shared" si="6"/>
        <v>0</v>
      </c>
      <c r="P48" s="315">
        <f t="shared" si="7"/>
        <v>0</v>
      </c>
    </row>
    <row r="49" spans="1:16" ht="24" customHeight="1" x14ac:dyDescent="0.2">
      <c r="A49" s="300">
        <f t="shared" si="4"/>
        <v>43530</v>
      </c>
      <c r="B49" s="137">
        <f t="shared" si="5"/>
        <v>40</v>
      </c>
      <c r="C49" s="210"/>
      <c r="D49" s="215" t="str">
        <f>IF(C49="","",SUM($C$10:C49))</f>
        <v/>
      </c>
      <c r="E49" s="215" t="str">
        <f>IF(C49="","",SUM($C$32:C49))</f>
        <v/>
      </c>
      <c r="F49" s="205" t="str">
        <f>IF(C49="","",(SUM($C$10:C49)/$J$2))</f>
        <v/>
      </c>
      <c r="G49" s="224"/>
      <c r="H49" s="225"/>
      <c r="I49" s="205" t="str">
        <f>IF(C49="","",SUM($C$32:C49)/$F$4)</f>
        <v/>
      </c>
      <c r="J49" s="244" t="str">
        <f>IF(C49="","",IF('Pon-Rec'!M29="","",SUM($C$32:C49)/'Pon-Rec'!M29))</f>
        <v/>
      </c>
      <c r="K49" s="245" t="str">
        <f>IF(C49="","",IF(Inc!K29="","",SUM($C$32:C49)/Inc!K29))</f>
        <v/>
      </c>
      <c r="M49" s="313">
        <f>IF(OR('Pon-Rec'!C29="",'Prod-Rec'!F30=""),0,'Pon-Rec'!C29*'Prod-Rec'!F30*7/1000)</f>
        <v>0</v>
      </c>
      <c r="N49" s="314">
        <f>IF(OR('Pon-Rec'!D29="",'Prod-Rec'!L30=""),0,'Pon-Rec'!D29*'Prod-Rec'!L30*7/1000)</f>
        <v>0</v>
      </c>
      <c r="O49" s="314">
        <f t="shared" si="6"/>
        <v>0</v>
      </c>
      <c r="P49" s="315">
        <f t="shared" si="7"/>
        <v>0</v>
      </c>
    </row>
    <row r="50" spans="1:16" ht="24" customHeight="1" x14ac:dyDescent="0.2">
      <c r="A50" s="300">
        <f t="shared" si="4"/>
        <v>43537</v>
      </c>
      <c r="B50" s="137">
        <f t="shared" si="5"/>
        <v>41</v>
      </c>
      <c r="C50" s="210"/>
      <c r="D50" s="215" t="str">
        <f>IF(C50="","",SUM($C$10:C50))</f>
        <v/>
      </c>
      <c r="E50" s="215" t="str">
        <f>IF(C50="","",SUM($C$32:C50))</f>
        <v/>
      </c>
      <c r="F50" s="205" t="str">
        <f>IF(C50="","",(SUM($C$10:C50)/$J$2))</f>
        <v/>
      </c>
      <c r="G50" s="224"/>
      <c r="H50" s="225"/>
      <c r="I50" s="205" t="str">
        <f>IF(C50="","",SUM($C$32:C50)/$F$4)</f>
        <v/>
      </c>
      <c r="J50" s="244" t="str">
        <f>IF(C50="","",IF('Pon-Rec'!M30="","",SUM($C$32:C50)/'Pon-Rec'!M30))</f>
        <v/>
      </c>
      <c r="K50" s="245" t="str">
        <f>IF(C50="","",IF(Inc!K30="","",SUM($C$32:C50)/Inc!K30))</f>
        <v/>
      </c>
      <c r="M50" s="313">
        <f>IF(OR('Pon-Rec'!C30="",'Prod-Rec'!F31=""),0,'Pon-Rec'!C30*'Prod-Rec'!F31*7/1000)</f>
        <v>0</v>
      </c>
      <c r="N50" s="314">
        <f>IF(OR('Pon-Rec'!D30="",'Prod-Rec'!L31=""),0,'Pon-Rec'!D30*'Prod-Rec'!L31*7/1000)</f>
        <v>0</v>
      </c>
      <c r="O50" s="314">
        <f t="shared" si="6"/>
        <v>0</v>
      </c>
      <c r="P50" s="315">
        <f t="shared" si="7"/>
        <v>0</v>
      </c>
    </row>
    <row r="51" spans="1:16" ht="24" customHeight="1" x14ac:dyDescent="0.2">
      <c r="A51" s="300">
        <f t="shared" si="4"/>
        <v>43544</v>
      </c>
      <c r="B51" s="137">
        <f t="shared" si="5"/>
        <v>42</v>
      </c>
      <c r="C51" s="210"/>
      <c r="D51" s="215" t="str">
        <f>IF(C51="","",SUM($C$10:C51))</f>
        <v/>
      </c>
      <c r="E51" s="215" t="str">
        <f>IF(C51="","",SUM($C$32:C51))</f>
        <v/>
      </c>
      <c r="F51" s="205" t="str">
        <f>IF(C51="","",(SUM($C$10:C51)/$J$2))</f>
        <v/>
      </c>
      <c r="G51" s="224"/>
      <c r="H51" s="225"/>
      <c r="I51" s="205" t="str">
        <f>IF(C51="","",SUM($C$32:C51)/$F$4)</f>
        <v/>
      </c>
      <c r="J51" s="244" t="str">
        <f>IF(C51="","",IF('Pon-Rec'!M31="","",SUM($C$32:C51)/'Pon-Rec'!M31))</f>
        <v/>
      </c>
      <c r="K51" s="245" t="str">
        <f>IF(C51="","",IF(Inc!K31="","",SUM($C$32:C51)/Inc!K31))</f>
        <v/>
      </c>
      <c r="M51" s="313">
        <f>IF(OR('Pon-Rec'!C31="",'Prod-Rec'!F32=""),0,'Pon-Rec'!C31*'Prod-Rec'!F32*7/1000)</f>
        <v>0</v>
      </c>
      <c r="N51" s="314">
        <f>IF(OR('Pon-Rec'!D31="",'Prod-Rec'!L32=""),0,'Pon-Rec'!D31*'Prod-Rec'!L32*7/1000)</f>
        <v>0</v>
      </c>
      <c r="O51" s="314">
        <f t="shared" si="6"/>
        <v>0</v>
      </c>
      <c r="P51" s="315">
        <f t="shared" si="7"/>
        <v>0</v>
      </c>
    </row>
    <row r="52" spans="1:16" ht="24" customHeight="1" x14ac:dyDescent="0.2">
      <c r="A52" s="300">
        <f t="shared" si="4"/>
        <v>43551</v>
      </c>
      <c r="B52" s="137">
        <f t="shared" si="5"/>
        <v>43</v>
      </c>
      <c r="C52" s="210"/>
      <c r="D52" s="215" t="str">
        <f>IF(C52="","",SUM($C$10:C52))</f>
        <v/>
      </c>
      <c r="E52" s="215" t="str">
        <f>IF(C52="","",SUM($C$32:C52))</f>
        <v/>
      </c>
      <c r="F52" s="205" t="str">
        <f>IF(C52="","",(SUM($C$10:C52)/$J$2))</f>
        <v/>
      </c>
      <c r="G52" s="224"/>
      <c r="H52" s="225"/>
      <c r="I52" s="205" t="str">
        <f>IF(C52="","",SUM($C$32:C52)/$F$4)</f>
        <v/>
      </c>
      <c r="J52" s="244" t="str">
        <f>IF(C52="","",IF('Pon-Rec'!M32="","",SUM($C$32:C52)/'Pon-Rec'!M32))</f>
        <v/>
      </c>
      <c r="K52" s="245" t="str">
        <f>IF(C52="","",IF(Inc!K32="","",SUM($C$32:C52)/Inc!K32))</f>
        <v/>
      </c>
      <c r="M52" s="313">
        <f>IF(OR('Pon-Rec'!C32="",'Prod-Rec'!F33=""),0,'Pon-Rec'!C32*'Prod-Rec'!F33*7/1000)</f>
        <v>0</v>
      </c>
      <c r="N52" s="314">
        <f>IF(OR('Pon-Rec'!D32="",'Prod-Rec'!L33=""),0,'Pon-Rec'!D32*'Prod-Rec'!L33*7/1000)</f>
        <v>0</v>
      </c>
      <c r="O52" s="314">
        <f t="shared" si="6"/>
        <v>0</v>
      </c>
      <c r="P52" s="315">
        <f t="shared" si="7"/>
        <v>0</v>
      </c>
    </row>
    <row r="53" spans="1:16" ht="24" customHeight="1" x14ac:dyDescent="0.2">
      <c r="A53" s="300">
        <f t="shared" si="4"/>
        <v>43558</v>
      </c>
      <c r="B53" s="137">
        <f t="shared" si="5"/>
        <v>44</v>
      </c>
      <c r="C53" s="210"/>
      <c r="D53" s="215" t="str">
        <f>IF(C53="","",SUM($C$10:C53))</f>
        <v/>
      </c>
      <c r="E53" s="215" t="str">
        <f>IF(C53="","",SUM($C$32:C53))</f>
        <v/>
      </c>
      <c r="F53" s="205" t="str">
        <f>IF(C53="","",(SUM($C$10:C53)/$J$2))</f>
        <v/>
      </c>
      <c r="G53" s="224"/>
      <c r="H53" s="225"/>
      <c r="I53" s="205" t="str">
        <f>IF(C53="","",SUM($C$32:C53)/$F$4)</f>
        <v/>
      </c>
      <c r="J53" s="244" t="str">
        <f>IF(C53="","",IF('Pon-Rec'!M33="","",SUM($C$32:C53)/'Pon-Rec'!M33))</f>
        <v/>
      </c>
      <c r="K53" s="245" t="str">
        <f>IF(C53="","",IF(Inc!K33="","",SUM($C$32:C53)/Inc!K33))</f>
        <v/>
      </c>
      <c r="M53" s="313">
        <f>IF(OR('Pon-Rec'!C33="",'Prod-Rec'!F34=""),0,'Pon-Rec'!C33*'Prod-Rec'!F34*7/1000)</f>
        <v>0</v>
      </c>
      <c r="N53" s="314">
        <f>IF(OR('Pon-Rec'!D33="",'Prod-Rec'!L34=""),0,'Pon-Rec'!D33*'Prod-Rec'!L34*7/1000)</f>
        <v>0</v>
      </c>
      <c r="O53" s="314">
        <f t="shared" si="6"/>
        <v>0</v>
      </c>
      <c r="P53" s="315">
        <f t="shared" si="7"/>
        <v>0</v>
      </c>
    </row>
    <row r="54" spans="1:16" ht="24" customHeight="1" x14ac:dyDescent="0.2">
      <c r="A54" s="300">
        <f t="shared" si="4"/>
        <v>43565</v>
      </c>
      <c r="B54" s="137">
        <f t="shared" si="5"/>
        <v>45</v>
      </c>
      <c r="C54" s="210"/>
      <c r="D54" s="215" t="str">
        <f>IF(C54="","",SUM($C$10:C54))</f>
        <v/>
      </c>
      <c r="E54" s="215" t="str">
        <f>IF(C54="","",SUM($C$32:C54))</f>
        <v/>
      </c>
      <c r="F54" s="205" t="str">
        <f>IF(C54="","",(SUM($C$10:C54)/$J$2))</f>
        <v/>
      </c>
      <c r="G54" s="224"/>
      <c r="H54" s="225"/>
      <c r="I54" s="205" t="str">
        <f>IF(C54="","",SUM($C$32:C54)/$F$4)</f>
        <v/>
      </c>
      <c r="J54" s="244" t="str">
        <f>IF(C54="","",IF('Pon-Rec'!M34="","",SUM($C$32:C54)/'Pon-Rec'!M34))</f>
        <v/>
      </c>
      <c r="K54" s="245" t="str">
        <f>IF(C54="","",IF(Inc!K34="","",SUM($C$32:C54)/Inc!K34))</f>
        <v/>
      </c>
      <c r="M54" s="313">
        <f>IF(OR('Pon-Rec'!C34="",'Prod-Rec'!F35=""),0,'Pon-Rec'!C34*'Prod-Rec'!F35*7/1000)</f>
        <v>0</v>
      </c>
      <c r="N54" s="314">
        <f>IF(OR('Pon-Rec'!D34="",'Prod-Rec'!L35=""),0,'Pon-Rec'!D34*'Prod-Rec'!L35*7/1000)</f>
        <v>0</v>
      </c>
      <c r="O54" s="314">
        <f t="shared" si="6"/>
        <v>0</v>
      </c>
      <c r="P54" s="315">
        <f t="shared" si="7"/>
        <v>0</v>
      </c>
    </row>
    <row r="55" spans="1:16" ht="24" customHeight="1" x14ac:dyDescent="0.2">
      <c r="A55" s="300">
        <f t="shared" si="4"/>
        <v>43572</v>
      </c>
      <c r="B55" s="137">
        <f t="shared" si="5"/>
        <v>46</v>
      </c>
      <c r="C55" s="210"/>
      <c r="D55" s="215" t="str">
        <f>IF(C55="","",SUM($C$10:C55))</f>
        <v/>
      </c>
      <c r="E55" s="215" t="str">
        <f>IF(C55="","",SUM($C$32:C55))</f>
        <v/>
      </c>
      <c r="F55" s="205" t="str">
        <f>IF(C55="","",(SUM($C$10:C55)/$J$2))</f>
        <v/>
      </c>
      <c r="G55" s="224"/>
      <c r="H55" s="225"/>
      <c r="I55" s="205" t="str">
        <f>IF(C55="","",SUM($C$32:C55)/$F$4)</f>
        <v/>
      </c>
      <c r="J55" s="244" t="str">
        <f>IF(C55="","",IF('Pon-Rec'!M35="","",SUM($C$32:C55)/'Pon-Rec'!M35))</f>
        <v/>
      </c>
      <c r="K55" s="245" t="str">
        <f>IF(C55="","",IF(Inc!K35="","",SUM($C$32:C55)/Inc!K35))</f>
        <v/>
      </c>
      <c r="M55" s="313">
        <f>IF(OR('Pon-Rec'!C35="",'Prod-Rec'!F36=""),0,'Pon-Rec'!C35*'Prod-Rec'!F36*7/1000)</f>
        <v>0</v>
      </c>
      <c r="N55" s="314">
        <f>IF(OR('Pon-Rec'!D35="",'Prod-Rec'!L36=""),0,'Pon-Rec'!D35*'Prod-Rec'!L36*7/1000)</f>
        <v>0</v>
      </c>
      <c r="O55" s="314">
        <f t="shared" si="6"/>
        <v>0</v>
      </c>
      <c r="P55" s="315">
        <f t="shared" si="7"/>
        <v>0</v>
      </c>
    </row>
    <row r="56" spans="1:16" ht="24" customHeight="1" x14ac:dyDescent="0.2">
      <c r="A56" s="300">
        <f t="shared" si="4"/>
        <v>43579</v>
      </c>
      <c r="B56" s="137">
        <f t="shared" si="5"/>
        <v>47</v>
      </c>
      <c r="C56" s="210"/>
      <c r="D56" s="215" t="str">
        <f>IF(C56="","",SUM($C$10:C56))</f>
        <v/>
      </c>
      <c r="E56" s="215" t="str">
        <f>IF(C56="","",SUM($C$32:C56))</f>
        <v/>
      </c>
      <c r="F56" s="205" t="str">
        <f>IF(C56="","",(SUM($C$10:C56)/$J$2))</f>
        <v/>
      </c>
      <c r="G56" s="224"/>
      <c r="H56" s="225"/>
      <c r="I56" s="205" t="str">
        <f>IF(C56="","",SUM($C$32:C56)/$F$4)</f>
        <v/>
      </c>
      <c r="J56" s="244" t="str">
        <f>IF(C56="","",IF('Pon-Rec'!M36="","",SUM($C$32:C56)/'Pon-Rec'!M36))</f>
        <v/>
      </c>
      <c r="K56" s="245" t="str">
        <f>IF(C56="","",IF(Inc!K36="","",SUM($C$32:C56)/Inc!K36))</f>
        <v/>
      </c>
      <c r="M56" s="313">
        <f>IF(OR('Pon-Rec'!C36="",'Prod-Rec'!F37=""),0,'Pon-Rec'!C36*'Prod-Rec'!F37*7/1000)</f>
        <v>0</v>
      </c>
      <c r="N56" s="314">
        <f>IF(OR('Pon-Rec'!D36="",'Prod-Rec'!L37=""),0,'Pon-Rec'!D36*'Prod-Rec'!L37*7/1000)</f>
        <v>0</v>
      </c>
      <c r="O56" s="314">
        <f t="shared" si="6"/>
        <v>0</v>
      </c>
      <c r="P56" s="315">
        <f t="shared" si="7"/>
        <v>0</v>
      </c>
    </row>
    <row r="57" spans="1:16" ht="24" customHeight="1" x14ac:dyDescent="0.2">
      <c r="A57" s="300">
        <f t="shared" si="4"/>
        <v>43586</v>
      </c>
      <c r="B57" s="137">
        <f t="shared" si="5"/>
        <v>48</v>
      </c>
      <c r="C57" s="210"/>
      <c r="D57" s="215" t="str">
        <f>IF(C57="","",SUM($C$10:C57))</f>
        <v/>
      </c>
      <c r="E57" s="215" t="str">
        <f>IF(C57="","",SUM($C$32:C57))</f>
        <v/>
      </c>
      <c r="F57" s="205" t="str">
        <f>IF(C57="","",(SUM($C$10:C57)/$J$2))</f>
        <v/>
      </c>
      <c r="G57" s="224"/>
      <c r="H57" s="225"/>
      <c r="I57" s="205" t="str">
        <f>IF(C57="","",SUM($C$32:C57)/$F$4)</f>
        <v/>
      </c>
      <c r="J57" s="244" t="str">
        <f>IF(C57="","",IF('Pon-Rec'!M37="","",SUM($C$32:C57)/'Pon-Rec'!M37))</f>
        <v/>
      </c>
      <c r="K57" s="245" t="str">
        <f>IF(C57="","",IF(Inc!K37="","",SUM($C$32:C57)/Inc!K37))</f>
        <v/>
      </c>
      <c r="M57" s="313">
        <f>IF(OR('Pon-Rec'!C37="",'Prod-Rec'!F38=""),0,'Pon-Rec'!C37*'Prod-Rec'!F38*7/1000)</f>
        <v>0</v>
      </c>
      <c r="N57" s="314">
        <f>IF(OR('Pon-Rec'!D37="",'Prod-Rec'!L38=""),0,'Pon-Rec'!D37*'Prod-Rec'!L38*7/1000)</f>
        <v>0</v>
      </c>
      <c r="O57" s="314">
        <f t="shared" si="6"/>
        <v>0</v>
      </c>
      <c r="P57" s="315">
        <f t="shared" si="7"/>
        <v>0</v>
      </c>
    </row>
    <row r="58" spans="1:16" ht="24" customHeight="1" x14ac:dyDescent="0.2">
      <c r="A58" s="300">
        <f t="shared" si="4"/>
        <v>43593</v>
      </c>
      <c r="B58" s="137">
        <f t="shared" si="5"/>
        <v>49</v>
      </c>
      <c r="C58" s="210"/>
      <c r="D58" s="215" t="str">
        <f>IF(C58="","",SUM($C$10:C58))</f>
        <v/>
      </c>
      <c r="E58" s="215" t="str">
        <f>IF(C58="","",SUM($C$32:C58))</f>
        <v/>
      </c>
      <c r="F58" s="205" t="str">
        <f>IF(C58="","",(SUM($C$10:C58)/$J$2))</f>
        <v/>
      </c>
      <c r="G58" s="224"/>
      <c r="H58" s="225"/>
      <c r="I58" s="205" t="str">
        <f>IF(C58="","",SUM($C$32:C58)/$F$4)</f>
        <v/>
      </c>
      <c r="J58" s="244" t="str">
        <f>IF(C58="","",IF('Pon-Rec'!M38="","",SUM($C$32:C58)/'Pon-Rec'!M38))</f>
        <v/>
      </c>
      <c r="K58" s="245" t="str">
        <f>IF(C58="","",IF(Inc!K38="","",SUM($C$32:C58)/Inc!K38))</f>
        <v/>
      </c>
      <c r="M58" s="313">
        <f>IF(OR('Pon-Rec'!C38="",'Prod-Rec'!F39=""),0,'Pon-Rec'!C38*'Prod-Rec'!F39*7/1000)</f>
        <v>0</v>
      </c>
      <c r="N58" s="314">
        <f>IF(OR('Pon-Rec'!D38="",'Prod-Rec'!L39=""),0,'Pon-Rec'!D38*'Prod-Rec'!L39*7/1000)</f>
        <v>0</v>
      </c>
      <c r="O58" s="314">
        <f t="shared" si="6"/>
        <v>0</v>
      </c>
      <c r="P58" s="315">
        <f t="shared" si="7"/>
        <v>0</v>
      </c>
    </row>
    <row r="59" spans="1:16" ht="24" customHeight="1" x14ac:dyDescent="0.2">
      <c r="A59" s="300">
        <f t="shared" si="4"/>
        <v>43600</v>
      </c>
      <c r="B59" s="137">
        <f t="shared" si="5"/>
        <v>50</v>
      </c>
      <c r="C59" s="210"/>
      <c r="D59" s="215" t="str">
        <f>IF(C59="","",SUM($C$10:C59))</f>
        <v/>
      </c>
      <c r="E59" s="215" t="str">
        <f>IF(C59="","",SUM($C$32:C59))</f>
        <v/>
      </c>
      <c r="F59" s="205" t="str">
        <f>IF(C59="","",(SUM($C$10:C59)/$J$2))</f>
        <v/>
      </c>
      <c r="G59" s="224"/>
      <c r="H59" s="225"/>
      <c r="I59" s="205" t="str">
        <f>IF(C59="","",SUM($C$32:C59)/$F$4)</f>
        <v/>
      </c>
      <c r="J59" s="244" t="str">
        <f>IF(C59="","",IF('Pon-Rec'!M39="","",SUM($C$32:C59)/'Pon-Rec'!M39))</f>
        <v/>
      </c>
      <c r="K59" s="245" t="str">
        <f>IF(C59="","",IF(Inc!K39="","",SUM($C$32:C59)/Inc!K39))</f>
        <v/>
      </c>
      <c r="M59" s="313">
        <f>IF(OR('Pon-Rec'!C39="",'Prod-Rec'!F40=""),0,'Pon-Rec'!C39*'Prod-Rec'!F40*7/1000)</f>
        <v>0</v>
      </c>
      <c r="N59" s="314">
        <f>IF(OR('Pon-Rec'!D39="",'Prod-Rec'!L40=""),0,'Pon-Rec'!D39*'Prod-Rec'!L40*7/1000)</f>
        <v>0</v>
      </c>
      <c r="O59" s="314">
        <f t="shared" si="6"/>
        <v>0</v>
      </c>
      <c r="P59" s="315">
        <f t="shared" si="7"/>
        <v>0</v>
      </c>
    </row>
    <row r="60" spans="1:16" ht="24" customHeight="1" x14ac:dyDescent="0.2">
      <c r="A60" s="300">
        <f t="shared" si="4"/>
        <v>43607</v>
      </c>
      <c r="B60" s="137">
        <f t="shared" si="5"/>
        <v>51</v>
      </c>
      <c r="C60" s="210"/>
      <c r="D60" s="215" t="str">
        <f>IF(C60="","",SUM($C$10:C60))</f>
        <v/>
      </c>
      <c r="E60" s="215" t="str">
        <f>IF(C60="","",SUM($C$32:C60))</f>
        <v/>
      </c>
      <c r="F60" s="205" t="str">
        <f>IF(C60="","",(SUM($C$10:C60)/$J$2))</f>
        <v/>
      </c>
      <c r="G60" s="224"/>
      <c r="H60" s="225"/>
      <c r="I60" s="205" t="str">
        <f>IF(C60="","",SUM($C$32:C60)/$F$4)</f>
        <v/>
      </c>
      <c r="J60" s="244" t="str">
        <f>IF(C60="","",IF('Pon-Rec'!M40="","",SUM($C$32:C60)/'Pon-Rec'!M40))</f>
        <v/>
      </c>
      <c r="K60" s="245" t="str">
        <f>IF(C60="","",IF(Inc!K40="","",SUM($C$32:C60)/Inc!K40))</f>
        <v/>
      </c>
      <c r="M60" s="313">
        <f>IF(OR('Pon-Rec'!C40="",'Prod-Rec'!F41=""),0,'Pon-Rec'!C40*'Prod-Rec'!F41*7/1000)</f>
        <v>0</v>
      </c>
      <c r="N60" s="314">
        <f>IF(OR('Pon-Rec'!D40="",'Prod-Rec'!L41=""),0,'Pon-Rec'!D40*'Prod-Rec'!L41*7/1000)</f>
        <v>0</v>
      </c>
      <c r="O60" s="314">
        <f t="shared" si="6"/>
        <v>0</v>
      </c>
      <c r="P60" s="315">
        <f t="shared" si="7"/>
        <v>0</v>
      </c>
    </row>
    <row r="61" spans="1:16" ht="24" customHeight="1" x14ac:dyDescent="0.2">
      <c r="A61" s="300">
        <f t="shared" si="4"/>
        <v>43614</v>
      </c>
      <c r="B61" s="137">
        <f t="shared" si="5"/>
        <v>52</v>
      </c>
      <c r="C61" s="210"/>
      <c r="D61" s="215" t="str">
        <f>IF(C61="","",SUM($C$10:C61))</f>
        <v/>
      </c>
      <c r="E61" s="215" t="str">
        <f>IF(C61="","",SUM($C$32:C61))</f>
        <v/>
      </c>
      <c r="F61" s="205" t="str">
        <f>IF(C61="","",(SUM($C$10:C61)/$J$2))</f>
        <v/>
      </c>
      <c r="G61" s="224"/>
      <c r="H61" s="225"/>
      <c r="I61" s="205" t="str">
        <f>IF(C61="","",SUM($C$32:C61)/$F$4)</f>
        <v/>
      </c>
      <c r="J61" s="244" t="str">
        <f>IF(C61="","",IF('Pon-Rec'!M41="","",SUM($C$32:C61)/'Pon-Rec'!M41))</f>
        <v/>
      </c>
      <c r="K61" s="245" t="str">
        <f>IF(C61="","",IF(Inc!K41="","",SUM($C$32:C61)/Inc!K41))</f>
        <v/>
      </c>
      <c r="M61" s="313">
        <f>IF(OR('Pon-Rec'!C41="",'Prod-Rec'!F42=""),0,'Pon-Rec'!C41*'Prod-Rec'!F42*7/1000)</f>
        <v>0</v>
      </c>
      <c r="N61" s="314">
        <f>IF(OR('Pon-Rec'!D41="",'Prod-Rec'!L42=""),0,'Pon-Rec'!D41*'Prod-Rec'!L42*7/1000)</f>
        <v>0</v>
      </c>
      <c r="O61" s="314">
        <f t="shared" si="6"/>
        <v>0</v>
      </c>
      <c r="P61" s="315">
        <f t="shared" si="7"/>
        <v>0</v>
      </c>
    </row>
    <row r="62" spans="1:16" ht="24" customHeight="1" x14ac:dyDescent="0.2">
      <c r="A62" s="300">
        <f t="shared" si="4"/>
        <v>43621</v>
      </c>
      <c r="B62" s="137">
        <f t="shared" si="5"/>
        <v>53</v>
      </c>
      <c r="C62" s="210"/>
      <c r="D62" s="215" t="str">
        <f>IF(C62="","",SUM($C$10:C62))</f>
        <v/>
      </c>
      <c r="E62" s="215" t="str">
        <f>IF(C62="","",SUM($C$32:C62))</f>
        <v/>
      </c>
      <c r="F62" s="205" t="str">
        <f>IF(C62="","",(SUM($C$10:C62)/$J$2))</f>
        <v/>
      </c>
      <c r="G62" s="224"/>
      <c r="H62" s="225"/>
      <c r="I62" s="205" t="str">
        <f>IF(C62="","",SUM($C$32:C62)/$F$4)</f>
        <v/>
      </c>
      <c r="J62" s="244" t="str">
        <f>IF(C62="","",IF('Pon-Rec'!M42="","",SUM($C$32:C62)/'Pon-Rec'!M42))</f>
        <v/>
      </c>
      <c r="K62" s="245" t="str">
        <f>IF(C62="","",IF(Inc!K42="","",SUM($C$32:C62)/Inc!K42))</f>
        <v/>
      </c>
      <c r="M62" s="313">
        <f>IF(OR('Pon-Rec'!C42="",'Prod-Rec'!F43=""),0,'Pon-Rec'!C42*'Prod-Rec'!F43*7/1000)</f>
        <v>0</v>
      </c>
      <c r="N62" s="314">
        <f>IF(OR('Pon-Rec'!D42="",'Prod-Rec'!L43=""),0,'Pon-Rec'!D42*'Prod-Rec'!L43*7/1000)</f>
        <v>0</v>
      </c>
      <c r="O62" s="314">
        <f t="shared" si="6"/>
        <v>0</v>
      </c>
      <c r="P62" s="315">
        <f t="shared" si="7"/>
        <v>0</v>
      </c>
    </row>
    <row r="63" spans="1:16" ht="24" customHeight="1" x14ac:dyDescent="0.2">
      <c r="A63" s="300">
        <f t="shared" si="4"/>
        <v>43628</v>
      </c>
      <c r="B63" s="137">
        <f t="shared" si="5"/>
        <v>54</v>
      </c>
      <c r="C63" s="210"/>
      <c r="D63" s="215" t="str">
        <f>IF(C63="","",SUM($C$10:C63))</f>
        <v/>
      </c>
      <c r="E63" s="215" t="str">
        <f>IF(C63="","",SUM($C$32:C63))</f>
        <v/>
      </c>
      <c r="F63" s="205" t="str">
        <f>IF(C63="","",(SUM($C$10:C63)/$J$2))</f>
        <v/>
      </c>
      <c r="G63" s="224"/>
      <c r="H63" s="225"/>
      <c r="I63" s="205" t="str">
        <f>IF(C63="","",SUM($C$32:C63)/$F$4)</f>
        <v/>
      </c>
      <c r="J63" s="244" t="str">
        <f>IF(C63="","",IF('Pon-Rec'!M43="","",SUM($C$32:C63)/'Pon-Rec'!M43))</f>
        <v/>
      </c>
      <c r="K63" s="245" t="str">
        <f>IF(C63="","",IF(Inc!K43="","",SUM($C$32:C63)/Inc!K43))</f>
        <v/>
      </c>
      <c r="M63" s="313">
        <f>IF(OR('Pon-Rec'!C43="",'Prod-Rec'!F44=""),0,'Pon-Rec'!C43*'Prod-Rec'!F44*7/1000)</f>
        <v>0</v>
      </c>
      <c r="N63" s="314">
        <f>IF(OR('Pon-Rec'!D43="",'Prod-Rec'!L44=""),0,'Pon-Rec'!D43*'Prod-Rec'!L44*7/1000)</f>
        <v>0</v>
      </c>
      <c r="O63" s="314">
        <f t="shared" si="6"/>
        <v>0</v>
      </c>
      <c r="P63" s="315">
        <f t="shared" si="7"/>
        <v>0</v>
      </c>
    </row>
    <row r="64" spans="1:16" ht="24" customHeight="1" x14ac:dyDescent="0.2">
      <c r="A64" s="300">
        <f t="shared" si="4"/>
        <v>43635</v>
      </c>
      <c r="B64" s="137">
        <f t="shared" si="5"/>
        <v>55</v>
      </c>
      <c r="C64" s="210"/>
      <c r="D64" s="215" t="str">
        <f>IF(C64="","",SUM($C$10:C64))</f>
        <v/>
      </c>
      <c r="E64" s="215" t="str">
        <f>IF(C64="","",SUM($C$32:C64))</f>
        <v/>
      </c>
      <c r="F64" s="205" t="str">
        <f>IF(C64="","",(SUM($C$10:C64)/$J$2))</f>
        <v/>
      </c>
      <c r="G64" s="224"/>
      <c r="H64" s="225"/>
      <c r="I64" s="205" t="str">
        <f>IF(C64="","",SUM($C$32:C64)/$F$4)</f>
        <v/>
      </c>
      <c r="J64" s="244" t="str">
        <f>IF(C64="","",IF('Pon-Rec'!M44="","",SUM($C$32:C64)/'Pon-Rec'!M44))</f>
        <v/>
      </c>
      <c r="K64" s="245" t="str">
        <f>IF(C64="","",IF(Inc!K44="","",SUM($C$32:C64)/Inc!K44))</f>
        <v/>
      </c>
      <c r="M64" s="313">
        <f>IF(OR('Pon-Rec'!C44="",'Prod-Rec'!F45=""),0,'Pon-Rec'!C44*'Prod-Rec'!F45*7/1000)</f>
        <v>0</v>
      </c>
      <c r="N64" s="314">
        <f>IF(OR('Pon-Rec'!D44="",'Prod-Rec'!L45=""),0,'Pon-Rec'!D44*'Prod-Rec'!L45*7/1000)</f>
        <v>0</v>
      </c>
      <c r="O64" s="314">
        <f t="shared" si="6"/>
        <v>0</v>
      </c>
      <c r="P64" s="315">
        <f t="shared" si="7"/>
        <v>0</v>
      </c>
    </row>
    <row r="65" spans="1:16" ht="24" customHeight="1" x14ac:dyDescent="0.2">
      <c r="A65" s="300">
        <f t="shared" si="4"/>
        <v>43642</v>
      </c>
      <c r="B65" s="137">
        <f t="shared" si="5"/>
        <v>56</v>
      </c>
      <c r="C65" s="210"/>
      <c r="D65" s="215" t="str">
        <f>IF(C65="","",SUM($C$10:C65))</f>
        <v/>
      </c>
      <c r="E65" s="215" t="str">
        <f>IF(C65="","",SUM($C$32:C65))</f>
        <v/>
      </c>
      <c r="F65" s="205" t="str">
        <f>IF(C65="","",(SUM($C$10:C65)/$J$2))</f>
        <v/>
      </c>
      <c r="G65" s="224"/>
      <c r="H65" s="225"/>
      <c r="I65" s="205" t="str">
        <f>IF(C65="","",SUM($C$32:C65)/$F$4)</f>
        <v/>
      </c>
      <c r="J65" s="244" t="str">
        <f>IF(C65="","",IF('Pon-Rec'!M45="","",SUM($C$32:C65)/'Pon-Rec'!M45))</f>
        <v/>
      </c>
      <c r="K65" s="245" t="str">
        <f>IF(C65="","",IF(Inc!K45="","",SUM($C$32:C65)/Inc!K45))</f>
        <v/>
      </c>
      <c r="M65" s="313">
        <f>IF(OR('Pon-Rec'!C45="",'Prod-Rec'!F46=""),0,'Pon-Rec'!C45*'Prod-Rec'!F46*7/1000)</f>
        <v>0</v>
      </c>
      <c r="N65" s="314">
        <f>IF(OR('Pon-Rec'!D45="",'Prod-Rec'!L46=""),0,'Pon-Rec'!D45*'Prod-Rec'!L46*7/1000)</f>
        <v>0</v>
      </c>
      <c r="O65" s="314">
        <f t="shared" si="6"/>
        <v>0</v>
      </c>
      <c r="P65" s="315">
        <f t="shared" si="7"/>
        <v>0</v>
      </c>
    </row>
    <row r="66" spans="1:16" ht="24" customHeight="1" x14ac:dyDescent="0.2">
      <c r="A66" s="300">
        <f t="shared" si="4"/>
        <v>43649</v>
      </c>
      <c r="B66" s="137">
        <f t="shared" si="5"/>
        <v>57</v>
      </c>
      <c r="C66" s="210"/>
      <c r="D66" s="215" t="str">
        <f>IF(C66="","",SUM($C$10:C66))</f>
        <v/>
      </c>
      <c r="E66" s="215" t="str">
        <f>IF(C66="","",SUM($C$32:C66))</f>
        <v/>
      </c>
      <c r="F66" s="205" t="str">
        <f>IF(C66="","",(SUM($C$10:C66)/$J$2))</f>
        <v/>
      </c>
      <c r="G66" s="224"/>
      <c r="H66" s="225"/>
      <c r="I66" s="205" t="str">
        <f>IF(C66="","",SUM($C$32:C66)/$F$4)</f>
        <v/>
      </c>
      <c r="J66" s="244" t="str">
        <f>IF(C66="","",IF('Pon-Rec'!M46="","",SUM($C$32:C66)/'Pon-Rec'!M46))</f>
        <v/>
      </c>
      <c r="K66" s="245" t="str">
        <f>IF(C66="","",IF(Inc!K46="","",SUM($C$32:C66)/Inc!K46))</f>
        <v/>
      </c>
      <c r="M66" s="313">
        <f>IF(OR('Pon-Rec'!C46="",'Prod-Rec'!F47=""),0,'Pon-Rec'!C46*'Prod-Rec'!F47*7/1000)</f>
        <v>0</v>
      </c>
      <c r="N66" s="314">
        <f>IF(OR('Pon-Rec'!D46="",'Prod-Rec'!L47=""),0,'Pon-Rec'!D46*'Prod-Rec'!L47*7/1000)</f>
        <v>0</v>
      </c>
      <c r="O66" s="314">
        <f t="shared" si="6"/>
        <v>0</v>
      </c>
      <c r="P66" s="315">
        <f t="shared" si="7"/>
        <v>0</v>
      </c>
    </row>
    <row r="67" spans="1:16" ht="24" customHeight="1" x14ac:dyDescent="0.2">
      <c r="A67" s="300">
        <f t="shared" si="4"/>
        <v>43656</v>
      </c>
      <c r="B67" s="137">
        <f t="shared" si="5"/>
        <v>58</v>
      </c>
      <c r="C67" s="210"/>
      <c r="D67" s="215" t="str">
        <f>IF(C67="","",SUM($C$10:C67))</f>
        <v/>
      </c>
      <c r="E67" s="215" t="str">
        <f>IF(C67="","",SUM($C$32:C67))</f>
        <v/>
      </c>
      <c r="F67" s="205" t="str">
        <f>IF(C67="","",(SUM($C$10:C67)/$J$2))</f>
        <v/>
      </c>
      <c r="G67" s="224"/>
      <c r="H67" s="225"/>
      <c r="I67" s="205" t="str">
        <f>IF(C67="","",SUM($C$32:C67)/$F$4)</f>
        <v/>
      </c>
      <c r="J67" s="244" t="str">
        <f>IF(C67="","",IF('Pon-Rec'!M47="","",SUM($C$32:C67)/'Pon-Rec'!M47))</f>
        <v/>
      </c>
      <c r="K67" s="245" t="str">
        <f>IF(C67="","",IF(Inc!K47="","",SUM($C$32:C67)/Inc!K47))</f>
        <v/>
      </c>
      <c r="M67" s="313">
        <f>IF(OR('Pon-Rec'!C47="",'Prod-Rec'!F48=""),0,'Pon-Rec'!C47*'Prod-Rec'!F48*7/1000)</f>
        <v>0</v>
      </c>
      <c r="N67" s="314">
        <f>IF(OR('Pon-Rec'!D47="",'Prod-Rec'!L48=""),0,'Pon-Rec'!D47*'Prod-Rec'!L48*7/1000)</f>
        <v>0</v>
      </c>
      <c r="O67" s="314">
        <f t="shared" si="6"/>
        <v>0</v>
      </c>
      <c r="P67" s="315">
        <f t="shared" si="7"/>
        <v>0</v>
      </c>
    </row>
    <row r="68" spans="1:16" ht="24" customHeight="1" x14ac:dyDescent="0.2">
      <c r="A68" s="300">
        <f t="shared" si="4"/>
        <v>43663</v>
      </c>
      <c r="B68" s="137">
        <f t="shared" si="5"/>
        <v>59</v>
      </c>
      <c r="C68" s="210"/>
      <c r="D68" s="215" t="str">
        <f>IF(C68="","",SUM($C$10:C68))</f>
        <v/>
      </c>
      <c r="E68" s="215" t="str">
        <f>IF(C68="","",SUM($C$32:C68))</f>
        <v/>
      </c>
      <c r="F68" s="205" t="str">
        <f>IF(C68="","",(SUM($C$10:C68)/$J$2))</f>
        <v/>
      </c>
      <c r="G68" s="224"/>
      <c r="H68" s="225"/>
      <c r="I68" s="205" t="str">
        <f>IF(C68="","",SUM($C$32:C68)/$F$4)</f>
        <v/>
      </c>
      <c r="J68" s="244" t="str">
        <f>IF(C68="","",IF('Pon-Rec'!M48="","",SUM($C$32:C68)/'Pon-Rec'!M48))</f>
        <v/>
      </c>
      <c r="K68" s="245" t="str">
        <f>IF(C68="","",IF(Inc!K48="","",SUM($C$32:C68)/Inc!K48))</f>
        <v/>
      </c>
      <c r="M68" s="313">
        <f>IF(OR('Pon-Rec'!C48="",'Prod-Rec'!F49=""),0,'Pon-Rec'!C48*'Prod-Rec'!F49*7/1000)</f>
        <v>0</v>
      </c>
      <c r="N68" s="314">
        <f>IF(OR('Pon-Rec'!D48="",'Prod-Rec'!L49=""),0,'Pon-Rec'!D48*'Prod-Rec'!L49*7/1000)</f>
        <v>0</v>
      </c>
      <c r="O68" s="314">
        <f t="shared" si="6"/>
        <v>0</v>
      </c>
      <c r="P68" s="315">
        <f t="shared" si="7"/>
        <v>0</v>
      </c>
    </row>
    <row r="69" spans="1:16" ht="24" customHeight="1" x14ac:dyDescent="0.2">
      <c r="A69" s="300">
        <f t="shared" si="4"/>
        <v>43670</v>
      </c>
      <c r="B69" s="137">
        <f t="shared" si="5"/>
        <v>60</v>
      </c>
      <c r="C69" s="210"/>
      <c r="D69" s="215" t="str">
        <f>IF(C69="","",SUM($C$10:C69))</f>
        <v/>
      </c>
      <c r="E69" s="215" t="str">
        <f>IF(C69="","",SUM($C$32:C69))</f>
        <v/>
      </c>
      <c r="F69" s="205" t="str">
        <f>IF(C69="","",(SUM($C$10:C69)/$J$2))</f>
        <v/>
      </c>
      <c r="G69" s="224"/>
      <c r="H69" s="225"/>
      <c r="I69" s="205" t="str">
        <f>IF(C69="","",SUM($C$32:C69)/$F$4)</f>
        <v/>
      </c>
      <c r="J69" s="244" t="str">
        <f>IF(C69="","",IF('Pon-Rec'!M49="","",SUM($C$32:C69)/'Pon-Rec'!M49))</f>
        <v/>
      </c>
      <c r="K69" s="245" t="str">
        <f>IF(C69="","",IF(Inc!K49="","",SUM($C$32:C69)/Inc!K49))</f>
        <v/>
      </c>
      <c r="M69" s="313">
        <f>IF(OR('Pon-Rec'!C49="",'Prod-Rec'!F50=""),0,'Pon-Rec'!C49*'Prod-Rec'!F50*7/1000)</f>
        <v>0</v>
      </c>
      <c r="N69" s="314">
        <f>IF(OR('Pon-Rec'!D49="",'Prod-Rec'!L50=""),0,'Pon-Rec'!D49*'Prod-Rec'!L50*7/1000)</f>
        <v>0</v>
      </c>
      <c r="O69" s="314">
        <f t="shared" si="6"/>
        <v>0</v>
      </c>
      <c r="P69" s="315">
        <f t="shared" si="7"/>
        <v>0</v>
      </c>
    </row>
    <row r="70" spans="1:16" ht="24" customHeight="1" x14ac:dyDescent="0.2">
      <c r="A70" s="300">
        <f t="shared" si="4"/>
        <v>43677</v>
      </c>
      <c r="B70" s="137">
        <f t="shared" si="5"/>
        <v>61</v>
      </c>
      <c r="C70" s="210"/>
      <c r="D70" s="215" t="str">
        <f>IF(C70="","",SUM($C$10:C70))</f>
        <v/>
      </c>
      <c r="E70" s="215" t="str">
        <f>IF(C70="","",SUM($C$32:C70))</f>
        <v/>
      </c>
      <c r="F70" s="205" t="str">
        <f>IF(C70="","",(SUM($C$10:C70)/$J$2))</f>
        <v/>
      </c>
      <c r="G70" s="224"/>
      <c r="H70" s="225"/>
      <c r="I70" s="205" t="str">
        <f>IF(C70="","",SUM($C$32:C70)/$F$4)</f>
        <v/>
      </c>
      <c r="J70" s="244" t="str">
        <f>IF(C70="","",IF('Pon-Rec'!M50="","",SUM($C$32:C70)/'Pon-Rec'!M50))</f>
        <v/>
      </c>
      <c r="K70" s="245" t="str">
        <f>IF(C70="","",IF(Inc!K50="","",SUM($C$32:C70)/Inc!K50))</f>
        <v/>
      </c>
      <c r="M70" s="313">
        <f>IF(OR('Pon-Rec'!C50="",'Prod-Rec'!F51=""),0,'Pon-Rec'!C50*'Prod-Rec'!F51*7/1000)</f>
        <v>0</v>
      </c>
      <c r="N70" s="314">
        <f>IF(OR('Pon-Rec'!D50="",'Prod-Rec'!L51=""),0,'Pon-Rec'!D50*'Prod-Rec'!L51*7/1000)</f>
        <v>0</v>
      </c>
      <c r="O70" s="314">
        <f t="shared" si="6"/>
        <v>0</v>
      </c>
      <c r="P70" s="315">
        <f t="shared" si="7"/>
        <v>0</v>
      </c>
    </row>
    <row r="71" spans="1:16" ht="24" customHeight="1" x14ac:dyDescent="0.2">
      <c r="A71" s="300">
        <f t="shared" si="4"/>
        <v>43684</v>
      </c>
      <c r="B71" s="137">
        <f t="shared" si="5"/>
        <v>62</v>
      </c>
      <c r="C71" s="210"/>
      <c r="D71" s="215" t="str">
        <f>IF(C71="","",SUM($C$10:C71))</f>
        <v/>
      </c>
      <c r="E71" s="215" t="str">
        <f>IF(C71="","",SUM($C$32:C71))</f>
        <v/>
      </c>
      <c r="F71" s="205" t="str">
        <f>IF(C71="","",(SUM($C$10:C71)/$J$2))</f>
        <v/>
      </c>
      <c r="G71" s="224"/>
      <c r="H71" s="225"/>
      <c r="I71" s="205" t="str">
        <f>IF(C71="","",SUM($C$32:C71)/$F$4)</f>
        <v/>
      </c>
      <c r="J71" s="244" t="str">
        <f>IF(C71="","",IF('Pon-Rec'!M51="","",SUM($C$32:C71)/'Pon-Rec'!M51))</f>
        <v/>
      </c>
      <c r="K71" s="245" t="str">
        <f>IF(C71="","",IF(Inc!K51="","",SUM($C$32:C71)/Inc!K51))</f>
        <v/>
      </c>
      <c r="M71" s="313">
        <f>IF(OR('Pon-Rec'!C51="",'Prod-Rec'!F52=""),0,'Pon-Rec'!C51*'Prod-Rec'!F52*7/1000)</f>
        <v>0</v>
      </c>
      <c r="N71" s="314">
        <f>IF(OR('Pon-Rec'!D51="",'Prod-Rec'!L52=""),0,'Pon-Rec'!D51*'Prod-Rec'!L52*7/1000)</f>
        <v>0</v>
      </c>
      <c r="O71" s="314">
        <f t="shared" si="6"/>
        <v>0</v>
      </c>
      <c r="P71" s="315">
        <f t="shared" si="7"/>
        <v>0</v>
      </c>
    </row>
    <row r="72" spans="1:16" ht="24" customHeight="1" x14ac:dyDescent="0.2">
      <c r="A72" s="300">
        <f t="shared" si="4"/>
        <v>43691</v>
      </c>
      <c r="B72" s="137">
        <f t="shared" si="5"/>
        <v>63</v>
      </c>
      <c r="C72" s="210"/>
      <c r="D72" s="215" t="str">
        <f>IF(C72="","",SUM($C$10:C72))</f>
        <v/>
      </c>
      <c r="E72" s="215" t="str">
        <f>IF(C72="","",SUM($C$32:C72))</f>
        <v/>
      </c>
      <c r="F72" s="205" t="str">
        <f>IF(C72="","",(SUM($C$10:C72)/$J$2))</f>
        <v/>
      </c>
      <c r="G72" s="224"/>
      <c r="H72" s="225"/>
      <c r="I72" s="205" t="str">
        <f>IF(C72="","",SUM($C$32:C72)/$F$4)</f>
        <v/>
      </c>
      <c r="J72" s="244" t="str">
        <f>IF(C72="","",IF('Pon-Rec'!M52="","",SUM($C$32:C72)/'Pon-Rec'!M52))</f>
        <v/>
      </c>
      <c r="K72" s="245" t="str">
        <f>IF(C72="","",IF(Inc!K52="","",SUM($C$32:C72)/Inc!K52))</f>
        <v/>
      </c>
      <c r="M72" s="313">
        <f>IF(OR('Pon-Rec'!C52="",'Prod-Rec'!F53=""),0,'Pon-Rec'!C52*'Prod-Rec'!F53*7/1000)</f>
        <v>0</v>
      </c>
      <c r="N72" s="314">
        <f>IF(OR('Pon-Rec'!D52="",'Prod-Rec'!L53=""),0,'Pon-Rec'!D52*'Prod-Rec'!L53*7/1000)</f>
        <v>0</v>
      </c>
      <c r="O72" s="314">
        <f t="shared" si="6"/>
        <v>0</v>
      </c>
      <c r="P72" s="315">
        <f t="shared" si="7"/>
        <v>0</v>
      </c>
    </row>
    <row r="73" spans="1:16" ht="24" customHeight="1" x14ac:dyDescent="0.2">
      <c r="A73" s="300">
        <f t="shared" si="4"/>
        <v>43698</v>
      </c>
      <c r="B73" s="137">
        <f t="shared" si="5"/>
        <v>64</v>
      </c>
      <c r="C73" s="210"/>
      <c r="D73" s="215" t="str">
        <f>IF(C73="","",SUM($C$10:C73))</f>
        <v/>
      </c>
      <c r="E73" s="215" t="str">
        <f>IF(C73="","",SUM($C$32:C73))</f>
        <v/>
      </c>
      <c r="F73" s="205" t="str">
        <f>IF(C73="","",(SUM($C$10:C73)/$J$2))</f>
        <v/>
      </c>
      <c r="G73" s="224"/>
      <c r="H73" s="225"/>
      <c r="I73" s="205" t="str">
        <f>IF(C73="","",SUM($C$32:C73)/$F$4)</f>
        <v/>
      </c>
      <c r="J73" s="244" t="str">
        <f>IF(C73="","",IF('Pon-Rec'!M53="","",SUM($C$32:C73)/'Pon-Rec'!M53))</f>
        <v/>
      </c>
      <c r="K73" s="245" t="str">
        <f>IF(C73="","",IF(Inc!K53="","",SUM($C$32:C73)/Inc!K53))</f>
        <v/>
      </c>
      <c r="M73" s="313">
        <f>IF(OR('Pon-Rec'!C53="",'Prod-Rec'!F54=""),0,'Pon-Rec'!C53*'Prod-Rec'!F54*7/1000)</f>
        <v>0</v>
      </c>
      <c r="N73" s="314">
        <f>IF(OR('Pon-Rec'!D53="",'Prod-Rec'!L54=""),0,'Pon-Rec'!D53*'Prod-Rec'!L54*7/1000)</f>
        <v>0</v>
      </c>
      <c r="O73" s="314">
        <f t="shared" si="6"/>
        <v>0</v>
      </c>
      <c r="P73" s="315">
        <f t="shared" si="7"/>
        <v>0</v>
      </c>
    </row>
    <row r="74" spans="1:16" ht="24" customHeight="1" x14ac:dyDescent="0.2">
      <c r="A74" s="300">
        <f t="shared" si="4"/>
        <v>43705</v>
      </c>
      <c r="B74" s="137">
        <f t="shared" si="5"/>
        <v>65</v>
      </c>
      <c r="C74" s="210"/>
      <c r="D74" s="215" t="str">
        <f>IF(C74="","",SUM($C$10:C74))</f>
        <v/>
      </c>
      <c r="E74" s="215" t="str">
        <f>IF(C74="","",SUM($C$32:C74))</f>
        <v/>
      </c>
      <c r="F74" s="205" t="str">
        <f>IF(C74="","",(SUM($C$10:C74)/$J$2))</f>
        <v/>
      </c>
      <c r="G74" s="224"/>
      <c r="H74" s="225"/>
      <c r="I74" s="205" t="str">
        <f>IF(C74="","",SUM($C$32:C74)/$F$4)</f>
        <v/>
      </c>
      <c r="J74" s="244" t="str">
        <f>IF(C74="","",IF('Pon-Rec'!M54="","",SUM($C$32:C74)/'Pon-Rec'!M54))</f>
        <v/>
      </c>
      <c r="K74" s="245" t="str">
        <f>IF(C74="","",IF(Inc!K54="","",SUM($C$32:C74)/Inc!K54))</f>
        <v/>
      </c>
      <c r="M74" s="313">
        <f>IF(OR('Pon-Rec'!C54="",'Prod-Rec'!F55=""),0,'Pon-Rec'!C54*'Prod-Rec'!F55*7/1000)</f>
        <v>0</v>
      </c>
      <c r="N74" s="314">
        <f>IF(OR('Pon-Rec'!D54="",'Prod-Rec'!L55=""),0,'Pon-Rec'!D54*'Prod-Rec'!L55*7/1000)</f>
        <v>0</v>
      </c>
      <c r="O74" s="314">
        <f t="shared" si="6"/>
        <v>0</v>
      </c>
      <c r="P74" s="315">
        <f t="shared" si="7"/>
        <v>0</v>
      </c>
    </row>
    <row r="75" spans="1:16" ht="24" customHeight="1" x14ac:dyDescent="0.2">
      <c r="A75" s="300">
        <f t="shared" si="4"/>
        <v>43712</v>
      </c>
      <c r="B75" s="137">
        <f t="shared" si="5"/>
        <v>66</v>
      </c>
      <c r="C75" s="210"/>
      <c r="D75" s="215" t="str">
        <f>IF(C75="","",SUM($C$10:C75))</f>
        <v/>
      </c>
      <c r="E75" s="215" t="str">
        <f>IF(C75="","",SUM($C$32:C75))</f>
        <v/>
      </c>
      <c r="F75" s="205" t="str">
        <f>IF(C75="","",(SUM($C$10:C75)/$J$2))</f>
        <v/>
      </c>
      <c r="G75" s="224"/>
      <c r="H75" s="225"/>
      <c r="I75" s="205" t="str">
        <f>IF(C75="","",SUM($C$32:C75)/$F$4)</f>
        <v/>
      </c>
      <c r="J75" s="244" t="str">
        <f>IF(C75="","",IF('Pon-Rec'!M55="","",SUM($C$32:C75)/'Pon-Rec'!M55))</f>
        <v/>
      </c>
      <c r="K75" s="245" t="str">
        <f>IF(C75="","",IF(Inc!K55="","",SUM($C$32:C75)/Inc!K55))</f>
        <v/>
      </c>
      <c r="M75" s="313">
        <f>IF(OR('Pon-Rec'!C55="",'Prod-Rec'!F56=""),0,'Pon-Rec'!C55*'Prod-Rec'!F56*7/1000)</f>
        <v>0</v>
      </c>
      <c r="N75" s="314">
        <f>IF(OR('Pon-Rec'!D55="",'Prod-Rec'!L56=""),0,'Pon-Rec'!D55*'Prod-Rec'!L56*7/1000)</f>
        <v>0</v>
      </c>
      <c r="O75" s="314">
        <f t="shared" si="6"/>
        <v>0</v>
      </c>
      <c r="P75" s="315">
        <f t="shared" si="7"/>
        <v>0</v>
      </c>
    </row>
    <row r="76" spans="1:16" ht="24" customHeight="1" x14ac:dyDescent="0.2">
      <c r="A76" s="300">
        <f t="shared" si="4"/>
        <v>43719</v>
      </c>
      <c r="B76" s="137">
        <f t="shared" si="5"/>
        <v>67</v>
      </c>
      <c r="C76" s="210"/>
      <c r="D76" s="215" t="str">
        <f>IF(C76="","",SUM($C$10:C76))</f>
        <v/>
      </c>
      <c r="E76" s="215" t="str">
        <f>IF(C76="","",SUM($C$32:C76))</f>
        <v/>
      </c>
      <c r="F76" s="205" t="str">
        <f>IF(C76="","",(SUM($C$10:C76)/$J$2))</f>
        <v/>
      </c>
      <c r="G76" s="224"/>
      <c r="H76" s="225"/>
      <c r="I76" s="205" t="str">
        <f>IF(C76="","",SUM($C$32:C76)/$F$4)</f>
        <v/>
      </c>
      <c r="J76" s="244" t="str">
        <f>IF(C76="","",IF('Pon-Rec'!M56="","",SUM($C$32:C76)/'Pon-Rec'!M56))</f>
        <v/>
      </c>
      <c r="K76" s="245" t="str">
        <f>IF(C76="","",IF(Inc!K56="","",SUM($C$32:C76)/Inc!K56))</f>
        <v/>
      </c>
      <c r="M76" s="313">
        <f>IF(OR('Pon-Rec'!C56="",'Prod-Rec'!F57=""),0,'Pon-Rec'!C56*'Prod-Rec'!F57*7/1000)</f>
        <v>0</v>
      </c>
      <c r="N76" s="314">
        <f>IF(OR('Pon-Rec'!D56="",'Prod-Rec'!L57=""),0,'Pon-Rec'!D56*'Prod-Rec'!L57*7/1000)</f>
        <v>0</v>
      </c>
      <c r="O76" s="314">
        <f t="shared" si="6"/>
        <v>0</v>
      </c>
      <c r="P76" s="315">
        <f t="shared" si="7"/>
        <v>0</v>
      </c>
    </row>
    <row r="77" spans="1:16" ht="24" customHeight="1" x14ac:dyDescent="0.2">
      <c r="A77" s="300">
        <f t="shared" si="4"/>
        <v>43726</v>
      </c>
      <c r="B77" s="137">
        <f t="shared" si="5"/>
        <v>68</v>
      </c>
      <c r="C77" s="210"/>
      <c r="D77" s="215" t="str">
        <f>IF(C77="","",SUM($C$10:C77))</f>
        <v/>
      </c>
      <c r="E77" s="215" t="str">
        <f>IF(C77="","",SUM($C$32:C77))</f>
        <v/>
      </c>
      <c r="F77" s="205" t="str">
        <f>IF(C77="","",(SUM($C$10:C77)/$J$2))</f>
        <v/>
      </c>
      <c r="G77" s="224"/>
      <c r="H77" s="225"/>
      <c r="I77" s="205" t="str">
        <f>IF(C77="","",SUM($C$32:C77)/$F$4)</f>
        <v/>
      </c>
      <c r="J77" s="244" t="str">
        <f>IF(C77="","",IF('Pon-Rec'!M57="","",SUM($C$32:C77)/'Pon-Rec'!M57))</f>
        <v/>
      </c>
      <c r="K77" s="245" t="str">
        <f>IF(C77="","",IF(Inc!K57="","",SUM($C$32:C77)/Inc!K57))</f>
        <v/>
      </c>
      <c r="M77" s="313">
        <f>IF(OR('Pon-Rec'!C57="",'Prod-Rec'!F58=""),0,'Pon-Rec'!C57*'Prod-Rec'!F58*7/1000)</f>
        <v>0</v>
      </c>
      <c r="N77" s="314">
        <f>IF(OR('Pon-Rec'!D57="",'Prod-Rec'!L58=""),0,'Pon-Rec'!D57*'Prod-Rec'!L58*7/1000)</f>
        <v>0</v>
      </c>
      <c r="O77" s="314">
        <f t="shared" si="6"/>
        <v>0</v>
      </c>
      <c r="P77" s="315">
        <f t="shared" si="7"/>
        <v>0</v>
      </c>
    </row>
    <row r="78" spans="1:16" ht="24" customHeight="1" x14ac:dyDescent="0.2">
      <c r="A78" s="300">
        <f t="shared" si="4"/>
        <v>43733</v>
      </c>
      <c r="B78" s="137">
        <f t="shared" si="5"/>
        <v>69</v>
      </c>
      <c r="C78" s="210"/>
      <c r="D78" s="215" t="str">
        <f>IF(C78="","",SUM($C$10:C78))</f>
        <v/>
      </c>
      <c r="E78" s="215" t="str">
        <f>IF(C78="","",SUM($C$32:C78))</f>
        <v/>
      </c>
      <c r="F78" s="205" t="str">
        <f>IF(C78="","",(SUM($C$10:C78)/$J$2))</f>
        <v/>
      </c>
      <c r="G78" s="224"/>
      <c r="H78" s="225"/>
      <c r="I78" s="205" t="str">
        <f>IF(C78="","",SUM($C$32:C78)/$F$4)</f>
        <v/>
      </c>
      <c r="J78" s="244" t="str">
        <f>IF(C78="","",IF('Pon-Rec'!M58="","",SUM($C$32:C78)/'Pon-Rec'!M58))</f>
        <v/>
      </c>
      <c r="K78" s="245" t="str">
        <f>IF(C78="","",IF(Inc!K58="","",SUM($C$32:C78)/Inc!K58))</f>
        <v/>
      </c>
      <c r="M78" s="313">
        <f>IF(OR('Pon-Rec'!C58="",'Prod-Rec'!F59=""),0,'Pon-Rec'!C58*'Prod-Rec'!F59*7/1000)</f>
        <v>0</v>
      </c>
      <c r="N78" s="314">
        <f>IF(OR('Pon-Rec'!D58="",'Prod-Rec'!L59=""),0,'Pon-Rec'!D58*'Prod-Rec'!L59*7/1000)</f>
        <v>0</v>
      </c>
      <c r="O78" s="314">
        <f t="shared" si="6"/>
        <v>0</v>
      </c>
      <c r="P78" s="315">
        <f t="shared" si="7"/>
        <v>0</v>
      </c>
    </row>
    <row r="79" spans="1:16" ht="24" customHeight="1" thickBot="1" x14ac:dyDescent="0.25">
      <c r="A79" s="301">
        <f t="shared" si="4"/>
        <v>43740</v>
      </c>
      <c r="B79" s="138">
        <f t="shared" si="5"/>
        <v>70</v>
      </c>
      <c r="C79" s="211"/>
      <c r="D79" s="216" t="str">
        <f>IF(C79="","",SUM($C$10:C79))</f>
        <v/>
      </c>
      <c r="E79" s="216" t="str">
        <f>IF(C79="","",SUM($C$32:C79))</f>
        <v/>
      </c>
      <c r="F79" s="206" t="str">
        <f>IF(C79="","",(SUM($C$10:C79)/$J$2))</f>
        <v/>
      </c>
      <c r="G79" s="226"/>
      <c r="H79" s="227"/>
      <c r="I79" s="206" t="str">
        <f>IF(C79="","",SUM($C$32:C79)/$F$4)</f>
        <v/>
      </c>
      <c r="J79" s="247" t="str">
        <f>IF(C79="","",IF('Pon-Rec'!M59="","",SUM($C$32:C79)/'Pon-Rec'!M59))</f>
        <v/>
      </c>
      <c r="K79" s="246" t="str">
        <f>IF(C79="","",IF(Inc!K59="","",SUM($C$32:C79)/Inc!K59))</f>
        <v/>
      </c>
      <c r="M79" s="316">
        <f>IF(OR('Pon-Rec'!C59="",'Prod-Rec'!F60=""),0,'Pon-Rec'!C59*'Prod-Rec'!F60*7/1000)</f>
        <v>0</v>
      </c>
      <c r="N79" s="317">
        <f>IF(OR('Pon-Rec'!D59="",'Prod-Rec'!L60=""),0,'Pon-Rec'!D59*'Prod-Rec'!L60*7/1000)</f>
        <v>0</v>
      </c>
      <c r="O79" s="317">
        <f t="shared" si="6"/>
        <v>0</v>
      </c>
      <c r="P79" s="318">
        <f t="shared" si="7"/>
        <v>0</v>
      </c>
    </row>
    <row r="80" spans="1:16" ht="13.5" thickTop="1" x14ac:dyDescent="0.2"/>
  </sheetData>
  <mergeCells count="4">
    <mergeCell ref="U7:AB7"/>
    <mergeCell ref="C7:K7"/>
    <mergeCell ref="M7:P7"/>
    <mergeCell ref="Q7:T7"/>
  </mergeCells>
  <phoneticPr fontId="17" type="noConversion"/>
  <printOptions horizontalCentered="1" verticalCentered="1"/>
  <pageMargins left="0.75" right="0.75" top="0.39370078740157483" bottom="0.98425196850393704" header="0" footer="0"/>
  <pageSetup paperSize="9" scale="70" orientation="landscape" horizontalDpi="360" verticalDpi="360" r:id="rId1"/>
  <headerFooter alignWithMargins="0">
    <oddHeader>&amp;C&amp;A</oddHeader>
    <oddFooter>&amp;L&amp;6&amp;F&amp;C&amp;8Preparado por COBB Española&amp;D&amp;R&amp;P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N111"/>
  <sheetViews>
    <sheetView showGridLines="0" zoomScale="75" workbookViewId="0">
      <selection activeCell="I5" sqref="I5"/>
    </sheetView>
  </sheetViews>
  <sheetFormatPr baseColWidth="10" defaultRowHeight="12.75" x14ac:dyDescent="0.2"/>
  <cols>
    <col min="1" max="3" width="6.7109375" customWidth="1"/>
    <col min="4" max="4" width="6.5703125" customWidth="1"/>
    <col min="5" max="6" width="4.7109375" customWidth="1"/>
    <col min="9" max="9" width="17.7109375" customWidth="1"/>
  </cols>
  <sheetData>
    <row r="1" spans="1:14" ht="18" x14ac:dyDescent="0.25">
      <c r="A1" s="20" t="s">
        <v>125</v>
      </c>
      <c r="B1" s="21"/>
      <c r="C1" s="21"/>
      <c r="D1" s="22"/>
      <c r="E1" s="22"/>
      <c r="F1" s="22"/>
      <c r="G1" s="23" t="str">
        <f>LOT!$B$3</f>
        <v>CASAP-BLIDA</v>
      </c>
      <c r="H1" s="23"/>
      <c r="I1" s="21"/>
      <c r="J1" s="21"/>
      <c r="K1" s="24" t="s">
        <v>142</v>
      </c>
      <c r="L1" s="25"/>
      <c r="M1" s="21"/>
      <c r="N1" s="26">
        <f>LOT!$B$4</f>
        <v>43250</v>
      </c>
    </row>
    <row r="2" spans="1:14" ht="15.75" x14ac:dyDescent="0.25">
      <c r="A2" s="24" t="s">
        <v>74</v>
      </c>
      <c r="B2" s="21"/>
      <c r="C2" s="21"/>
      <c r="D2" s="22"/>
      <c r="E2" s="22"/>
      <c r="F2" s="22"/>
      <c r="G2" s="22">
        <f>LOT!$B$8</f>
        <v>0</v>
      </c>
      <c r="H2" s="22"/>
      <c r="I2" s="21"/>
      <c r="J2" s="21"/>
      <c r="K2" s="24" t="s">
        <v>143</v>
      </c>
      <c r="L2" s="24"/>
      <c r="M2" s="21"/>
      <c r="N2" s="22">
        <f>LOT!$B$5</f>
        <v>7872</v>
      </c>
    </row>
    <row r="3" spans="1:14" ht="15.75" x14ac:dyDescent="0.25">
      <c r="A3" s="24" t="s">
        <v>73</v>
      </c>
      <c r="B3" s="21"/>
      <c r="C3" s="21"/>
      <c r="D3" s="22"/>
      <c r="E3" s="22"/>
      <c r="F3" s="22"/>
      <c r="G3" s="22" t="str">
        <f>LOT!$B$7</f>
        <v>AIN OUSSERA-ALGERIE</v>
      </c>
      <c r="H3" s="22"/>
      <c r="I3" s="21"/>
      <c r="J3" s="21"/>
      <c r="K3" s="24" t="s">
        <v>222</v>
      </c>
      <c r="L3" s="24"/>
      <c r="M3" s="22"/>
      <c r="N3" s="22">
        <f>LOT!$B$6</f>
        <v>1200</v>
      </c>
    </row>
    <row r="5" spans="1:14" ht="15" x14ac:dyDescent="0.2">
      <c r="A5" t="s">
        <v>224</v>
      </c>
      <c r="I5" t="s">
        <v>223</v>
      </c>
      <c r="J5" s="323">
        <f>ROUND((M5-L5)/7,0)</f>
        <v>21</v>
      </c>
      <c r="L5" s="69">
        <f>DATE(N5,1,1)</f>
        <v>43101</v>
      </c>
      <c r="M5" s="69">
        <f>+N1</f>
        <v>43250</v>
      </c>
      <c r="N5">
        <f>YEAR(N1)</f>
        <v>2018</v>
      </c>
    </row>
    <row r="6" spans="1:14" ht="13.5" thickBot="1" x14ac:dyDescent="0.25"/>
    <row r="7" spans="1:14" ht="13.5" thickTop="1" x14ac:dyDescent="0.2">
      <c r="A7" s="58" t="s">
        <v>225</v>
      </c>
      <c r="B7" s="75" t="s">
        <v>226</v>
      </c>
      <c r="C7" s="75" t="s">
        <v>14</v>
      </c>
      <c r="D7" s="59" t="s">
        <v>226</v>
      </c>
      <c r="E7" s="17"/>
      <c r="F7" s="17"/>
    </row>
    <row r="8" spans="1:14" ht="13.5" thickBot="1" x14ac:dyDescent="0.25">
      <c r="A8" s="60" t="s">
        <v>227</v>
      </c>
      <c r="B8" s="78" t="s">
        <v>15</v>
      </c>
      <c r="C8" s="78" t="s">
        <v>228</v>
      </c>
      <c r="D8" s="61" t="s">
        <v>84</v>
      </c>
      <c r="E8" s="17"/>
      <c r="F8" s="17"/>
    </row>
    <row r="9" spans="1:14" x14ac:dyDescent="0.2">
      <c r="A9" s="109">
        <v>52</v>
      </c>
      <c r="B9" s="110">
        <v>8.3000000000000007</v>
      </c>
      <c r="C9" s="192"/>
      <c r="D9" s="115"/>
      <c r="E9" s="18"/>
      <c r="F9" s="18"/>
      <c r="I9" s="68"/>
    </row>
    <row r="10" spans="1:14" x14ac:dyDescent="0.2">
      <c r="A10" s="111">
        <v>1</v>
      </c>
      <c r="B10" s="112">
        <v>8.5</v>
      </c>
      <c r="C10" s="193"/>
      <c r="D10" s="116"/>
      <c r="E10" s="18">
        <v>1</v>
      </c>
      <c r="F10" s="18">
        <v>23</v>
      </c>
      <c r="I10" s="67"/>
    </row>
    <row r="11" spans="1:14" x14ac:dyDescent="0.2">
      <c r="A11" s="111">
        <v>2</v>
      </c>
      <c r="B11" s="112">
        <v>8.6999999999999993</v>
      </c>
      <c r="C11" s="193"/>
      <c r="D11" s="116"/>
      <c r="E11" s="18">
        <v>2</v>
      </c>
      <c r="F11" s="18">
        <v>16</v>
      </c>
    </row>
    <row r="12" spans="1:14" x14ac:dyDescent="0.2">
      <c r="A12" s="111">
        <v>3</v>
      </c>
      <c r="B12" s="112">
        <v>8.9</v>
      </c>
      <c r="C12" s="193"/>
      <c r="D12" s="116"/>
      <c r="E12" s="18">
        <v>3</v>
      </c>
      <c r="F12" s="18">
        <v>12</v>
      </c>
    </row>
    <row r="13" spans="1:14" x14ac:dyDescent="0.2">
      <c r="A13" s="111">
        <v>4</v>
      </c>
      <c r="B13" s="112">
        <v>9.1999999999999993</v>
      </c>
      <c r="C13" s="193"/>
      <c r="D13" s="116"/>
      <c r="E13" s="18">
        <v>4</v>
      </c>
      <c r="F13" s="18">
        <v>8</v>
      </c>
    </row>
    <row r="14" spans="1:14" x14ac:dyDescent="0.2">
      <c r="A14" s="111">
        <v>5</v>
      </c>
      <c r="B14" s="112">
        <v>9.5</v>
      </c>
      <c r="C14" s="193"/>
      <c r="D14" s="116"/>
      <c r="E14" s="18">
        <v>5</v>
      </c>
      <c r="F14" s="18">
        <v>8</v>
      </c>
    </row>
    <row r="15" spans="1:14" x14ac:dyDescent="0.2">
      <c r="A15" s="111">
        <v>6</v>
      </c>
      <c r="B15" s="112">
        <v>9.8000000000000007</v>
      </c>
      <c r="C15" s="193"/>
      <c r="D15" s="116"/>
      <c r="E15" s="18">
        <v>6</v>
      </c>
      <c r="F15" s="18">
        <v>8</v>
      </c>
    </row>
    <row r="16" spans="1:14" x14ac:dyDescent="0.2">
      <c r="A16" s="111">
        <v>7</v>
      </c>
      <c r="B16" s="112">
        <v>10.199999999999999</v>
      </c>
      <c r="C16" s="193"/>
      <c r="D16" s="116"/>
      <c r="E16" s="18">
        <v>7</v>
      </c>
      <c r="F16" s="18">
        <v>8</v>
      </c>
    </row>
    <row r="17" spans="1:6" x14ac:dyDescent="0.2">
      <c r="A17" s="111">
        <v>8</v>
      </c>
      <c r="B17" s="112">
        <v>10.6</v>
      </c>
      <c r="C17" s="193"/>
      <c r="D17" s="116"/>
      <c r="E17" s="18">
        <v>8</v>
      </c>
      <c r="F17" s="18">
        <v>8</v>
      </c>
    </row>
    <row r="18" spans="1:6" x14ac:dyDescent="0.2">
      <c r="A18" s="111">
        <v>9</v>
      </c>
      <c r="B18" s="112">
        <v>11</v>
      </c>
      <c r="C18" s="193"/>
      <c r="D18" s="116"/>
      <c r="E18" s="18">
        <v>9</v>
      </c>
      <c r="F18" s="18">
        <v>8</v>
      </c>
    </row>
    <row r="19" spans="1:6" x14ac:dyDescent="0.2">
      <c r="A19" s="111">
        <v>10</v>
      </c>
      <c r="B19" s="112">
        <v>11.4</v>
      </c>
      <c r="C19" s="193"/>
      <c r="D19" s="116"/>
      <c r="E19" s="18">
        <v>10</v>
      </c>
      <c r="F19" s="18">
        <v>8</v>
      </c>
    </row>
    <row r="20" spans="1:6" x14ac:dyDescent="0.2">
      <c r="A20" s="111">
        <v>11</v>
      </c>
      <c r="B20" s="112">
        <v>11.8</v>
      </c>
      <c r="C20" s="193"/>
      <c r="D20" s="116"/>
      <c r="E20" s="18">
        <v>11</v>
      </c>
      <c r="F20" s="18">
        <v>8</v>
      </c>
    </row>
    <row r="21" spans="1:6" x14ac:dyDescent="0.2">
      <c r="A21" s="111">
        <v>12</v>
      </c>
      <c r="B21" s="112">
        <v>12.2</v>
      </c>
      <c r="C21" s="193"/>
      <c r="D21" s="116"/>
      <c r="E21" s="18">
        <v>12</v>
      </c>
      <c r="F21" s="18">
        <v>8</v>
      </c>
    </row>
    <row r="22" spans="1:6" x14ac:dyDescent="0.2">
      <c r="A22" s="111">
        <v>13</v>
      </c>
      <c r="B22" s="112">
        <v>12.6</v>
      </c>
      <c r="C22" s="193"/>
      <c r="D22" s="116"/>
      <c r="E22" s="18">
        <v>13</v>
      </c>
      <c r="F22" s="18">
        <v>8</v>
      </c>
    </row>
    <row r="23" spans="1:6" x14ac:dyDescent="0.2">
      <c r="A23" s="111">
        <v>14</v>
      </c>
      <c r="B23" s="112">
        <v>13</v>
      </c>
      <c r="C23" s="193"/>
      <c r="D23" s="116"/>
      <c r="E23" s="18">
        <v>14</v>
      </c>
      <c r="F23" s="18">
        <v>8</v>
      </c>
    </row>
    <row r="24" spans="1:6" x14ac:dyDescent="0.2">
      <c r="A24" s="111">
        <v>15</v>
      </c>
      <c r="B24" s="112">
        <v>13.4</v>
      </c>
      <c r="C24" s="193"/>
      <c r="D24" s="116"/>
      <c r="E24" s="18">
        <v>15</v>
      </c>
      <c r="F24" s="18">
        <v>8</v>
      </c>
    </row>
    <row r="25" spans="1:6" x14ac:dyDescent="0.2">
      <c r="A25" s="111">
        <v>16</v>
      </c>
      <c r="B25" s="112">
        <v>13.8</v>
      </c>
      <c r="C25" s="193"/>
      <c r="D25" s="116"/>
      <c r="E25" s="18">
        <v>16</v>
      </c>
      <c r="F25" s="18">
        <v>8</v>
      </c>
    </row>
    <row r="26" spans="1:6" x14ac:dyDescent="0.2">
      <c r="A26" s="111">
        <v>17</v>
      </c>
      <c r="B26" s="112">
        <v>14.2</v>
      </c>
      <c r="C26" s="193"/>
      <c r="D26" s="116"/>
      <c r="E26" s="18">
        <v>17</v>
      </c>
      <c r="F26" s="18">
        <v>8</v>
      </c>
    </row>
    <row r="27" spans="1:6" x14ac:dyDescent="0.2">
      <c r="A27" s="111">
        <v>18</v>
      </c>
      <c r="B27" s="112">
        <v>14.6</v>
      </c>
      <c r="C27" s="193"/>
      <c r="D27" s="116"/>
      <c r="E27" s="18">
        <v>18</v>
      </c>
      <c r="F27" s="18">
        <v>8</v>
      </c>
    </row>
    <row r="28" spans="1:6" x14ac:dyDescent="0.2">
      <c r="A28" s="111">
        <v>19</v>
      </c>
      <c r="B28" s="112">
        <v>14.9</v>
      </c>
      <c r="C28" s="193"/>
      <c r="D28" s="116"/>
      <c r="E28" s="18">
        <v>19</v>
      </c>
      <c r="F28" s="18">
        <v>8</v>
      </c>
    </row>
    <row r="29" spans="1:6" x14ac:dyDescent="0.2">
      <c r="A29" s="111">
        <v>20</v>
      </c>
      <c r="B29" s="112">
        <v>15.2</v>
      </c>
      <c r="C29" s="193"/>
      <c r="D29" s="116"/>
      <c r="E29" s="18">
        <v>20</v>
      </c>
      <c r="F29" s="18">
        <v>8</v>
      </c>
    </row>
    <row r="30" spans="1:6" x14ac:dyDescent="0.2">
      <c r="A30" s="111">
        <v>21</v>
      </c>
      <c r="B30" s="112">
        <v>15.4</v>
      </c>
      <c r="C30" s="193"/>
      <c r="D30" s="116"/>
      <c r="E30" s="18">
        <v>21</v>
      </c>
      <c r="F30" s="18">
        <v>9</v>
      </c>
    </row>
    <row r="31" spans="1:6" x14ac:dyDescent="0.2">
      <c r="A31" s="111">
        <v>22</v>
      </c>
      <c r="B31" s="112">
        <v>15.6</v>
      </c>
      <c r="C31" s="193"/>
      <c r="D31" s="116"/>
      <c r="E31" s="18">
        <v>22</v>
      </c>
      <c r="F31" s="18">
        <v>10</v>
      </c>
    </row>
    <row r="32" spans="1:6" x14ac:dyDescent="0.2">
      <c r="A32" s="111">
        <v>23</v>
      </c>
      <c r="B32" s="112">
        <v>15.75</v>
      </c>
      <c r="C32" s="193"/>
      <c r="D32" s="116"/>
      <c r="E32" s="18">
        <v>23</v>
      </c>
      <c r="F32" s="18">
        <v>11</v>
      </c>
    </row>
    <row r="33" spans="1:6" x14ac:dyDescent="0.2">
      <c r="A33" s="111">
        <v>24</v>
      </c>
      <c r="B33" s="112">
        <v>15.9</v>
      </c>
      <c r="C33" s="193"/>
      <c r="D33" s="116"/>
      <c r="E33" s="18">
        <v>24</v>
      </c>
      <c r="F33" s="18">
        <v>12</v>
      </c>
    </row>
    <row r="34" spans="1:6" x14ac:dyDescent="0.2">
      <c r="A34" s="111">
        <v>25</v>
      </c>
      <c r="B34" s="112">
        <v>16</v>
      </c>
      <c r="C34" s="193"/>
      <c r="D34" s="116"/>
      <c r="E34" s="18">
        <v>25</v>
      </c>
      <c r="F34" s="18">
        <v>13</v>
      </c>
    </row>
    <row r="35" spans="1:6" x14ac:dyDescent="0.2">
      <c r="A35" s="111">
        <v>26</v>
      </c>
      <c r="B35" s="112">
        <v>16</v>
      </c>
      <c r="C35" s="193"/>
      <c r="D35" s="116"/>
      <c r="E35" s="18">
        <v>26</v>
      </c>
      <c r="F35" s="18">
        <v>14</v>
      </c>
    </row>
    <row r="36" spans="1:6" x14ac:dyDescent="0.2">
      <c r="A36" s="111">
        <v>27</v>
      </c>
      <c r="B36" s="112">
        <v>15.9</v>
      </c>
      <c r="C36" s="193"/>
      <c r="D36" s="116"/>
      <c r="E36" s="18">
        <v>27</v>
      </c>
      <c r="F36" s="18">
        <v>15</v>
      </c>
    </row>
    <row r="37" spans="1:6" x14ac:dyDescent="0.2">
      <c r="A37" s="111">
        <v>28</v>
      </c>
      <c r="B37" s="112">
        <v>15.8</v>
      </c>
      <c r="C37" s="193"/>
      <c r="D37" s="116"/>
      <c r="E37" s="18">
        <v>28</v>
      </c>
      <c r="F37" s="18">
        <v>15</v>
      </c>
    </row>
    <row r="38" spans="1:6" x14ac:dyDescent="0.2">
      <c r="A38" s="111">
        <v>29</v>
      </c>
      <c r="B38" s="112">
        <v>15.5</v>
      </c>
      <c r="C38" s="193"/>
      <c r="D38" s="116"/>
      <c r="E38" s="18">
        <v>29</v>
      </c>
      <c r="F38" s="18">
        <v>15</v>
      </c>
    </row>
    <row r="39" spans="1:6" x14ac:dyDescent="0.2">
      <c r="A39" s="111">
        <v>30</v>
      </c>
      <c r="B39" s="112">
        <v>15.2</v>
      </c>
      <c r="C39" s="193"/>
      <c r="D39" s="116"/>
      <c r="E39" s="18">
        <v>30</v>
      </c>
      <c r="F39" s="18">
        <v>15</v>
      </c>
    </row>
    <row r="40" spans="1:6" x14ac:dyDescent="0.2">
      <c r="A40" s="111">
        <v>31</v>
      </c>
      <c r="B40" s="112">
        <v>14.9</v>
      </c>
      <c r="C40" s="193"/>
      <c r="D40" s="116"/>
      <c r="E40" s="18">
        <v>31</v>
      </c>
      <c r="F40" s="18">
        <v>15</v>
      </c>
    </row>
    <row r="41" spans="1:6" x14ac:dyDescent="0.2">
      <c r="A41" s="111">
        <v>32</v>
      </c>
      <c r="B41" s="112">
        <v>14.6</v>
      </c>
      <c r="C41" s="193"/>
      <c r="D41" s="116"/>
      <c r="E41" s="18">
        <v>32</v>
      </c>
      <c r="F41" s="18">
        <v>15</v>
      </c>
    </row>
    <row r="42" spans="1:6" x14ac:dyDescent="0.2">
      <c r="A42" s="111">
        <v>33</v>
      </c>
      <c r="B42" s="112">
        <v>14.2</v>
      </c>
      <c r="C42" s="194"/>
      <c r="D42" s="116"/>
      <c r="E42" s="18">
        <v>33</v>
      </c>
      <c r="F42" s="18">
        <v>15</v>
      </c>
    </row>
    <row r="43" spans="1:6" x14ac:dyDescent="0.2">
      <c r="A43" s="111">
        <v>34</v>
      </c>
      <c r="B43" s="112">
        <v>13.8</v>
      </c>
      <c r="C43" s="194"/>
      <c r="D43" s="116"/>
      <c r="E43" s="18">
        <v>34</v>
      </c>
      <c r="F43" s="18">
        <v>15</v>
      </c>
    </row>
    <row r="44" spans="1:6" x14ac:dyDescent="0.2">
      <c r="A44" s="111">
        <v>35</v>
      </c>
      <c r="B44" s="112">
        <v>13.4</v>
      </c>
      <c r="C44" s="194"/>
      <c r="D44" s="116"/>
      <c r="E44" s="18">
        <v>35</v>
      </c>
      <c r="F44" s="18">
        <v>15</v>
      </c>
    </row>
    <row r="45" spans="1:6" x14ac:dyDescent="0.2">
      <c r="A45" s="111">
        <v>36</v>
      </c>
      <c r="B45" s="112">
        <v>13</v>
      </c>
      <c r="C45" s="194"/>
      <c r="D45" s="116"/>
      <c r="E45" s="18">
        <v>36</v>
      </c>
      <c r="F45" s="18">
        <v>15</v>
      </c>
    </row>
    <row r="46" spans="1:6" x14ac:dyDescent="0.2">
      <c r="A46" s="111">
        <v>37</v>
      </c>
      <c r="B46" s="112">
        <v>12.6</v>
      </c>
      <c r="C46" s="194"/>
      <c r="D46" s="116"/>
      <c r="E46" s="18">
        <v>37</v>
      </c>
      <c r="F46" s="18">
        <v>15</v>
      </c>
    </row>
    <row r="47" spans="1:6" x14ac:dyDescent="0.2">
      <c r="A47" s="111">
        <v>38</v>
      </c>
      <c r="B47" s="112">
        <v>12.2</v>
      </c>
      <c r="C47" s="194"/>
      <c r="D47" s="116"/>
      <c r="E47" s="18">
        <v>38</v>
      </c>
      <c r="F47" s="18">
        <v>15</v>
      </c>
    </row>
    <row r="48" spans="1:6" x14ac:dyDescent="0.2">
      <c r="A48" s="111">
        <v>39</v>
      </c>
      <c r="B48" s="112">
        <v>11.8</v>
      </c>
      <c r="C48" s="194"/>
      <c r="D48" s="116"/>
      <c r="E48" s="18">
        <v>39</v>
      </c>
      <c r="F48" s="18">
        <v>15</v>
      </c>
    </row>
    <row r="49" spans="1:6" x14ac:dyDescent="0.2">
      <c r="A49" s="111">
        <v>40</v>
      </c>
      <c r="B49" s="112">
        <v>11.4</v>
      </c>
      <c r="C49" s="194"/>
      <c r="D49" s="116"/>
      <c r="E49" s="18">
        <v>40</v>
      </c>
      <c r="F49" s="18">
        <v>15</v>
      </c>
    </row>
    <row r="50" spans="1:6" x14ac:dyDescent="0.2">
      <c r="A50" s="111">
        <v>41</v>
      </c>
      <c r="B50" s="112">
        <v>11</v>
      </c>
      <c r="C50" s="194"/>
      <c r="D50" s="116"/>
      <c r="E50" s="18">
        <v>41</v>
      </c>
      <c r="F50" s="18">
        <v>15</v>
      </c>
    </row>
    <row r="51" spans="1:6" x14ac:dyDescent="0.2">
      <c r="A51" s="111">
        <v>42</v>
      </c>
      <c r="B51" s="112">
        <v>10.6</v>
      </c>
      <c r="C51" s="194"/>
      <c r="D51" s="116"/>
      <c r="E51" s="18">
        <v>42</v>
      </c>
      <c r="F51" s="18">
        <v>15</v>
      </c>
    </row>
    <row r="52" spans="1:6" x14ac:dyDescent="0.2">
      <c r="A52" s="111">
        <v>43</v>
      </c>
      <c r="B52" s="112">
        <v>10.3</v>
      </c>
      <c r="C52" s="194"/>
      <c r="D52" s="116"/>
      <c r="E52" s="18">
        <v>43</v>
      </c>
      <c r="F52" s="18">
        <v>15</v>
      </c>
    </row>
    <row r="53" spans="1:6" x14ac:dyDescent="0.2">
      <c r="A53" s="111">
        <v>44</v>
      </c>
      <c r="B53" s="112">
        <v>10</v>
      </c>
      <c r="C53" s="194"/>
      <c r="D53" s="116"/>
      <c r="E53" s="18">
        <v>44</v>
      </c>
      <c r="F53" s="18">
        <v>15</v>
      </c>
    </row>
    <row r="54" spans="1:6" x14ac:dyDescent="0.2">
      <c r="A54" s="111">
        <v>45</v>
      </c>
      <c r="B54" s="112">
        <v>9.6999999999999993</v>
      </c>
      <c r="C54" s="194"/>
      <c r="D54" s="116"/>
      <c r="E54" s="18">
        <v>45</v>
      </c>
      <c r="F54" s="18">
        <v>15</v>
      </c>
    </row>
    <row r="55" spans="1:6" x14ac:dyDescent="0.2">
      <c r="A55" s="111">
        <v>46</v>
      </c>
      <c r="B55" s="112">
        <v>9.3000000000000007</v>
      </c>
      <c r="C55" s="194"/>
      <c r="D55" s="116"/>
      <c r="E55" s="18">
        <v>46</v>
      </c>
      <c r="F55" s="18">
        <v>15</v>
      </c>
    </row>
    <row r="56" spans="1:6" x14ac:dyDescent="0.2">
      <c r="A56" s="111">
        <v>47</v>
      </c>
      <c r="B56" s="112">
        <v>9</v>
      </c>
      <c r="C56" s="194"/>
      <c r="D56" s="116"/>
      <c r="E56" s="18">
        <v>47</v>
      </c>
      <c r="F56" s="18">
        <v>15</v>
      </c>
    </row>
    <row r="57" spans="1:6" x14ac:dyDescent="0.2">
      <c r="A57" s="111">
        <v>48</v>
      </c>
      <c r="B57" s="112">
        <v>8.6999999999999993</v>
      </c>
      <c r="C57" s="194"/>
      <c r="D57" s="116"/>
      <c r="E57" s="18">
        <v>48</v>
      </c>
      <c r="F57" s="18">
        <v>15</v>
      </c>
    </row>
    <row r="58" spans="1:6" x14ac:dyDescent="0.2">
      <c r="A58" s="111">
        <v>49</v>
      </c>
      <c r="B58" s="112">
        <v>8.5</v>
      </c>
      <c r="C58" s="194"/>
      <c r="D58" s="116"/>
      <c r="E58" s="18">
        <v>49</v>
      </c>
      <c r="F58" s="18">
        <v>15</v>
      </c>
    </row>
    <row r="59" spans="1:6" x14ac:dyDescent="0.2">
      <c r="A59" s="111">
        <v>50</v>
      </c>
      <c r="B59" s="112">
        <v>8.3000000000000007</v>
      </c>
      <c r="C59" s="194"/>
      <c r="D59" s="116"/>
      <c r="E59" s="18">
        <v>50</v>
      </c>
      <c r="F59" s="18">
        <v>15</v>
      </c>
    </row>
    <row r="60" spans="1:6" x14ac:dyDescent="0.2">
      <c r="A60" s="111">
        <v>51</v>
      </c>
      <c r="B60" s="112">
        <v>8.1999999999999993</v>
      </c>
      <c r="C60" s="194"/>
      <c r="D60" s="116"/>
      <c r="E60" s="18">
        <v>51</v>
      </c>
      <c r="F60" s="18">
        <v>15</v>
      </c>
    </row>
    <row r="61" spans="1:6" x14ac:dyDescent="0.2">
      <c r="A61" s="111">
        <v>52</v>
      </c>
      <c r="B61" s="112">
        <v>8.3000000000000007</v>
      </c>
      <c r="C61" s="194"/>
      <c r="D61" s="116"/>
      <c r="E61" s="18">
        <v>52</v>
      </c>
      <c r="F61" s="18">
        <v>15</v>
      </c>
    </row>
    <row r="62" spans="1:6" x14ac:dyDescent="0.2">
      <c r="A62" s="111">
        <v>1</v>
      </c>
      <c r="B62" s="112">
        <v>8.5</v>
      </c>
      <c r="C62" s="194"/>
      <c r="D62" s="116"/>
      <c r="E62" s="18">
        <v>53</v>
      </c>
      <c r="F62" s="18">
        <v>15</v>
      </c>
    </row>
    <row r="63" spans="1:6" x14ac:dyDescent="0.2">
      <c r="A63" s="111">
        <v>2</v>
      </c>
      <c r="B63" s="112">
        <v>8.6999999999999993</v>
      </c>
      <c r="C63" s="194"/>
      <c r="D63" s="116"/>
      <c r="E63" s="18">
        <v>54</v>
      </c>
      <c r="F63" s="18">
        <v>15</v>
      </c>
    </row>
    <row r="64" spans="1:6" x14ac:dyDescent="0.2">
      <c r="A64" s="111">
        <v>3</v>
      </c>
      <c r="B64" s="112">
        <v>8.9</v>
      </c>
      <c r="C64" s="194"/>
      <c r="D64" s="116"/>
      <c r="E64" s="18">
        <v>55</v>
      </c>
      <c r="F64" s="18">
        <v>15</v>
      </c>
    </row>
    <row r="65" spans="1:6" x14ac:dyDescent="0.2">
      <c r="A65" s="111">
        <v>4</v>
      </c>
      <c r="B65" s="112">
        <v>9.1999999999999993</v>
      </c>
      <c r="C65" s="194"/>
      <c r="D65" s="116"/>
      <c r="E65" s="18">
        <v>56</v>
      </c>
      <c r="F65" s="18">
        <v>15</v>
      </c>
    </row>
    <row r="66" spans="1:6" x14ac:dyDescent="0.2">
      <c r="A66" s="111">
        <v>5</v>
      </c>
      <c r="B66" s="112">
        <v>9.5</v>
      </c>
      <c r="C66" s="194"/>
      <c r="D66" s="116"/>
      <c r="E66" s="18">
        <v>57</v>
      </c>
      <c r="F66" s="18">
        <v>15</v>
      </c>
    </row>
    <row r="67" spans="1:6" x14ac:dyDescent="0.2">
      <c r="A67" s="111">
        <v>6</v>
      </c>
      <c r="B67" s="112">
        <v>9.8000000000000007</v>
      </c>
      <c r="C67" s="194"/>
      <c r="D67" s="116"/>
      <c r="E67" s="18">
        <v>58</v>
      </c>
      <c r="F67" s="18">
        <v>15</v>
      </c>
    </row>
    <row r="68" spans="1:6" x14ac:dyDescent="0.2">
      <c r="A68" s="111">
        <v>7</v>
      </c>
      <c r="B68" s="112">
        <v>10.199999999999999</v>
      </c>
      <c r="C68" s="194"/>
      <c r="D68" s="116"/>
      <c r="E68" s="18">
        <v>59</v>
      </c>
      <c r="F68" s="18">
        <v>15</v>
      </c>
    </row>
    <row r="69" spans="1:6" x14ac:dyDescent="0.2">
      <c r="A69" s="111">
        <v>8</v>
      </c>
      <c r="B69" s="112">
        <v>10.6</v>
      </c>
      <c r="C69" s="194"/>
      <c r="D69" s="116"/>
      <c r="E69" s="18">
        <v>60</v>
      </c>
      <c r="F69" s="18">
        <v>15</v>
      </c>
    </row>
    <row r="70" spans="1:6" x14ac:dyDescent="0.2">
      <c r="A70" s="111">
        <v>9</v>
      </c>
      <c r="B70" s="112">
        <v>11</v>
      </c>
      <c r="C70" s="194"/>
      <c r="D70" s="116"/>
      <c r="E70" s="18">
        <v>61</v>
      </c>
      <c r="F70" s="18">
        <v>15</v>
      </c>
    </row>
    <row r="71" spans="1:6" x14ac:dyDescent="0.2">
      <c r="A71" s="111">
        <v>10</v>
      </c>
      <c r="B71" s="112">
        <v>11.4</v>
      </c>
      <c r="C71" s="194"/>
      <c r="D71" s="116"/>
      <c r="E71" s="18">
        <v>62</v>
      </c>
      <c r="F71" s="18">
        <v>15</v>
      </c>
    </row>
    <row r="72" spans="1:6" x14ac:dyDescent="0.2">
      <c r="A72" s="111">
        <v>11</v>
      </c>
      <c r="B72" s="112">
        <v>11.8</v>
      </c>
      <c r="C72" s="194"/>
      <c r="D72" s="116"/>
      <c r="E72" s="18">
        <v>63</v>
      </c>
      <c r="F72" s="18">
        <v>15</v>
      </c>
    </row>
    <row r="73" spans="1:6" x14ac:dyDescent="0.2">
      <c r="A73" s="111">
        <v>12</v>
      </c>
      <c r="B73" s="112">
        <v>12.2</v>
      </c>
      <c r="C73" s="194"/>
      <c r="D73" s="116"/>
      <c r="E73" s="18">
        <v>64</v>
      </c>
      <c r="F73" s="18">
        <v>15</v>
      </c>
    </row>
    <row r="74" spans="1:6" x14ac:dyDescent="0.2">
      <c r="A74" s="111">
        <v>13</v>
      </c>
      <c r="B74" s="112">
        <v>12.6</v>
      </c>
      <c r="C74" s="194"/>
      <c r="D74" s="116"/>
      <c r="E74" s="18">
        <v>65</v>
      </c>
      <c r="F74" s="18">
        <v>15</v>
      </c>
    </row>
    <row r="75" spans="1:6" x14ac:dyDescent="0.2">
      <c r="A75" s="111">
        <v>14</v>
      </c>
      <c r="B75" s="112">
        <v>13</v>
      </c>
      <c r="C75" s="194"/>
      <c r="D75" s="116"/>
      <c r="E75" s="18">
        <v>66</v>
      </c>
      <c r="F75" s="18">
        <v>15</v>
      </c>
    </row>
    <row r="76" spans="1:6" x14ac:dyDescent="0.2">
      <c r="A76" s="111">
        <v>15</v>
      </c>
      <c r="B76" s="112">
        <v>13.4</v>
      </c>
      <c r="C76" s="194"/>
      <c r="D76" s="116"/>
      <c r="E76" s="18">
        <v>67</v>
      </c>
      <c r="F76" s="18">
        <v>15</v>
      </c>
    </row>
    <row r="77" spans="1:6" x14ac:dyDescent="0.2">
      <c r="A77" s="111">
        <v>16</v>
      </c>
      <c r="B77" s="112">
        <v>13.8</v>
      </c>
      <c r="C77" s="194"/>
      <c r="D77" s="116"/>
      <c r="E77" s="18">
        <v>68</v>
      </c>
      <c r="F77" s="18">
        <v>15</v>
      </c>
    </row>
    <row r="78" spans="1:6" x14ac:dyDescent="0.2">
      <c r="A78" s="111">
        <v>17</v>
      </c>
      <c r="B78" s="112">
        <v>14.2</v>
      </c>
      <c r="C78" s="194"/>
      <c r="D78" s="116"/>
      <c r="E78" s="18">
        <v>69</v>
      </c>
      <c r="F78" s="18">
        <v>15</v>
      </c>
    </row>
    <row r="79" spans="1:6" x14ac:dyDescent="0.2">
      <c r="A79" s="111">
        <v>18</v>
      </c>
      <c r="B79" s="112">
        <v>14.6</v>
      </c>
      <c r="C79" s="194"/>
      <c r="D79" s="116"/>
      <c r="E79" s="18">
        <v>70</v>
      </c>
      <c r="F79" s="18">
        <v>15</v>
      </c>
    </row>
    <row r="80" spans="1:6" x14ac:dyDescent="0.2">
      <c r="A80" s="111">
        <v>19</v>
      </c>
      <c r="B80" s="112">
        <v>14.9</v>
      </c>
      <c r="C80" s="194"/>
      <c r="D80" s="116"/>
      <c r="E80" s="18"/>
      <c r="F80" s="18"/>
    </row>
    <row r="81" spans="1:6" x14ac:dyDescent="0.2">
      <c r="A81" s="111">
        <v>20</v>
      </c>
      <c r="B81" s="112">
        <v>15.2</v>
      </c>
      <c r="C81" s="194"/>
      <c r="D81" s="116"/>
      <c r="E81" s="18"/>
      <c r="F81" s="18"/>
    </row>
    <row r="82" spans="1:6" x14ac:dyDescent="0.2">
      <c r="A82" s="111">
        <v>21</v>
      </c>
      <c r="B82" s="112">
        <v>15.4</v>
      </c>
      <c r="C82" s="194"/>
      <c r="D82" s="116"/>
      <c r="E82" s="18"/>
      <c r="F82" s="18"/>
    </row>
    <row r="83" spans="1:6" x14ac:dyDescent="0.2">
      <c r="A83" s="111">
        <v>22</v>
      </c>
      <c r="B83" s="112">
        <v>15.6</v>
      </c>
      <c r="C83" s="194"/>
      <c r="D83" s="116"/>
      <c r="E83" s="18"/>
      <c r="F83" s="18"/>
    </row>
    <row r="84" spans="1:6" x14ac:dyDescent="0.2">
      <c r="A84" s="111">
        <v>23</v>
      </c>
      <c r="B84" s="112">
        <v>15.75</v>
      </c>
      <c r="C84" s="194"/>
      <c r="D84" s="116"/>
      <c r="E84" s="18"/>
      <c r="F84" s="18"/>
    </row>
    <row r="85" spans="1:6" x14ac:dyDescent="0.2">
      <c r="A85" s="111">
        <v>24</v>
      </c>
      <c r="B85" s="112">
        <v>15.9</v>
      </c>
      <c r="C85" s="194"/>
      <c r="D85" s="116"/>
      <c r="E85" s="18"/>
      <c r="F85" s="18"/>
    </row>
    <row r="86" spans="1:6" x14ac:dyDescent="0.2">
      <c r="A86" s="111">
        <v>25</v>
      </c>
      <c r="B86" s="112">
        <v>16</v>
      </c>
      <c r="C86" s="194"/>
      <c r="D86" s="116"/>
      <c r="E86" s="18"/>
      <c r="F86" s="18"/>
    </row>
    <row r="87" spans="1:6" x14ac:dyDescent="0.2">
      <c r="A87" s="111">
        <v>26</v>
      </c>
      <c r="B87" s="112">
        <v>16</v>
      </c>
      <c r="C87" s="194"/>
      <c r="D87" s="116"/>
      <c r="E87" s="18"/>
      <c r="F87" s="18"/>
    </row>
    <row r="88" spans="1:6" x14ac:dyDescent="0.2">
      <c r="A88" s="111">
        <v>27</v>
      </c>
      <c r="B88" s="112">
        <v>15.9</v>
      </c>
      <c r="C88" s="194"/>
      <c r="D88" s="116"/>
      <c r="E88" s="18"/>
      <c r="F88" s="18"/>
    </row>
    <row r="89" spans="1:6" x14ac:dyDescent="0.2">
      <c r="A89" s="111">
        <v>28</v>
      </c>
      <c r="B89" s="112">
        <v>15.8</v>
      </c>
      <c r="C89" s="194"/>
      <c r="D89" s="116"/>
      <c r="E89" s="18"/>
      <c r="F89" s="18"/>
    </row>
    <row r="90" spans="1:6" x14ac:dyDescent="0.2">
      <c r="A90" s="111">
        <v>29</v>
      </c>
      <c r="B90" s="112">
        <v>15.5</v>
      </c>
      <c r="C90" s="194"/>
      <c r="D90" s="116"/>
      <c r="E90" s="18"/>
      <c r="F90" s="18"/>
    </row>
    <row r="91" spans="1:6" ht="13.5" thickBot="1" x14ac:dyDescent="0.25">
      <c r="A91" s="113">
        <v>30</v>
      </c>
      <c r="B91" s="114">
        <v>15.2</v>
      </c>
      <c r="C91" s="195"/>
      <c r="D91" s="117"/>
      <c r="E91" s="18"/>
      <c r="F91" s="18"/>
    </row>
    <row r="92" spans="1:6" ht="13.5" thickTop="1" x14ac:dyDescent="0.2">
      <c r="C92" s="18"/>
      <c r="D92" s="18"/>
    </row>
    <row r="93" spans="1:6" x14ac:dyDescent="0.2">
      <c r="C93" s="18"/>
      <c r="D93" s="18"/>
    </row>
    <row r="94" spans="1:6" x14ac:dyDescent="0.2">
      <c r="C94" s="18"/>
      <c r="D94" s="18"/>
    </row>
    <row r="95" spans="1:6" x14ac:dyDescent="0.2">
      <c r="C95" s="18"/>
      <c r="D95" s="18"/>
    </row>
    <row r="96" spans="1:6" x14ac:dyDescent="0.2">
      <c r="C96" s="18"/>
      <c r="D96" s="18"/>
    </row>
    <row r="97" spans="3:4" x14ac:dyDescent="0.2">
      <c r="C97" s="18"/>
      <c r="D97" s="18"/>
    </row>
    <row r="98" spans="3:4" x14ac:dyDescent="0.2">
      <c r="C98" s="18"/>
      <c r="D98" s="18"/>
    </row>
    <row r="99" spans="3:4" x14ac:dyDescent="0.2">
      <c r="C99" s="18"/>
      <c r="D99" s="18"/>
    </row>
    <row r="100" spans="3:4" x14ac:dyDescent="0.2">
      <c r="C100" s="18"/>
      <c r="D100" s="18"/>
    </row>
    <row r="101" spans="3:4" x14ac:dyDescent="0.2">
      <c r="C101" s="18"/>
      <c r="D101" s="18"/>
    </row>
    <row r="102" spans="3:4" x14ac:dyDescent="0.2">
      <c r="C102" s="18"/>
      <c r="D102" s="18"/>
    </row>
    <row r="103" spans="3:4" x14ac:dyDescent="0.2">
      <c r="C103" s="18"/>
      <c r="D103" s="18"/>
    </row>
    <row r="104" spans="3:4" x14ac:dyDescent="0.2">
      <c r="C104" s="18"/>
      <c r="D104" s="18"/>
    </row>
    <row r="105" spans="3:4" x14ac:dyDescent="0.2">
      <c r="C105" s="18"/>
      <c r="D105" s="18"/>
    </row>
    <row r="106" spans="3:4" x14ac:dyDescent="0.2">
      <c r="C106" s="18"/>
      <c r="D106" s="18"/>
    </row>
    <row r="107" spans="3:4" x14ac:dyDescent="0.2">
      <c r="C107" s="18"/>
      <c r="D107" s="18"/>
    </row>
    <row r="108" spans="3:4" x14ac:dyDescent="0.2">
      <c r="C108" s="18"/>
      <c r="D108" s="18"/>
    </row>
    <row r="109" spans="3:4" x14ac:dyDescent="0.2">
      <c r="C109" s="18"/>
      <c r="D109" s="18"/>
    </row>
    <row r="110" spans="3:4" x14ac:dyDescent="0.2">
      <c r="C110" s="18"/>
      <c r="D110" s="18"/>
    </row>
    <row r="111" spans="3:4" x14ac:dyDescent="0.2">
      <c r="C111" s="18"/>
      <c r="D111" s="18"/>
    </row>
  </sheetData>
  <phoneticPr fontId="17" type="noConversion"/>
  <printOptions horizontalCentered="1" verticalCentered="1"/>
  <pageMargins left="0.75" right="0.75" top="0.19685039370078741" bottom="0.19685039370078741" header="0" footer="0"/>
  <pageSetup paperSize="9" scale="65" orientation="portrait" horizontalDpi="360" verticalDpi="360" r:id="rId1"/>
  <headerFooter alignWithMargins="0">
    <oddHeader>&amp;C&amp;A</oddHeader>
    <oddFooter>&amp;L&amp;6&amp;F&amp;C&amp;8Preparado po COBB Española&amp;D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3"/>
  </sheetPr>
  <dimension ref="A1:S251"/>
  <sheetViews>
    <sheetView showGridLines="0" topLeftCell="A20" zoomScale="85" workbookViewId="0">
      <selection activeCell="Q50" sqref="Q50"/>
    </sheetView>
  </sheetViews>
  <sheetFormatPr baseColWidth="10" defaultRowHeight="12.75" x14ac:dyDescent="0.2"/>
  <cols>
    <col min="1" max="1" width="11.5703125" bestFit="1" customWidth="1"/>
    <col min="5" max="5" width="12.28515625" bestFit="1" customWidth="1"/>
    <col min="10" max="10" width="13.28515625" customWidth="1"/>
  </cols>
  <sheetData>
    <row r="1" spans="1:13" ht="62.25" customHeight="1" x14ac:dyDescent="0.2"/>
    <row r="2" spans="1:13" ht="24" customHeight="1" x14ac:dyDescent="0.2"/>
    <row r="3" spans="1:13" ht="24" customHeight="1" x14ac:dyDescent="0.3">
      <c r="A3" s="3"/>
      <c r="B3" s="701" t="s">
        <v>229</v>
      </c>
      <c r="C3" s="701"/>
      <c r="D3" s="701"/>
      <c r="E3" s="701"/>
      <c r="F3" s="701"/>
      <c r="G3" s="701"/>
    </row>
    <row r="5" spans="1:13" ht="13.5" thickBot="1" x14ac:dyDescent="0.25"/>
    <row r="6" spans="1:13" x14ac:dyDescent="0.2">
      <c r="C6" s="699" t="s">
        <v>230</v>
      </c>
      <c r="D6" s="700"/>
      <c r="E6" s="335" t="s">
        <v>84</v>
      </c>
      <c r="F6" s="331" t="s">
        <v>21</v>
      </c>
      <c r="G6" s="261"/>
      <c r="H6" s="261"/>
      <c r="I6" s="261"/>
      <c r="J6" s="261"/>
      <c r="K6" s="261"/>
      <c r="L6" s="261"/>
      <c r="M6" s="261"/>
    </row>
    <row r="7" spans="1:13" x14ac:dyDescent="0.2">
      <c r="C7" s="699" t="s">
        <v>231</v>
      </c>
      <c r="D7" s="700"/>
      <c r="E7" s="336" t="str">
        <f>IF('Pon-Rec'!C13="","",COUNT('Pon-Rec'!C13:C59)+23)</f>
        <v/>
      </c>
      <c r="F7" s="332" t="str">
        <f>IF('Pon-Rec'!C49="","",60)</f>
        <v/>
      </c>
      <c r="G7" s="261"/>
      <c r="H7" s="261"/>
      <c r="I7" s="261"/>
      <c r="J7" s="261"/>
      <c r="K7" s="261"/>
      <c r="L7" s="261"/>
      <c r="M7" s="261"/>
    </row>
    <row r="8" spans="1:13" x14ac:dyDescent="0.2">
      <c r="C8" s="699" t="s">
        <v>232</v>
      </c>
      <c r="D8" s="700"/>
      <c r="E8" s="337">
        <f>MAX('Pon-Rec'!F13:F59)</f>
        <v>0</v>
      </c>
      <c r="F8" s="333">
        <f>MAX('Pon-Rec'!F13:F49)</f>
        <v>0</v>
      </c>
      <c r="G8" s="261"/>
      <c r="H8" s="261"/>
      <c r="I8" s="261"/>
      <c r="J8" s="261"/>
      <c r="K8" s="261"/>
      <c r="L8" s="261"/>
      <c r="M8" s="261"/>
    </row>
    <row r="9" spans="1:13" x14ac:dyDescent="0.2">
      <c r="C9" s="699" t="s">
        <v>233</v>
      </c>
      <c r="D9" s="700"/>
      <c r="E9" s="337">
        <f>MAX('Pon-Rec'!I13:I59)</f>
        <v>0</v>
      </c>
      <c r="F9" s="333">
        <f>MAX('Pon-Rec'!I13:I49)</f>
        <v>0</v>
      </c>
      <c r="G9" s="261"/>
      <c r="H9" s="261"/>
      <c r="I9" s="261"/>
      <c r="J9" s="261"/>
      <c r="K9" s="261"/>
      <c r="L9" s="261"/>
      <c r="M9" s="261"/>
    </row>
    <row r="10" spans="1:13" x14ac:dyDescent="0.2">
      <c r="C10" s="699" t="s">
        <v>234</v>
      </c>
      <c r="D10" s="700"/>
      <c r="E10" s="337">
        <f>MAX('Pon-Rec'!N13:N59)</f>
        <v>0</v>
      </c>
      <c r="F10" s="333">
        <f>MAX('Pon-Rec'!N13:N49)</f>
        <v>0</v>
      </c>
      <c r="G10" s="261"/>
      <c r="H10" s="261"/>
      <c r="I10" s="261"/>
      <c r="J10" s="261"/>
      <c r="K10" s="261"/>
      <c r="L10" s="261"/>
      <c r="M10" s="261"/>
    </row>
    <row r="11" spans="1:13" x14ac:dyDescent="0.2">
      <c r="C11" s="699" t="s">
        <v>235</v>
      </c>
      <c r="D11" s="700"/>
      <c r="E11" s="337">
        <f>MAX(Inc!F13:F59)</f>
        <v>0</v>
      </c>
      <c r="F11" s="333">
        <f>MAX(Inc!F13:F49)</f>
        <v>0</v>
      </c>
      <c r="G11" s="261"/>
      <c r="H11" s="261"/>
      <c r="I11" s="261"/>
      <c r="J11" s="261"/>
      <c r="K11" s="261"/>
      <c r="L11" s="261"/>
      <c r="M11" s="261"/>
    </row>
    <row r="12" spans="1:13" x14ac:dyDescent="0.2">
      <c r="C12" s="699" t="s">
        <v>236</v>
      </c>
      <c r="D12" s="700"/>
      <c r="E12" s="337">
        <f>MAX(Inc!L13:L59)</f>
        <v>0</v>
      </c>
      <c r="F12" s="333">
        <f>MAX(Inc!L13:L49)</f>
        <v>0</v>
      </c>
      <c r="G12" s="261"/>
      <c r="H12" s="261"/>
      <c r="I12" s="261"/>
      <c r="J12" s="261"/>
      <c r="K12" s="261"/>
      <c r="L12" s="261"/>
      <c r="M12" s="261"/>
    </row>
    <row r="13" spans="1:13" x14ac:dyDescent="0.2">
      <c r="C13" s="597" t="s">
        <v>237</v>
      </c>
      <c r="D13" s="597"/>
      <c r="E13" s="337">
        <f>MAX(Inc!N13:N59)</f>
        <v>0</v>
      </c>
      <c r="F13" s="333">
        <f>MAX(Inc!N13:N49)</f>
        <v>0</v>
      </c>
      <c r="G13" s="261"/>
      <c r="H13" s="261"/>
      <c r="I13" s="261"/>
      <c r="J13" s="261"/>
      <c r="K13" s="261"/>
      <c r="L13" s="261"/>
      <c r="M13" s="261"/>
    </row>
    <row r="14" spans="1:13" x14ac:dyDescent="0.2">
      <c r="C14" s="699" t="s">
        <v>238</v>
      </c>
      <c r="D14" s="700"/>
      <c r="E14" s="338" t="str">
        <f>'Pon-Rec'!C13</f>
        <v/>
      </c>
      <c r="F14" s="334" t="str">
        <f>'Pon-Rec'!C13</f>
        <v/>
      </c>
      <c r="G14" s="261"/>
      <c r="H14" s="261"/>
      <c r="I14" s="261"/>
      <c r="J14" s="261"/>
      <c r="K14" s="261"/>
      <c r="L14" s="261"/>
      <c r="M14" s="261"/>
    </row>
    <row r="15" spans="1:13" x14ac:dyDescent="0.2">
      <c r="C15" s="699" t="s">
        <v>239</v>
      </c>
      <c r="D15" s="700"/>
      <c r="E15" s="412"/>
      <c r="F15" s="413"/>
      <c r="G15" s="261"/>
      <c r="H15" s="261"/>
      <c r="I15" s="261"/>
      <c r="J15" s="261"/>
      <c r="K15" s="261"/>
      <c r="L15" s="261"/>
      <c r="M15" s="261"/>
    </row>
    <row r="16" spans="1:13" ht="13.5" thickBot="1" x14ac:dyDescent="0.25">
      <c r="C16" s="598" t="s">
        <v>240</v>
      </c>
      <c r="D16" s="599"/>
      <c r="E16" s="345" t="str">
        <f>IF(Inc!I61="","",Inc!I61)</f>
        <v/>
      </c>
      <c r="F16" s="346" t="str">
        <f>IF(Inc!I63="","",Inc!I63)</f>
        <v/>
      </c>
      <c r="G16" s="261"/>
      <c r="H16" s="261"/>
      <c r="I16" s="261"/>
      <c r="J16" s="261"/>
      <c r="K16" s="261"/>
      <c r="L16" s="261"/>
      <c r="M16" s="261"/>
    </row>
    <row r="17" spans="1:19" x14ac:dyDescent="0.2">
      <c r="A17" s="261"/>
      <c r="B17" s="261"/>
      <c r="C17" s="261"/>
      <c r="D17" s="261"/>
      <c r="E17" s="261"/>
      <c r="F17" s="261"/>
      <c r="G17" s="261"/>
      <c r="H17" s="261"/>
      <c r="I17" s="261"/>
      <c r="J17" s="261"/>
      <c r="K17" s="261"/>
      <c r="L17" s="261"/>
    </row>
    <row r="18" spans="1:19" x14ac:dyDescent="0.2">
      <c r="A18" s="261"/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</row>
    <row r="19" spans="1:19" ht="14.25" x14ac:dyDescent="0.2">
      <c r="A19" s="458"/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1"/>
    </row>
    <row r="20" spans="1:19" x14ac:dyDescent="0.2">
      <c r="A20" s="261"/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</row>
    <row r="21" spans="1:19" ht="14.25" x14ac:dyDescent="0.2">
      <c r="A21" s="261"/>
      <c r="B21" s="261"/>
      <c r="C21" s="538" t="s">
        <v>35</v>
      </c>
      <c r="D21" s="261"/>
      <c r="E21" s="690">
        <f>+LOT!B8</f>
        <v>0</v>
      </c>
      <c r="F21" s="694"/>
      <c r="G21" s="261"/>
      <c r="H21" s="261"/>
      <c r="I21" s="261"/>
      <c r="J21" s="261"/>
      <c r="K21" s="261"/>
      <c r="L21" s="261"/>
    </row>
    <row r="22" spans="1:19" x14ac:dyDescent="0.2">
      <c r="A22" s="261"/>
      <c r="B22" s="261"/>
      <c r="C22" s="261" t="s">
        <v>36</v>
      </c>
      <c r="D22" s="261"/>
      <c r="E22" s="539">
        <f>+LOT!B11</f>
        <v>0</v>
      </c>
      <c r="F22" s="261"/>
      <c r="G22" s="261"/>
      <c r="H22" s="261"/>
      <c r="I22" s="261"/>
      <c r="J22" s="261"/>
      <c r="K22" s="261"/>
      <c r="L22" s="261"/>
    </row>
    <row r="23" spans="1:19" x14ac:dyDescent="0.2">
      <c r="A23" s="261"/>
      <c r="B23" s="261"/>
      <c r="C23" s="261" t="s">
        <v>37</v>
      </c>
      <c r="D23" s="261"/>
      <c r="E23" s="540"/>
      <c r="F23" s="261"/>
      <c r="G23" s="261"/>
      <c r="H23" s="261"/>
      <c r="I23" s="261"/>
      <c r="J23" s="261"/>
      <c r="K23" s="261"/>
      <c r="L23" s="261"/>
    </row>
    <row r="24" spans="1:19" x14ac:dyDescent="0.2">
      <c r="A24" s="261"/>
      <c r="B24" s="261"/>
      <c r="C24" s="261" t="s">
        <v>38</v>
      </c>
      <c r="D24" s="261"/>
      <c r="E24" s="541" t="s">
        <v>68</v>
      </c>
      <c r="F24" s="261"/>
      <c r="G24" s="261"/>
      <c r="H24" s="261"/>
      <c r="I24" s="261"/>
      <c r="J24" s="261"/>
      <c r="K24" s="261"/>
      <c r="L24" s="261"/>
    </row>
    <row r="25" spans="1:19" ht="13.5" thickBot="1" x14ac:dyDescent="0.25">
      <c r="A25" s="261"/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261"/>
    </row>
    <row r="26" spans="1:19" ht="13.5" thickTop="1" x14ac:dyDescent="0.2">
      <c r="A26" s="261"/>
      <c r="B26" s="261"/>
      <c r="C26" s="688" t="s">
        <v>39</v>
      </c>
      <c r="D26" s="684">
        <f>+LOT!B8</f>
        <v>0</v>
      </c>
      <c r="E26" s="695"/>
      <c r="F26" s="681" t="s">
        <v>40</v>
      </c>
      <c r="G26" s="682"/>
      <c r="H26" s="683"/>
      <c r="I26" s="681" t="s">
        <v>41</v>
      </c>
      <c r="J26" s="682"/>
      <c r="K26" s="682"/>
      <c r="L26" s="683"/>
      <c r="M26" s="681" t="s">
        <v>42</v>
      </c>
      <c r="N26" s="682"/>
      <c r="O26" s="682"/>
      <c r="P26" s="683"/>
      <c r="Q26" s="681" t="s">
        <v>43</v>
      </c>
      <c r="R26" s="682"/>
      <c r="S26" s="683"/>
    </row>
    <row r="27" spans="1:19" x14ac:dyDescent="0.2">
      <c r="A27" s="261"/>
      <c r="B27" s="261"/>
      <c r="C27" s="689"/>
      <c r="D27" s="686"/>
      <c r="E27" s="696"/>
      <c r="F27" s="542" t="s">
        <v>44</v>
      </c>
      <c r="G27" s="543" t="s">
        <v>45</v>
      </c>
      <c r="H27" s="544" t="s">
        <v>46</v>
      </c>
      <c r="I27" s="542" t="s">
        <v>44</v>
      </c>
      <c r="J27" s="543" t="s">
        <v>45</v>
      </c>
      <c r="K27" s="543" t="s">
        <v>0</v>
      </c>
      <c r="L27" s="544" t="s">
        <v>47</v>
      </c>
      <c r="M27" s="542" t="s">
        <v>0</v>
      </c>
      <c r="N27" s="543" t="s">
        <v>48</v>
      </c>
      <c r="O27" s="543" t="s">
        <v>49</v>
      </c>
      <c r="P27" s="544" t="s">
        <v>50</v>
      </c>
      <c r="Q27" s="542" t="s">
        <v>51</v>
      </c>
      <c r="R27" s="543" t="s">
        <v>52</v>
      </c>
      <c r="S27" s="544" t="s">
        <v>53</v>
      </c>
    </row>
    <row r="28" spans="1:19" x14ac:dyDescent="0.2">
      <c r="A28" s="261"/>
      <c r="B28" s="261"/>
      <c r="C28" s="261" t="s">
        <v>54</v>
      </c>
      <c r="D28" s="697">
        <f>+'Prod-Bat'!E6</f>
        <v>1</v>
      </c>
      <c r="E28" s="698"/>
      <c r="F28" s="545">
        <f>+'Prod-Bat'!AR2-SUM('Prod-Bat'!AP12:AP61)</f>
        <v>0</v>
      </c>
      <c r="G28" s="546">
        <f>+'Prod-Bat'!T2-SUM('Prod-Bat'!C12:C61)</f>
        <v>5000</v>
      </c>
      <c r="H28" s="547">
        <f t="shared" ref="H28:H33" si="0">+F28/G28</f>
        <v>0</v>
      </c>
      <c r="I28" s="548"/>
      <c r="J28" s="549"/>
      <c r="K28" s="550">
        <f>+J28/G28</f>
        <v>0</v>
      </c>
      <c r="L28" s="551">
        <f>+SUM('Prod-Bat'!C12:C61)/('Prod-Bat'!T2)</f>
        <v>0</v>
      </c>
      <c r="M28" s="548"/>
      <c r="N28" s="549"/>
      <c r="O28" s="549"/>
      <c r="P28" s="551">
        <f t="shared" ref="P28:P34" si="1">+M28-O28</f>
        <v>0</v>
      </c>
      <c r="Q28" s="552">
        <f>+SUM('Pon-Bat'!C8:C55)/('Prod-Bat'!T2-SUM('Prod-Bat'!C12:C15))</f>
        <v>0</v>
      </c>
      <c r="R28" s="552">
        <f>+(((SUM('Pon-Bat'!C8:C55))-(SUM('Pon-Bat'!D8:H55)))/'Prod-Bat'!T2-SUM('Prod-Bat'!C12:C15))</f>
        <v>0</v>
      </c>
      <c r="S28" s="553">
        <f t="shared" ref="S28:S33" si="2">+Q28-R28</f>
        <v>0</v>
      </c>
    </row>
    <row r="29" spans="1:19" x14ac:dyDescent="0.2">
      <c r="A29" s="261"/>
      <c r="B29" s="261"/>
      <c r="C29" s="261" t="s">
        <v>54</v>
      </c>
      <c r="D29" s="690">
        <f>+'Prod-Bat'!I6</f>
        <v>2</v>
      </c>
      <c r="E29" s="691"/>
      <c r="F29" s="545">
        <f>+'Prod-Bat'!AR3-SUM('Prod-Bat'!AS12:AS61)</f>
        <v>0</v>
      </c>
      <c r="G29" s="546">
        <f>+'Prod-Bat'!T3-SUM('Prod-Bat'!G12:G61)</f>
        <v>0</v>
      </c>
      <c r="H29" s="547" t="e">
        <f t="shared" si="0"/>
        <v>#DIV/0!</v>
      </c>
      <c r="I29" s="554"/>
      <c r="J29" s="549"/>
      <c r="K29" s="550" t="e">
        <f>+J29/G29</f>
        <v>#DIV/0!</v>
      </c>
      <c r="L29" s="551" t="e">
        <f>+SUM('Prod-Bat'!G12:G61)/('Prod-Bat'!T3)</f>
        <v>#DIV/0!</v>
      </c>
      <c r="M29" s="554"/>
      <c r="N29" s="549"/>
      <c r="O29" s="549"/>
      <c r="P29" s="551">
        <f t="shared" si="1"/>
        <v>0</v>
      </c>
      <c r="Q29" s="552" t="e">
        <f>+SUM('Pon-Bat'!I8:I55)/('Prod-Bat'!T3-SUM('Prod-Bat'!G12:G15))</f>
        <v>#DIV/0!</v>
      </c>
      <c r="R29" s="552" t="e">
        <f>+(((SUM('Pon-Bat'!I8:I55))-(SUM('Pon-Bat'!J8:N55)))/('Prod-Bat'!T3-SUM('Prod-Bat'!G12:G15)))</f>
        <v>#DIV/0!</v>
      </c>
      <c r="S29" s="553" t="e">
        <f t="shared" si="2"/>
        <v>#DIV/0!</v>
      </c>
    </row>
    <row r="30" spans="1:19" x14ac:dyDescent="0.2">
      <c r="A30" s="261"/>
      <c r="B30" s="261"/>
      <c r="C30" s="261" t="s">
        <v>54</v>
      </c>
      <c r="D30" s="690">
        <f>+'Prod-Bat'!M6</f>
        <v>3</v>
      </c>
      <c r="E30" s="691"/>
      <c r="F30" s="545">
        <f>+'Prod-Bat'!AU2-SUM('Prod-Bat'!AV12:AV61)</f>
        <v>0</v>
      </c>
      <c r="G30" s="546">
        <f>+'Prod-Bat'!W2-SUM('Prod-Bat'!K12:K61)</f>
        <v>0</v>
      </c>
      <c r="H30" s="547" t="e">
        <f t="shared" si="0"/>
        <v>#DIV/0!</v>
      </c>
      <c r="I30" s="554"/>
      <c r="J30" s="549"/>
      <c r="K30" s="550" t="e">
        <f>+J30/G30</f>
        <v>#DIV/0!</v>
      </c>
      <c r="L30" s="564" t="e">
        <f>+SUM('Prod-Bat'!K12:K61)/('Prod-Bat'!W2)</f>
        <v>#DIV/0!</v>
      </c>
      <c r="M30" s="554"/>
      <c r="N30" s="549"/>
      <c r="O30" s="549"/>
      <c r="P30" s="551">
        <f t="shared" si="1"/>
        <v>0</v>
      </c>
      <c r="Q30" s="552" t="e">
        <f>+SUM('Pon-Bat'!O8:O55)/('Prod-Bat'!W2-SUM('Prod-Bat'!K12:K15))</f>
        <v>#DIV/0!</v>
      </c>
      <c r="R30" s="552" t="e">
        <f>+(((SUM('Pon-Bat'!O8:O55))-(SUM('Pon-Bat'!P8:T55)))/('Prod-Bat'!W2-SUM('Prod-Bat'!K12:K15)))</f>
        <v>#DIV/0!</v>
      </c>
      <c r="S30" s="553" t="e">
        <f t="shared" si="2"/>
        <v>#DIV/0!</v>
      </c>
    </row>
    <row r="31" spans="1:19" x14ac:dyDescent="0.2">
      <c r="A31" s="261"/>
      <c r="B31" s="261"/>
      <c r="C31" s="261" t="s">
        <v>54</v>
      </c>
      <c r="D31" s="690">
        <f>+'Prod-Bat'!Q6</f>
        <v>4</v>
      </c>
      <c r="E31" s="691"/>
      <c r="F31" s="545">
        <f>+'Prod-Bat'!AU3-SUM('Prod-Bat'!AY12:AY61)</f>
        <v>0</v>
      </c>
      <c r="G31" s="546">
        <f>+'Prod-Bat'!W3-SUM('Prod-Bat'!O12:O61)</f>
        <v>0</v>
      </c>
      <c r="H31" s="547" t="e">
        <f t="shared" si="0"/>
        <v>#DIV/0!</v>
      </c>
      <c r="I31" s="554"/>
      <c r="J31" s="549"/>
      <c r="K31" s="550" t="e">
        <f>+J31/G31</f>
        <v>#DIV/0!</v>
      </c>
      <c r="L31" s="564" t="e">
        <f>+SUM('Prod-Bat'!O12:O61)/('Prod-Bat'!W3)</f>
        <v>#DIV/0!</v>
      </c>
      <c r="M31" s="554"/>
      <c r="N31" s="549"/>
      <c r="O31" s="549"/>
      <c r="P31" s="551">
        <f t="shared" si="1"/>
        <v>0</v>
      </c>
      <c r="Q31" s="552" t="e">
        <f>+SUM('Pon-Bat'!U8:U55)/('Prod-Bat'!W3-SUM('Prod-Bat'!O12:O15))</f>
        <v>#DIV/0!</v>
      </c>
      <c r="R31" s="552" t="e">
        <f>+(((SUM('Pon-Bat'!U8:U55))-(SUM('Pon-Bat'!V8:Z55)))/('Prod-Bat'!W3-SUM('Prod-Bat'!O12:O15)))</f>
        <v>#DIV/0!</v>
      </c>
      <c r="S31" s="553" t="e">
        <f t="shared" si="2"/>
        <v>#DIV/0!</v>
      </c>
    </row>
    <row r="32" spans="1:19" x14ac:dyDescent="0.2">
      <c r="A32" s="261"/>
      <c r="B32" s="261"/>
      <c r="C32" s="261" t="s">
        <v>54</v>
      </c>
      <c r="D32" s="690">
        <f>+'Prod-Bat'!U6</f>
        <v>5</v>
      </c>
      <c r="E32" s="691"/>
      <c r="F32" s="545">
        <f>+'Prod-Bat'!AX2-SUM('Prod-Bat'!BN12:BN61)</f>
        <v>0</v>
      </c>
      <c r="G32" s="546">
        <f>+'Prod-Bat'!Z2-SUM('Prod-Bat'!S12:S61)</f>
        <v>0</v>
      </c>
      <c r="H32" s="547" t="e">
        <f t="shared" si="0"/>
        <v>#DIV/0!</v>
      </c>
      <c r="I32" s="554"/>
      <c r="J32" s="549"/>
      <c r="K32" s="550" t="e">
        <f>+J32/G32</f>
        <v>#DIV/0!</v>
      </c>
      <c r="L32" s="564" t="e">
        <f>+SUM('Prod-Bat'!S12:S61)/('Prod-Bat'!Z2)</f>
        <v>#DIV/0!</v>
      </c>
      <c r="M32" s="554"/>
      <c r="N32" s="549"/>
      <c r="O32" s="549"/>
      <c r="P32" s="551">
        <f t="shared" si="1"/>
        <v>0</v>
      </c>
      <c r="Q32" s="552" t="e">
        <f>+SUM('Pon-Bat'!AA8:AA55)/('Prod-Bat'!Z2-SUM('Prod-Bat'!S12:S15))</f>
        <v>#DIV/0!</v>
      </c>
      <c r="R32" s="552" t="e">
        <f>+(((SUM('Pon-Bat'!AA8:AA55))-(SUM('Pon-Bat'!AB8:AF55)))/('Prod-Bat'!Z2-SUM('Prod-Bat'!S12:S15)))</f>
        <v>#DIV/0!</v>
      </c>
      <c r="S32" s="553" t="e">
        <f t="shared" si="2"/>
        <v>#DIV/0!</v>
      </c>
    </row>
    <row r="33" spans="1:19" x14ac:dyDescent="0.2">
      <c r="A33" s="261"/>
      <c r="B33" s="261"/>
      <c r="C33" s="261" t="s">
        <v>54</v>
      </c>
      <c r="D33" s="690">
        <f>+'Prod-Bat'!Y6</f>
        <v>6</v>
      </c>
      <c r="E33" s="691"/>
      <c r="F33" s="555"/>
      <c r="G33" s="546">
        <f>+'Prod-Bat'!Z3-SUM('Prod-Bat'!W12:W61)</f>
        <v>0</v>
      </c>
      <c r="H33" s="547" t="e">
        <f t="shared" si="0"/>
        <v>#DIV/0!</v>
      </c>
      <c r="I33" s="554"/>
      <c r="J33" s="549"/>
      <c r="K33" s="556"/>
      <c r="L33" s="564" t="e">
        <f>+SUM('Prod-Bat'!W12:W61)/('Prod-Bat'!Z3)</f>
        <v>#DIV/0!</v>
      </c>
      <c r="M33" s="554"/>
      <c r="N33" s="549"/>
      <c r="O33" s="549"/>
      <c r="P33" s="551">
        <f t="shared" si="1"/>
        <v>0</v>
      </c>
      <c r="Q33" s="552" t="e">
        <f>+SUM('Pon-Bat'!AG8:AG55)/('Prod-Bat'!Z3-SUM('Prod-Bat'!W12:W15))</f>
        <v>#DIV/0!</v>
      </c>
      <c r="R33" s="552" t="e">
        <f>+(((SUM('Pon-Bat'!AG9:AG56))-(SUM('Pon-Bat'!AH8:AL55)))/('Prod-Bat'!Z3-SUM('Prod-Bat'!W12:W15)))</f>
        <v>#DIV/0!</v>
      </c>
      <c r="S33" s="553" t="e">
        <f t="shared" si="2"/>
        <v>#DIV/0!</v>
      </c>
    </row>
    <row r="34" spans="1:19" ht="13.5" thickBot="1" x14ac:dyDescent="0.25">
      <c r="A34" s="261"/>
      <c r="B34" s="261"/>
      <c r="C34" s="261" t="s">
        <v>54</v>
      </c>
      <c r="D34" s="690"/>
      <c r="E34" s="691"/>
      <c r="F34" s="557"/>
      <c r="G34" s="558"/>
      <c r="H34" s="559"/>
      <c r="I34" s="560"/>
      <c r="J34" s="561"/>
      <c r="K34" s="558"/>
      <c r="L34" s="562"/>
      <c r="M34" s="560"/>
      <c r="N34" s="561"/>
      <c r="O34" s="561"/>
      <c r="P34" s="562">
        <f t="shared" si="1"/>
        <v>0</v>
      </c>
      <c r="Q34" s="552"/>
      <c r="R34" s="563"/>
      <c r="S34" s="553"/>
    </row>
    <row r="35" spans="1:19" ht="13.5" thickTop="1" x14ac:dyDescent="0.2">
      <c r="A35" s="261"/>
      <c r="B35" s="261"/>
      <c r="C35" s="261"/>
      <c r="D35" s="261"/>
      <c r="E35" s="681" t="s">
        <v>55</v>
      </c>
      <c r="F35" s="682"/>
      <c r="G35" s="683"/>
      <c r="H35" s="681" t="s">
        <v>56</v>
      </c>
      <c r="I35" s="682"/>
      <c r="J35" s="683"/>
      <c r="K35" s="681" t="s">
        <v>57</v>
      </c>
      <c r="L35" s="682"/>
      <c r="M35" s="683"/>
      <c r="N35" s="681" t="s">
        <v>58</v>
      </c>
      <c r="O35" s="682"/>
      <c r="P35" s="683"/>
      <c r="Q35" s="681" t="s">
        <v>59</v>
      </c>
      <c r="R35" s="682"/>
      <c r="S35" s="683"/>
    </row>
    <row r="36" spans="1:19" x14ac:dyDescent="0.2">
      <c r="A36" s="261"/>
      <c r="B36" s="261"/>
      <c r="C36" s="261"/>
      <c r="D36" s="261"/>
      <c r="E36" s="542" t="s">
        <v>60</v>
      </c>
      <c r="F36" s="543" t="s">
        <v>0</v>
      </c>
      <c r="G36" s="544" t="s">
        <v>47</v>
      </c>
      <c r="H36" s="542" t="s">
        <v>51</v>
      </c>
      <c r="I36" s="543" t="s">
        <v>52</v>
      </c>
      <c r="J36" s="544" t="s">
        <v>53</v>
      </c>
      <c r="K36" s="542" t="s">
        <v>51</v>
      </c>
      <c r="L36" s="543" t="s">
        <v>52</v>
      </c>
      <c r="M36" s="544" t="s">
        <v>53</v>
      </c>
      <c r="N36" s="542" t="s">
        <v>51</v>
      </c>
      <c r="O36" s="543" t="s">
        <v>52</v>
      </c>
      <c r="P36" s="544" t="s">
        <v>53</v>
      </c>
      <c r="Q36" s="542" t="s">
        <v>51</v>
      </c>
      <c r="R36" s="543" t="s">
        <v>52</v>
      </c>
      <c r="S36" s="544" t="s">
        <v>53</v>
      </c>
    </row>
    <row r="37" spans="1:19" x14ac:dyDescent="0.2">
      <c r="A37" s="261"/>
      <c r="B37" s="261"/>
      <c r="C37" s="261"/>
      <c r="D37" s="261"/>
      <c r="E37" s="548"/>
      <c r="F37" s="549"/>
      <c r="G37" s="564" t="e">
        <f>(SUM('Pon-Bat'!$D$8:D55)/SUM('Pon-Bat'!$C$8:C55))</f>
        <v>#DIV/0!</v>
      </c>
      <c r="H37" s="548"/>
      <c r="I37" s="549"/>
      <c r="J37" s="564" t="e">
        <f>(SUM('Pon-Bat'!$E$8:E55)/SUM('Pon-Bat'!$C$8:C55))</f>
        <v>#DIV/0!</v>
      </c>
      <c r="K37" s="548"/>
      <c r="L37" s="549"/>
      <c r="M37" s="564" t="e">
        <f>(SUM('Pon-Bat'!$F$8:F55)/SUM('Pon-Bat'!$C$8:C55))</f>
        <v>#DIV/0!</v>
      </c>
      <c r="N37" s="548"/>
      <c r="O37" s="549"/>
      <c r="P37" s="564" t="e">
        <f>(SUM('Pon-Bat'!$G$8:G55)/SUM('Pon-Bat'!$C$8:C55))</f>
        <v>#DIV/0!</v>
      </c>
      <c r="Q37" s="548"/>
      <c r="R37" s="549"/>
      <c r="S37" s="564" t="e">
        <f>(SUM('Pon-Bat'!$H$8:H55)/SUM('Pon-Bat'!$C$8:C55))</f>
        <v>#DIV/0!</v>
      </c>
    </row>
    <row r="38" spans="1:19" x14ac:dyDescent="0.2">
      <c r="A38" s="261"/>
      <c r="B38" s="261"/>
      <c r="C38" s="261"/>
      <c r="D38" s="261"/>
      <c r="E38" s="554"/>
      <c r="F38" s="549"/>
      <c r="G38" s="564" t="e">
        <f>((SUM('Pon-Bat'!$J$8:J55)/SUM('Pon-Bat'!$I$8:I55)))</f>
        <v>#DIV/0!</v>
      </c>
      <c r="H38" s="554"/>
      <c r="I38" s="549"/>
      <c r="J38" s="564" t="e">
        <f>((SUM('Pon-Bat'!$K$8:K55)/SUM('Pon-Bat'!$I$8:I55)))</f>
        <v>#DIV/0!</v>
      </c>
      <c r="K38" s="554"/>
      <c r="L38" s="549"/>
      <c r="M38" s="564" t="e">
        <f>((SUM('Pon-Bat'!$L$8:L55)/SUM('Pon-Bat'!$I$8:I55)))</f>
        <v>#DIV/0!</v>
      </c>
      <c r="N38" s="554"/>
      <c r="O38" s="549"/>
      <c r="P38" s="564" t="e">
        <f>((SUM('Pon-Bat'!$M$8:M55)/SUM('Pon-Bat'!$I$8:I55)))</f>
        <v>#DIV/0!</v>
      </c>
      <c r="Q38" s="554"/>
      <c r="R38" s="549"/>
      <c r="S38" s="564" t="e">
        <f>((SUM('Pon-Bat'!$N$8:N55)/SUM('Pon-Bat'!$I$8:I55)))</f>
        <v>#DIV/0!</v>
      </c>
    </row>
    <row r="39" spans="1:19" x14ac:dyDescent="0.2">
      <c r="A39" s="261"/>
      <c r="B39" s="261"/>
      <c r="C39" s="261"/>
      <c r="D39" s="261"/>
      <c r="E39" s="554"/>
      <c r="F39" s="549"/>
      <c r="G39" s="564" t="e">
        <f>((SUM('Pon-Bat'!$P$8:P55)/SUM('Pon-Bat'!$O$8:O55)))</f>
        <v>#DIV/0!</v>
      </c>
      <c r="H39" s="554"/>
      <c r="I39" s="549"/>
      <c r="J39" s="564" t="e">
        <f>((SUM('Pon-Bat'!$Q$8:Q55)/SUM('Pon-Bat'!$O$8:O55)))</f>
        <v>#DIV/0!</v>
      </c>
      <c r="K39" s="554"/>
      <c r="L39" s="549"/>
      <c r="M39" s="564" t="e">
        <f>((SUM('Pon-Bat'!$R$8:R55)/SUM('Pon-Bat'!$O$8:O55)))</f>
        <v>#DIV/0!</v>
      </c>
      <c r="N39" s="554"/>
      <c r="O39" s="549"/>
      <c r="P39" s="564" t="e">
        <f>((SUM('Pon-Bat'!$S$8:S55)/SUM('Pon-Bat'!$O$8:O55)))</f>
        <v>#DIV/0!</v>
      </c>
      <c r="Q39" s="554"/>
      <c r="R39" s="549"/>
      <c r="S39" s="564" t="e">
        <f>((SUM('Pon-Bat'!$T$8:T55)/SUM('Pon-Bat'!$O$8:O55)))</f>
        <v>#DIV/0!</v>
      </c>
    </row>
    <row r="40" spans="1:19" x14ac:dyDescent="0.2">
      <c r="A40" s="261"/>
      <c r="B40" s="261"/>
      <c r="C40" s="261"/>
      <c r="D40" s="261"/>
      <c r="E40" s="554"/>
      <c r="F40" s="549"/>
      <c r="G40" s="564" t="e">
        <f>((SUM('Pon-Bat'!$V$8:V55)/SUM('Pon-Bat'!$U$8:U55)))</f>
        <v>#DIV/0!</v>
      </c>
      <c r="H40" s="554"/>
      <c r="I40" s="549"/>
      <c r="J40" s="564" t="e">
        <f>((SUM('Pon-Bat'!$W$8:W55)/SUM('Pon-Bat'!$U$8:U55)))</f>
        <v>#DIV/0!</v>
      </c>
      <c r="K40" s="554"/>
      <c r="L40" s="549"/>
      <c r="M40" s="564" t="e">
        <f>((SUM('Pon-Bat'!$X$8:X55)/SUM('Pon-Bat'!$U$8:U55)))</f>
        <v>#DIV/0!</v>
      </c>
      <c r="N40" s="554"/>
      <c r="O40" s="549"/>
      <c r="P40" s="564" t="e">
        <f>((SUM('Pon-Bat'!$Y$8:Y55)/SUM('Pon-Bat'!$U$8:U55)))</f>
        <v>#DIV/0!</v>
      </c>
      <c r="Q40" s="554"/>
      <c r="R40" s="549"/>
      <c r="S40" s="564" t="e">
        <f>((SUM('Pon-Bat'!$Z$8:Z55)/SUM('Pon-Bat'!$U$8:U55)))</f>
        <v>#DIV/0!</v>
      </c>
    </row>
    <row r="41" spans="1:19" x14ac:dyDescent="0.2">
      <c r="A41" s="261"/>
      <c r="B41" s="261"/>
      <c r="C41" s="261"/>
      <c r="D41" s="261"/>
      <c r="E41" s="554"/>
      <c r="F41" s="549"/>
      <c r="G41" s="564" t="e">
        <f>((SUM('Pon-Bat'!$AB$8:AB55)/SUM('Pon-Bat'!$AA$8:AA55)))</f>
        <v>#DIV/0!</v>
      </c>
      <c r="H41" s="554"/>
      <c r="I41" s="549"/>
      <c r="J41" s="564" t="e">
        <f>((SUM('Pon-Bat'!$AC$8:AC55)/SUM('Pon-Bat'!$AA$8:AA55)))</f>
        <v>#DIV/0!</v>
      </c>
      <c r="K41" s="554"/>
      <c r="L41" s="549"/>
      <c r="M41" s="564" t="e">
        <f>((SUM('Pon-Bat'!$AD$8:AD55)/SUM('Pon-Bat'!$AA$8:AA55)))</f>
        <v>#DIV/0!</v>
      </c>
      <c r="N41" s="554"/>
      <c r="O41" s="549"/>
      <c r="P41" s="564" t="e">
        <f>((SUM('Pon-Bat'!$AE$8:AE55)/SUM('Pon-Bat'!$AA$8:AA55)))</f>
        <v>#DIV/0!</v>
      </c>
      <c r="Q41" s="554"/>
      <c r="R41" s="549"/>
      <c r="S41" s="564" t="e">
        <f>((SUM('Pon-Bat'!$AF$8:AF55)/SUM('Pon-Bat'!$AA$8:AA55)))</f>
        <v>#DIV/0!</v>
      </c>
    </row>
    <row r="42" spans="1:19" x14ac:dyDescent="0.2">
      <c r="A42" s="261"/>
      <c r="B42" s="261"/>
      <c r="C42" s="261"/>
      <c r="D42" s="261"/>
      <c r="E42" s="554"/>
      <c r="F42" s="549"/>
      <c r="G42" s="564" t="e">
        <f>((SUM('Pon-Bat'!$AH$8:AH55)/SUM('Pon-Bat'!$AG$8:AG55)))</f>
        <v>#DIV/0!</v>
      </c>
      <c r="H42" s="554"/>
      <c r="I42" s="549"/>
      <c r="J42" s="564" t="e">
        <f>((SUM('Pon-Bat'!$AI$8:AI55)/SUM('Pon-Bat'!$AG$8:AG55)))</f>
        <v>#DIV/0!</v>
      </c>
      <c r="K42" s="554"/>
      <c r="L42" s="549"/>
      <c r="M42" s="564" t="e">
        <f>((SUM('Pon-Bat'!$AJ$8:AJ55)/SUM('Pon-Bat'!$AG$8:AG55)))</f>
        <v>#DIV/0!</v>
      </c>
      <c r="N42" s="554"/>
      <c r="O42" s="549"/>
      <c r="P42" s="564" t="e">
        <f>((SUM('Pon-Bat'!$AK$8:AK55)/SUM('Pon-Bat'!$AG$8:AG55)))</f>
        <v>#DIV/0!</v>
      </c>
      <c r="Q42" s="554"/>
      <c r="R42" s="549"/>
      <c r="S42" s="564" t="e">
        <f>((SUM('Pon-Bat'!$AL$8:AL55)/SUM('Pon-Bat'!$AG$8:AG55)))</f>
        <v>#DIV/0!</v>
      </c>
    </row>
    <row r="43" spans="1:19" ht="13.5" thickBot="1" x14ac:dyDescent="0.25">
      <c r="A43" s="261"/>
      <c r="B43" s="261"/>
      <c r="C43" s="261"/>
      <c r="D43" s="261"/>
      <c r="E43" s="560"/>
      <c r="F43" s="561"/>
      <c r="G43" s="562"/>
      <c r="H43" s="560"/>
      <c r="I43" s="561"/>
      <c r="J43" s="562"/>
      <c r="K43" s="560"/>
      <c r="L43" s="561"/>
      <c r="M43" s="562"/>
      <c r="N43" s="560"/>
      <c r="O43" s="561"/>
      <c r="P43" s="562"/>
      <c r="Q43" s="560"/>
      <c r="R43" s="561"/>
      <c r="S43" s="562"/>
    </row>
    <row r="44" spans="1:19" ht="13.5" thickTop="1" x14ac:dyDescent="0.2">
      <c r="A44" s="261"/>
      <c r="B44" s="261"/>
      <c r="C44" s="261"/>
      <c r="D44" s="261"/>
      <c r="E44" s="261"/>
      <c r="F44" s="261"/>
      <c r="G44" s="261"/>
      <c r="H44" s="261"/>
      <c r="I44" s="261"/>
      <c r="J44" s="261"/>
      <c r="K44" s="261"/>
      <c r="L44" s="261"/>
    </row>
    <row r="45" spans="1:19" x14ac:dyDescent="0.2">
      <c r="A45" s="261"/>
      <c r="B45" s="261"/>
      <c r="C45" s="261"/>
      <c r="D45" s="261"/>
      <c r="E45" s="261"/>
      <c r="F45" s="261"/>
      <c r="G45" s="261"/>
      <c r="H45" s="261"/>
      <c r="I45" s="261"/>
      <c r="J45" s="261"/>
      <c r="K45" s="261"/>
      <c r="L45" s="261"/>
    </row>
    <row r="46" spans="1:19" x14ac:dyDescent="0.2">
      <c r="A46" s="261"/>
      <c r="B46" s="261"/>
      <c r="C46" s="261"/>
      <c r="D46" s="261"/>
      <c r="E46" s="261"/>
      <c r="F46" s="261"/>
      <c r="G46" s="261"/>
      <c r="H46" s="261"/>
      <c r="I46" s="261"/>
      <c r="J46" s="261"/>
      <c r="K46" s="261"/>
      <c r="L46" s="261"/>
    </row>
    <row r="47" spans="1:19" x14ac:dyDescent="0.2">
      <c r="A47" s="261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</row>
    <row r="48" spans="1:19" x14ac:dyDescent="0.2">
      <c r="A48" s="261"/>
      <c r="B48" s="261"/>
      <c r="C48" s="261"/>
      <c r="D48" s="261"/>
      <c r="E48" s="261"/>
      <c r="F48" s="261"/>
      <c r="G48" s="684" t="s">
        <v>61</v>
      </c>
      <c r="H48" s="685"/>
      <c r="I48" s="688" t="s">
        <v>54</v>
      </c>
      <c r="J48" s="690" t="s">
        <v>62</v>
      </c>
      <c r="K48" s="691"/>
      <c r="L48" s="688" t="s">
        <v>63</v>
      </c>
      <c r="M48" s="692" t="s">
        <v>64</v>
      </c>
      <c r="N48" s="691" t="s">
        <v>65</v>
      </c>
      <c r="O48" s="694"/>
    </row>
    <row r="49" spans="1:15" ht="13.5" thickBot="1" x14ac:dyDescent="0.25">
      <c r="A49" s="261"/>
      <c r="B49" s="261"/>
      <c r="C49" s="261"/>
      <c r="D49" s="261"/>
      <c r="E49" s="261"/>
      <c r="F49" s="261"/>
      <c r="G49" s="686"/>
      <c r="H49" s="687"/>
      <c r="I49" s="689"/>
      <c r="J49" s="261" t="s">
        <v>45</v>
      </c>
      <c r="K49" s="261" t="s">
        <v>44</v>
      </c>
      <c r="L49" s="689"/>
      <c r="M49" s="693"/>
      <c r="N49" t="s">
        <v>66</v>
      </c>
      <c r="O49" s="565" t="s">
        <v>67</v>
      </c>
    </row>
    <row r="50" spans="1:15" ht="13.5" thickTop="1" x14ac:dyDescent="0.2">
      <c r="A50" s="261"/>
      <c r="B50" s="261"/>
      <c r="C50" s="261"/>
      <c r="D50" s="261"/>
      <c r="E50" s="261"/>
      <c r="F50" s="261"/>
      <c r="G50" s="261"/>
      <c r="H50" s="556"/>
      <c r="I50" s="566"/>
      <c r="J50" s="567"/>
      <c r="K50" s="568"/>
      <c r="L50" s="569"/>
      <c r="M50" s="570"/>
      <c r="N50" s="571"/>
      <c r="O50" s="572"/>
    </row>
    <row r="51" spans="1:15" x14ac:dyDescent="0.2">
      <c r="A51" s="261"/>
      <c r="B51" s="261"/>
      <c r="C51" s="261"/>
      <c r="D51" s="261"/>
      <c r="E51" s="261"/>
      <c r="F51" s="261"/>
      <c r="G51" s="261"/>
      <c r="H51" s="556"/>
      <c r="I51" s="573"/>
      <c r="J51" s="555"/>
      <c r="K51" s="556"/>
      <c r="L51" s="556"/>
      <c r="M51" s="574"/>
      <c r="N51" s="574"/>
      <c r="O51" s="575"/>
    </row>
    <row r="52" spans="1:15" x14ac:dyDescent="0.2">
      <c r="A52" s="261"/>
      <c r="B52" s="261"/>
      <c r="C52" s="261"/>
      <c r="D52" s="261"/>
      <c r="E52" s="261"/>
      <c r="F52" s="261"/>
      <c r="G52" s="261"/>
      <c r="H52" s="556"/>
      <c r="I52" s="573"/>
      <c r="J52" s="555"/>
      <c r="K52" s="556"/>
      <c r="L52" s="556"/>
      <c r="M52" s="574"/>
      <c r="N52" s="574"/>
      <c r="O52" s="575"/>
    </row>
    <row r="53" spans="1:15" x14ac:dyDescent="0.2">
      <c r="A53" s="261"/>
      <c r="B53" s="261"/>
      <c r="C53" s="261"/>
      <c r="D53" s="261"/>
      <c r="E53" s="261"/>
      <c r="F53" s="261"/>
      <c r="G53" s="261"/>
      <c r="H53" s="556"/>
      <c r="I53" s="573"/>
      <c r="J53" s="555"/>
      <c r="K53" s="556"/>
      <c r="L53" s="556"/>
      <c r="M53" s="574"/>
      <c r="N53" s="574"/>
      <c r="O53" s="575"/>
    </row>
    <row r="54" spans="1:15" x14ac:dyDescent="0.2">
      <c r="A54" s="261"/>
      <c r="B54" s="261"/>
      <c r="C54" s="261"/>
      <c r="D54" s="261"/>
      <c r="E54" s="261"/>
      <c r="F54" s="261"/>
      <c r="G54" s="261"/>
      <c r="H54" s="556"/>
      <c r="I54" s="573"/>
      <c r="J54" s="555"/>
      <c r="K54" s="556"/>
      <c r="L54" s="556"/>
      <c r="M54" s="574"/>
      <c r="N54" s="574"/>
      <c r="O54" s="575"/>
    </row>
    <row r="55" spans="1:15" ht="13.5" thickBot="1" x14ac:dyDescent="0.25">
      <c r="A55" s="261"/>
      <c r="B55" s="261"/>
      <c r="C55" s="261"/>
      <c r="D55" s="261"/>
      <c r="E55" s="261"/>
      <c r="F55" s="261"/>
      <c r="G55" s="261"/>
      <c r="H55" s="556"/>
      <c r="I55" s="576"/>
      <c r="J55" s="557"/>
      <c r="K55" s="558"/>
      <c r="L55" s="558"/>
      <c r="M55" s="577"/>
      <c r="N55" s="577"/>
      <c r="O55" s="578"/>
    </row>
    <row r="56" spans="1:15" ht="13.5" thickTop="1" x14ac:dyDescent="0.2">
      <c r="A56" s="261"/>
      <c r="B56" s="261"/>
      <c r="C56" s="261"/>
      <c r="D56" s="261"/>
      <c r="E56" s="261"/>
      <c r="F56" s="261"/>
      <c r="G56" s="261"/>
      <c r="H56" s="261"/>
      <c r="I56" s="261"/>
      <c r="J56" s="261"/>
      <c r="K56" s="261"/>
      <c r="L56" s="261"/>
    </row>
    <row r="57" spans="1:15" x14ac:dyDescent="0.2">
      <c r="A57" s="261"/>
      <c r="B57" s="261"/>
      <c r="C57" s="261"/>
      <c r="D57" s="261"/>
      <c r="E57" s="261"/>
      <c r="F57" s="261"/>
      <c r="G57" s="261"/>
      <c r="H57" s="261"/>
      <c r="I57" s="261"/>
      <c r="J57" s="261"/>
      <c r="K57" s="261"/>
      <c r="L57" s="261"/>
    </row>
    <row r="58" spans="1:15" x14ac:dyDescent="0.2">
      <c r="A58" s="261"/>
      <c r="B58" s="261"/>
      <c r="C58" s="261"/>
      <c r="D58" s="261"/>
      <c r="E58" s="261"/>
      <c r="F58" s="261"/>
      <c r="G58" s="261"/>
      <c r="H58" s="261"/>
      <c r="I58" s="261"/>
      <c r="J58" s="261"/>
      <c r="K58" s="261"/>
      <c r="L58" s="261"/>
    </row>
    <row r="59" spans="1:15" x14ac:dyDescent="0.2">
      <c r="A59" s="261"/>
      <c r="B59" s="261"/>
      <c r="C59" s="261"/>
      <c r="D59" s="261"/>
      <c r="E59" s="261"/>
      <c r="F59" s="261"/>
      <c r="G59" s="261"/>
      <c r="H59" s="261"/>
      <c r="I59" s="261"/>
      <c r="J59" s="261"/>
      <c r="K59" s="261"/>
      <c r="L59" s="261"/>
    </row>
    <row r="60" spans="1:15" x14ac:dyDescent="0.2">
      <c r="A60" s="261"/>
      <c r="B60" s="261"/>
      <c r="C60" s="261"/>
      <c r="D60" s="261"/>
      <c r="E60" s="261"/>
      <c r="F60" s="261"/>
      <c r="G60" s="261"/>
      <c r="H60" s="261"/>
      <c r="I60" s="261"/>
      <c r="J60" s="261"/>
      <c r="K60" s="261"/>
      <c r="L60" s="261"/>
    </row>
    <row r="61" spans="1:15" x14ac:dyDescent="0.2">
      <c r="A61" s="261"/>
      <c r="B61" s="261"/>
      <c r="C61" s="261"/>
      <c r="D61" s="261"/>
      <c r="E61" s="261"/>
      <c r="F61" s="261"/>
      <c r="G61" s="261"/>
      <c r="H61" s="261"/>
      <c r="I61" s="261"/>
      <c r="J61" s="261"/>
      <c r="K61" s="261"/>
      <c r="L61" s="261"/>
    </row>
    <row r="62" spans="1:15" x14ac:dyDescent="0.2">
      <c r="A62" s="261"/>
      <c r="B62" s="261"/>
      <c r="C62" s="261"/>
      <c r="D62" s="261"/>
      <c r="E62" s="261"/>
      <c r="F62" s="261"/>
      <c r="G62" s="261"/>
      <c r="H62" s="261"/>
      <c r="I62" s="261"/>
      <c r="J62" s="261"/>
      <c r="K62" s="261"/>
      <c r="L62" s="261"/>
    </row>
    <row r="63" spans="1:15" x14ac:dyDescent="0.2">
      <c r="A63" s="261"/>
      <c r="B63" s="261"/>
      <c r="C63" s="261"/>
      <c r="D63" s="261"/>
      <c r="E63" s="261"/>
      <c r="F63" s="261"/>
      <c r="G63" s="261"/>
      <c r="H63" s="261"/>
      <c r="I63" s="261"/>
      <c r="J63" s="261"/>
      <c r="K63" s="261"/>
      <c r="L63" s="261"/>
    </row>
    <row r="64" spans="1:15" x14ac:dyDescent="0.2">
      <c r="A64" s="261"/>
      <c r="B64" s="261"/>
      <c r="C64" s="261"/>
      <c r="D64" s="261"/>
      <c r="E64" s="261"/>
      <c r="F64" s="261"/>
      <c r="G64" s="261"/>
      <c r="H64" s="261"/>
      <c r="I64" s="261"/>
      <c r="J64" s="261"/>
      <c r="K64" s="261"/>
      <c r="L64" s="261"/>
    </row>
    <row r="65" spans="1:12" x14ac:dyDescent="0.2">
      <c r="A65" s="261"/>
      <c r="B65" s="261"/>
      <c r="C65" s="261"/>
      <c r="D65" s="261"/>
      <c r="E65" s="261"/>
      <c r="F65" s="261"/>
      <c r="G65" s="261"/>
      <c r="H65" s="261"/>
      <c r="I65" s="261"/>
      <c r="J65" s="261"/>
      <c r="K65" s="261"/>
      <c r="L65" s="261"/>
    </row>
    <row r="66" spans="1:12" x14ac:dyDescent="0.2">
      <c r="A66" s="261"/>
      <c r="B66" s="261"/>
      <c r="C66" s="261"/>
      <c r="D66" s="261"/>
      <c r="E66" s="261"/>
      <c r="F66" s="261"/>
      <c r="G66" s="261"/>
      <c r="H66" s="261"/>
      <c r="I66" s="261"/>
      <c r="J66" s="261"/>
      <c r="K66" s="261"/>
      <c r="L66" s="261"/>
    </row>
    <row r="67" spans="1:12" x14ac:dyDescent="0.2">
      <c r="A67" s="261"/>
      <c r="B67" s="261"/>
      <c r="C67" s="261"/>
      <c r="D67" s="261"/>
      <c r="E67" s="261"/>
      <c r="F67" s="261"/>
      <c r="G67" s="261"/>
      <c r="H67" s="261"/>
      <c r="I67" s="261"/>
      <c r="J67" s="261"/>
      <c r="K67" s="261"/>
      <c r="L67" s="261"/>
    </row>
    <row r="68" spans="1:12" x14ac:dyDescent="0.2">
      <c r="A68" s="261"/>
      <c r="B68" s="261"/>
      <c r="C68" s="261"/>
      <c r="D68" s="261"/>
      <c r="E68" s="261"/>
      <c r="F68" s="261"/>
      <c r="G68" s="261"/>
      <c r="H68" s="261"/>
      <c r="I68" s="261"/>
      <c r="J68" s="261"/>
      <c r="K68" s="261"/>
      <c r="L68" s="261"/>
    </row>
    <row r="69" spans="1:12" x14ac:dyDescent="0.2">
      <c r="A69" s="261"/>
      <c r="B69" s="261"/>
      <c r="C69" s="261"/>
      <c r="D69" s="261"/>
      <c r="E69" s="261"/>
      <c r="F69" s="261"/>
      <c r="G69" s="261"/>
      <c r="H69" s="261"/>
      <c r="I69" s="261"/>
      <c r="J69" s="261"/>
      <c r="K69" s="261"/>
      <c r="L69" s="261"/>
    </row>
    <row r="70" spans="1:12" x14ac:dyDescent="0.2">
      <c r="A70" s="261"/>
      <c r="B70" s="261"/>
      <c r="C70" s="261"/>
      <c r="D70" s="261"/>
      <c r="E70" s="261"/>
      <c r="F70" s="261"/>
      <c r="G70" s="261"/>
      <c r="H70" s="261"/>
      <c r="I70" s="261"/>
      <c r="J70" s="261"/>
      <c r="K70" s="261"/>
      <c r="L70" s="261"/>
    </row>
    <row r="71" spans="1:12" x14ac:dyDescent="0.2">
      <c r="A71" s="261"/>
      <c r="B71" s="261"/>
      <c r="C71" s="261"/>
      <c r="D71" s="261"/>
      <c r="E71" s="261"/>
      <c r="F71" s="261"/>
      <c r="G71" s="261"/>
      <c r="H71" s="261"/>
      <c r="I71" s="261"/>
      <c r="J71" s="261"/>
      <c r="K71" s="261"/>
      <c r="L71" s="261"/>
    </row>
    <row r="72" spans="1:12" x14ac:dyDescent="0.2">
      <c r="A72" s="261"/>
      <c r="B72" s="261"/>
      <c r="C72" s="261"/>
      <c r="D72" s="261"/>
      <c r="E72" s="261"/>
      <c r="F72" s="261"/>
      <c r="G72" s="261"/>
      <c r="H72" s="261"/>
      <c r="I72" s="261"/>
      <c r="J72" s="261"/>
      <c r="K72" s="261"/>
      <c r="L72" s="261"/>
    </row>
    <row r="73" spans="1:12" x14ac:dyDescent="0.2">
      <c r="A73" s="261"/>
      <c r="B73" s="261"/>
      <c r="C73" s="261"/>
      <c r="D73" s="261"/>
      <c r="E73" s="261"/>
      <c r="F73" s="261"/>
      <c r="G73" s="261"/>
      <c r="H73" s="261"/>
      <c r="I73" s="261"/>
      <c r="J73" s="261"/>
      <c r="K73" s="261"/>
      <c r="L73" s="261"/>
    </row>
    <row r="74" spans="1:12" x14ac:dyDescent="0.2">
      <c r="A74" s="261"/>
      <c r="B74" s="261"/>
      <c r="C74" s="261"/>
      <c r="D74" s="261"/>
      <c r="E74" s="261"/>
      <c r="F74" s="261"/>
      <c r="G74" s="261"/>
      <c r="H74" s="261"/>
      <c r="I74" s="261"/>
      <c r="J74" s="261"/>
      <c r="K74" s="261"/>
      <c r="L74" s="261"/>
    </row>
    <row r="75" spans="1:12" x14ac:dyDescent="0.2">
      <c r="A75" s="261"/>
      <c r="B75" s="261"/>
      <c r="C75" s="261"/>
      <c r="D75" s="261"/>
      <c r="E75" s="261"/>
      <c r="F75" s="261"/>
      <c r="G75" s="261"/>
      <c r="H75" s="261"/>
      <c r="I75" s="261"/>
      <c r="J75" s="261"/>
      <c r="K75" s="261"/>
      <c r="L75" s="261"/>
    </row>
    <row r="76" spans="1:12" x14ac:dyDescent="0.2">
      <c r="A76" s="261"/>
      <c r="B76" s="261"/>
      <c r="C76" s="261"/>
      <c r="D76" s="261"/>
      <c r="E76" s="261"/>
      <c r="F76" s="261"/>
      <c r="G76" s="261"/>
      <c r="H76" s="261"/>
      <c r="I76" s="261"/>
      <c r="J76" s="261"/>
      <c r="K76" s="261"/>
      <c r="L76" s="261"/>
    </row>
    <row r="77" spans="1:12" x14ac:dyDescent="0.2">
      <c r="A77" s="261"/>
      <c r="B77" s="261"/>
      <c r="C77" s="261"/>
      <c r="D77" s="261"/>
      <c r="E77" s="261"/>
      <c r="F77" s="261"/>
      <c r="G77" s="261"/>
      <c r="H77" s="261"/>
      <c r="I77" s="261"/>
      <c r="J77" s="261"/>
      <c r="K77" s="261"/>
      <c r="L77" s="261"/>
    </row>
    <row r="78" spans="1:12" x14ac:dyDescent="0.2">
      <c r="A78" s="261"/>
      <c r="B78" s="261"/>
      <c r="C78" s="261"/>
      <c r="D78" s="261"/>
      <c r="E78" s="261"/>
      <c r="F78" s="261"/>
      <c r="G78" s="261"/>
      <c r="H78" s="261"/>
      <c r="I78" s="261"/>
      <c r="J78" s="261"/>
      <c r="K78" s="261"/>
      <c r="L78" s="261"/>
    </row>
    <row r="79" spans="1:12" x14ac:dyDescent="0.2">
      <c r="A79" s="261"/>
      <c r="B79" s="261"/>
      <c r="C79" s="261"/>
      <c r="D79" s="261"/>
      <c r="E79" s="261"/>
      <c r="F79" s="261"/>
      <c r="G79" s="261"/>
      <c r="H79" s="261"/>
      <c r="I79" s="261"/>
      <c r="J79" s="261"/>
      <c r="K79" s="261"/>
      <c r="L79" s="261"/>
    </row>
    <row r="80" spans="1:12" x14ac:dyDescent="0.2">
      <c r="A80" s="261"/>
      <c r="B80" s="261"/>
      <c r="C80" s="261"/>
      <c r="D80" s="261"/>
      <c r="E80" s="261"/>
      <c r="F80" s="261"/>
      <c r="G80" s="261"/>
      <c r="H80" s="261"/>
      <c r="I80" s="261"/>
      <c r="J80" s="261"/>
      <c r="K80" s="261"/>
      <c r="L80" s="261"/>
    </row>
    <row r="81" spans="1:12" x14ac:dyDescent="0.2">
      <c r="A81" s="261"/>
      <c r="B81" s="261"/>
      <c r="C81" s="261"/>
      <c r="D81" s="261"/>
      <c r="E81" s="261"/>
      <c r="F81" s="261"/>
      <c r="G81" s="261"/>
      <c r="H81" s="261"/>
      <c r="I81" s="261"/>
      <c r="J81" s="261"/>
      <c r="K81" s="261"/>
      <c r="L81" s="261"/>
    </row>
    <row r="82" spans="1:12" x14ac:dyDescent="0.2">
      <c r="A82" s="261"/>
      <c r="B82" s="261"/>
      <c r="C82" s="261"/>
      <c r="D82" s="261"/>
      <c r="E82" s="261"/>
      <c r="F82" s="261"/>
      <c r="G82" s="261"/>
      <c r="H82" s="261"/>
      <c r="I82" s="261"/>
      <c r="J82" s="261"/>
      <c r="K82" s="261"/>
      <c r="L82" s="261"/>
    </row>
    <row r="83" spans="1:12" x14ac:dyDescent="0.2">
      <c r="A83" s="261"/>
      <c r="B83" s="261"/>
      <c r="C83" s="261"/>
      <c r="D83" s="261"/>
      <c r="E83" s="261"/>
      <c r="F83" s="261"/>
      <c r="G83" s="261"/>
      <c r="H83" s="261"/>
      <c r="I83" s="261"/>
      <c r="J83" s="261"/>
      <c r="K83" s="261"/>
      <c r="L83" s="261"/>
    </row>
    <row r="84" spans="1:12" x14ac:dyDescent="0.2">
      <c r="A84" s="261"/>
      <c r="B84" s="261"/>
      <c r="C84" s="261"/>
      <c r="D84" s="261"/>
      <c r="E84" s="261"/>
      <c r="F84" s="261"/>
      <c r="G84" s="261"/>
      <c r="H84" s="261"/>
      <c r="I84" s="261"/>
      <c r="J84" s="261"/>
      <c r="K84" s="261"/>
      <c r="L84" s="261"/>
    </row>
    <row r="85" spans="1:12" x14ac:dyDescent="0.2">
      <c r="A85" s="261"/>
      <c r="B85" s="261"/>
      <c r="C85" s="261"/>
      <c r="D85" s="261"/>
      <c r="E85" s="261"/>
      <c r="F85" s="261"/>
      <c r="G85" s="261"/>
      <c r="H85" s="261"/>
      <c r="I85" s="261"/>
      <c r="J85" s="261"/>
      <c r="K85" s="261"/>
      <c r="L85" s="261"/>
    </row>
    <row r="86" spans="1:12" x14ac:dyDescent="0.2">
      <c r="A86" s="261"/>
      <c r="B86" s="261"/>
      <c r="C86" s="261"/>
      <c r="D86" s="261"/>
      <c r="E86" s="261"/>
      <c r="F86" s="261"/>
      <c r="G86" s="261"/>
      <c r="H86" s="261"/>
      <c r="I86" s="261"/>
      <c r="J86" s="261"/>
      <c r="K86" s="261"/>
      <c r="L86" s="261"/>
    </row>
    <row r="87" spans="1:12" x14ac:dyDescent="0.2">
      <c r="A87" s="261"/>
      <c r="B87" s="261"/>
      <c r="C87" s="261"/>
      <c r="D87" s="261"/>
      <c r="E87" s="261"/>
      <c r="F87" s="261"/>
      <c r="G87" s="261"/>
      <c r="H87" s="261"/>
      <c r="I87" s="261"/>
      <c r="J87" s="261"/>
      <c r="K87" s="261"/>
      <c r="L87" s="261"/>
    </row>
    <row r="88" spans="1:12" x14ac:dyDescent="0.2">
      <c r="A88" s="261"/>
      <c r="B88" s="261"/>
      <c r="C88" s="261"/>
      <c r="D88" s="261"/>
      <c r="E88" s="261"/>
      <c r="F88" s="261"/>
      <c r="G88" s="261"/>
      <c r="H88" s="261"/>
      <c r="I88" s="261"/>
      <c r="J88" s="261"/>
      <c r="K88" s="261"/>
      <c r="L88" s="261"/>
    </row>
    <row r="89" spans="1:12" x14ac:dyDescent="0.2">
      <c r="A89" s="261"/>
      <c r="B89" s="261"/>
      <c r="C89" s="261"/>
      <c r="D89" s="261"/>
      <c r="E89" s="261"/>
      <c r="F89" s="261"/>
      <c r="G89" s="261"/>
      <c r="H89" s="261"/>
      <c r="I89" s="261"/>
      <c r="J89" s="261"/>
      <c r="K89" s="261"/>
      <c r="L89" s="261"/>
    </row>
    <row r="90" spans="1:12" x14ac:dyDescent="0.2">
      <c r="A90" s="261"/>
      <c r="B90" s="261"/>
      <c r="C90" s="261"/>
      <c r="D90" s="261"/>
      <c r="E90" s="261"/>
      <c r="F90" s="261"/>
      <c r="G90" s="261"/>
      <c r="H90" s="261"/>
      <c r="I90" s="261"/>
      <c r="J90" s="261"/>
      <c r="K90" s="261"/>
      <c r="L90" s="261"/>
    </row>
    <row r="91" spans="1:12" x14ac:dyDescent="0.2">
      <c r="A91" s="261"/>
      <c r="B91" s="261"/>
      <c r="C91" s="261"/>
      <c r="D91" s="261"/>
      <c r="E91" s="261"/>
      <c r="F91" s="261"/>
      <c r="G91" s="261"/>
      <c r="H91" s="261"/>
      <c r="I91" s="261"/>
      <c r="J91" s="261"/>
      <c r="K91" s="261"/>
      <c r="L91" s="261"/>
    </row>
    <row r="92" spans="1:12" x14ac:dyDescent="0.2">
      <c r="A92" s="261"/>
      <c r="B92" s="261"/>
      <c r="C92" s="261"/>
      <c r="D92" s="261"/>
      <c r="E92" s="261"/>
      <c r="F92" s="261"/>
      <c r="G92" s="261"/>
      <c r="H92" s="261"/>
      <c r="I92" s="261"/>
      <c r="J92" s="261"/>
      <c r="K92" s="261"/>
      <c r="L92" s="261"/>
    </row>
    <row r="93" spans="1:12" x14ac:dyDescent="0.2">
      <c r="A93" s="261"/>
      <c r="B93" s="261"/>
      <c r="C93" s="261"/>
      <c r="D93" s="261"/>
      <c r="E93" s="261"/>
      <c r="F93" s="261"/>
      <c r="G93" s="261"/>
      <c r="H93" s="261"/>
      <c r="I93" s="261"/>
      <c r="J93" s="261"/>
      <c r="K93" s="261"/>
      <c r="L93" s="261"/>
    </row>
    <row r="94" spans="1:12" x14ac:dyDescent="0.2">
      <c r="A94" s="261"/>
      <c r="B94" s="261"/>
      <c r="C94" s="261"/>
      <c r="D94" s="261"/>
      <c r="E94" s="261"/>
      <c r="F94" s="261"/>
      <c r="G94" s="261"/>
      <c r="H94" s="261"/>
      <c r="I94" s="261"/>
      <c r="J94" s="261"/>
      <c r="K94" s="261"/>
      <c r="L94" s="261"/>
    </row>
    <row r="95" spans="1:12" x14ac:dyDescent="0.2">
      <c r="A95" s="261"/>
      <c r="B95" s="261"/>
      <c r="C95" s="261"/>
      <c r="D95" s="261"/>
      <c r="E95" s="261"/>
      <c r="F95" s="261"/>
      <c r="G95" s="261"/>
      <c r="H95" s="261"/>
      <c r="I95" s="261"/>
      <c r="J95" s="261"/>
      <c r="K95" s="261"/>
      <c r="L95" s="261"/>
    </row>
    <row r="96" spans="1:12" x14ac:dyDescent="0.2">
      <c r="A96" s="261"/>
      <c r="B96" s="261"/>
      <c r="C96" s="261"/>
      <c r="D96" s="261"/>
      <c r="E96" s="261"/>
      <c r="F96" s="261"/>
      <c r="G96" s="261"/>
      <c r="H96" s="261"/>
      <c r="I96" s="261"/>
      <c r="J96" s="261"/>
      <c r="K96" s="261"/>
      <c r="L96" s="261"/>
    </row>
    <row r="97" spans="1:12" x14ac:dyDescent="0.2">
      <c r="A97" s="261"/>
      <c r="B97" s="261"/>
      <c r="C97" s="261"/>
      <c r="D97" s="261"/>
      <c r="E97" s="261"/>
      <c r="F97" s="261"/>
      <c r="G97" s="261"/>
      <c r="H97" s="261"/>
      <c r="I97" s="261"/>
      <c r="J97" s="261"/>
      <c r="K97" s="261"/>
      <c r="L97" s="261"/>
    </row>
    <row r="98" spans="1:12" x14ac:dyDescent="0.2">
      <c r="A98" s="261"/>
      <c r="B98" s="261"/>
      <c r="C98" s="261"/>
      <c r="D98" s="261"/>
      <c r="E98" s="261"/>
      <c r="F98" s="261"/>
      <c r="G98" s="261"/>
      <c r="H98" s="261"/>
      <c r="I98" s="261"/>
      <c r="J98" s="261"/>
      <c r="K98" s="261"/>
      <c r="L98" s="261"/>
    </row>
    <row r="99" spans="1:12" x14ac:dyDescent="0.2">
      <c r="A99" s="261"/>
      <c r="B99" s="261"/>
      <c r="C99" s="261"/>
      <c r="D99" s="261"/>
      <c r="E99" s="261"/>
      <c r="F99" s="261"/>
      <c r="G99" s="261"/>
      <c r="H99" s="261"/>
      <c r="I99" s="261"/>
      <c r="J99" s="261"/>
      <c r="K99" s="261"/>
      <c r="L99" s="261"/>
    </row>
    <row r="100" spans="1:12" x14ac:dyDescent="0.2">
      <c r="A100" s="261"/>
      <c r="B100" s="261"/>
      <c r="C100" s="261"/>
      <c r="D100" s="261"/>
      <c r="E100" s="261"/>
      <c r="F100" s="261"/>
      <c r="G100" s="261"/>
      <c r="H100" s="261"/>
      <c r="I100" s="261"/>
      <c r="J100" s="261"/>
      <c r="K100" s="261"/>
      <c r="L100" s="261"/>
    </row>
    <row r="101" spans="1:12" x14ac:dyDescent="0.2">
      <c r="A101" s="261"/>
      <c r="B101" s="261"/>
      <c r="C101" s="261"/>
      <c r="D101" s="261"/>
      <c r="E101" s="261"/>
      <c r="F101" s="261"/>
      <c r="G101" s="261"/>
      <c r="H101" s="261"/>
      <c r="I101" s="261"/>
      <c r="J101" s="261"/>
      <c r="K101" s="261"/>
      <c r="L101" s="261"/>
    </row>
    <row r="102" spans="1:12" x14ac:dyDescent="0.2">
      <c r="A102" s="261"/>
      <c r="B102" s="261"/>
      <c r="C102" s="261"/>
      <c r="D102" s="261"/>
      <c r="E102" s="261"/>
      <c r="F102" s="261"/>
      <c r="G102" s="261"/>
      <c r="H102" s="261"/>
      <c r="I102" s="261"/>
      <c r="J102" s="261"/>
      <c r="K102" s="261"/>
      <c r="L102" s="261"/>
    </row>
    <row r="103" spans="1:12" x14ac:dyDescent="0.2">
      <c r="A103" s="261"/>
      <c r="B103" s="261"/>
      <c r="C103" s="261"/>
      <c r="D103" s="261"/>
      <c r="E103" s="261"/>
      <c r="F103" s="261"/>
      <c r="G103" s="261"/>
      <c r="H103" s="261"/>
      <c r="I103" s="261"/>
      <c r="J103" s="261"/>
      <c r="K103" s="261"/>
      <c r="L103" s="261"/>
    </row>
    <row r="104" spans="1:12" x14ac:dyDescent="0.2">
      <c r="A104" s="261"/>
      <c r="B104" s="261"/>
      <c r="C104" s="261"/>
      <c r="D104" s="261"/>
      <c r="E104" s="261"/>
      <c r="F104" s="261"/>
      <c r="G104" s="261"/>
      <c r="H104" s="261"/>
      <c r="I104" s="261"/>
      <c r="J104" s="261"/>
      <c r="K104" s="261"/>
      <c r="L104" s="261"/>
    </row>
    <row r="105" spans="1:12" x14ac:dyDescent="0.2">
      <c r="A105" s="261"/>
      <c r="B105" s="261"/>
      <c r="C105" s="261"/>
      <c r="D105" s="261"/>
      <c r="E105" s="261"/>
      <c r="F105" s="261"/>
      <c r="G105" s="261"/>
      <c r="H105" s="261"/>
      <c r="I105" s="261"/>
      <c r="J105" s="261"/>
      <c r="K105" s="261"/>
      <c r="L105" s="261"/>
    </row>
    <row r="106" spans="1:12" x14ac:dyDescent="0.2">
      <c r="A106" s="261"/>
      <c r="B106" s="261"/>
      <c r="C106" s="261"/>
      <c r="D106" s="261"/>
      <c r="E106" s="261"/>
      <c r="F106" s="261"/>
      <c r="G106" s="261"/>
      <c r="H106" s="261"/>
      <c r="I106" s="261"/>
      <c r="J106" s="261"/>
      <c r="K106" s="261"/>
      <c r="L106" s="261"/>
    </row>
    <row r="107" spans="1:12" x14ac:dyDescent="0.2">
      <c r="A107" s="261"/>
      <c r="B107" s="261"/>
      <c r="C107" s="261"/>
      <c r="D107" s="261"/>
      <c r="E107" s="261"/>
      <c r="F107" s="261"/>
      <c r="G107" s="261"/>
      <c r="H107" s="261"/>
      <c r="I107" s="261"/>
      <c r="J107" s="261"/>
      <c r="K107" s="261"/>
      <c r="L107" s="261"/>
    </row>
    <row r="108" spans="1:12" x14ac:dyDescent="0.2">
      <c r="A108" s="261"/>
      <c r="B108" s="261"/>
      <c r="C108" s="261"/>
      <c r="D108" s="261"/>
      <c r="E108" s="261"/>
      <c r="F108" s="261"/>
      <c r="G108" s="261"/>
      <c r="H108" s="261"/>
      <c r="I108" s="261"/>
      <c r="J108" s="261"/>
      <c r="K108" s="261"/>
      <c r="L108" s="261"/>
    </row>
    <row r="109" spans="1:12" x14ac:dyDescent="0.2">
      <c r="A109" s="261"/>
      <c r="B109" s="261"/>
      <c r="C109" s="261"/>
      <c r="D109" s="261"/>
      <c r="E109" s="261"/>
      <c r="F109" s="261"/>
      <c r="G109" s="261"/>
      <c r="H109" s="261"/>
      <c r="I109" s="261"/>
      <c r="J109" s="261"/>
      <c r="K109" s="261"/>
      <c r="L109" s="261"/>
    </row>
    <row r="110" spans="1:12" x14ac:dyDescent="0.2">
      <c r="A110" s="261"/>
      <c r="B110" s="261"/>
      <c r="C110" s="261"/>
      <c r="D110" s="261"/>
      <c r="E110" s="261"/>
      <c r="F110" s="261"/>
      <c r="G110" s="261"/>
      <c r="H110" s="261"/>
      <c r="I110" s="261"/>
      <c r="J110" s="261"/>
      <c r="K110" s="261"/>
      <c r="L110" s="261"/>
    </row>
    <row r="111" spans="1:12" x14ac:dyDescent="0.2">
      <c r="A111" s="261"/>
      <c r="B111" s="261"/>
      <c r="C111" s="261"/>
      <c r="D111" s="261"/>
      <c r="E111" s="261"/>
      <c r="F111" s="261"/>
      <c r="G111" s="261"/>
      <c r="H111" s="261"/>
      <c r="I111" s="261"/>
      <c r="J111" s="261"/>
      <c r="K111" s="261"/>
      <c r="L111" s="261"/>
    </row>
    <row r="112" spans="1:12" x14ac:dyDescent="0.2">
      <c r="A112" s="261"/>
      <c r="B112" s="261"/>
      <c r="C112" s="261"/>
      <c r="D112" s="261"/>
      <c r="E112" s="261"/>
      <c r="F112" s="261"/>
      <c r="G112" s="261"/>
      <c r="H112" s="261"/>
      <c r="I112" s="261"/>
      <c r="J112" s="261"/>
      <c r="K112" s="261"/>
      <c r="L112" s="261"/>
    </row>
    <row r="113" spans="1:12" x14ac:dyDescent="0.2">
      <c r="A113" s="261"/>
      <c r="B113" s="261"/>
      <c r="C113" s="261"/>
      <c r="D113" s="261"/>
      <c r="E113" s="261"/>
      <c r="F113" s="261"/>
      <c r="G113" s="261"/>
      <c r="H113" s="261"/>
      <c r="I113" s="261"/>
      <c r="J113" s="261"/>
      <c r="K113" s="261"/>
      <c r="L113" s="261"/>
    </row>
    <row r="114" spans="1:12" x14ac:dyDescent="0.2">
      <c r="A114" s="261"/>
      <c r="B114" s="261"/>
      <c r="C114" s="261"/>
      <c r="D114" s="261"/>
      <c r="E114" s="261"/>
      <c r="F114" s="261"/>
      <c r="G114" s="261"/>
      <c r="H114" s="261"/>
      <c r="I114" s="261"/>
      <c r="J114" s="261"/>
      <c r="K114" s="261"/>
      <c r="L114" s="261"/>
    </row>
    <row r="115" spans="1:12" x14ac:dyDescent="0.2">
      <c r="A115" s="261"/>
      <c r="B115" s="261"/>
      <c r="C115" s="261"/>
      <c r="D115" s="261"/>
      <c r="E115" s="261"/>
      <c r="F115" s="261"/>
      <c r="G115" s="261"/>
      <c r="H115" s="261"/>
      <c r="I115" s="261"/>
      <c r="J115" s="261"/>
      <c r="K115" s="261"/>
      <c r="L115" s="261"/>
    </row>
    <row r="116" spans="1:12" x14ac:dyDescent="0.2">
      <c r="A116" s="261"/>
      <c r="B116" s="261"/>
      <c r="C116" s="261"/>
      <c r="D116" s="261"/>
      <c r="E116" s="261"/>
      <c r="F116" s="261"/>
      <c r="G116" s="261"/>
      <c r="H116" s="261"/>
      <c r="I116" s="261"/>
      <c r="J116" s="261"/>
      <c r="K116" s="261"/>
      <c r="L116" s="261"/>
    </row>
    <row r="117" spans="1:12" x14ac:dyDescent="0.2">
      <c r="A117" s="261"/>
      <c r="B117" s="261"/>
      <c r="C117" s="261"/>
      <c r="D117" s="261"/>
      <c r="E117" s="261"/>
      <c r="F117" s="261"/>
      <c r="G117" s="261"/>
      <c r="H117" s="261"/>
      <c r="I117" s="261"/>
      <c r="J117" s="261"/>
      <c r="K117" s="261"/>
      <c r="L117" s="261"/>
    </row>
    <row r="118" spans="1:12" x14ac:dyDescent="0.2">
      <c r="A118" s="261"/>
      <c r="B118" s="261"/>
      <c r="C118" s="261"/>
      <c r="D118" s="261"/>
      <c r="E118" s="261"/>
      <c r="F118" s="261"/>
      <c r="G118" s="261"/>
      <c r="H118" s="261"/>
      <c r="I118" s="261"/>
      <c r="J118" s="261"/>
      <c r="K118" s="261"/>
      <c r="L118" s="261"/>
    </row>
    <row r="119" spans="1:12" x14ac:dyDescent="0.2">
      <c r="A119" s="261"/>
      <c r="B119" s="261"/>
      <c r="C119" s="261"/>
      <c r="D119" s="261"/>
      <c r="E119" s="261"/>
      <c r="F119" s="261"/>
      <c r="G119" s="261"/>
      <c r="H119" s="261"/>
      <c r="I119" s="261"/>
      <c r="J119" s="261"/>
      <c r="K119" s="261"/>
      <c r="L119" s="261"/>
    </row>
    <row r="120" spans="1:12" x14ac:dyDescent="0.2">
      <c r="A120" s="261"/>
      <c r="B120" s="261"/>
      <c r="C120" s="261"/>
      <c r="D120" s="261"/>
      <c r="E120" s="261"/>
      <c r="F120" s="261"/>
      <c r="G120" s="261"/>
      <c r="H120" s="261"/>
      <c r="I120" s="261"/>
      <c r="J120" s="261"/>
      <c r="K120" s="261"/>
      <c r="L120" s="261"/>
    </row>
    <row r="121" spans="1:12" x14ac:dyDescent="0.2">
      <c r="A121" s="261"/>
      <c r="B121" s="261"/>
      <c r="C121" s="261"/>
      <c r="D121" s="261"/>
      <c r="E121" s="261"/>
      <c r="F121" s="261"/>
      <c r="G121" s="261"/>
      <c r="H121" s="261"/>
      <c r="I121" s="261"/>
      <c r="J121" s="261"/>
      <c r="K121" s="261"/>
      <c r="L121" s="261"/>
    </row>
    <row r="122" spans="1:12" x14ac:dyDescent="0.2">
      <c r="A122" s="261"/>
      <c r="B122" s="261"/>
      <c r="C122" s="261"/>
      <c r="D122" s="261"/>
      <c r="E122" s="261"/>
      <c r="F122" s="261"/>
      <c r="G122" s="261"/>
      <c r="H122" s="261"/>
      <c r="I122" s="261"/>
      <c r="J122" s="261"/>
      <c r="K122" s="261"/>
      <c r="L122" s="261"/>
    </row>
    <row r="123" spans="1:12" x14ac:dyDescent="0.2">
      <c r="A123" s="261"/>
      <c r="B123" s="261"/>
      <c r="C123" s="261"/>
      <c r="D123" s="261"/>
      <c r="E123" s="261"/>
      <c r="F123" s="261"/>
      <c r="G123" s="261"/>
      <c r="H123" s="261"/>
      <c r="I123" s="261"/>
      <c r="J123" s="261"/>
      <c r="K123" s="261"/>
      <c r="L123" s="261"/>
    </row>
    <row r="124" spans="1:12" x14ac:dyDescent="0.2">
      <c r="A124" s="261"/>
      <c r="B124" s="261"/>
      <c r="C124" s="261"/>
      <c r="D124" s="261"/>
      <c r="E124" s="261"/>
      <c r="F124" s="261"/>
      <c r="G124" s="261"/>
      <c r="H124" s="261"/>
      <c r="I124" s="261"/>
      <c r="J124" s="261"/>
      <c r="K124" s="261"/>
      <c r="L124" s="261"/>
    </row>
    <row r="125" spans="1:12" x14ac:dyDescent="0.2">
      <c r="A125" s="261"/>
      <c r="B125" s="261"/>
      <c r="C125" s="261"/>
      <c r="D125" s="261"/>
      <c r="E125" s="261"/>
      <c r="F125" s="261"/>
      <c r="G125" s="261"/>
      <c r="H125" s="261"/>
      <c r="I125" s="261"/>
      <c r="J125" s="261"/>
      <c r="K125" s="261"/>
      <c r="L125" s="261"/>
    </row>
    <row r="126" spans="1:12" x14ac:dyDescent="0.2">
      <c r="A126" s="261"/>
      <c r="B126" s="261"/>
      <c r="C126" s="261"/>
      <c r="D126" s="261"/>
      <c r="E126" s="261"/>
      <c r="F126" s="261"/>
      <c r="G126" s="261"/>
      <c r="H126" s="261"/>
      <c r="I126" s="261"/>
      <c r="J126" s="261"/>
      <c r="K126" s="261"/>
      <c r="L126" s="261"/>
    </row>
    <row r="127" spans="1:12" x14ac:dyDescent="0.2">
      <c r="A127" s="261"/>
      <c r="B127" s="261"/>
      <c r="C127" s="261"/>
      <c r="D127" s="261"/>
      <c r="E127" s="261"/>
      <c r="F127" s="261"/>
      <c r="G127" s="261"/>
      <c r="H127" s="261"/>
      <c r="I127" s="261"/>
      <c r="J127" s="261"/>
      <c r="K127" s="261"/>
      <c r="L127" s="261"/>
    </row>
    <row r="128" spans="1:12" x14ac:dyDescent="0.2">
      <c r="A128" s="261"/>
      <c r="B128" s="261"/>
      <c r="C128" s="261"/>
      <c r="D128" s="261"/>
      <c r="E128" s="261"/>
      <c r="F128" s="261"/>
      <c r="G128" s="261"/>
      <c r="H128" s="261"/>
      <c r="I128" s="261"/>
      <c r="J128" s="261"/>
      <c r="K128" s="261"/>
      <c r="L128" s="261"/>
    </row>
    <row r="129" spans="1:12" x14ac:dyDescent="0.2">
      <c r="A129" s="261"/>
      <c r="B129" s="261"/>
      <c r="C129" s="261"/>
      <c r="D129" s="261"/>
      <c r="E129" s="261"/>
      <c r="F129" s="261"/>
      <c r="G129" s="261"/>
      <c r="H129" s="261"/>
      <c r="I129" s="261"/>
      <c r="J129" s="261"/>
      <c r="K129" s="261"/>
      <c r="L129" s="261"/>
    </row>
    <row r="130" spans="1:12" x14ac:dyDescent="0.2">
      <c r="A130" s="261"/>
      <c r="B130" s="261"/>
      <c r="C130" s="261"/>
      <c r="D130" s="261"/>
      <c r="E130" s="261"/>
      <c r="F130" s="261"/>
      <c r="G130" s="261"/>
      <c r="H130" s="261"/>
      <c r="I130" s="261"/>
      <c r="J130" s="261"/>
      <c r="K130" s="261"/>
      <c r="L130" s="261"/>
    </row>
    <row r="131" spans="1:12" x14ac:dyDescent="0.2">
      <c r="A131" s="261"/>
      <c r="B131" s="261"/>
      <c r="C131" s="261"/>
      <c r="D131" s="261"/>
      <c r="E131" s="261"/>
      <c r="F131" s="261"/>
      <c r="G131" s="261"/>
      <c r="H131" s="261"/>
      <c r="I131" s="261"/>
      <c r="J131" s="261"/>
      <c r="K131" s="261"/>
      <c r="L131" s="261"/>
    </row>
    <row r="132" spans="1:12" x14ac:dyDescent="0.2">
      <c r="A132" s="261"/>
      <c r="B132" s="261"/>
      <c r="C132" s="261"/>
      <c r="D132" s="261"/>
      <c r="E132" s="261"/>
      <c r="F132" s="261"/>
      <c r="G132" s="261"/>
      <c r="H132" s="261"/>
      <c r="I132" s="261"/>
      <c r="J132" s="261"/>
      <c r="K132" s="261"/>
      <c r="L132" s="261"/>
    </row>
    <row r="133" spans="1:12" x14ac:dyDescent="0.2">
      <c r="A133" s="261"/>
      <c r="B133" s="261"/>
      <c r="C133" s="261"/>
      <c r="D133" s="261"/>
      <c r="E133" s="261"/>
      <c r="F133" s="261"/>
      <c r="G133" s="261"/>
      <c r="H133" s="261"/>
      <c r="I133" s="261"/>
      <c r="J133" s="261"/>
      <c r="K133" s="261"/>
      <c r="L133" s="261"/>
    </row>
    <row r="134" spans="1:12" x14ac:dyDescent="0.2">
      <c r="A134" s="261"/>
      <c r="B134" s="261"/>
      <c r="C134" s="261"/>
      <c r="D134" s="261"/>
      <c r="E134" s="261"/>
      <c r="F134" s="261"/>
      <c r="G134" s="261"/>
      <c r="H134" s="261"/>
      <c r="I134" s="261"/>
      <c r="J134" s="261"/>
      <c r="K134" s="261"/>
      <c r="L134" s="261"/>
    </row>
    <row r="135" spans="1:12" x14ac:dyDescent="0.2">
      <c r="A135" s="261"/>
      <c r="B135" s="261"/>
      <c r="C135" s="261"/>
      <c r="D135" s="261"/>
      <c r="E135" s="261"/>
      <c r="F135" s="261"/>
      <c r="G135" s="261"/>
      <c r="H135" s="261"/>
      <c r="I135" s="261"/>
      <c r="J135" s="261"/>
      <c r="K135" s="261"/>
      <c r="L135" s="261"/>
    </row>
    <row r="136" spans="1:12" x14ac:dyDescent="0.2">
      <c r="A136" s="261"/>
      <c r="B136" s="261"/>
      <c r="C136" s="261"/>
      <c r="D136" s="261"/>
      <c r="E136" s="261"/>
      <c r="F136" s="261"/>
      <c r="G136" s="261"/>
      <c r="H136" s="261"/>
      <c r="I136" s="261"/>
      <c r="J136" s="261"/>
      <c r="K136" s="261"/>
      <c r="L136" s="261"/>
    </row>
    <row r="137" spans="1:12" x14ac:dyDescent="0.2">
      <c r="A137" s="261"/>
      <c r="B137" s="261"/>
      <c r="C137" s="261"/>
      <c r="D137" s="261"/>
      <c r="E137" s="261"/>
      <c r="F137" s="261"/>
      <c r="G137" s="261"/>
      <c r="H137" s="261"/>
      <c r="I137" s="261"/>
      <c r="J137" s="261"/>
      <c r="K137" s="261"/>
      <c r="L137" s="261"/>
    </row>
    <row r="138" spans="1:12" x14ac:dyDescent="0.2">
      <c r="A138" s="261"/>
      <c r="B138" s="261"/>
      <c r="C138" s="261"/>
      <c r="D138" s="261"/>
      <c r="E138" s="261"/>
      <c r="F138" s="261"/>
      <c r="G138" s="261"/>
      <c r="H138" s="261"/>
      <c r="I138" s="261"/>
      <c r="J138" s="261"/>
      <c r="K138" s="261"/>
      <c r="L138" s="261"/>
    </row>
    <row r="139" spans="1:12" x14ac:dyDescent="0.2">
      <c r="A139" s="261"/>
      <c r="B139" s="261"/>
      <c r="C139" s="261"/>
      <c r="D139" s="261"/>
      <c r="E139" s="261"/>
      <c r="F139" s="261"/>
      <c r="G139" s="261"/>
      <c r="H139" s="261"/>
      <c r="I139" s="261"/>
      <c r="J139" s="261"/>
      <c r="K139" s="261"/>
      <c r="L139" s="261"/>
    </row>
    <row r="140" spans="1:12" x14ac:dyDescent="0.2">
      <c r="A140" s="261"/>
      <c r="B140" s="261"/>
      <c r="C140" s="261"/>
      <c r="D140" s="261"/>
      <c r="E140" s="261"/>
      <c r="F140" s="261"/>
      <c r="G140" s="261"/>
      <c r="H140" s="261"/>
      <c r="I140" s="261"/>
      <c r="J140" s="261"/>
      <c r="K140" s="261"/>
      <c r="L140" s="261"/>
    </row>
    <row r="141" spans="1:12" x14ac:dyDescent="0.2">
      <c r="A141" s="261"/>
      <c r="B141" s="261"/>
      <c r="C141" s="261"/>
      <c r="D141" s="261"/>
      <c r="E141" s="261"/>
      <c r="F141" s="261"/>
      <c r="G141" s="261"/>
      <c r="H141" s="261"/>
      <c r="I141" s="261"/>
      <c r="J141" s="261"/>
      <c r="K141" s="261"/>
      <c r="L141" s="261"/>
    </row>
    <row r="142" spans="1:12" x14ac:dyDescent="0.2">
      <c r="A142" s="261"/>
      <c r="B142" s="261"/>
      <c r="C142" s="261"/>
      <c r="D142" s="261"/>
      <c r="E142" s="261"/>
      <c r="F142" s="261"/>
      <c r="G142" s="261"/>
      <c r="H142" s="261"/>
      <c r="I142" s="261"/>
      <c r="J142" s="261"/>
      <c r="K142" s="261"/>
      <c r="L142" s="261"/>
    </row>
    <row r="143" spans="1:12" x14ac:dyDescent="0.2">
      <c r="A143" s="261"/>
      <c r="B143" s="261"/>
      <c r="C143" s="261"/>
      <c r="D143" s="261"/>
      <c r="E143" s="261"/>
      <c r="F143" s="261"/>
      <c r="G143" s="261"/>
      <c r="H143" s="261"/>
      <c r="I143" s="261"/>
      <c r="J143" s="261"/>
      <c r="K143" s="261"/>
      <c r="L143" s="261"/>
    </row>
    <row r="144" spans="1:12" x14ac:dyDescent="0.2">
      <c r="A144" s="261"/>
      <c r="B144" s="261"/>
      <c r="C144" s="261"/>
      <c r="D144" s="261"/>
      <c r="E144" s="261"/>
      <c r="F144" s="261"/>
      <c r="G144" s="261"/>
      <c r="H144" s="261"/>
      <c r="I144" s="261"/>
      <c r="J144" s="261"/>
      <c r="K144" s="261"/>
      <c r="L144" s="261"/>
    </row>
    <row r="145" spans="1:12" x14ac:dyDescent="0.2">
      <c r="A145" s="261"/>
      <c r="B145" s="261"/>
      <c r="C145" s="261"/>
      <c r="D145" s="261"/>
      <c r="E145" s="261"/>
      <c r="F145" s="261"/>
      <c r="G145" s="261"/>
      <c r="H145" s="261"/>
      <c r="I145" s="261"/>
      <c r="J145" s="261"/>
      <c r="K145" s="261"/>
      <c r="L145" s="261"/>
    </row>
    <row r="146" spans="1:12" x14ac:dyDescent="0.2">
      <c r="A146" s="261"/>
      <c r="B146" s="261"/>
      <c r="C146" s="261"/>
      <c r="D146" s="261"/>
      <c r="E146" s="261"/>
      <c r="F146" s="261"/>
      <c r="G146" s="261"/>
      <c r="H146" s="261"/>
      <c r="I146" s="261"/>
      <c r="J146" s="261"/>
      <c r="K146" s="261"/>
      <c r="L146" s="261"/>
    </row>
    <row r="147" spans="1:12" x14ac:dyDescent="0.2">
      <c r="A147" s="261"/>
      <c r="B147" s="261"/>
      <c r="C147" s="261"/>
      <c r="D147" s="261"/>
      <c r="E147" s="261"/>
      <c r="F147" s="261"/>
      <c r="G147" s="261"/>
      <c r="H147" s="261"/>
      <c r="I147" s="261"/>
      <c r="J147" s="261"/>
      <c r="K147" s="261"/>
      <c r="L147" s="261"/>
    </row>
    <row r="148" spans="1:12" x14ac:dyDescent="0.2">
      <c r="A148" s="261"/>
      <c r="B148" s="261"/>
      <c r="C148" s="261"/>
      <c r="D148" s="261"/>
      <c r="E148" s="261"/>
      <c r="F148" s="261"/>
      <c r="G148" s="261"/>
      <c r="H148" s="261"/>
      <c r="I148" s="261"/>
      <c r="J148" s="261"/>
      <c r="K148" s="261"/>
      <c r="L148" s="261"/>
    </row>
    <row r="149" spans="1:12" x14ac:dyDescent="0.2">
      <c r="A149" s="261"/>
      <c r="B149" s="261"/>
      <c r="C149" s="261"/>
      <c r="D149" s="261"/>
      <c r="E149" s="261"/>
      <c r="F149" s="261"/>
      <c r="G149" s="261"/>
      <c r="H149" s="261"/>
      <c r="I149" s="261"/>
      <c r="J149" s="261"/>
      <c r="K149" s="261"/>
      <c r="L149" s="261"/>
    </row>
    <row r="150" spans="1:12" x14ac:dyDescent="0.2">
      <c r="A150" s="261"/>
      <c r="B150" s="261"/>
      <c r="C150" s="261"/>
      <c r="D150" s="261"/>
      <c r="E150" s="261"/>
      <c r="F150" s="261"/>
      <c r="G150" s="261"/>
      <c r="H150" s="261"/>
      <c r="I150" s="261"/>
      <c r="J150" s="261"/>
      <c r="K150" s="261"/>
      <c r="L150" s="261"/>
    </row>
    <row r="151" spans="1:12" x14ac:dyDescent="0.2">
      <c r="A151" s="261"/>
      <c r="B151" s="261"/>
      <c r="C151" s="261"/>
      <c r="D151" s="261"/>
      <c r="E151" s="261"/>
      <c r="F151" s="261"/>
      <c r="G151" s="261"/>
      <c r="H151" s="261"/>
      <c r="I151" s="261"/>
      <c r="J151" s="261"/>
      <c r="K151" s="261"/>
      <c r="L151" s="261"/>
    </row>
    <row r="152" spans="1:12" x14ac:dyDescent="0.2">
      <c r="A152" s="261"/>
      <c r="B152" s="261"/>
      <c r="C152" s="261"/>
      <c r="D152" s="261"/>
      <c r="E152" s="261"/>
      <c r="F152" s="261"/>
      <c r="G152" s="261"/>
      <c r="H152" s="261"/>
      <c r="I152" s="261"/>
      <c r="J152" s="261"/>
      <c r="K152" s="261"/>
      <c r="L152" s="261"/>
    </row>
    <row r="153" spans="1:12" x14ac:dyDescent="0.2">
      <c r="A153" s="261"/>
      <c r="B153" s="261"/>
      <c r="C153" s="261"/>
      <c r="D153" s="261"/>
      <c r="E153" s="261"/>
      <c r="F153" s="261"/>
      <c r="G153" s="261"/>
      <c r="H153" s="261"/>
      <c r="I153" s="261"/>
      <c r="J153" s="261"/>
      <c r="K153" s="261"/>
      <c r="L153" s="261"/>
    </row>
    <row r="154" spans="1:12" x14ac:dyDescent="0.2">
      <c r="A154" s="261"/>
      <c r="B154" s="261"/>
      <c r="C154" s="261"/>
      <c r="D154" s="261"/>
      <c r="E154" s="261"/>
      <c r="F154" s="261"/>
      <c r="G154" s="261"/>
      <c r="H154" s="261"/>
      <c r="I154" s="261"/>
      <c r="J154" s="261"/>
      <c r="K154" s="261"/>
      <c r="L154" s="261"/>
    </row>
    <row r="155" spans="1:12" x14ac:dyDescent="0.2">
      <c r="A155" s="261"/>
      <c r="B155" s="261"/>
      <c r="C155" s="261"/>
      <c r="D155" s="261"/>
      <c r="E155" s="261"/>
      <c r="F155" s="261"/>
      <c r="G155" s="261"/>
      <c r="H155" s="261"/>
      <c r="I155" s="261"/>
      <c r="J155" s="261"/>
      <c r="K155" s="261"/>
      <c r="L155" s="261"/>
    </row>
    <row r="156" spans="1:12" x14ac:dyDescent="0.2">
      <c r="A156" s="261"/>
      <c r="B156" s="261"/>
      <c r="C156" s="261"/>
      <c r="D156" s="261"/>
      <c r="E156" s="261"/>
      <c r="F156" s="261"/>
      <c r="G156" s="261"/>
      <c r="H156" s="261"/>
      <c r="I156" s="261"/>
      <c r="J156" s="261"/>
      <c r="K156" s="261"/>
      <c r="L156" s="261"/>
    </row>
    <row r="157" spans="1:12" x14ac:dyDescent="0.2">
      <c r="A157" s="261"/>
      <c r="B157" s="261"/>
      <c r="C157" s="261"/>
      <c r="D157" s="261"/>
      <c r="E157" s="261"/>
      <c r="F157" s="261"/>
      <c r="G157" s="261"/>
      <c r="H157" s="261"/>
      <c r="I157" s="261"/>
      <c r="J157" s="261"/>
      <c r="K157" s="261"/>
      <c r="L157" s="261"/>
    </row>
    <row r="158" spans="1:12" x14ac:dyDescent="0.2">
      <c r="A158" s="261"/>
      <c r="B158" s="261"/>
      <c r="C158" s="261"/>
      <c r="D158" s="261"/>
      <c r="E158" s="261"/>
      <c r="F158" s="261"/>
      <c r="G158" s="261"/>
      <c r="H158" s="261"/>
      <c r="I158" s="261"/>
      <c r="J158" s="261"/>
      <c r="K158" s="261"/>
      <c r="L158" s="261"/>
    </row>
    <row r="159" spans="1:12" x14ac:dyDescent="0.2">
      <c r="A159" s="261"/>
      <c r="B159" s="261"/>
      <c r="C159" s="261"/>
      <c r="D159" s="261"/>
      <c r="E159" s="261"/>
      <c r="F159" s="261"/>
      <c r="G159" s="261"/>
      <c r="H159" s="261"/>
      <c r="I159" s="261"/>
      <c r="J159" s="261"/>
      <c r="K159" s="261"/>
      <c r="L159" s="261"/>
    </row>
    <row r="160" spans="1:12" x14ac:dyDescent="0.2">
      <c r="A160" s="261"/>
      <c r="B160" s="261"/>
      <c r="C160" s="261"/>
      <c r="D160" s="261"/>
      <c r="E160" s="261"/>
      <c r="F160" s="261"/>
      <c r="G160" s="261"/>
      <c r="H160" s="261"/>
      <c r="I160" s="261"/>
      <c r="J160" s="261"/>
      <c r="K160" s="261"/>
      <c r="L160" s="261"/>
    </row>
    <row r="161" spans="1:12" x14ac:dyDescent="0.2">
      <c r="A161" s="261"/>
      <c r="B161" s="261"/>
      <c r="C161" s="261"/>
      <c r="D161" s="261"/>
      <c r="E161" s="261"/>
      <c r="F161" s="261"/>
      <c r="G161" s="261"/>
      <c r="H161" s="261"/>
      <c r="I161" s="261"/>
      <c r="J161" s="261"/>
      <c r="K161" s="261"/>
      <c r="L161" s="261"/>
    </row>
    <row r="162" spans="1:12" x14ac:dyDescent="0.2">
      <c r="A162" s="261"/>
      <c r="B162" s="261"/>
      <c r="C162" s="261"/>
      <c r="D162" s="261"/>
      <c r="E162" s="261"/>
      <c r="F162" s="261"/>
      <c r="G162" s="261"/>
      <c r="H162" s="261"/>
      <c r="I162" s="261"/>
      <c r="J162" s="261"/>
      <c r="K162" s="261"/>
      <c r="L162" s="261"/>
    </row>
    <row r="163" spans="1:12" x14ac:dyDescent="0.2">
      <c r="A163" s="261"/>
      <c r="B163" s="261"/>
      <c r="C163" s="261"/>
      <c r="D163" s="261"/>
      <c r="E163" s="261"/>
      <c r="F163" s="261"/>
      <c r="G163" s="261"/>
      <c r="H163" s="261"/>
      <c r="I163" s="261"/>
      <c r="J163" s="261"/>
      <c r="K163" s="261"/>
      <c r="L163" s="261"/>
    </row>
    <row r="164" spans="1:12" x14ac:dyDescent="0.2">
      <c r="A164" s="261"/>
      <c r="B164" s="261"/>
      <c r="C164" s="261"/>
      <c r="D164" s="261"/>
      <c r="E164" s="261"/>
      <c r="F164" s="261"/>
      <c r="G164" s="261"/>
      <c r="H164" s="261"/>
      <c r="I164" s="261"/>
      <c r="J164" s="261"/>
      <c r="K164" s="261"/>
      <c r="L164" s="261"/>
    </row>
    <row r="165" spans="1:12" x14ac:dyDescent="0.2">
      <c r="A165" s="261"/>
      <c r="B165" s="261"/>
      <c r="C165" s="261"/>
      <c r="D165" s="261"/>
      <c r="E165" s="261"/>
      <c r="F165" s="261"/>
      <c r="G165" s="261"/>
      <c r="H165" s="261"/>
      <c r="I165" s="261"/>
      <c r="J165" s="261"/>
      <c r="K165" s="261"/>
      <c r="L165" s="261"/>
    </row>
    <row r="166" spans="1:12" x14ac:dyDescent="0.2">
      <c r="A166" s="261"/>
      <c r="B166" s="261"/>
      <c r="C166" s="261"/>
      <c r="D166" s="261"/>
      <c r="E166" s="261"/>
      <c r="F166" s="261"/>
      <c r="G166" s="261"/>
      <c r="H166" s="261"/>
      <c r="I166" s="261"/>
      <c r="J166" s="261"/>
      <c r="K166" s="261"/>
      <c r="L166" s="261"/>
    </row>
    <row r="167" spans="1:12" x14ac:dyDescent="0.2">
      <c r="A167" s="261"/>
      <c r="B167" s="261"/>
      <c r="C167" s="261"/>
      <c r="D167" s="261"/>
      <c r="E167" s="261"/>
      <c r="F167" s="261"/>
      <c r="G167" s="261"/>
      <c r="H167" s="261"/>
      <c r="I167" s="261"/>
      <c r="J167" s="261"/>
      <c r="K167" s="261"/>
      <c r="L167" s="261"/>
    </row>
    <row r="168" spans="1:12" x14ac:dyDescent="0.2">
      <c r="A168" s="261"/>
      <c r="B168" s="261"/>
      <c r="C168" s="261"/>
      <c r="D168" s="261"/>
      <c r="E168" s="261"/>
      <c r="F168" s="261"/>
      <c r="G168" s="261"/>
      <c r="H168" s="261"/>
      <c r="I168" s="261"/>
      <c r="J168" s="261"/>
      <c r="K168" s="261"/>
      <c r="L168" s="261"/>
    </row>
    <row r="169" spans="1:12" x14ac:dyDescent="0.2">
      <c r="A169" s="261"/>
      <c r="B169" s="261"/>
      <c r="C169" s="261"/>
      <c r="D169" s="261"/>
      <c r="E169" s="261"/>
      <c r="F169" s="261"/>
      <c r="G169" s="261"/>
      <c r="H169" s="261"/>
      <c r="I169" s="261"/>
      <c r="J169" s="261"/>
      <c r="K169" s="261"/>
      <c r="L169" s="261"/>
    </row>
    <row r="170" spans="1:12" x14ac:dyDescent="0.2">
      <c r="A170" s="261"/>
      <c r="B170" s="261"/>
      <c r="C170" s="261"/>
      <c r="D170" s="261"/>
      <c r="E170" s="261"/>
      <c r="F170" s="261"/>
      <c r="G170" s="261"/>
      <c r="H170" s="261"/>
      <c r="I170" s="261"/>
      <c r="J170" s="261"/>
      <c r="K170" s="261"/>
      <c r="L170" s="261"/>
    </row>
    <row r="171" spans="1:12" x14ac:dyDescent="0.2">
      <c r="A171" s="261"/>
      <c r="B171" s="261"/>
      <c r="C171" s="261"/>
      <c r="D171" s="261"/>
      <c r="E171" s="261"/>
      <c r="F171" s="261"/>
      <c r="G171" s="261"/>
      <c r="H171" s="261"/>
      <c r="I171" s="261"/>
      <c r="J171" s="261"/>
      <c r="K171" s="261"/>
      <c r="L171" s="261"/>
    </row>
    <row r="172" spans="1:12" x14ac:dyDescent="0.2">
      <c r="A172" s="261"/>
      <c r="B172" s="261"/>
      <c r="C172" s="261"/>
      <c r="D172" s="261"/>
      <c r="E172" s="261"/>
      <c r="F172" s="261"/>
      <c r="G172" s="261"/>
      <c r="H172" s="261"/>
      <c r="I172" s="261"/>
      <c r="J172" s="261"/>
      <c r="K172" s="261"/>
      <c r="L172" s="261"/>
    </row>
    <row r="173" spans="1:12" x14ac:dyDescent="0.2">
      <c r="A173" s="261"/>
      <c r="B173" s="261"/>
      <c r="C173" s="261"/>
      <c r="D173" s="261"/>
      <c r="E173" s="261"/>
      <c r="F173" s="261"/>
      <c r="G173" s="261"/>
      <c r="H173" s="261"/>
      <c r="I173" s="261"/>
      <c r="J173" s="261"/>
      <c r="K173" s="261"/>
      <c r="L173" s="261"/>
    </row>
    <row r="174" spans="1:12" x14ac:dyDescent="0.2">
      <c r="A174" s="261"/>
      <c r="B174" s="261"/>
      <c r="C174" s="261"/>
      <c r="D174" s="261"/>
      <c r="E174" s="261"/>
      <c r="F174" s="261"/>
      <c r="G174" s="261"/>
      <c r="H174" s="261"/>
      <c r="I174" s="261"/>
      <c r="J174" s="261"/>
      <c r="K174" s="261"/>
      <c r="L174" s="261"/>
    </row>
    <row r="175" spans="1:12" x14ac:dyDescent="0.2">
      <c r="A175" s="261"/>
      <c r="B175" s="261"/>
      <c r="C175" s="261"/>
      <c r="D175" s="261"/>
      <c r="E175" s="261"/>
      <c r="F175" s="261"/>
      <c r="G175" s="261"/>
      <c r="H175" s="261"/>
      <c r="I175" s="261"/>
      <c r="J175" s="261"/>
      <c r="K175" s="261"/>
      <c r="L175" s="261"/>
    </row>
    <row r="176" spans="1:12" x14ac:dyDescent="0.2">
      <c r="A176" s="261"/>
      <c r="B176" s="261"/>
      <c r="C176" s="261"/>
      <c r="D176" s="261"/>
      <c r="E176" s="261"/>
      <c r="F176" s="261"/>
      <c r="G176" s="261"/>
      <c r="H176" s="261"/>
      <c r="I176" s="261"/>
      <c r="J176" s="261"/>
      <c r="K176" s="261"/>
      <c r="L176" s="261"/>
    </row>
    <row r="177" spans="1:12" x14ac:dyDescent="0.2">
      <c r="A177" s="261"/>
      <c r="B177" s="261"/>
      <c r="C177" s="261"/>
      <c r="D177" s="261"/>
      <c r="E177" s="261"/>
      <c r="F177" s="261"/>
      <c r="G177" s="261"/>
      <c r="H177" s="261"/>
      <c r="I177" s="261"/>
      <c r="J177" s="261"/>
      <c r="K177" s="261"/>
      <c r="L177" s="261"/>
    </row>
    <row r="178" spans="1:12" x14ac:dyDescent="0.2">
      <c r="A178" s="261"/>
      <c r="B178" s="261"/>
      <c r="C178" s="261"/>
      <c r="D178" s="261"/>
      <c r="E178" s="261"/>
      <c r="F178" s="261"/>
      <c r="G178" s="261"/>
      <c r="H178" s="261"/>
      <c r="I178" s="261"/>
      <c r="J178" s="261"/>
      <c r="K178" s="261"/>
      <c r="L178" s="261"/>
    </row>
    <row r="179" spans="1:12" x14ac:dyDescent="0.2">
      <c r="A179" s="261"/>
      <c r="B179" s="261"/>
      <c r="C179" s="261"/>
      <c r="D179" s="261"/>
      <c r="E179" s="261"/>
      <c r="F179" s="261"/>
      <c r="G179" s="261"/>
      <c r="H179" s="261"/>
      <c r="I179" s="261"/>
      <c r="J179" s="261"/>
      <c r="K179" s="261"/>
      <c r="L179" s="261"/>
    </row>
    <row r="180" spans="1:12" x14ac:dyDescent="0.2">
      <c r="A180" s="261"/>
      <c r="B180" s="261"/>
      <c r="C180" s="261"/>
      <c r="D180" s="261"/>
      <c r="E180" s="261"/>
      <c r="F180" s="261"/>
      <c r="G180" s="261"/>
      <c r="H180" s="261"/>
      <c r="I180" s="261"/>
      <c r="J180" s="261"/>
      <c r="K180" s="261"/>
      <c r="L180" s="261"/>
    </row>
    <row r="181" spans="1:12" x14ac:dyDescent="0.2">
      <c r="A181" s="261"/>
      <c r="B181" s="261"/>
      <c r="C181" s="261"/>
      <c r="D181" s="261"/>
      <c r="E181" s="261"/>
      <c r="F181" s="261"/>
      <c r="G181" s="261"/>
      <c r="H181" s="261"/>
      <c r="I181" s="261"/>
      <c r="J181" s="261"/>
      <c r="K181" s="261"/>
      <c r="L181" s="261"/>
    </row>
    <row r="182" spans="1:12" x14ac:dyDescent="0.2">
      <c r="A182" s="261"/>
      <c r="B182" s="261"/>
      <c r="C182" s="261"/>
      <c r="D182" s="261"/>
      <c r="E182" s="261"/>
      <c r="F182" s="261"/>
      <c r="G182" s="261"/>
      <c r="H182" s="261"/>
      <c r="I182" s="261"/>
      <c r="J182" s="261"/>
      <c r="K182" s="261"/>
      <c r="L182" s="261"/>
    </row>
    <row r="183" spans="1:12" x14ac:dyDescent="0.2">
      <c r="A183" s="261"/>
      <c r="B183" s="261"/>
      <c r="C183" s="261"/>
      <c r="D183" s="261"/>
      <c r="E183" s="261"/>
      <c r="F183" s="261"/>
      <c r="G183" s="261"/>
      <c r="H183" s="261"/>
      <c r="I183" s="261"/>
      <c r="J183" s="261"/>
      <c r="K183" s="261"/>
      <c r="L183" s="261"/>
    </row>
    <row r="184" spans="1:12" x14ac:dyDescent="0.2">
      <c r="A184" s="261"/>
      <c r="B184" s="261"/>
      <c r="C184" s="261"/>
      <c r="D184" s="261"/>
      <c r="E184" s="261"/>
      <c r="F184" s="261"/>
      <c r="G184" s="261"/>
      <c r="H184" s="261"/>
      <c r="I184" s="261"/>
      <c r="J184" s="261"/>
      <c r="K184" s="261"/>
      <c r="L184" s="261"/>
    </row>
    <row r="185" spans="1:12" x14ac:dyDescent="0.2">
      <c r="A185" s="261"/>
      <c r="B185" s="261"/>
      <c r="C185" s="261"/>
      <c r="D185" s="261"/>
      <c r="E185" s="261"/>
      <c r="F185" s="261"/>
      <c r="G185" s="261"/>
      <c r="H185" s="261"/>
      <c r="I185" s="261"/>
      <c r="J185" s="261"/>
      <c r="K185" s="261"/>
      <c r="L185" s="261"/>
    </row>
    <row r="186" spans="1:12" x14ac:dyDescent="0.2">
      <c r="A186" s="261"/>
      <c r="B186" s="261"/>
      <c r="C186" s="261"/>
      <c r="D186" s="261"/>
      <c r="E186" s="261"/>
      <c r="F186" s="261"/>
      <c r="G186" s="261"/>
      <c r="H186" s="261"/>
      <c r="I186" s="261"/>
      <c r="J186" s="261"/>
      <c r="K186" s="261"/>
      <c r="L186" s="261"/>
    </row>
    <row r="187" spans="1:12" x14ac:dyDescent="0.2">
      <c r="A187" s="261"/>
      <c r="B187" s="261"/>
      <c r="C187" s="261"/>
      <c r="D187" s="261"/>
      <c r="E187" s="261"/>
      <c r="F187" s="261"/>
      <c r="G187" s="261"/>
      <c r="H187" s="261"/>
      <c r="I187" s="261"/>
      <c r="J187" s="261"/>
      <c r="K187" s="261"/>
      <c r="L187" s="261"/>
    </row>
    <row r="188" spans="1:12" x14ac:dyDescent="0.2">
      <c r="A188" s="261"/>
      <c r="B188" s="261"/>
      <c r="C188" s="261"/>
      <c r="D188" s="261"/>
      <c r="E188" s="261"/>
      <c r="F188" s="261"/>
      <c r="G188" s="261"/>
      <c r="H188" s="261"/>
      <c r="I188" s="261"/>
      <c r="J188" s="261"/>
      <c r="K188" s="261"/>
      <c r="L188" s="261"/>
    </row>
    <row r="189" spans="1:12" x14ac:dyDescent="0.2">
      <c r="A189" s="261"/>
      <c r="B189" s="261"/>
      <c r="C189" s="261"/>
      <c r="D189" s="261"/>
      <c r="E189" s="261"/>
      <c r="F189" s="261"/>
      <c r="G189" s="261"/>
      <c r="H189" s="261"/>
      <c r="I189" s="261"/>
      <c r="J189" s="261"/>
      <c r="K189" s="261"/>
      <c r="L189" s="261"/>
    </row>
    <row r="190" spans="1:12" x14ac:dyDescent="0.2">
      <c r="A190" s="261"/>
      <c r="B190" s="261"/>
      <c r="C190" s="261"/>
      <c r="D190" s="261"/>
      <c r="E190" s="261"/>
      <c r="F190" s="261"/>
      <c r="G190" s="261"/>
      <c r="H190" s="261"/>
      <c r="I190" s="261"/>
      <c r="J190" s="261"/>
      <c r="K190" s="261"/>
      <c r="L190" s="261"/>
    </row>
    <row r="191" spans="1:12" x14ac:dyDescent="0.2">
      <c r="A191" s="261"/>
      <c r="B191" s="261"/>
      <c r="C191" s="261"/>
      <c r="D191" s="261"/>
      <c r="E191" s="261"/>
      <c r="F191" s="261"/>
      <c r="G191" s="261"/>
      <c r="H191" s="261"/>
      <c r="I191" s="261"/>
      <c r="J191" s="261"/>
      <c r="K191" s="261"/>
      <c r="L191" s="261"/>
    </row>
    <row r="192" spans="1:12" x14ac:dyDescent="0.2">
      <c r="A192" s="261"/>
      <c r="B192" s="261"/>
      <c r="C192" s="261"/>
      <c r="D192" s="261"/>
      <c r="E192" s="261"/>
      <c r="F192" s="261"/>
      <c r="G192" s="261"/>
      <c r="H192" s="261"/>
      <c r="I192" s="261"/>
      <c r="J192" s="261"/>
      <c r="K192" s="261"/>
      <c r="L192" s="261"/>
    </row>
    <row r="193" spans="1:12" x14ac:dyDescent="0.2">
      <c r="A193" s="261"/>
      <c r="B193" s="261"/>
      <c r="C193" s="261"/>
      <c r="D193" s="261"/>
      <c r="E193" s="261"/>
      <c r="F193" s="261"/>
      <c r="G193" s="261"/>
      <c r="H193" s="261"/>
      <c r="I193" s="261"/>
      <c r="J193" s="261"/>
      <c r="K193" s="261"/>
      <c r="L193" s="261"/>
    </row>
    <row r="194" spans="1:12" x14ac:dyDescent="0.2">
      <c r="A194" s="261"/>
      <c r="B194" s="261"/>
      <c r="C194" s="261"/>
      <c r="D194" s="261"/>
      <c r="E194" s="261"/>
      <c r="F194" s="261"/>
      <c r="G194" s="261"/>
      <c r="H194" s="261"/>
      <c r="I194" s="261"/>
      <c r="J194" s="261"/>
      <c r="K194" s="261"/>
      <c r="L194" s="261"/>
    </row>
    <row r="195" spans="1:12" x14ac:dyDescent="0.2">
      <c r="A195" s="261"/>
      <c r="B195" s="261"/>
      <c r="C195" s="261"/>
      <c r="D195" s="261"/>
      <c r="E195" s="261"/>
      <c r="F195" s="261"/>
      <c r="G195" s="261"/>
      <c r="H195" s="261"/>
      <c r="I195" s="261"/>
      <c r="J195" s="261"/>
      <c r="K195" s="261"/>
      <c r="L195" s="261"/>
    </row>
    <row r="196" spans="1:12" x14ac:dyDescent="0.2">
      <c r="A196" s="261"/>
      <c r="B196" s="261"/>
      <c r="C196" s="261"/>
      <c r="D196" s="261"/>
      <c r="E196" s="261"/>
      <c r="F196" s="261"/>
      <c r="G196" s="261"/>
      <c r="H196" s="261"/>
      <c r="I196" s="261"/>
      <c r="J196" s="261"/>
      <c r="K196" s="261"/>
      <c r="L196" s="261"/>
    </row>
    <row r="197" spans="1:12" x14ac:dyDescent="0.2">
      <c r="A197" s="261"/>
      <c r="B197" s="261"/>
      <c r="C197" s="261"/>
      <c r="D197" s="261"/>
      <c r="E197" s="261"/>
      <c r="F197" s="261"/>
      <c r="G197" s="261"/>
      <c r="H197" s="261"/>
      <c r="I197" s="261"/>
      <c r="J197" s="261"/>
      <c r="K197" s="261"/>
      <c r="L197" s="261"/>
    </row>
    <row r="198" spans="1:12" x14ac:dyDescent="0.2">
      <c r="A198" s="261"/>
      <c r="B198" s="261"/>
      <c r="C198" s="261"/>
      <c r="D198" s="261"/>
      <c r="E198" s="261"/>
      <c r="F198" s="261"/>
      <c r="G198" s="261"/>
      <c r="H198" s="261"/>
      <c r="I198" s="261"/>
      <c r="J198" s="261"/>
      <c r="K198" s="261"/>
      <c r="L198" s="261"/>
    </row>
    <row r="199" spans="1:12" x14ac:dyDescent="0.2">
      <c r="A199" s="261"/>
      <c r="B199" s="261"/>
      <c r="C199" s="261"/>
      <c r="D199" s="261"/>
      <c r="E199" s="261"/>
      <c r="F199" s="261"/>
      <c r="G199" s="261"/>
      <c r="H199" s="261"/>
      <c r="I199" s="261"/>
      <c r="J199" s="261"/>
      <c r="K199" s="261"/>
      <c r="L199" s="261"/>
    </row>
    <row r="200" spans="1:12" x14ac:dyDescent="0.2">
      <c r="A200" s="261"/>
      <c r="B200" s="261"/>
      <c r="C200" s="261"/>
      <c r="D200" s="261"/>
      <c r="E200" s="261"/>
      <c r="F200" s="261"/>
      <c r="G200" s="261"/>
      <c r="H200" s="261"/>
      <c r="I200" s="261"/>
      <c r="J200" s="261"/>
      <c r="K200" s="261"/>
      <c r="L200" s="261"/>
    </row>
    <row r="201" spans="1:12" x14ac:dyDescent="0.2">
      <c r="A201" s="261"/>
      <c r="B201" s="261"/>
      <c r="C201" s="261"/>
      <c r="D201" s="261"/>
      <c r="E201" s="261"/>
      <c r="F201" s="261"/>
      <c r="G201" s="261"/>
      <c r="H201" s="261"/>
      <c r="I201" s="261"/>
      <c r="J201" s="261"/>
      <c r="K201" s="261"/>
      <c r="L201" s="261"/>
    </row>
    <row r="202" spans="1:12" x14ac:dyDescent="0.2">
      <c r="A202" s="261"/>
      <c r="B202" s="261"/>
      <c r="C202" s="261"/>
      <c r="D202" s="261"/>
      <c r="E202" s="261"/>
      <c r="F202" s="261"/>
      <c r="G202" s="261"/>
      <c r="H202" s="261"/>
      <c r="I202" s="261"/>
      <c r="J202" s="261"/>
      <c r="K202" s="261"/>
      <c r="L202" s="261"/>
    </row>
    <row r="203" spans="1:12" x14ac:dyDescent="0.2">
      <c r="A203" s="261"/>
      <c r="B203" s="261"/>
      <c r="C203" s="261"/>
      <c r="D203" s="261"/>
      <c r="E203" s="261"/>
      <c r="F203" s="261"/>
      <c r="G203" s="261"/>
      <c r="H203" s="261"/>
      <c r="I203" s="261"/>
      <c r="J203" s="261"/>
      <c r="K203" s="261"/>
      <c r="L203" s="261"/>
    </row>
    <row r="204" spans="1:12" x14ac:dyDescent="0.2">
      <c r="A204" s="261"/>
      <c r="B204" s="261"/>
      <c r="C204" s="261"/>
      <c r="D204" s="261"/>
      <c r="E204" s="261"/>
      <c r="F204" s="261"/>
      <c r="G204" s="261"/>
      <c r="H204" s="261"/>
      <c r="I204" s="261"/>
      <c r="J204" s="261"/>
      <c r="K204" s="261"/>
      <c r="L204" s="261"/>
    </row>
    <row r="205" spans="1:12" x14ac:dyDescent="0.2">
      <c r="A205" s="261"/>
      <c r="B205" s="261"/>
      <c r="C205" s="261"/>
      <c r="D205" s="261"/>
      <c r="E205" s="261"/>
      <c r="F205" s="261"/>
      <c r="G205" s="261"/>
      <c r="H205" s="261"/>
      <c r="I205" s="261"/>
      <c r="J205" s="261"/>
      <c r="K205" s="261"/>
      <c r="L205" s="261"/>
    </row>
    <row r="206" spans="1:12" x14ac:dyDescent="0.2">
      <c r="A206" s="261"/>
      <c r="B206" s="261"/>
      <c r="C206" s="261"/>
      <c r="D206" s="261"/>
      <c r="E206" s="261"/>
      <c r="F206" s="261"/>
      <c r="G206" s="261"/>
      <c r="H206" s="261"/>
      <c r="I206" s="261"/>
      <c r="J206" s="261"/>
      <c r="K206" s="261"/>
      <c r="L206" s="261"/>
    </row>
    <row r="207" spans="1:12" x14ac:dyDescent="0.2">
      <c r="A207" s="261"/>
      <c r="B207" s="261"/>
      <c r="C207" s="261"/>
      <c r="D207" s="261"/>
      <c r="E207" s="261"/>
      <c r="F207" s="261"/>
      <c r="G207" s="261"/>
      <c r="H207" s="261"/>
      <c r="I207" s="261"/>
      <c r="J207" s="261"/>
      <c r="K207" s="261"/>
      <c r="L207" s="261"/>
    </row>
    <row r="208" spans="1:12" x14ac:dyDescent="0.2">
      <c r="A208" s="261"/>
      <c r="B208" s="261"/>
      <c r="C208" s="261"/>
      <c r="D208" s="261"/>
      <c r="E208" s="261"/>
      <c r="F208" s="261"/>
      <c r="G208" s="261"/>
      <c r="H208" s="261"/>
      <c r="I208" s="261"/>
      <c r="J208" s="261"/>
      <c r="K208" s="261"/>
      <c r="L208" s="261"/>
    </row>
    <row r="209" spans="1:12" x14ac:dyDescent="0.2">
      <c r="A209" s="261"/>
      <c r="B209" s="261"/>
      <c r="C209" s="261"/>
      <c r="D209" s="261"/>
      <c r="E209" s="261"/>
      <c r="F209" s="261"/>
      <c r="G209" s="261"/>
      <c r="H209" s="261"/>
      <c r="I209" s="261"/>
      <c r="J209" s="261"/>
      <c r="K209" s="261"/>
      <c r="L209" s="261"/>
    </row>
    <row r="210" spans="1:12" x14ac:dyDescent="0.2">
      <c r="A210" s="261"/>
      <c r="B210" s="261"/>
      <c r="C210" s="261"/>
      <c r="D210" s="261"/>
      <c r="E210" s="261"/>
      <c r="F210" s="261"/>
      <c r="G210" s="261"/>
      <c r="H210" s="261"/>
      <c r="I210" s="261"/>
      <c r="J210" s="261"/>
      <c r="K210" s="261"/>
      <c r="L210" s="261"/>
    </row>
    <row r="211" spans="1:12" x14ac:dyDescent="0.2">
      <c r="A211" s="261"/>
      <c r="B211" s="261"/>
      <c r="C211" s="261"/>
      <c r="D211" s="261"/>
      <c r="E211" s="261"/>
      <c r="F211" s="261"/>
      <c r="G211" s="261"/>
      <c r="H211" s="261"/>
      <c r="I211" s="261"/>
      <c r="J211" s="261"/>
      <c r="K211" s="261"/>
      <c r="L211" s="261"/>
    </row>
    <row r="212" spans="1:12" x14ac:dyDescent="0.2">
      <c r="A212" s="261"/>
      <c r="B212" s="261"/>
      <c r="C212" s="261"/>
      <c r="D212" s="261"/>
      <c r="E212" s="261"/>
      <c r="F212" s="261"/>
      <c r="G212" s="261"/>
      <c r="H212" s="261"/>
      <c r="I212" s="261"/>
      <c r="J212" s="261"/>
      <c r="K212" s="261"/>
      <c r="L212" s="261"/>
    </row>
    <row r="213" spans="1:12" x14ac:dyDescent="0.2">
      <c r="A213" s="261"/>
      <c r="B213" s="261"/>
      <c r="C213" s="261"/>
      <c r="D213" s="261"/>
      <c r="E213" s="261"/>
      <c r="F213" s="261"/>
      <c r="G213" s="261"/>
      <c r="H213" s="261"/>
      <c r="I213" s="261"/>
      <c r="J213" s="261"/>
      <c r="K213" s="261"/>
      <c r="L213" s="261"/>
    </row>
    <row r="214" spans="1:12" x14ac:dyDescent="0.2">
      <c r="A214" s="261"/>
      <c r="B214" s="261"/>
      <c r="C214" s="261"/>
      <c r="D214" s="261"/>
      <c r="E214" s="261"/>
      <c r="F214" s="261"/>
      <c r="G214" s="261"/>
      <c r="H214" s="261"/>
      <c r="I214" s="261"/>
      <c r="J214" s="261"/>
      <c r="K214" s="261"/>
      <c r="L214" s="261"/>
    </row>
    <row r="215" spans="1:12" x14ac:dyDescent="0.2">
      <c r="A215" s="261"/>
      <c r="B215" s="261"/>
      <c r="C215" s="261"/>
      <c r="D215" s="261"/>
      <c r="E215" s="261"/>
      <c r="F215" s="261"/>
      <c r="G215" s="261"/>
      <c r="H215" s="261"/>
      <c r="I215" s="261"/>
      <c r="J215" s="261"/>
      <c r="K215" s="261"/>
      <c r="L215" s="261"/>
    </row>
    <row r="216" spans="1:12" x14ac:dyDescent="0.2">
      <c r="A216" s="261"/>
      <c r="B216" s="261"/>
      <c r="C216" s="261"/>
      <c r="D216" s="261"/>
      <c r="E216" s="261"/>
      <c r="F216" s="261"/>
      <c r="G216" s="261"/>
      <c r="H216" s="261"/>
      <c r="I216" s="261"/>
      <c r="J216" s="261"/>
      <c r="K216" s="261"/>
      <c r="L216" s="261"/>
    </row>
    <row r="217" spans="1:12" x14ac:dyDescent="0.2">
      <c r="A217" s="261"/>
      <c r="B217" s="261"/>
      <c r="C217" s="261"/>
      <c r="D217" s="261"/>
      <c r="E217" s="261"/>
      <c r="F217" s="261"/>
      <c r="G217" s="261"/>
      <c r="H217" s="261"/>
      <c r="I217" s="261"/>
      <c r="J217" s="261"/>
      <c r="K217" s="261"/>
      <c r="L217" s="261"/>
    </row>
    <row r="218" spans="1:12" x14ac:dyDescent="0.2">
      <c r="A218" s="261"/>
      <c r="B218" s="261"/>
      <c r="C218" s="261"/>
      <c r="D218" s="261"/>
      <c r="E218" s="261"/>
      <c r="F218" s="261"/>
      <c r="G218" s="261"/>
      <c r="H218" s="261"/>
      <c r="I218" s="261"/>
      <c r="J218" s="261"/>
      <c r="K218" s="261"/>
      <c r="L218" s="261"/>
    </row>
    <row r="219" spans="1:12" x14ac:dyDescent="0.2">
      <c r="A219" s="261"/>
      <c r="B219" s="261"/>
      <c r="C219" s="261"/>
      <c r="D219" s="261"/>
      <c r="E219" s="261"/>
      <c r="F219" s="261"/>
      <c r="G219" s="261"/>
      <c r="H219" s="261"/>
      <c r="I219" s="261"/>
      <c r="J219" s="261"/>
      <c r="K219" s="261"/>
      <c r="L219" s="261"/>
    </row>
    <row r="220" spans="1:12" x14ac:dyDescent="0.2">
      <c r="A220" s="261"/>
      <c r="B220" s="261"/>
      <c r="C220" s="261"/>
      <c r="D220" s="261"/>
      <c r="E220" s="261"/>
      <c r="F220" s="261"/>
      <c r="G220" s="261"/>
      <c r="H220" s="261"/>
      <c r="I220" s="261"/>
      <c r="J220" s="261"/>
      <c r="K220" s="261"/>
      <c r="L220" s="261"/>
    </row>
    <row r="221" spans="1:12" x14ac:dyDescent="0.2">
      <c r="A221" s="261"/>
      <c r="B221" s="261"/>
      <c r="C221" s="261"/>
      <c r="D221" s="261"/>
      <c r="E221" s="261"/>
      <c r="F221" s="261"/>
      <c r="G221" s="261"/>
      <c r="H221" s="261"/>
      <c r="I221" s="261"/>
      <c r="J221" s="261"/>
      <c r="K221" s="261"/>
      <c r="L221" s="261"/>
    </row>
    <row r="222" spans="1:12" x14ac:dyDescent="0.2">
      <c r="A222" s="261"/>
      <c r="B222" s="261"/>
      <c r="C222" s="261"/>
      <c r="D222" s="261"/>
      <c r="E222" s="261"/>
      <c r="F222" s="261"/>
      <c r="G222" s="261"/>
      <c r="H222" s="261"/>
      <c r="I222" s="261"/>
      <c r="J222" s="261"/>
      <c r="K222" s="261"/>
      <c r="L222" s="261"/>
    </row>
    <row r="223" spans="1:12" x14ac:dyDescent="0.2">
      <c r="A223" s="261"/>
      <c r="B223" s="261"/>
      <c r="C223" s="261"/>
      <c r="D223" s="261"/>
      <c r="E223" s="261"/>
      <c r="F223" s="261"/>
      <c r="G223" s="261"/>
      <c r="H223" s="261"/>
      <c r="I223" s="261"/>
      <c r="J223" s="261"/>
      <c r="K223" s="261"/>
      <c r="L223" s="261"/>
    </row>
    <row r="224" spans="1:12" x14ac:dyDescent="0.2">
      <c r="A224" s="261"/>
      <c r="B224" s="261"/>
      <c r="C224" s="261"/>
      <c r="D224" s="261"/>
      <c r="E224" s="261"/>
      <c r="F224" s="261"/>
      <c r="G224" s="261"/>
      <c r="H224" s="261"/>
      <c r="I224" s="261"/>
      <c r="J224" s="261"/>
      <c r="K224" s="261"/>
      <c r="L224" s="261"/>
    </row>
    <row r="225" spans="1:12" x14ac:dyDescent="0.2">
      <c r="A225" s="261"/>
      <c r="B225" s="261"/>
      <c r="C225" s="261"/>
      <c r="D225" s="261"/>
      <c r="E225" s="261"/>
      <c r="F225" s="261"/>
      <c r="G225" s="261"/>
      <c r="H225" s="261"/>
      <c r="I225" s="261"/>
      <c r="J225" s="261"/>
      <c r="K225" s="261"/>
      <c r="L225" s="261"/>
    </row>
    <row r="226" spans="1:12" x14ac:dyDescent="0.2">
      <c r="A226" s="261"/>
      <c r="B226" s="261"/>
      <c r="C226" s="261"/>
      <c r="D226" s="261"/>
      <c r="E226" s="261"/>
      <c r="F226" s="261"/>
      <c r="G226" s="261"/>
      <c r="H226" s="261"/>
      <c r="I226" s="261"/>
      <c r="J226" s="261"/>
      <c r="K226" s="261"/>
      <c r="L226" s="261"/>
    </row>
    <row r="227" spans="1:12" x14ac:dyDescent="0.2">
      <c r="A227" s="261"/>
      <c r="B227" s="261"/>
      <c r="C227" s="261"/>
      <c r="D227" s="261"/>
      <c r="E227" s="261"/>
      <c r="F227" s="261"/>
      <c r="G227" s="261"/>
      <c r="H227" s="261"/>
      <c r="I227" s="261"/>
      <c r="J227" s="261"/>
      <c r="K227" s="261"/>
      <c r="L227" s="261"/>
    </row>
    <row r="228" spans="1:12" x14ac:dyDescent="0.2">
      <c r="A228" s="261"/>
      <c r="B228" s="261"/>
      <c r="C228" s="261"/>
      <c r="D228" s="261"/>
      <c r="E228" s="261"/>
      <c r="F228" s="261"/>
      <c r="G228" s="261"/>
      <c r="H228" s="261"/>
      <c r="I228" s="261"/>
      <c r="J228" s="261"/>
      <c r="K228" s="261"/>
      <c r="L228" s="261"/>
    </row>
    <row r="229" spans="1:12" x14ac:dyDescent="0.2">
      <c r="A229" s="261"/>
      <c r="B229" s="261"/>
      <c r="C229" s="261"/>
      <c r="D229" s="261"/>
      <c r="E229" s="261"/>
      <c r="F229" s="261"/>
      <c r="G229" s="261"/>
      <c r="H229" s="261"/>
      <c r="I229" s="261"/>
      <c r="J229" s="261"/>
      <c r="K229" s="261"/>
      <c r="L229" s="261"/>
    </row>
    <row r="230" spans="1:12" x14ac:dyDescent="0.2">
      <c r="A230" s="261"/>
      <c r="B230" s="261"/>
      <c r="C230" s="261"/>
      <c r="D230" s="261"/>
      <c r="E230" s="261"/>
      <c r="F230" s="261"/>
      <c r="G230" s="261"/>
      <c r="H230" s="261"/>
      <c r="I230" s="261"/>
      <c r="J230" s="261"/>
      <c r="K230" s="261"/>
      <c r="L230" s="261"/>
    </row>
    <row r="231" spans="1:12" x14ac:dyDescent="0.2">
      <c r="A231" s="261"/>
      <c r="B231" s="261"/>
      <c r="C231" s="261"/>
      <c r="D231" s="261"/>
      <c r="E231" s="261"/>
      <c r="F231" s="261"/>
      <c r="G231" s="261"/>
      <c r="H231" s="261"/>
      <c r="I231" s="261"/>
      <c r="J231" s="261"/>
      <c r="K231" s="261"/>
      <c r="L231" s="261"/>
    </row>
    <row r="232" spans="1:12" x14ac:dyDescent="0.2">
      <c r="A232" s="261"/>
      <c r="B232" s="261"/>
      <c r="C232" s="261"/>
      <c r="D232" s="261"/>
      <c r="E232" s="261"/>
      <c r="F232" s="261"/>
      <c r="G232" s="261"/>
      <c r="H232" s="261"/>
      <c r="I232" s="261"/>
      <c r="J232" s="261"/>
      <c r="K232" s="261"/>
      <c r="L232" s="261"/>
    </row>
    <row r="233" spans="1:12" x14ac:dyDescent="0.2">
      <c r="A233" s="261"/>
      <c r="B233" s="261"/>
      <c r="C233" s="261"/>
      <c r="D233" s="261"/>
      <c r="E233" s="261"/>
      <c r="F233" s="261"/>
      <c r="G233" s="261"/>
      <c r="H233" s="261"/>
      <c r="I233" s="261"/>
      <c r="J233" s="261"/>
      <c r="K233" s="261"/>
      <c r="L233" s="261"/>
    </row>
    <row r="234" spans="1:12" x14ac:dyDescent="0.2">
      <c r="A234" s="261"/>
      <c r="B234" s="261"/>
      <c r="C234" s="261"/>
      <c r="D234" s="261"/>
      <c r="E234" s="261"/>
      <c r="F234" s="261"/>
      <c r="G234" s="261"/>
      <c r="H234" s="261"/>
      <c r="I234" s="261"/>
      <c r="J234" s="261"/>
      <c r="K234" s="261"/>
      <c r="L234" s="261"/>
    </row>
    <row r="235" spans="1:12" x14ac:dyDescent="0.2">
      <c r="A235" s="261"/>
      <c r="B235" s="261"/>
      <c r="C235" s="261"/>
      <c r="D235" s="261"/>
      <c r="E235" s="261"/>
      <c r="F235" s="261"/>
      <c r="G235" s="261"/>
      <c r="H235" s="261"/>
      <c r="I235" s="261"/>
      <c r="J235" s="261"/>
      <c r="K235" s="261"/>
      <c r="L235" s="261"/>
    </row>
    <row r="236" spans="1:12" x14ac:dyDescent="0.2">
      <c r="A236" s="261"/>
      <c r="B236" s="261"/>
      <c r="C236" s="261"/>
      <c r="D236" s="261"/>
      <c r="E236" s="261"/>
      <c r="F236" s="261"/>
      <c r="G236" s="261"/>
      <c r="H236" s="261"/>
      <c r="I236" s="261"/>
      <c r="J236" s="261"/>
      <c r="K236" s="261"/>
      <c r="L236" s="261"/>
    </row>
    <row r="237" spans="1:12" x14ac:dyDescent="0.2">
      <c r="A237" s="261"/>
      <c r="B237" s="261"/>
      <c r="C237" s="261"/>
      <c r="D237" s="261"/>
      <c r="E237" s="261"/>
      <c r="F237" s="261"/>
      <c r="G237" s="261"/>
      <c r="H237" s="261"/>
      <c r="I237" s="261"/>
      <c r="J237" s="261"/>
      <c r="K237" s="261"/>
      <c r="L237" s="261"/>
    </row>
    <row r="238" spans="1:12" x14ac:dyDescent="0.2">
      <c r="A238" s="261"/>
      <c r="B238" s="261"/>
      <c r="C238" s="261"/>
      <c r="D238" s="261"/>
      <c r="E238" s="261"/>
      <c r="F238" s="261"/>
      <c r="G238" s="261"/>
      <c r="H238" s="261"/>
      <c r="I238" s="261"/>
      <c r="J238" s="261"/>
      <c r="K238" s="261"/>
      <c r="L238" s="261"/>
    </row>
    <row r="239" spans="1:12" x14ac:dyDescent="0.2">
      <c r="A239" s="261"/>
      <c r="B239" s="261"/>
      <c r="C239" s="261"/>
      <c r="D239" s="261"/>
      <c r="E239" s="261"/>
      <c r="F239" s="261"/>
      <c r="G239" s="261"/>
      <c r="H239" s="261"/>
      <c r="I239" s="261"/>
      <c r="J239" s="261"/>
      <c r="K239" s="261"/>
      <c r="L239" s="261"/>
    </row>
    <row r="240" spans="1:12" x14ac:dyDescent="0.2">
      <c r="A240" s="261"/>
      <c r="B240" s="261"/>
      <c r="C240" s="261"/>
      <c r="D240" s="261"/>
      <c r="E240" s="261"/>
      <c r="F240" s="261"/>
      <c r="G240" s="261"/>
      <c r="H240" s="261"/>
      <c r="I240" s="261"/>
      <c r="J240" s="261"/>
      <c r="K240" s="261"/>
      <c r="L240" s="261"/>
    </row>
    <row r="241" spans="1:12" x14ac:dyDescent="0.2">
      <c r="A241" s="261"/>
      <c r="B241" s="261"/>
      <c r="C241" s="261"/>
      <c r="D241" s="261"/>
      <c r="E241" s="261"/>
      <c r="F241" s="261"/>
      <c r="G241" s="261"/>
      <c r="H241" s="261"/>
      <c r="I241" s="261"/>
      <c r="J241" s="261"/>
      <c r="K241" s="261"/>
      <c r="L241" s="261"/>
    </row>
    <row r="242" spans="1:12" x14ac:dyDescent="0.2">
      <c r="A242" s="261"/>
      <c r="B242" s="261"/>
      <c r="C242" s="261"/>
      <c r="D242" s="261"/>
      <c r="E242" s="261"/>
      <c r="F242" s="261"/>
      <c r="G242" s="261"/>
      <c r="H242" s="261"/>
      <c r="I242" s="261"/>
      <c r="J242" s="261"/>
      <c r="K242" s="261"/>
      <c r="L242" s="261"/>
    </row>
    <row r="243" spans="1:12" x14ac:dyDescent="0.2">
      <c r="A243" s="261"/>
      <c r="B243" s="261"/>
      <c r="C243" s="261"/>
      <c r="D243" s="261"/>
      <c r="E243" s="261"/>
      <c r="F243" s="261"/>
      <c r="G243" s="261"/>
      <c r="H243" s="261"/>
      <c r="I243" s="261"/>
      <c r="J243" s="261"/>
      <c r="K243" s="261"/>
      <c r="L243" s="261"/>
    </row>
    <row r="244" spans="1:12" x14ac:dyDescent="0.2">
      <c r="A244" s="261"/>
      <c r="B244" s="261"/>
      <c r="C244" s="261"/>
      <c r="D244" s="261"/>
      <c r="E244" s="261"/>
      <c r="F244" s="261"/>
      <c r="G244" s="261"/>
      <c r="H244" s="261"/>
      <c r="I244" s="261"/>
      <c r="J244" s="261"/>
      <c r="K244" s="261"/>
      <c r="L244" s="261"/>
    </row>
    <row r="245" spans="1:12" x14ac:dyDescent="0.2">
      <c r="A245" s="261"/>
      <c r="B245" s="261"/>
      <c r="C245" s="261"/>
      <c r="D245" s="261"/>
      <c r="E245" s="261"/>
      <c r="F245" s="261"/>
      <c r="G245" s="261"/>
      <c r="H245" s="261"/>
      <c r="I245" s="261"/>
      <c r="J245" s="261"/>
      <c r="K245" s="261"/>
      <c r="L245" s="261"/>
    </row>
    <row r="246" spans="1:12" x14ac:dyDescent="0.2">
      <c r="A246" s="261"/>
      <c r="B246" s="261"/>
      <c r="C246" s="261"/>
      <c r="D246" s="261"/>
      <c r="E246" s="261"/>
      <c r="F246" s="261"/>
      <c r="G246" s="261"/>
      <c r="H246" s="261"/>
      <c r="I246" s="261"/>
      <c r="J246" s="261"/>
      <c r="K246" s="261"/>
      <c r="L246" s="261"/>
    </row>
    <row r="247" spans="1:12" x14ac:dyDescent="0.2">
      <c r="A247" s="261"/>
      <c r="B247" s="261"/>
      <c r="C247" s="261"/>
      <c r="D247" s="261"/>
      <c r="E247" s="261"/>
      <c r="F247" s="261"/>
      <c r="G247" s="261"/>
      <c r="H247" s="261"/>
      <c r="I247" s="261"/>
      <c r="J247" s="261"/>
      <c r="K247" s="261"/>
      <c r="L247" s="261"/>
    </row>
    <row r="248" spans="1:12" x14ac:dyDescent="0.2">
      <c r="A248" s="261"/>
      <c r="B248" s="261"/>
      <c r="C248" s="261"/>
      <c r="D248" s="261"/>
      <c r="E248" s="261"/>
      <c r="F248" s="261"/>
      <c r="G248" s="261"/>
      <c r="H248" s="261"/>
      <c r="I248" s="261"/>
      <c r="J248" s="261"/>
      <c r="K248" s="261"/>
      <c r="L248" s="261"/>
    </row>
    <row r="249" spans="1:12" x14ac:dyDescent="0.2">
      <c r="A249" s="261"/>
      <c r="B249" s="261"/>
      <c r="C249" s="261"/>
      <c r="D249" s="261"/>
      <c r="E249" s="261"/>
      <c r="F249" s="261"/>
      <c r="G249" s="261"/>
      <c r="H249" s="261"/>
      <c r="I249" s="261"/>
      <c r="J249" s="261"/>
      <c r="K249" s="261"/>
      <c r="L249" s="261"/>
    </row>
    <row r="250" spans="1:12" x14ac:dyDescent="0.2">
      <c r="A250" s="261"/>
      <c r="B250" s="261"/>
      <c r="C250" s="261"/>
      <c r="D250" s="261"/>
      <c r="E250" s="261"/>
      <c r="F250" s="261"/>
      <c r="G250" s="261"/>
      <c r="H250" s="261"/>
      <c r="I250" s="261"/>
      <c r="J250" s="261"/>
      <c r="K250" s="261"/>
      <c r="L250" s="261"/>
    </row>
    <row r="251" spans="1:12" x14ac:dyDescent="0.2">
      <c r="A251" s="261"/>
      <c r="B251" s="261"/>
      <c r="C251" s="261"/>
      <c r="D251" s="261"/>
      <c r="E251" s="261"/>
      <c r="F251" s="261"/>
      <c r="G251" s="261"/>
      <c r="H251" s="261"/>
      <c r="I251" s="261"/>
      <c r="J251" s="261"/>
      <c r="K251" s="261"/>
      <c r="L251" s="261"/>
    </row>
  </sheetData>
  <mergeCells count="35">
    <mergeCell ref="B3:G3"/>
    <mergeCell ref="C6:D6"/>
    <mergeCell ref="C10:D10"/>
    <mergeCell ref="C11:D11"/>
    <mergeCell ref="C12:D12"/>
    <mergeCell ref="C7:D7"/>
    <mergeCell ref="C8:D8"/>
    <mergeCell ref="C9:D9"/>
    <mergeCell ref="Q26:S26"/>
    <mergeCell ref="D28:E28"/>
    <mergeCell ref="E21:F21"/>
    <mergeCell ref="C14:D14"/>
    <mergeCell ref="C15:D15"/>
    <mergeCell ref="F26:H26"/>
    <mergeCell ref="C26:C27"/>
    <mergeCell ref="D33:E33"/>
    <mergeCell ref="D34:E34"/>
    <mergeCell ref="I26:L26"/>
    <mergeCell ref="M26:P26"/>
    <mergeCell ref="D29:E29"/>
    <mergeCell ref="D30:E30"/>
    <mergeCell ref="D31:E31"/>
    <mergeCell ref="D32:E32"/>
    <mergeCell ref="D26:E27"/>
    <mergeCell ref="K35:M35"/>
    <mergeCell ref="N35:P35"/>
    <mergeCell ref="Q35:S35"/>
    <mergeCell ref="G48:H49"/>
    <mergeCell ref="I48:I49"/>
    <mergeCell ref="J48:K48"/>
    <mergeCell ref="L48:L49"/>
    <mergeCell ref="M48:M49"/>
    <mergeCell ref="N48:O48"/>
    <mergeCell ref="E35:G35"/>
    <mergeCell ref="H35:J35"/>
  </mergeCells>
  <phoneticPr fontId="17" type="noConversion"/>
  <printOptions horizontalCentered="1"/>
  <pageMargins left="0.23" right="0.28000000000000003" top="0.59055118110236227" bottom="0.98425196850393704" header="0.12" footer="0"/>
  <pageSetup paperSize="9" scale="85" orientation="portrait" horizontalDpi="360" verticalDpi="360" r:id="rId1"/>
  <headerFooter alignWithMargins="0">
    <oddHeader>&amp;C&amp;A</oddHeader>
    <oddFooter>&amp;L&amp;6&amp;F&amp;C&amp;8Preparado por COBB Española&amp;D&amp;R&amp;8&amp;P</oddFooter>
  </headerFooter>
  <drawing r:id="rId2"/>
  <legacyDrawing r:id="rId3"/>
  <oleObjects>
    <mc:AlternateContent xmlns:mc="http://schemas.openxmlformats.org/markup-compatibility/2006">
      <mc:Choice Requires="x14">
        <oleObject shapeId="7169" r:id="rId4">
          <objectPr defaultSize="0" autoPict="0" r:id="rId5">
            <anchor moveWithCells="1">
              <from>
                <xdr:col>3</xdr:col>
                <xdr:colOff>314325</xdr:colOff>
                <xdr:row>0</xdr:row>
                <xdr:rowOff>19050</xdr:rowOff>
              </from>
              <to>
                <xdr:col>4</xdr:col>
                <xdr:colOff>609600</xdr:colOff>
                <xdr:row>0</xdr:row>
                <xdr:rowOff>762000</xdr:rowOff>
              </to>
            </anchor>
          </objectPr>
        </oleObject>
      </mc:Choice>
      <mc:Fallback>
        <oleObject shapeId="716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BD30"/>
  <sheetViews>
    <sheetView showGridLines="0" zoomScale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E18" sqref="AE18"/>
    </sheetView>
  </sheetViews>
  <sheetFormatPr baseColWidth="10" defaultColWidth="9.140625" defaultRowHeight="12.75" outlineLevelCol="2" x14ac:dyDescent="0.2"/>
  <cols>
    <col min="1" max="1" width="11.7109375" customWidth="1"/>
    <col min="2" max="2" width="6.42578125" style="1" customWidth="1"/>
    <col min="3" max="8" width="7.5703125" customWidth="1"/>
    <col min="9" max="26" width="7.5703125" customWidth="1" outlineLevel="1"/>
    <col min="27" max="28" width="7.5703125" customWidth="1"/>
    <col min="29" max="29" width="7.5703125" style="447" customWidth="1"/>
    <col min="30" max="32" width="7.5703125" customWidth="1"/>
    <col min="33" max="46" width="7.5703125" customWidth="1" outlineLevel="1"/>
    <col min="47" max="53" width="7.5703125" customWidth="1" outlineLevel="2"/>
    <col min="54" max="56" width="7.5703125" customWidth="1"/>
  </cols>
  <sheetData>
    <row r="1" spans="1:56" ht="24.95" customHeight="1" x14ac:dyDescent="0.25">
      <c r="A1" s="414" t="s">
        <v>125</v>
      </c>
      <c r="B1" s="415"/>
      <c r="C1" s="416"/>
      <c r="D1" s="416"/>
      <c r="E1" s="417" t="str">
        <f>IF(LOT!$B$3="","",LOT!$B$3)</f>
        <v>CASAP-BLIDA</v>
      </c>
      <c r="F1" s="416"/>
      <c r="G1" s="416"/>
      <c r="H1" s="416"/>
      <c r="I1" s="416"/>
      <c r="J1" s="416"/>
      <c r="K1" s="416"/>
      <c r="L1" s="414" t="s">
        <v>70</v>
      </c>
      <c r="M1" s="416"/>
      <c r="N1" s="418"/>
      <c r="O1" s="418"/>
      <c r="P1" s="616">
        <f>IF(LOT!$B$4="","",LOT!$B$4)</f>
        <v>43250</v>
      </c>
      <c r="Q1" s="616"/>
      <c r="R1" s="419"/>
      <c r="S1" s="420"/>
      <c r="T1" s="420"/>
      <c r="U1" s="420"/>
      <c r="V1" s="420"/>
      <c r="W1" s="420"/>
      <c r="X1" s="420"/>
      <c r="Y1" s="420"/>
      <c r="Z1" s="420"/>
      <c r="AA1" s="416"/>
      <c r="AB1" s="416"/>
      <c r="AC1" s="421"/>
    </row>
    <row r="2" spans="1:56" ht="24.95" customHeight="1" x14ac:dyDescent="0.25">
      <c r="A2" s="414" t="s">
        <v>73</v>
      </c>
      <c r="B2" s="415"/>
      <c r="C2" s="416"/>
      <c r="D2" s="416"/>
      <c r="E2" s="417" t="str">
        <f>IF(LOT!$B$7="","",LOT!$B$7)</f>
        <v>AIN OUSSERA-ALGERIE</v>
      </c>
      <c r="F2" s="416"/>
      <c r="G2" s="416"/>
      <c r="H2" s="416"/>
      <c r="I2" s="416"/>
      <c r="J2" s="416"/>
      <c r="K2" s="416"/>
      <c r="L2" s="414" t="s">
        <v>71</v>
      </c>
      <c r="M2" s="416"/>
      <c r="N2" s="418"/>
      <c r="O2" s="418"/>
      <c r="P2" s="617">
        <f>IF(LOT!$B$5="","",LOT!$B$5)</f>
        <v>7872</v>
      </c>
      <c r="Q2" s="617"/>
      <c r="R2" s="416"/>
      <c r="S2" s="422" t="s">
        <v>129</v>
      </c>
      <c r="T2" s="422"/>
      <c r="U2" s="422"/>
      <c r="V2" s="422"/>
      <c r="W2" s="422"/>
      <c r="X2" s="422"/>
      <c r="Y2" s="422"/>
      <c r="Z2" s="422"/>
      <c r="AA2" s="416"/>
      <c r="AB2" s="618">
        <f>'Dem-Rec'!R2</f>
        <v>7695</v>
      </c>
      <c r="AC2" s="618"/>
    </row>
    <row r="3" spans="1:56" ht="24.95" customHeight="1" thickBot="1" x14ac:dyDescent="0.3">
      <c r="A3" s="414" t="s">
        <v>74</v>
      </c>
      <c r="B3" s="415"/>
      <c r="C3" s="416"/>
      <c r="D3" s="416"/>
      <c r="E3" s="417" t="str">
        <f>IF(LOT!$B$8="","",LOT!$B$8)</f>
        <v/>
      </c>
      <c r="F3" s="416"/>
      <c r="G3" s="416"/>
      <c r="H3" s="416"/>
      <c r="I3" s="416"/>
      <c r="J3" s="416"/>
      <c r="K3" s="416"/>
      <c r="L3" s="414" t="s">
        <v>72</v>
      </c>
      <c r="M3" s="416"/>
      <c r="N3" s="418"/>
      <c r="O3" s="418"/>
      <c r="P3" s="617">
        <f>IF(LOT!$B$6="","",LOT!$B$6)</f>
        <v>1200</v>
      </c>
      <c r="Q3" s="617"/>
      <c r="R3" s="416"/>
      <c r="S3" s="422" t="s">
        <v>130</v>
      </c>
      <c r="T3" s="422"/>
      <c r="U3" s="422"/>
      <c r="V3" s="422"/>
      <c r="W3" s="422"/>
      <c r="X3" s="422"/>
      <c r="Y3" s="422"/>
      <c r="Z3" s="422"/>
      <c r="AA3" s="416"/>
      <c r="AB3" s="618">
        <f>'Dem-Rec'!R3</f>
        <v>1156</v>
      </c>
      <c r="AC3" s="619"/>
    </row>
    <row r="4" spans="1:56" ht="15" customHeight="1" thickTop="1" thickBot="1" x14ac:dyDescent="0.3">
      <c r="A4" s="44"/>
      <c r="B4" s="423"/>
      <c r="C4" s="620" t="s">
        <v>126</v>
      </c>
      <c r="D4" s="621"/>
      <c r="E4" s="622"/>
      <c r="F4" s="424"/>
      <c r="G4" s="424"/>
      <c r="H4" s="42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25"/>
      <c r="AD4" s="625" t="s">
        <v>150</v>
      </c>
      <c r="AE4" s="621"/>
      <c r="AF4" s="622"/>
      <c r="AG4" s="424"/>
      <c r="AH4" s="424"/>
      <c r="AI4" s="424"/>
      <c r="AJ4" s="424"/>
      <c r="AK4" s="424"/>
      <c r="AL4" s="424"/>
      <c r="AM4" s="424"/>
      <c r="AN4" s="424"/>
      <c r="AO4" s="42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</row>
    <row r="5" spans="1:56" ht="24.95" customHeight="1" thickTop="1" x14ac:dyDescent="0.2">
      <c r="A5" s="44"/>
      <c r="B5" s="423"/>
      <c r="C5" s="426" t="s">
        <v>127</v>
      </c>
      <c r="D5" s="623" t="s">
        <v>260</v>
      </c>
      <c r="E5" s="624"/>
      <c r="F5" s="426" t="s">
        <v>127</v>
      </c>
      <c r="G5" s="623" t="s">
        <v>259</v>
      </c>
      <c r="H5" s="624"/>
      <c r="I5" s="426" t="s">
        <v>127</v>
      </c>
      <c r="J5" s="623" t="s">
        <v>261</v>
      </c>
      <c r="K5" s="624"/>
      <c r="L5" s="426" t="s">
        <v>127</v>
      </c>
      <c r="M5" s="623"/>
      <c r="N5" s="624"/>
      <c r="O5" s="426" t="s">
        <v>127</v>
      </c>
      <c r="P5" s="623"/>
      <c r="Q5" s="624"/>
      <c r="R5" s="426" t="s">
        <v>127</v>
      </c>
      <c r="S5" s="623"/>
      <c r="T5" s="624"/>
      <c r="U5" s="426" t="s">
        <v>127</v>
      </c>
      <c r="V5" s="623"/>
      <c r="W5" s="624"/>
      <c r="X5" s="426" t="s">
        <v>127</v>
      </c>
      <c r="Y5" s="623"/>
      <c r="Z5" s="624"/>
      <c r="AA5" s="613" t="s">
        <v>128</v>
      </c>
      <c r="AB5" s="614"/>
      <c r="AC5" s="615"/>
      <c r="AD5" s="426" t="s">
        <v>127</v>
      </c>
      <c r="AE5" s="459">
        <v>1</v>
      </c>
      <c r="AF5" s="460"/>
      <c r="AG5" s="426" t="s">
        <v>127</v>
      </c>
      <c r="AH5" s="459">
        <v>2</v>
      </c>
      <c r="AI5" s="460"/>
      <c r="AJ5" s="426" t="s">
        <v>127</v>
      </c>
      <c r="AK5" s="603">
        <v>2</v>
      </c>
      <c r="AL5" s="604"/>
      <c r="AM5" s="426" t="s">
        <v>127</v>
      </c>
      <c r="AN5" s="603">
        <v>2</v>
      </c>
      <c r="AO5" s="604"/>
      <c r="AP5" s="426" t="s">
        <v>127</v>
      </c>
      <c r="AQ5" s="459"/>
      <c r="AR5" s="460"/>
      <c r="AS5" s="426" t="s">
        <v>127</v>
      </c>
      <c r="AT5" s="605"/>
      <c r="AU5" s="606"/>
      <c r="AV5" s="426" t="s">
        <v>127</v>
      </c>
      <c r="AW5" s="605"/>
      <c r="AX5" s="606"/>
      <c r="AY5" s="426" t="s">
        <v>127</v>
      </c>
      <c r="AZ5" s="605"/>
      <c r="BA5" s="606"/>
      <c r="BB5" s="613" t="s">
        <v>128</v>
      </c>
      <c r="BC5" s="614"/>
      <c r="BD5" s="615"/>
    </row>
    <row r="6" spans="1:56" ht="24.95" customHeight="1" thickBot="1" x14ac:dyDescent="0.25">
      <c r="A6" s="427"/>
      <c r="B6" s="428"/>
      <c r="C6" s="429" t="s">
        <v>131</v>
      </c>
      <c r="D6" s="430" t="s">
        <v>253</v>
      </c>
      <c r="E6" s="431" t="s">
        <v>132</v>
      </c>
      <c r="F6" s="429" t="s">
        <v>131</v>
      </c>
      <c r="G6" s="430" t="s">
        <v>253</v>
      </c>
      <c r="H6" s="431" t="s">
        <v>132</v>
      </c>
      <c r="I6" s="429" t="s">
        <v>131</v>
      </c>
      <c r="J6" s="430" t="s">
        <v>253</v>
      </c>
      <c r="K6" s="431" t="s">
        <v>132</v>
      </c>
      <c r="L6" s="429" t="s">
        <v>131</v>
      </c>
      <c r="M6" s="430" t="s">
        <v>253</v>
      </c>
      <c r="N6" s="431" t="s">
        <v>132</v>
      </c>
      <c r="O6" s="429" t="s">
        <v>131</v>
      </c>
      <c r="P6" s="430" t="s">
        <v>253</v>
      </c>
      <c r="Q6" s="431" t="s">
        <v>132</v>
      </c>
      <c r="R6" s="429" t="s">
        <v>131</v>
      </c>
      <c r="S6" s="430" t="s">
        <v>253</v>
      </c>
      <c r="T6" s="431" t="s">
        <v>132</v>
      </c>
      <c r="U6" s="429" t="s">
        <v>131</v>
      </c>
      <c r="V6" s="430" t="s">
        <v>253</v>
      </c>
      <c r="W6" s="431" t="s">
        <v>132</v>
      </c>
      <c r="X6" s="429" t="s">
        <v>131</v>
      </c>
      <c r="Y6" s="430" t="s">
        <v>253</v>
      </c>
      <c r="Z6" s="431" t="s">
        <v>132</v>
      </c>
      <c r="AA6" s="429" t="s">
        <v>131</v>
      </c>
      <c r="AB6" s="430" t="s">
        <v>253</v>
      </c>
      <c r="AC6" s="431" t="s">
        <v>132</v>
      </c>
      <c r="AD6" s="429" t="s">
        <v>131</v>
      </c>
      <c r="AE6" s="430" t="s">
        <v>253</v>
      </c>
      <c r="AF6" s="431" t="s">
        <v>132</v>
      </c>
      <c r="AG6" s="429" t="s">
        <v>131</v>
      </c>
      <c r="AH6" s="430" t="s">
        <v>253</v>
      </c>
      <c r="AI6" s="431" t="s">
        <v>132</v>
      </c>
      <c r="AJ6" s="429" t="s">
        <v>131</v>
      </c>
      <c r="AK6" s="430" t="s">
        <v>253</v>
      </c>
      <c r="AL6" s="431" t="s">
        <v>132</v>
      </c>
      <c r="AM6" s="429" t="s">
        <v>131</v>
      </c>
      <c r="AN6" s="430" t="s">
        <v>253</v>
      </c>
      <c r="AO6" s="431" t="s">
        <v>132</v>
      </c>
      <c r="AP6" s="429" t="s">
        <v>131</v>
      </c>
      <c r="AQ6" s="430" t="s">
        <v>253</v>
      </c>
      <c r="AR6" s="431" t="s">
        <v>132</v>
      </c>
      <c r="AS6" s="429" t="s">
        <v>131</v>
      </c>
      <c r="AT6" s="430" t="s">
        <v>253</v>
      </c>
      <c r="AU6" s="431" t="s">
        <v>132</v>
      </c>
      <c r="AV6" s="429" t="s">
        <v>131</v>
      </c>
      <c r="AW6" s="430" t="s">
        <v>253</v>
      </c>
      <c r="AX6" s="431" t="s">
        <v>132</v>
      </c>
      <c r="AY6" s="429" t="s">
        <v>131</v>
      </c>
      <c r="AZ6" s="430" t="s">
        <v>253</v>
      </c>
      <c r="BA6" s="431" t="s">
        <v>132</v>
      </c>
      <c r="BB6" s="429" t="s">
        <v>131</v>
      </c>
      <c r="BC6" s="430" t="s">
        <v>253</v>
      </c>
      <c r="BD6" s="431" t="s">
        <v>132</v>
      </c>
    </row>
    <row r="7" spans="1:56" ht="24.95" customHeight="1" thickTop="1" thickBot="1" x14ac:dyDescent="0.25">
      <c r="A7" s="53" t="s">
        <v>80</v>
      </c>
      <c r="B7" s="39" t="s">
        <v>79</v>
      </c>
      <c r="C7" s="434" t="s">
        <v>4</v>
      </c>
      <c r="D7" s="435" t="s">
        <v>133</v>
      </c>
      <c r="E7" s="436" t="s">
        <v>133</v>
      </c>
      <c r="F7" s="434" t="s">
        <v>4</v>
      </c>
      <c r="G7" s="435" t="s">
        <v>133</v>
      </c>
      <c r="H7" s="436" t="s">
        <v>133</v>
      </c>
      <c r="I7" s="434" t="s">
        <v>4</v>
      </c>
      <c r="J7" s="435" t="s">
        <v>133</v>
      </c>
      <c r="K7" s="436" t="s">
        <v>133</v>
      </c>
      <c r="L7" s="434" t="s">
        <v>4</v>
      </c>
      <c r="M7" s="435" t="s">
        <v>133</v>
      </c>
      <c r="N7" s="436" t="s">
        <v>133</v>
      </c>
      <c r="O7" s="434" t="s">
        <v>4</v>
      </c>
      <c r="P7" s="435" t="s">
        <v>133</v>
      </c>
      <c r="Q7" s="436" t="s">
        <v>133</v>
      </c>
      <c r="R7" s="434" t="s">
        <v>4</v>
      </c>
      <c r="S7" s="435" t="s">
        <v>133</v>
      </c>
      <c r="T7" s="436" t="s">
        <v>133</v>
      </c>
      <c r="U7" s="434" t="s">
        <v>4</v>
      </c>
      <c r="V7" s="435" t="s">
        <v>133</v>
      </c>
      <c r="W7" s="436" t="s">
        <v>133</v>
      </c>
      <c r="X7" s="434" t="s">
        <v>4</v>
      </c>
      <c r="Y7" s="435" t="s">
        <v>133</v>
      </c>
      <c r="Z7" s="436" t="s">
        <v>133</v>
      </c>
      <c r="AA7" s="434" t="s">
        <v>4</v>
      </c>
      <c r="AB7" s="435" t="s">
        <v>133</v>
      </c>
      <c r="AC7" s="436" t="s">
        <v>133</v>
      </c>
      <c r="AD7" s="434" t="s">
        <v>4</v>
      </c>
      <c r="AE7" s="435" t="s">
        <v>133</v>
      </c>
      <c r="AF7" s="436" t="s">
        <v>133</v>
      </c>
      <c r="AG7" s="434" t="s">
        <v>4</v>
      </c>
      <c r="AH7" s="435" t="s">
        <v>133</v>
      </c>
      <c r="AI7" s="436" t="s">
        <v>133</v>
      </c>
      <c r="AJ7" s="434" t="s">
        <v>4</v>
      </c>
      <c r="AK7" s="435" t="s">
        <v>133</v>
      </c>
      <c r="AL7" s="436" t="s">
        <v>133</v>
      </c>
      <c r="AM7" s="434" t="s">
        <v>4</v>
      </c>
      <c r="AN7" s="435" t="s">
        <v>133</v>
      </c>
      <c r="AO7" s="436" t="s">
        <v>133</v>
      </c>
      <c r="AP7" s="434" t="s">
        <v>4</v>
      </c>
      <c r="AQ7" s="435" t="s">
        <v>133</v>
      </c>
      <c r="AR7" s="436" t="s">
        <v>133</v>
      </c>
      <c r="AS7" s="434" t="s">
        <v>4</v>
      </c>
      <c r="AT7" s="435" t="s">
        <v>133</v>
      </c>
      <c r="AU7" s="436" t="s">
        <v>133</v>
      </c>
      <c r="AV7" s="434" t="s">
        <v>4</v>
      </c>
      <c r="AW7" s="435" t="s">
        <v>133</v>
      </c>
      <c r="AX7" s="436" t="s">
        <v>133</v>
      </c>
      <c r="AY7" s="434" t="s">
        <v>4</v>
      </c>
      <c r="AZ7" s="435" t="s">
        <v>133</v>
      </c>
      <c r="BA7" s="436" t="s">
        <v>133</v>
      </c>
      <c r="BB7" s="434" t="s">
        <v>4</v>
      </c>
      <c r="BC7" s="435" t="s">
        <v>133</v>
      </c>
      <c r="BD7" s="436" t="s">
        <v>133</v>
      </c>
    </row>
    <row r="8" spans="1:56" ht="24" customHeight="1" x14ac:dyDescent="0.2">
      <c r="A8" s="437">
        <f>P1+7</f>
        <v>43257</v>
      </c>
      <c r="B8" s="438">
        <v>1</v>
      </c>
      <c r="C8" s="265">
        <v>30</v>
      </c>
      <c r="D8" s="439">
        <v>37</v>
      </c>
      <c r="E8" s="439">
        <v>136.30000000000001</v>
      </c>
      <c r="F8" s="265">
        <v>25</v>
      </c>
      <c r="G8" s="439">
        <v>37</v>
      </c>
      <c r="H8" s="439">
        <v>132.19999999999999</v>
      </c>
      <c r="I8" s="265">
        <v>30</v>
      </c>
      <c r="J8" s="439">
        <v>37</v>
      </c>
      <c r="K8" s="439">
        <v>136</v>
      </c>
      <c r="L8" s="265"/>
      <c r="M8" s="439"/>
      <c r="N8" s="439"/>
      <c r="O8" s="265"/>
      <c r="P8" s="439"/>
      <c r="Q8" s="439"/>
      <c r="R8" s="265"/>
      <c r="S8" s="439"/>
      <c r="T8" s="439"/>
      <c r="U8" s="265"/>
      <c r="V8" s="439"/>
      <c r="W8" s="439"/>
      <c r="X8" s="265"/>
      <c r="Y8" s="439"/>
      <c r="Z8" s="439"/>
      <c r="AA8" s="392">
        <f>IF(C8="","",C8+F8+I8+L8+O8+R8+U8+X8)</f>
        <v>85</v>
      </c>
      <c r="AB8" s="383">
        <f>IF(D8="","",(D8+G8+J8+M8+P8+S8+V8+Y8)/COUNT(D8,G8,J8,M8,P8,S8,V8,Y8))</f>
        <v>37</v>
      </c>
      <c r="AC8" s="440">
        <f>IF(E8="","",(E8+H8+K8+N8+Q8+T8+W8+Z8)/COUNT(E8,H8,K8,N8,Q8,T8,W8,Z8))</f>
        <v>134.83333333333334</v>
      </c>
      <c r="AD8" s="265">
        <v>20</v>
      </c>
      <c r="AE8" s="439">
        <v>35</v>
      </c>
      <c r="AF8" s="439">
        <v>173.2</v>
      </c>
      <c r="AG8" s="265"/>
      <c r="AH8" s="439"/>
      <c r="AI8" s="439"/>
      <c r="AJ8" s="265"/>
      <c r="AK8" s="439"/>
      <c r="AL8" s="439"/>
      <c r="AM8" s="265"/>
      <c r="AN8" s="439"/>
      <c r="AO8" s="439"/>
      <c r="AP8" s="265"/>
      <c r="AQ8" s="439"/>
      <c r="AR8" s="439"/>
      <c r="AS8" s="265"/>
      <c r="AT8" s="439"/>
      <c r="AU8" s="439"/>
      <c r="AV8" s="265"/>
      <c r="AW8" s="439"/>
      <c r="AX8" s="439"/>
      <c r="AY8" s="265"/>
      <c r="AZ8" s="439"/>
      <c r="BA8" s="439"/>
      <c r="BB8" s="392">
        <f>IF(AD8="","",AD8+AG8+AJ8+AM8+AP8+AS8+AV8+AY8)</f>
        <v>20</v>
      </c>
      <c r="BC8" s="383">
        <f>IF(AE8="","",(AE8+AH8+AK8+AN8+AQ8+AT8+AW8+AZ8)/COUNT(AE8,AH8,AK8,AN8,AQ8,AT8,AW8,AZ8))</f>
        <v>35</v>
      </c>
      <c r="BD8" s="440">
        <f>IF(AF8="","",(AF8+AI8+AL8+AO8+AR8+AU8+AX8+BA8)/COUNT(AF8,AI8,AL8,AO8,AR8,AU8,AX8,BA8))</f>
        <v>173.2</v>
      </c>
    </row>
    <row r="9" spans="1:56" ht="24" customHeight="1" x14ac:dyDescent="0.2">
      <c r="A9" s="441">
        <f t="shared" ref="A9:A24" si="0">A8+7</f>
        <v>43264</v>
      </c>
      <c r="B9" s="442">
        <f>+B8+1</f>
        <v>2</v>
      </c>
      <c r="C9" s="209">
        <v>10</v>
      </c>
      <c r="D9" s="443">
        <v>41</v>
      </c>
      <c r="E9" s="443">
        <v>376</v>
      </c>
      <c r="F9" s="209">
        <v>27</v>
      </c>
      <c r="G9" s="443">
        <v>41</v>
      </c>
      <c r="H9" s="443">
        <v>307.5</v>
      </c>
      <c r="I9" s="209">
        <v>10</v>
      </c>
      <c r="J9" s="443">
        <v>41</v>
      </c>
      <c r="K9" s="443">
        <v>295</v>
      </c>
      <c r="L9" s="209"/>
      <c r="M9" s="443"/>
      <c r="N9" s="443"/>
      <c r="O9" s="209"/>
      <c r="P9" s="443"/>
      <c r="Q9" s="443"/>
      <c r="R9" s="209"/>
      <c r="S9" s="443"/>
      <c r="T9" s="443"/>
      <c r="U9" s="209"/>
      <c r="V9" s="443"/>
      <c r="W9" s="443"/>
      <c r="X9" s="209"/>
      <c r="Y9" s="443"/>
      <c r="Z9" s="443"/>
      <c r="AA9" s="392">
        <f t="shared" ref="AA9:AA29" si="1">IF(C9="","",C9+F9+I9+L9+O9+R9+U9+X9)</f>
        <v>47</v>
      </c>
      <c r="AB9" s="383">
        <f t="shared" ref="AB9:AB29" si="2">IF(D9="","",(D9+G9+J9+M9+P9+S9+V9+Y9)/COUNT(D9,G9,J9,M9,P9,S9,V9,Y9))</f>
        <v>41</v>
      </c>
      <c r="AC9" s="440">
        <f t="shared" ref="AC9:AC29" si="3">IF(E9="","",(E9+H9+K9+N9+Q9+T9+W9+Z9)/COUNT(E9,H9,K9,N9,Q9,T9,W9,Z9))</f>
        <v>326.16666666666669</v>
      </c>
      <c r="AD9" s="209">
        <v>10</v>
      </c>
      <c r="AE9" s="443">
        <v>47</v>
      </c>
      <c r="AF9" s="443">
        <v>318</v>
      </c>
      <c r="AG9" s="209"/>
      <c r="AH9" s="443"/>
      <c r="AI9" s="443"/>
      <c r="AJ9" s="209"/>
      <c r="AK9" s="443"/>
      <c r="AL9" s="443"/>
      <c r="AM9" s="209"/>
      <c r="AN9" s="443"/>
      <c r="AO9" s="443"/>
      <c r="AP9" s="209"/>
      <c r="AQ9" s="443"/>
      <c r="AR9" s="443"/>
      <c r="AS9" s="209"/>
      <c r="AT9" s="443"/>
      <c r="AU9" s="443"/>
      <c r="AV9" s="209"/>
      <c r="AW9" s="443"/>
      <c r="AX9" s="443"/>
      <c r="AY9" s="209"/>
      <c r="AZ9" s="443"/>
      <c r="BA9" s="443"/>
      <c r="BB9" s="392">
        <f t="shared" ref="BB9:BB29" si="4">IF(AD9="","",AD9+AG9+AJ9+AM9+AP9+AS9+AV9+AY9)</f>
        <v>10</v>
      </c>
      <c r="BC9" s="383">
        <f t="shared" ref="BC9:BC29" si="5">IF(AE9="","",(AE9+AH9+AK9+AN9+AQ9+AT9+AW9+AZ9)/COUNT(AE9,AH9,AK9,AN9,AQ9,AT9,AW9,AZ9))</f>
        <v>47</v>
      </c>
      <c r="BD9" s="440">
        <f t="shared" ref="BD9:BD29" si="6">IF(AF9="","",(AF9+AI9+AL9+AO9+AR9+AU9+AX9+BA9)/COUNT(AF9,AI9,AL9,AO9,AR9,AU9,AX9,BA9))</f>
        <v>318</v>
      </c>
    </row>
    <row r="10" spans="1:56" ht="24" customHeight="1" x14ac:dyDescent="0.2">
      <c r="A10" s="441">
        <f t="shared" si="0"/>
        <v>43271</v>
      </c>
      <c r="B10" s="442">
        <f t="shared" ref="B10:B25" si="7">+B9+1</f>
        <v>3</v>
      </c>
      <c r="C10" s="209">
        <v>7</v>
      </c>
      <c r="D10" s="443">
        <v>44</v>
      </c>
      <c r="E10" s="443">
        <v>490</v>
      </c>
      <c r="F10" s="209">
        <v>7</v>
      </c>
      <c r="G10" s="443">
        <v>44</v>
      </c>
      <c r="H10" s="443">
        <v>502</v>
      </c>
      <c r="I10" s="209">
        <v>3</v>
      </c>
      <c r="J10" s="443">
        <v>44</v>
      </c>
      <c r="K10" s="443">
        <v>520</v>
      </c>
      <c r="L10" s="209"/>
      <c r="M10" s="443"/>
      <c r="N10" s="443"/>
      <c r="O10" s="209"/>
      <c r="P10" s="443"/>
      <c r="Q10" s="443"/>
      <c r="R10" s="209"/>
      <c r="S10" s="443"/>
      <c r="T10" s="443"/>
      <c r="U10" s="209"/>
      <c r="V10" s="443"/>
      <c r="W10" s="443"/>
      <c r="X10" s="209"/>
      <c r="Y10" s="443"/>
      <c r="Z10" s="443"/>
      <c r="AA10" s="392">
        <f t="shared" si="1"/>
        <v>17</v>
      </c>
      <c r="AB10" s="383">
        <f t="shared" si="2"/>
        <v>44</v>
      </c>
      <c r="AC10" s="440">
        <f t="shared" si="3"/>
        <v>504</v>
      </c>
      <c r="AD10" s="209">
        <v>8</v>
      </c>
      <c r="AE10" s="443">
        <v>60</v>
      </c>
      <c r="AF10" s="443">
        <v>600</v>
      </c>
      <c r="AG10" s="209"/>
      <c r="AH10" s="443"/>
      <c r="AI10" s="443"/>
      <c r="AJ10" s="209"/>
      <c r="AK10" s="443"/>
      <c r="AL10" s="443"/>
      <c r="AM10" s="209"/>
      <c r="AN10" s="443"/>
      <c r="AO10" s="443"/>
      <c r="AP10" s="209"/>
      <c r="AQ10" s="443"/>
      <c r="AR10" s="443"/>
      <c r="AS10" s="209"/>
      <c r="AT10" s="443"/>
      <c r="AU10" s="443"/>
      <c r="AV10" s="209"/>
      <c r="AW10" s="443"/>
      <c r="AX10" s="443"/>
      <c r="AY10" s="209"/>
      <c r="AZ10" s="443"/>
      <c r="BA10" s="443"/>
      <c r="BB10" s="392">
        <f t="shared" si="4"/>
        <v>8</v>
      </c>
      <c r="BC10" s="383">
        <f t="shared" si="5"/>
        <v>60</v>
      </c>
      <c r="BD10" s="440">
        <f t="shared" si="6"/>
        <v>600</v>
      </c>
    </row>
    <row r="11" spans="1:56" ht="24" customHeight="1" x14ac:dyDescent="0.2">
      <c r="A11" s="441">
        <f t="shared" si="0"/>
        <v>43278</v>
      </c>
      <c r="B11" s="442">
        <f t="shared" si="7"/>
        <v>4</v>
      </c>
      <c r="C11" s="209">
        <v>2</v>
      </c>
      <c r="D11" s="443">
        <v>47</v>
      </c>
      <c r="E11" s="443">
        <v>574</v>
      </c>
      <c r="F11" s="209">
        <v>1</v>
      </c>
      <c r="G11" s="443">
        <v>47</v>
      </c>
      <c r="H11" s="443">
        <v>548</v>
      </c>
      <c r="I11" s="209">
        <v>3</v>
      </c>
      <c r="J11" s="443">
        <v>47</v>
      </c>
      <c r="K11" s="443">
        <v>564</v>
      </c>
      <c r="L11" s="209"/>
      <c r="M11" s="443"/>
      <c r="N11" s="443"/>
      <c r="O11" s="209"/>
      <c r="P11" s="443"/>
      <c r="Q11" s="443"/>
      <c r="R11" s="209"/>
      <c r="S11" s="443"/>
      <c r="T11" s="443"/>
      <c r="U11" s="209"/>
      <c r="V11" s="443"/>
      <c r="W11" s="443"/>
      <c r="X11" s="209"/>
      <c r="Y11" s="443"/>
      <c r="Z11" s="443"/>
      <c r="AA11" s="392">
        <f t="shared" si="1"/>
        <v>6</v>
      </c>
      <c r="AB11" s="383">
        <f t="shared" si="2"/>
        <v>47</v>
      </c>
      <c r="AC11" s="440">
        <f t="shared" si="3"/>
        <v>562</v>
      </c>
      <c r="AD11" s="209">
        <v>2</v>
      </c>
      <c r="AE11" s="443">
        <v>62</v>
      </c>
      <c r="AF11" s="443">
        <v>743</v>
      </c>
      <c r="AG11" s="209"/>
      <c r="AH11" s="443"/>
      <c r="AI11" s="443"/>
      <c r="AJ11" s="209"/>
      <c r="AK11" s="443"/>
      <c r="AL11" s="443"/>
      <c r="AM11" s="209"/>
      <c r="AN11" s="443"/>
      <c r="AO11" s="443"/>
      <c r="AP11" s="209"/>
      <c r="AQ11" s="443"/>
      <c r="AR11" s="443"/>
      <c r="AS11" s="209"/>
      <c r="AT11" s="443"/>
      <c r="AU11" s="443"/>
      <c r="AV11" s="209"/>
      <c r="AW11" s="443"/>
      <c r="AX11" s="443"/>
      <c r="AY11" s="209"/>
      <c r="AZ11" s="443"/>
      <c r="BA11" s="443"/>
      <c r="BB11" s="392">
        <f t="shared" si="4"/>
        <v>2</v>
      </c>
      <c r="BC11" s="383">
        <f t="shared" si="5"/>
        <v>62</v>
      </c>
      <c r="BD11" s="440">
        <f t="shared" si="6"/>
        <v>743</v>
      </c>
    </row>
    <row r="12" spans="1:56" ht="24" customHeight="1" x14ac:dyDescent="0.2">
      <c r="A12" s="441">
        <f t="shared" si="0"/>
        <v>43285</v>
      </c>
      <c r="B12" s="442">
        <f t="shared" si="7"/>
        <v>5</v>
      </c>
      <c r="C12" s="209">
        <v>1</v>
      </c>
      <c r="D12" s="443">
        <v>51</v>
      </c>
      <c r="E12" s="443">
        <v>593.6</v>
      </c>
      <c r="F12" s="209">
        <v>1</v>
      </c>
      <c r="G12" s="443">
        <v>52</v>
      </c>
      <c r="H12" s="443">
        <v>581.70000000000005</v>
      </c>
      <c r="I12" s="209">
        <v>2</v>
      </c>
      <c r="J12" s="443">
        <v>52</v>
      </c>
      <c r="K12" s="443">
        <v>581.6</v>
      </c>
      <c r="L12" s="209"/>
      <c r="M12" s="443"/>
      <c r="N12" s="443"/>
      <c r="O12" s="209"/>
      <c r="P12" s="443"/>
      <c r="Q12" s="443"/>
      <c r="R12" s="209"/>
      <c r="S12" s="443"/>
      <c r="T12" s="443"/>
      <c r="U12" s="209"/>
      <c r="V12" s="443"/>
      <c r="W12" s="443"/>
      <c r="X12" s="209"/>
      <c r="Y12" s="443"/>
      <c r="Z12" s="443"/>
      <c r="AA12" s="392">
        <f t="shared" si="1"/>
        <v>4</v>
      </c>
      <c r="AB12" s="383">
        <f t="shared" si="2"/>
        <v>51.666666666666664</v>
      </c>
      <c r="AC12" s="440">
        <f t="shared" si="3"/>
        <v>585.63333333333333</v>
      </c>
      <c r="AD12" s="209">
        <v>1</v>
      </c>
      <c r="AE12" s="443">
        <v>65</v>
      </c>
      <c r="AF12" s="443">
        <v>863.2</v>
      </c>
      <c r="AG12" s="209"/>
      <c r="AH12" s="443"/>
      <c r="AI12" s="443"/>
      <c r="AJ12" s="209"/>
      <c r="AK12" s="443"/>
      <c r="AL12" s="443"/>
      <c r="AM12" s="209"/>
      <c r="AN12" s="443"/>
      <c r="AO12" s="443"/>
      <c r="AP12" s="209"/>
      <c r="AQ12" s="443"/>
      <c r="AR12" s="443"/>
      <c r="AS12" s="209"/>
      <c r="AT12" s="443"/>
      <c r="AU12" s="443"/>
      <c r="AV12" s="209"/>
      <c r="AW12" s="443"/>
      <c r="AX12" s="443"/>
      <c r="AY12" s="209"/>
      <c r="AZ12" s="443"/>
      <c r="BA12" s="443"/>
      <c r="BB12" s="392">
        <f t="shared" si="4"/>
        <v>1</v>
      </c>
      <c r="BC12" s="383">
        <f t="shared" si="5"/>
        <v>65</v>
      </c>
      <c r="BD12" s="440">
        <f t="shared" si="6"/>
        <v>863.2</v>
      </c>
    </row>
    <row r="13" spans="1:56" ht="24" customHeight="1" x14ac:dyDescent="0.2">
      <c r="A13" s="441">
        <f t="shared" si="0"/>
        <v>43292</v>
      </c>
      <c r="B13" s="442">
        <f t="shared" si="7"/>
        <v>6</v>
      </c>
      <c r="C13" s="209">
        <v>3</v>
      </c>
      <c r="D13" s="443">
        <v>54</v>
      </c>
      <c r="E13" s="443">
        <v>710</v>
      </c>
      <c r="F13" s="209">
        <v>4</v>
      </c>
      <c r="G13" s="443">
        <v>55</v>
      </c>
      <c r="H13" s="443">
        <v>716</v>
      </c>
      <c r="I13" s="209">
        <v>3</v>
      </c>
      <c r="J13" s="443">
        <v>55</v>
      </c>
      <c r="K13" s="443">
        <v>699.3</v>
      </c>
      <c r="L13" s="209"/>
      <c r="M13" s="443"/>
      <c r="N13" s="443"/>
      <c r="O13" s="209"/>
      <c r="P13" s="443"/>
      <c r="Q13" s="443"/>
      <c r="R13" s="209"/>
      <c r="S13" s="443"/>
      <c r="T13" s="443"/>
      <c r="U13" s="209"/>
      <c r="V13" s="443"/>
      <c r="W13" s="443"/>
      <c r="X13" s="209"/>
      <c r="Y13" s="443"/>
      <c r="Z13" s="443"/>
      <c r="AA13" s="392">
        <f t="shared" si="1"/>
        <v>10</v>
      </c>
      <c r="AB13" s="383">
        <f t="shared" si="2"/>
        <v>54.666666666666664</v>
      </c>
      <c r="AC13" s="440">
        <f t="shared" si="3"/>
        <v>708.43333333333339</v>
      </c>
      <c r="AD13" s="209">
        <v>2</v>
      </c>
      <c r="AE13" s="443">
        <v>68</v>
      </c>
      <c r="AF13" s="443">
        <v>1006.6</v>
      </c>
      <c r="AG13" s="209"/>
      <c r="AH13" s="443"/>
      <c r="AI13" s="443"/>
      <c r="AJ13" s="209"/>
      <c r="AK13" s="443"/>
      <c r="AL13" s="443"/>
      <c r="AM13" s="209"/>
      <c r="AN13" s="443"/>
      <c r="AO13" s="443"/>
      <c r="AP13" s="209"/>
      <c r="AQ13" s="443"/>
      <c r="AR13" s="443"/>
      <c r="AS13" s="209"/>
      <c r="AT13" s="443"/>
      <c r="AU13" s="443"/>
      <c r="AV13" s="209"/>
      <c r="AW13" s="443"/>
      <c r="AX13" s="443"/>
      <c r="AY13" s="209"/>
      <c r="AZ13" s="443"/>
      <c r="BA13" s="443"/>
      <c r="BB13" s="392">
        <f t="shared" si="4"/>
        <v>2</v>
      </c>
      <c r="BC13" s="383">
        <f t="shared" si="5"/>
        <v>68</v>
      </c>
      <c r="BD13" s="440">
        <f t="shared" si="6"/>
        <v>1006.6</v>
      </c>
    </row>
    <row r="14" spans="1:56" ht="24" customHeight="1" x14ac:dyDescent="0.2">
      <c r="A14" s="441">
        <f t="shared" si="0"/>
        <v>43299</v>
      </c>
      <c r="B14" s="442">
        <f t="shared" si="7"/>
        <v>7</v>
      </c>
      <c r="C14" s="209">
        <v>2</v>
      </c>
      <c r="D14" s="443">
        <v>55</v>
      </c>
      <c r="E14" s="443">
        <v>772.13</v>
      </c>
      <c r="F14" s="209">
        <v>3</v>
      </c>
      <c r="G14" s="443">
        <v>56</v>
      </c>
      <c r="H14" s="443">
        <v>788.89</v>
      </c>
      <c r="I14" s="209">
        <v>3</v>
      </c>
      <c r="J14" s="443">
        <v>56</v>
      </c>
      <c r="K14" s="443">
        <v>777.2</v>
      </c>
      <c r="L14" s="209"/>
      <c r="M14" s="443"/>
      <c r="N14" s="443"/>
      <c r="O14" s="209"/>
      <c r="P14" s="443"/>
      <c r="Q14" s="443"/>
      <c r="R14" s="209"/>
      <c r="S14" s="443"/>
      <c r="T14" s="443"/>
      <c r="U14" s="209"/>
      <c r="V14" s="443"/>
      <c r="W14" s="443"/>
      <c r="X14" s="209"/>
      <c r="Y14" s="443"/>
      <c r="Z14" s="443"/>
      <c r="AA14" s="392">
        <f t="shared" si="1"/>
        <v>8</v>
      </c>
      <c r="AB14" s="383">
        <f t="shared" si="2"/>
        <v>55.666666666666664</v>
      </c>
      <c r="AC14" s="440">
        <f t="shared" si="3"/>
        <v>779.40666666666675</v>
      </c>
      <c r="AD14" s="209">
        <v>1</v>
      </c>
      <c r="AE14" s="443">
        <v>68</v>
      </c>
      <c r="AF14" s="443">
        <v>1208.5999999999999</v>
      </c>
      <c r="AG14" s="209"/>
      <c r="AH14" s="443"/>
      <c r="AI14" s="443"/>
      <c r="AJ14" s="209"/>
      <c r="AK14" s="443"/>
      <c r="AL14" s="443"/>
      <c r="AM14" s="209"/>
      <c r="AN14" s="443"/>
      <c r="AO14" s="443"/>
      <c r="AP14" s="209"/>
      <c r="AQ14" s="443"/>
      <c r="AR14" s="443"/>
      <c r="AS14" s="209"/>
      <c r="AT14" s="443"/>
      <c r="AU14" s="443"/>
      <c r="AV14" s="209"/>
      <c r="AW14" s="443"/>
      <c r="AX14" s="443"/>
      <c r="AY14" s="209"/>
      <c r="AZ14" s="443"/>
      <c r="BA14" s="443"/>
      <c r="BB14" s="392">
        <f t="shared" si="4"/>
        <v>1</v>
      </c>
      <c r="BC14" s="383">
        <f t="shared" si="5"/>
        <v>68</v>
      </c>
      <c r="BD14" s="440">
        <f t="shared" si="6"/>
        <v>1208.5999999999999</v>
      </c>
    </row>
    <row r="15" spans="1:56" ht="24" customHeight="1" x14ac:dyDescent="0.2">
      <c r="A15" s="441">
        <f t="shared" si="0"/>
        <v>43306</v>
      </c>
      <c r="B15" s="442">
        <f t="shared" si="7"/>
        <v>8</v>
      </c>
      <c r="C15" s="209"/>
      <c r="D15" s="443"/>
      <c r="E15" s="443"/>
      <c r="F15" s="209"/>
      <c r="G15" s="443"/>
      <c r="H15" s="443"/>
      <c r="I15" s="209"/>
      <c r="J15" s="443"/>
      <c r="K15" s="443"/>
      <c r="L15" s="209"/>
      <c r="M15" s="443"/>
      <c r="N15" s="443"/>
      <c r="O15" s="209"/>
      <c r="P15" s="443"/>
      <c r="Q15" s="443"/>
      <c r="R15" s="209"/>
      <c r="S15" s="443"/>
      <c r="T15" s="443"/>
      <c r="U15" s="209"/>
      <c r="V15" s="443"/>
      <c r="W15" s="443"/>
      <c r="X15" s="209"/>
      <c r="Y15" s="443"/>
      <c r="Z15" s="443"/>
      <c r="AA15" s="392" t="str">
        <f t="shared" si="1"/>
        <v/>
      </c>
      <c r="AB15" s="383" t="str">
        <f t="shared" si="2"/>
        <v/>
      </c>
      <c r="AC15" s="440" t="str">
        <f t="shared" si="3"/>
        <v/>
      </c>
      <c r="AD15" s="209"/>
      <c r="AE15" s="443"/>
      <c r="AF15" s="443"/>
      <c r="AG15" s="209"/>
      <c r="AH15" s="443"/>
      <c r="AI15" s="443"/>
      <c r="AJ15" s="209"/>
      <c r="AK15" s="443"/>
      <c r="AL15" s="443"/>
      <c r="AM15" s="209"/>
      <c r="AN15" s="443"/>
      <c r="AO15" s="443"/>
      <c r="AP15" s="209"/>
      <c r="AQ15" s="443"/>
      <c r="AR15" s="443"/>
      <c r="AS15" s="209"/>
      <c r="AT15" s="443"/>
      <c r="AU15" s="443"/>
      <c r="AV15" s="209"/>
      <c r="AW15" s="443"/>
      <c r="AX15" s="443"/>
      <c r="AY15" s="209"/>
      <c r="AZ15" s="443"/>
      <c r="BA15" s="443"/>
      <c r="BB15" s="392" t="str">
        <f t="shared" si="4"/>
        <v/>
      </c>
      <c r="BC15" s="383" t="str">
        <f t="shared" si="5"/>
        <v/>
      </c>
      <c r="BD15" s="440" t="str">
        <f t="shared" si="6"/>
        <v/>
      </c>
    </row>
    <row r="16" spans="1:56" ht="24" customHeight="1" x14ac:dyDescent="0.2">
      <c r="A16" s="441">
        <f t="shared" si="0"/>
        <v>43313</v>
      </c>
      <c r="B16" s="442">
        <f t="shared" si="7"/>
        <v>9</v>
      </c>
      <c r="C16" s="209"/>
      <c r="D16" s="443"/>
      <c r="E16" s="443"/>
      <c r="F16" s="209"/>
      <c r="G16" s="443"/>
      <c r="H16" s="443"/>
      <c r="I16" s="209"/>
      <c r="J16" s="443"/>
      <c r="K16" s="443"/>
      <c r="L16" s="209"/>
      <c r="M16" s="443"/>
      <c r="N16" s="443"/>
      <c r="O16" s="209"/>
      <c r="P16" s="443"/>
      <c r="Q16" s="443"/>
      <c r="R16" s="209"/>
      <c r="S16" s="443"/>
      <c r="T16" s="443"/>
      <c r="U16" s="209"/>
      <c r="V16" s="443"/>
      <c r="W16" s="443"/>
      <c r="X16" s="209"/>
      <c r="Y16" s="443"/>
      <c r="Z16" s="443"/>
      <c r="AA16" s="392" t="str">
        <f t="shared" si="1"/>
        <v/>
      </c>
      <c r="AB16" s="383" t="str">
        <f t="shared" si="2"/>
        <v/>
      </c>
      <c r="AC16" s="440" t="str">
        <f t="shared" si="3"/>
        <v/>
      </c>
      <c r="AD16" s="209"/>
      <c r="AE16" s="443"/>
      <c r="AF16" s="443"/>
      <c r="AG16" s="209"/>
      <c r="AH16" s="443"/>
      <c r="AI16" s="443"/>
      <c r="AJ16" s="209"/>
      <c r="AK16" s="443"/>
      <c r="AL16" s="443"/>
      <c r="AM16" s="209"/>
      <c r="AN16" s="443"/>
      <c r="AO16" s="443"/>
      <c r="AP16" s="209"/>
      <c r="AQ16" s="443"/>
      <c r="AR16" s="443"/>
      <c r="AS16" s="209"/>
      <c r="AT16" s="443"/>
      <c r="AU16" s="443"/>
      <c r="AV16" s="209"/>
      <c r="AW16" s="443"/>
      <c r="AX16" s="443"/>
      <c r="AY16" s="209"/>
      <c r="AZ16" s="443"/>
      <c r="BA16" s="443"/>
      <c r="BB16" s="392" t="str">
        <f t="shared" si="4"/>
        <v/>
      </c>
      <c r="BC16" s="383" t="str">
        <f t="shared" si="5"/>
        <v/>
      </c>
      <c r="BD16" s="440" t="str">
        <f t="shared" si="6"/>
        <v/>
      </c>
    </row>
    <row r="17" spans="1:56" ht="24" customHeight="1" x14ac:dyDescent="0.2">
      <c r="A17" s="441">
        <f t="shared" si="0"/>
        <v>43320</v>
      </c>
      <c r="B17" s="442">
        <f t="shared" si="7"/>
        <v>10</v>
      </c>
      <c r="C17" s="209"/>
      <c r="D17" s="443"/>
      <c r="E17" s="443"/>
      <c r="F17" s="209"/>
      <c r="G17" s="443"/>
      <c r="H17" s="443"/>
      <c r="I17" s="209"/>
      <c r="J17" s="443"/>
      <c r="K17" s="443"/>
      <c r="L17" s="209"/>
      <c r="M17" s="443"/>
      <c r="N17" s="443"/>
      <c r="O17" s="209"/>
      <c r="P17" s="443"/>
      <c r="Q17" s="443"/>
      <c r="R17" s="209"/>
      <c r="S17" s="443"/>
      <c r="T17" s="443"/>
      <c r="U17" s="209"/>
      <c r="V17" s="443"/>
      <c r="W17" s="443"/>
      <c r="X17" s="209"/>
      <c r="Y17" s="443"/>
      <c r="Z17" s="443"/>
      <c r="AA17" s="392" t="str">
        <f t="shared" si="1"/>
        <v/>
      </c>
      <c r="AB17" s="383" t="str">
        <f t="shared" si="2"/>
        <v/>
      </c>
      <c r="AC17" s="440" t="str">
        <f t="shared" si="3"/>
        <v/>
      </c>
      <c r="AD17" s="209"/>
      <c r="AE17" s="443"/>
      <c r="AF17" s="443"/>
      <c r="AG17" s="209"/>
      <c r="AH17" s="443"/>
      <c r="AI17" s="443"/>
      <c r="AJ17" s="209"/>
      <c r="AK17" s="443"/>
      <c r="AL17" s="443"/>
      <c r="AM17" s="209"/>
      <c r="AN17" s="443"/>
      <c r="AO17" s="443"/>
      <c r="AP17" s="209"/>
      <c r="AQ17" s="443"/>
      <c r="AR17" s="443"/>
      <c r="AS17" s="209"/>
      <c r="AT17" s="443"/>
      <c r="AU17" s="443"/>
      <c r="AV17" s="209"/>
      <c r="AW17" s="443"/>
      <c r="AX17" s="443"/>
      <c r="AY17" s="209"/>
      <c r="AZ17" s="443"/>
      <c r="BA17" s="443"/>
      <c r="BB17" s="392" t="str">
        <f t="shared" si="4"/>
        <v/>
      </c>
      <c r="BC17" s="383" t="str">
        <f t="shared" si="5"/>
        <v/>
      </c>
      <c r="BD17" s="440" t="str">
        <f t="shared" si="6"/>
        <v/>
      </c>
    </row>
    <row r="18" spans="1:56" ht="24" customHeight="1" x14ac:dyDescent="0.2">
      <c r="A18" s="441">
        <f t="shared" si="0"/>
        <v>43327</v>
      </c>
      <c r="B18" s="442">
        <f t="shared" si="7"/>
        <v>11</v>
      </c>
      <c r="C18" s="209"/>
      <c r="D18" s="443"/>
      <c r="E18" s="443"/>
      <c r="F18" s="209"/>
      <c r="G18" s="443"/>
      <c r="H18" s="443"/>
      <c r="I18" s="209"/>
      <c r="J18" s="443"/>
      <c r="K18" s="443"/>
      <c r="L18" s="209"/>
      <c r="M18" s="443"/>
      <c r="N18" s="443"/>
      <c r="O18" s="209"/>
      <c r="P18" s="443"/>
      <c r="Q18" s="443"/>
      <c r="R18" s="209"/>
      <c r="S18" s="443"/>
      <c r="T18" s="443"/>
      <c r="U18" s="209"/>
      <c r="V18" s="443"/>
      <c r="W18" s="443"/>
      <c r="X18" s="209"/>
      <c r="Y18" s="443"/>
      <c r="Z18" s="443"/>
      <c r="AA18" s="392" t="str">
        <f t="shared" si="1"/>
        <v/>
      </c>
      <c r="AB18" s="383" t="str">
        <f t="shared" si="2"/>
        <v/>
      </c>
      <c r="AC18" s="440" t="str">
        <f t="shared" si="3"/>
        <v/>
      </c>
      <c r="AD18" s="209"/>
      <c r="AE18" s="443"/>
      <c r="AF18" s="443"/>
      <c r="AG18" s="209"/>
      <c r="AH18" s="443"/>
      <c r="AI18" s="443"/>
      <c r="AJ18" s="209"/>
      <c r="AK18" s="443"/>
      <c r="AL18" s="443"/>
      <c r="AM18" s="209"/>
      <c r="AN18" s="443"/>
      <c r="AO18" s="443"/>
      <c r="AP18" s="209"/>
      <c r="AQ18" s="443"/>
      <c r="AR18" s="443"/>
      <c r="AS18" s="209"/>
      <c r="AT18" s="443"/>
      <c r="AU18" s="443"/>
      <c r="AV18" s="209"/>
      <c r="AW18" s="443"/>
      <c r="AX18" s="443"/>
      <c r="AY18" s="209"/>
      <c r="AZ18" s="443"/>
      <c r="BA18" s="443"/>
      <c r="BB18" s="392" t="str">
        <f t="shared" si="4"/>
        <v/>
      </c>
      <c r="BC18" s="383" t="str">
        <f t="shared" si="5"/>
        <v/>
      </c>
      <c r="BD18" s="440" t="str">
        <f t="shared" si="6"/>
        <v/>
      </c>
    </row>
    <row r="19" spans="1:56" ht="24" customHeight="1" x14ac:dyDescent="0.2">
      <c r="A19" s="441">
        <f t="shared" si="0"/>
        <v>43334</v>
      </c>
      <c r="B19" s="442">
        <f t="shared" si="7"/>
        <v>12</v>
      </c>
      <c r="C19" s="209"/>
      <c r="D19" s="443"/>
      <c r="E19" s="443"/>
      <c r="F19" s="209"/>
      <c r="G19" s="443"/>
      <c r="H19" s="443"/>
      <c r="I19" s="209"/>
      <c r="J19" s="443"/>
      <c r="K19" s="443"/>
      <c r="L19" s="209"/>
      <c r="M19" s="443"/>
      <c r="N19" s="443"/>
      <c r="O19" s="209"/>
      <c r="P19" s="443"/>
      <c r="Q19" s="443"/>
      <c r="R19" s="209"/>
      <c r="S19" s="443"/>
      <c r="T19" s="443"/>
      <c r="U19" s="209"/>
      <c r="V19" s="443"/>
      <c r="W19" s="443"/>
      <c r="X19" s="209"/>
      <c r="Y19" s="443"/>
      <c r="Z19" s="443"/>
      <c r="AA19" s="392" t="str">
        <f t="shared" si="1"/>
        <v/>
      </c>
      <c r="AB19" s="383" t="str">
        <f t="shared" si="2"/>
        <v/>
      </c>
      <c r="AC19" s="440" t="str">
        <f t="shared" si="3"/>
        <v/>
      </c>
      <c r="AD19" s="209"/>
      <c r="AE19" s="443"/>
      <c r="AF19" s="443"/>
      <c r="AG19" s="209"/>
      <c r="AH19" s="443"/>
      <c r="AI19" s="443"/>
      <c r="AJ19" s="209"/>
      <c r="AK19" s="443"/>
      <c r="AL19" s="443"/>
      <c r="AM19" s="209"/>
      <c r="AN19" s="443"/>
      <c r="AO19" s="443"/>
      <c r="AP19" s="209"/>
      <c r="AQ19" s="443"/>
      <c r="AR19" s="443"/>
      <c r="AS19" s="209"/>
      <c r="AT19" s="443"/>
      <c r="AU19" s="443"/>
      <c r="AV19" s="209"/>
      <c r="AW19" s="443"/>
      <c r="AX19" s="443"/>
      <c r="AY19" s="209"/>
      <c r="AZ19" s="443"/>
      <c r="BA19" s="443"/>
      <c r="BB19" s="392" t="str">
        <f t="shared" si="4"/>
        <v/>
      </c>
      <c r="BC19" s="383" t="str">
        <f t="shared" si="5"/>
        <v/>
      </c>
      <c r="BD19" s="440" t="str">
        <f t="shared" si="6"/>
        <v/>
      </c>
    </row>
    <row r="20" spans="1:56" ht="24" customHeight="1" x14ac:dyDescent="0.2">
      <c r="A20" s="441">
        <f t="shared" si="0"/>
        <v>43341</v>
      </c>
      <c r="B20" s="442">
        <f t="shared" si="7"/>
        <v>13</v>
      </c>
      <c r="C20" s="209"/>
      <c r="D20" s="443"/>
      <c r="E20" s="443"/>
      <c r="F20" s="209"/>
      <c r="G20" s="443"/>
      <c r="H20" s="443"/>
      <c r="I20" s="209"/>
      <c r="J20" s="443"/>
      <c r="K20" s="443"/>
      <c r="L20" s="209"/>
      <c r="M20" s="443"/>
      <c r="N20" s="443"/>
      <c r="O20" s="209"/>
      <c r="P20" s="443"/>
      <c r="Q20" s="443"/>
      <c r="R20" s="209"/>
      <c r="S20" s="443"/>
      <c r="T20" s="443"/>
      <c r="U20" s="209"/>
      <c r="V20" s="443"/>
      <c r="W20" s="443"/>
      <c r="X20" s="209"/>
      <c r="Y20" s="443"/>
      <c r="Z20" s="443"/>
      <c r="AA20" s="392" t="str">
        <f t="shared" si="1"/>
        <v/>
      </c>
      <c r="AB20" s="383" t="str">
        <f t="shared" si="2"/>
        <v/>
      </c>
      <c r="AC20" s="440" t="str">
        <f t="shared" si="3"/>
        <v/>
      </c>
      <c r="AD20" s="209"/>
      <c r="AE20" s="443"/>
      <c r="AF20" s="443"/>
      <c r="AG20" s="209"/>
      <c r="AH20" s="443"/>
      <c r="AI20" s="443"/>
      <c r="AJ20" s="209"/>
      <c r="AK20" s="443"/>
      <c r="AL20" s="443"/>
      <c r="AM20" s="209"/>
      <c r="AN20" s="443"/>
      <c r="AO20" s="443"/>
      <c r="AP20" s="209"/>
      <c r="AQ20" s="443"/>
      <c r="AR20" s="443"/>
      <c r="AS20" s="209"/>
      <c r="AT20" s="443"/>
      <c r="AU20" s="443"/>
      <c r="AV20" s="209"/>
      <c r="AW20" s="443"/>
      <c r="AX20" s="443"/>
      <c r="AY20" s="209"/>
      <c r="AZ20" s="443"/>
      <c r="BA20" s="443"/>
      <c r="BB20" s="392" t="str">
        <f t="shared" si="4"/>
        <v/>
      </c>
      <c r="BC20" s="383" t="str">
        <f t="shared" si="5"/>
        <v/>
      </c>
      <c r="BD20" s="440" t="str">
        <f t="shared" si="6"/>
        <v/>
      </c>
    </row>
    <row r="21" spans="1:56" ht="24" customHeight="1" x14ac:dyDescent="0.2">
      <c r="A21" s="441">
        <f t="shared" si="0"/>
        <v>43348</v>
      </c>
      <c r="B21" s="442">
        <f t="shared" si="7"/>
        <v>14</v>
      </c>
      <c r="C21" s="209"/>
      <c r="D21" s="443"/>
      <c r="E21" s="443"/>
      <c r="F21" s="209"/>
      <c r="G21" s="443"/>
      <c r="H21" s="443"/>
      <c r="I21" s="209"/>
      <c r="J21" s="443"/>
      <c r="K21" s="443"/>
      <c r="L21" s="209"/>
      <c r="M21" s="443"/>
      <c r="N21" s="443"/>
      <c r="O21" s="209"/>
      <c r="P21" s="443"/>
      <c r="Q21" s="443"/>
      <c r="R21" s="209"/>
      <c r="S21" s="443"/>
      <c r="T21" s="443"/>
      <c r="U21" s="209"/>
      <c r="V21" s="443"/>
      <c r="W21" s="443"/>
      <c r="X21" s="209"/>
      <c r="Y21" s="443"/>
      <c r="Z21" s="443"/>
      <c r="AA21" s="392" t="str">
        <f t="shared" si="1"/>
        <v/>
      </c>
      <c r="AB21" s="383" t="str">
        <f t="shared" si="2"/>
        <v/>
      </c>
      <c r="AC21" s="440" t="str">
        <f t="shared" si="3"/>
        <v/>
      </c>
      <c r="AD21" s="209"/>
      <c r="AE21" s="443"/>
      <c r="AF21" s="443"/>
      <c r="AG21" s="209"/>
      <c r="AH21" s="443"/>
      <c r="AI21" s="443"/>
      <c r="AJ21" s="209"/>
      <c r="AK21" s="443"/>
      <c r="AL21" s="443"/>
      <c r="AM21" s="209"/>
      <c r="AN21" s="443"/>
      <c r="AO21" s="443"/>
      <c r="AP21" s="209"/>
      <c r="AQ21" s="443"/>
      <c r="AR21" s="443"/>
      <c r="AS21" s="209"/>
      <c r="AT21" s="443"/>
      <c r="AU21" s="443"/>
      <c r="AV21" s="209"/>
      <c r="AW21" s="443"/>
      <c r="AX21" s="443"/>
      <c r="AY21" s="209"/>
      <c r="AZ21" s="443"/>
      <c r="BA21" s="443"/>
      <c r="BB21" s="392" t="str">
        <f t="shared" si="4"/>
        <v/>
      </c>
      <c r="BC21" s="383" t="str">
        <f t="shared" si="5"/>
        <v/>
      </c>
      <c r="BD21" s="440" t="str">
        <f t="shared" si="6"/>
        <v/>
      </c>
    </row>
    <row r="22" spans="1:56" ht="24" customHeight="1" x14ac:dyDescent="0.2">
      <c r="A22" s="441">
        <f t="shared" si="0"/>
        <v>43355</v>
      </c>
      <c r="B22" s="442">
        <f t="shared" si="7"/>
        <v>15</v>
      </c>
      <c r="C22" s="209"/>
      <c r="D22" s="443"/>
      <c r="E22" s="443"/>
      <c r="F22" s="209"/>
      <c r="G22" s="443"/>
      <c r="H22" s="443"/>
      <c r="I22" s="209"/>
      <c r="J22" s="443"/>
      <c r="K22" s="443"/>
      <c r="L22" s="209"/>
      <c r="M22" s="443"/>
      <c r="N22" s="443"/>
      <c r="O22" s="209"/>
      <c r="P22" s="443"/>
      <c r="Q22" s="443"/>
      <c r="R22" s="209"/>
      <c r="S22" s="443"/>
      <c r="T22" s="443"/>
      <c r="U22" s="209"/>
      <c r="V22" s="443"/>
      <c r="W22" s="443"/>
      <c r="X22" s="209"/>
      <c r="Y22" s="443"/>
      <c r="Z22" s="443"/>
      <c r="AA22" s="392" t="str">
        <f t="shared" si="1"/>
        <v/>
      </c>
      <c r="AB22" s="383" t="str">
        <f t="shared" si="2"/>
        <v/>
      </c>
      <c r="AC22" s="440" t="str">
        <f t="shared" si="3"/>
        <v/>
      </c>
      <c r="AD22" s="209"/>
      <c r="AE22" s="443"/>
      <c r="AF22" s="443"/>
      <c r="AG22" s="209"/>
      <c r="AH22" s="443"/>
      <c r="AI22" s="443"/>
      <c r="AJ22" s="209"/>
      <c r="AK22" s="443"/>
      <c r="AL22" s="443"/>
      <c r="AM22" s="209"/>
      <c r="AN22" s="443"/>
      <c r="AO22" s="443"/>
      <c r="AP22" s="209"/>
      <c r="AQ22" s="443"/>
      <c r="AR22" s="443"/>
      <c r="AS22" s="209"/>
      <c r="AT22" s="443"/>
      <c r="AU22" s="443"/>
      <c r="AV22" s="209"/>
      <c r="AW22" s="443"/>
      <c r="AX22" s="443"/>
      <c r="AY22" s="209"/>
      <c r="AZ22" s="443"/>
      <c r="BA22" s="443"/>
      <c r="BB22" s="392" t="str">
        <f t="shared" si="4"/>
        <v/>
      </c>
      <c r="BC22" s="383" t="str">
        <f t="shared" si="5"/>
        <v/>
      </c>
      <c r="BD22" s="440" t="str">
        <f t="shared" si="6"/>
        <v/>
      </c>
    </row>
    <row r="23" spans="1:56" ht="24" customHeight="1" x14ac:dyDescent="0.2">
      <c r="A23" s="441">
        <f t="shared" si="0"/>
        <v>43362</v>
      </c>
      <c r="B23" s="442">
        <f t="shared" si="7"/>
        <v>16</v>
      </c>
      <c r="C23" s="209"/>
      <c r="D23" s="443"/>
      <c r="E23" s="443"/>
      <c r="F23" s="209"/>
      <c r="G23" s="443"/>
      <c r="H23" s="443"/>
      <c r="I23" s="209"/>
      <c r="J23" s="443"/>
      <c r="K23" s="443"/>
      <c r="L23" s="209"/>
      <c r="M23" s="443"/>
      <c r="N23" s="443"/>
      <c r="O23" s="209"/>
      <c r="P23" s="443"/>
      <c r="Q23" s="443"/>
      <c r="R23" s="209"/>
      <c r="S23" s="443"/>
      <c r="T23" s="443"/>
      <c r="U23" s="209"/>
      <c r="V23" s="443"/>
      <c r="W23" s="443"/>
      <c r="X23" s="209"/>
      <c r="Y23" s="443"/>
      <c r="Z23" s="443"/>
      <c r="AA23" s="392" t="str">
        <f t="shared" si="1"/>
        <v/>
      </c>
      <c r="AB23" s="383" t="str">
        <f t="shared" si="2"/>
        <v/>
      </c>
      <c r="AC23" s="440" t="str">
        <f t="shared" si="3"/>
        <v/>
      </c>
      <c r="AD23" s="209"/>
      <c r="AE23" s="443"/>
      <c r="AF23" s="443"/>
      <c r="AG23" s="209"/>
      <c r="AH23" s="443"/>
      <c r="AI23" s="443"/>
      <c r="AJ23" s="209"/>
      <c r="AK23" s="443"/>
      <c r="AL23" s="443"/>
      <c r="AM23" s="209"/>
      <c r="AN23" s="443"/>
      <c r="AO23" s="443"/>
      <c r="AP23" s="209"/>
      <c r="AQ23" s="443"/>
      <c r="AR23" s="443"/>
      <c r="AS23" s="209"/>
      <c r="AT23" s="443"/>
      <c r="AU23" s="443"/>
      <c r="AV23" s="209"/>
      <c r="AW23" s="443"/>
      <c r="AX23" s="443"/>
      <c r="AY23" s="209"/>
      <c r="AZ23" s="443"/>
      <c r="BA23" s="443"/>
      <c r="BB23" s="392" t="str">
        <f t="shared" si="4"/>
        <v/>
      </c>
      <c r="BC23" s="383" t="str">
        <f t="shared" si="5"/>
        <v/>
      </c>
      <c r="BD23" s="440" t="str">
        <f t="shared" si="6"/>
        <v/>
      </c>
    </row>
    <row r="24" spans="1:56" ht="24" customHeight="1" x14ac:dyDescent="0.2">
      <c r="A24" s="441">
        <f t="shared" si="0"/>
        <v>43369</v>
      </c>
      <c r="B24" s="442">
        <f t="shared" si="7"/>
        <v>17</v>
      </c>
      <c r="C24" s="209"/>
      <c r="D24" s="443"/>
      <c r="E24" s="443"/>
      <c r="F24" s="209"/>
      <c r="G24" s="443"/>
      <c r="H24" s="443"/>
      <c r="I24" s="209"/>
      <c r="J24" s="443"/>
      <c r="K24" s="443"/>
      <c r="L24" s="209"/>
      <c r="M24" s="443"/>
      <c r="N24" s="443"/>
      <c r="O24" s="209"/>
      <c r="P24" s="443"/>
      <c r="Q24" s="443"/>
      <c r="R24" s="209"/>
      <c r="S24" s="443"/>
      <c r="T24" s="443"/>
      <c r="U24" s="209"/>
      <c r="V24" s="443"/>
      <c r="W24" s="443"/>
      <c r="X24" s="209"/>
      <c r="Y24" s="443"/>
      <c r="Z24" s="443"/>
      <c r="AA24" s="392" t="str">
        <f t="shared" si="1"/>
        <v/>
      </c>
      <c r="AB24" s="383" t="str">
        <f t="shared" si="2"/>
        <v/>
      </c>
      <c r="AC24" s="440" t="str">
        <f t="shared" si="3"/>
        <v/>
      </c>
      <c r="AD24" s="209"/>
      <c r="AE24" s="443"/>
      <c r="AF24" s="443"/>
      <c r="AG24" s="209"/>
      <c r="AH24" s="443"/>
      <c r="AI24" s="443"/>
      <c r="AJ24" s="209"/>
      <c r="AK24" s="443"/>
      <c r="AL24" s="443"/>
      <c r="AM24" s="209"/>
      <c r="AN24" s="443"/>
      <c r="AO24" s="443"/>
      <c r="AP24" s="209"/>
      <c r="AQ24" s="443"/>
      <c r="AR24" s="443"/>
      <c r="AS24" s="209"/>
      <c r="AT24" s="443"/>
      <c r="AU24" s="443"/>
      <c r="AV24" s="209"/>
      <c r="AW24" s="443"/>
      <c r="AX24" s="443"/>
      <c r="AY24" s="209"/>
      <c r="AZ24" s="443"/>
      <c r="BA24" s="443"/>
      <c r="BB24" s="392" t="str">
        <f t="shared" si="4"/>
        <v/>
      </c>
      <c r="BC24" s="383" t="str">
        <f t="shared" si="5"/>
        <v/>
      </c>
      <c r="BD24" s="440" t="str">
        <f t="shared" si="6"/>
        <v/>
      </c>
    </row>
    <row r="25" spans="1:56" ht="24" customHeight="1" x14ac:dyDescent="0.2">
      <c r="A25" s="441">
        <f>A24+7</f>
        <v>43376</v>
      </c>
      <c r="B25" s="442">
        <f t="shared" si="7"/>
        <v>18</v>
      </c>
      <c r="C25" s="209"/>
      <c r="D25" s="443"/>
      <c r="E25" s="443"/>
      <c r="F25" s="209"/>
      <c r="G25" s="443"/>
      <c r="H25" s="443"/>
      <c r="I25" s="209"/>
      <c r="J25" s="443"/>
      <c r="K25" s="443"/>
      <c r="L25" s="209"/>
      <c r="M25" s="443"/>
      <c r="N25" s="443"/>
      <c r="O25" s="209"/>
      <c r="P25" s="443"/>
      <c r="Q25" s="443"/>
      <c r="R25" s="209"/>
      <c r="S25" s="443"/>
      <c r="T25" s="443"/>
      <c r="U25" s="209"/>
      <c r="V25" s="443"/>
      <c r="W25" s="443"/>
      <c r="X25" s="209"/>
      <c r="Y25" s="443"/>
      <c r="Z25" s="443"/>
      <c r="AA25" s="392" t="str">
        <f t="shared" si="1"/>
        <v/>
      </c>
      <c r="AB25" s="383" t="str">
        <f t="shared" si="2"/>
        <v/>
      </c>
      <c r="AC25" s="440" t="str">
        <f t="shared" si="3"/>
        <v/>
      </c>
      <c r="AD25" s="209"/>
      <c r="AE25" s="443"/>
      <c r="AF25" s="443"/>
      <c r="AG25" s="209"/>
      <c r="AH25" s="443"/>
      <c r="AI25" s="443"/>
      <c r="AJ25" s="209"/>
      <c r="AK25" s="443"/>
      <c r="AL25" s="443"/>
      <c r="AM25" s="209"/>
      <c r="AN25" s="443"/>
      <c r="AO25" s="443"/>
      <c r="AP25" s="209"/>
      <c r="AQ25" s="443"/>
      <c r="AR25" s="443"/>
      <c r="AS25" s="209"/>
      <c r="AT25" s="443"/>
      <c r="AU25" s="443"/>
      <c r="AV25" s="209"/>
      <c r="AW25" s="443"/>
      <c r="AX25" s="443"/>
      <c r="AY25" s="209"/>
      <c r="AZ25" s="443"/>
      <c r="BA25" s="443"/>
      <c r="BB25" s="392" t="str">
        <f t="shared" si="4"/>
        <v/>
      </c>
      <c r="BC25" s="383" t="str">
        <f t="shared" si="5"/>
        <v/>
      </c>
      <c r="BD25" s="440" t="str">
        <f t="shared" si="6"/>
        <v/>
      </c>
    </row>
    <row r="26" spans="1:56" ht="24" customHeight="1" x14ac:dyDescent="0.2">
      <c r="A26" s="441">
        <f>A25+7</f>
        <v>43383</v>
      </c>
      <c r="B26" s="442">
        <f>+B25+1</f>
        <v>19</v>
      </c>
      <c r="C26" s="209"/>
      <c r="D26" s="443"/>
      <c r="E26" s="443"/>
      <c r="F26" s="209"/>
      <c r="G26" s="443"/>
      <c r="H26" s="443"/>
      <c r="I26" s="209"/>
      <c r="J26" s="443"/>
      <c r="K26" s="443"/>
      <c r="L26" s="209"/>
      <c r="M26" s="443"/>
      <c r="N26" s="443"/>
      <c r="O26" s="209"/>
      <c r="P26" s="443"/>
      <c r="Q26" s="443"/>
      <c r="R26" s="209"/>
      <c r="S26" s="443"/>
      <c r="T26" s="443"/>
      <c r="U26" s="209"/>
      <c r="V26" s="443"/>
      <c r="W26" s="443"/>
      <c r="X26" s="209"/>
      <c r="Y26" s="443"/>
      <c r="Z26" s="443"/>
      <c r="AA26" s="392" t="str">
        <f t="shared" si="1"/>
        <v/>
      </c>
      <c r="AB26" s="383" t="str">
        <f t="shared" si="2"/>
        <v/>
      </c>
      <c r="AC26" s="440" t="str">
        <f t="shared" si="3"/>
        <v/>
      </c>
      <c r="AD26" s="209"/>
      <c r="AE26" s="443"/>
      <c r="AF26" s="443"/>
      <c r="AG26" s="209"/>
      <c r="AH26" s="443"/>
      <c r="AI26" s="443"/>
      <c r="AJ26" s="209"/>
      <c r="AK26" s="443"/>
      <c r="AL26" s="443"/>
      <c r="AM26" s="209"/>
      <c r="AN26" s="443"/>
      <c r="AO26" s="443"/>
      <c r="AP26" s="209"/>
      <c r="AQ26" s="443"/>
      <c r="AR26" s="443"/>
      <c r="AS26" s="209"/>
      <c r="AT26" s="443"/>
      <c r="AU26" s="443"/>
      <c r="AV26" s="209"/>
      <c r="AW26" s="443"/>
      <c r="AX26" s="443"/>
      <c r="AY26" s="209"/>
      <c r="AZ26" s="443"/>
      <c r="BA26" s="443"/>
      <c r="BB26" s="392" t="str">
        <f t="shared" si="4"/>
        <v/>
      </c>
      <c r="BC26" s="383" t="str">
        <f t="shared" si="5"/>
        <v/>
      </c>
      <c r="BD26" s="440" t="str">
        <f t="shared" si="6"/>
        <v/>
      </c>
    </row>
    <row r="27" spans="1:56" ht="24" customHeight="1" x14ac:dyDescent="0.2">
      <c r="A27" s="441">
        <f>A26+7</f>
        <v>43390</v>
      </c>
      <c r="B27" s="442">
        <f>+B26+1</f>
        <v>20</v>
      </c>
      <c r="C27" s="209"/>
      <c r="D27" s="443"/>
      <c r="E27" s="443"/>
      <c r="F27" s="209"/>
      <c r="G27" s="443"/>
      <c r="H27" s="443"/>
      <c r="I27" s="209"/>
      <c r="J27" s="443"/>
      <c r="K27" s="443"/>
      <c r="L27" s="209"/>
      <c r="M27" s="443"/>
      <c r="N27" s="443"/>
      <c r="O27" s="209"/>
      <c r="P27" s="443"/>
      <c r="Q27" s="443"/>
      <c r="R27" s="209"/>
      <c r="S27" s="443"/>
      <c r="T27" s="443"/>
      <c r="U27" s="209"/>
      <c r="V27" s="443"/>
      <c r="W27" s="443"/>
      <c r="X27" s="209"/>
      <c r="Y27" s="443"/>
      <c r="Z27" s="443"/>
      <c r="AA27" s="392" t="str">
        <f t="shared" si="1"/>
        <v/>
      </c>
      <c r="AB27" s="383" t="str">
        <f t="shared" si="2"/>
        <v/>
      </c>
      <c r="AC27" s="440" t="str">
        <f t="shared" si="3"/>
        <v/>
      </c>
      <c r="AD27" s="209"/>
      <c r="AE27" s="443"/>
      <c r="AF27" s="443"/>
      <c r="AG27" s="209"/>
      <c r="AH27" s="443"/>
      <c r="AI27" s="443"/>
      <c r="AJ27" s="209"/>
      <c r="AK27" s="443"/>
      <c r="AL27" s="443"/>
      <c r="AM27" s="209"/>
      <c r="AN27" s="443"/>
      <c r="AO27" s="443"/>
      <c r="AP27" s="209"/>
      <c r="AQ27" s="443"/>
      <c r="AR27" s="443"/>
      <c r="AS27" s="209"/>
      <c r="AT27" s="443"/>
      <c r="AU27" s="443"/>
      <c r="AV27" s="209"/>
      <c r="AW27" s="443"/>
      <c r="AX27" s="443"/>
      <c r="AY27" s="209"/>
      <c r="AZ27" s="443"/>
      <c r="BA27" s="443"/>
      <c r="BB27" s="392" t="str">
        <f t="shared" si="4"/>
        <v/>
      </c>
      <c r="BC27" s="383" t="str">
        <f t="shared" si="5"/>
        <v/>
      </c>
      <c r="BD27" s="440" t="str">
        <f t="shared" si="6"/>
        <v/>
      </c>
    </row>
    <row r="28" spans="1:56" ht="24" customHeight="1" x14ac:dyDescent="0.2">
      <c r="A28" s="441">
        <f>A27+7</f>
        <v>43397</v>
      </c>
      <c r="B28" s="442">
        <f>+B27+1</f>
        <v>21</v>
      </c>
      <c r="C28" s="209"/>
      <c r="D28" s="443"/>
      <c r="E28" s="443"/>
      <c r="F28" s="209"/>
      <c r="G28" s="443"/>
      <c r="H28" s="443"/>
      <c r="I28" s="209"/>
      <c r="J28" s="443"/>
      <c r="K28" s="443"/>
      <c r="L28" s="209"/>
      <c r="M28" s="443"/>
      <c r="N28" s="443"/>
      <c r="O28" s="209"/>
      <c r="P28" s="443"/>
      <c r="Q28" s="443"/>
      <c r="R28" s="209"/>
      <c r="S28" s="443"/>
      <c r="T28" s="443"/>
      <c r="U28" s="209"/>
      <c r="V28" s="443"/>
      <c r="W28" s="443"/>
      <c r="X28" s="209"/>
      <c r="Y28" s="443"/>
      <c r="Z28" s="443"/>
      <c r="AA28" s="392" t="str">
        <f t="shared" si="1"/>
        <v/>
      </c>
      <c r="AB28" s="383" t="str">
        <f t="shared" si="2"/>
        <v/>
      </c>
      <c r="AC28" s="440" t="str">
        <f t="shared" si="3"/>
        <v/>
      </c>
      <c r="AD28" s="209"/>
      <c r="AE28" s="443"/>
      <c r="AF28" s="443"/>
      <c r="AG28" s="209"/>
      <c r="AH28" s="443"/>
      <c r="AI28" s="443"/>
      <c r="AJ28" s="209"/>
      <c r="AK28" s="443"/>
      <c r="AL28" s="443"/>
      <c r="AM28" s="209"/>
      <c r="AN28" s="443"/>
      <c r="AO28" s="443"/>
      <c r="AP28" s="209"/>
      <c r="AQ28" s="443"/>
      <c r="AR28" s="443"/>
      <c r="AS28" s="209"/>
      <c r="AT28" s="443"/>
      <c r="AU28" s="443"/>
      <c r="AV28" s="209"/>
      <c r="AW28" s="443"/>
      <c r="AX28" s="443"/>
      <c r="AY28" s="209"/>
      <c r="AZ28" s="443"/>
      <c r="BA28" s="443"/>
      <c r="BB28" s="392" t="str">
        <f t="shared" si="4"/>
        <v/>
      </c>
      <c r="BC28" s="383" t="str">
        <f t="shared" si="5"/>
        <v/>
      </c>
      <c r="BD28" s="440" t="str">
        <f t="shared" si="6"/>
        <v/>
      </c>
    </row>
    <row r="29" spans="1:56" ht="24" customHeight="1" thickBot="1" x14ac:dyDescent="0.25">
      <c r="A29" s="444">
        <f>A28+7</f>
        <v>43404</v>
      </c>
      <c r="B29" s="445">
        <f>+B28+1</f>
        <v>22</v>
      </c>
      <c r="C29" s="211"/>
      <c r="D29" s="446"/>
      <c r="E29" s="446"/>
      <c r="F29" s="211"/>
      <c r="G29" s="446"/>
      <c r="H29" s="446"/>
      <c r="I29" s="211"/>
      <c r="J29" s="446"/>
      <c r="K29" s="446"/>
      <c r="L29" s="211"/>
      <c r="M29" s="446"/>
      <c r="N29" s="446"/>
      <c r="O29" s="211"/>
      <c r="P29" s="446"/>
      <c r="Q29" s="446"/>
      <c r="R29" s="211"/>
      <c r="S29" s="446"/>
      <c r="T29" s="446"/>
      <c r="U29" s="211"/>
      <c r="V29" s="446"/>
      <c r="W29" s="446"/>
      <c r="X29" s="211"/>
      <c r="Y29" s="446"/>
      <c r="Z29" s="446"/>
      <c r="AA29" s="392" t="str">
        <f t="shared" si="1"/>
        <v/>
      </c>
      <c r="AB29" s="383" t="str">
        <f t="shared" si="2"/>
        <v/>
      </c>
      <c r="AC29" s="440" t="str">
        <f t="shared" si="3"/>
        <v/>
      </c>
      <c r="AD29" s="211"/>
      <c r="AE29" s="446"/>
      <c r="AF29" s="446"/>
      <c r="AG29" s="211"/>
      <c r="AH29" s="446"/>
      <c r="AI29" s="446"/>
      <c r="AJ29" s="211"/>
      <c r="AK29" s="446"/>
      <c r="AL29" s="446"/>
      <c r="AM29" s="211"/>
      <c r="AN29" s="446"/>
      <c r="AO29" s="446"/>
      <c r="AP29" s="211"/>
      <c r="AQ29" s="446"/>
      <c r="AR29" s="446"/>
      <c r="AS29" s="211"/>
      <c r="AT29" s="446"/>
      <c r="AU29" s="446"/>
      <c r="AV29" s="211"/>
      <c r="AW29" s="446"/>
      <c r="AX29" s="446"/>
      <c r="AY29" s="211"/>
      <c r="AZ29" s="446"/>
      <c r="BA29" s="446"/>
      <c r="BB29" s="392" t="str">
        <f t="shared" si="4"/>
        <v/>
      </c>
      <c r="BC29" s="383" t="str">
        <f t="shared" si="5"/>
        <v/>
      </c>
      <c r="BD29" s="440" t="str">
        <f t="shared" si="6"/>
        <v/>
      </c>
    </row>
    <row r="30" spans="1:56" ht="13.5" thickTop="1" x14ac:dyDescent="0.2"/>
  </sheetData>
  <mergeCells count="17">
    <mergeCell ref="C4:E4"/>
    <mergeCell ref="D5:E5"/>
    <mergeCell ref="G5:H5"/>
    <mergeCell ref="AD4:AF4"/>
    <mergeCell ref="S5:T5"/>
    <mergeCell ref="P5:Q5"/>
    <mergeCell ref="M5:N5"/>
    <mergeCell ref="J5:K5"/>
    <mergeCell ref="V5:W5"/>
    <mergeCell ref="Y5:Z5"/>
    <mergeCell ref="BB5:BD5"/>
    <mergeCell ref="AA5:AC5"/>
    <mergeCell ref="P1:Q1"/>
    <mergeCell ref="P2:Q2"/>
    <mergeCell ref="AB2:AC2"/>
    <mergeCell ref="P3:Q3"/>
    <mergeCell ref="AB3:AC3"/>
  </mergeCells>
  <phoneticPr fontId="17" type="noConversion"/>
  <printOptions horizontalCentered="1"/>
  <pageMargins left="0.39370078740157483" right="0" top="0.98425196850393704" bottom="0.98425196850393704" header="0" footer="0"/>
  <pageSetup paperSize="9" scale="70" orientation="portrait" horizontalDpi="360" verticalDpi="360" r:id="rId1"/>
  <headerFooter alignWithMargins="0">
    <oddFooter>&amp;L&amp;6&amp;F&amp;C&amp;8Preparado por COBB Española&amp;D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3"/>
    <pageSetUpPr fitToPage="1"/>
  </sheetPr>
  <dimension ref="A1:Z30"/>
  <sheetViews>
    <sheetView showGridLines="0" defaultGridColor="0" colorId="55" zoomScale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T17" sqref="T17"/>
    </sheetView>
  </sheetViews>
  <sheetFormatPr baseColWidth="10" defaultColWidth="9.140625" defaultRowHeight="12.75" x14ac:dyDescent="0.2"/>
  <cols>
    <col min="1" max="1" width="10.5703125" customWidth="1"/>
    <col min="2" max="2" width="7" style="1" customWidth="1"/>
    <col min="3" max="16" width="9.42578125" customWidth="1"/>
    <col min="17" max="18" width="10.140625" customWidth="1"/>
    <col min="19" max="19" width="3.7109375" customWidth="1"/>
    <col min="20" max="20" width="30.7109375" customWidth="1"/>
    <col min="21" max="21" width="12.42578125" bestFit="1" customWidth="1"/>
    <col min="22" max="22" width="11" bestFit="1" customWidth="1"/>
    <col min="23" max="23" width="10.5703125" bestFit="1" customWidth="1"/>
    <col min="24" max="24" width="10.28515625" bestFit="1" customWidth="1"/>
  </cols>
  <sheetData>
    <row r="1" spans="1:26" ht="24.95" customHeight="1" x14ac:dyDescent="0.25">
      <c r="A1" s="20" t="s">
        <v>69</v>
      </c>
      <c r="B1" s="21"/>
      <c r="C1" s="22"/>
      <c r="D1" s="22" t="str">
        <f>IF(LOT!$B$3="","",LOT!$B$3)</f>
        <v>CASAP-BLIDA</v>
      </c>
      <c r="E1" s="23"/>
      <c r="F1" s="21"/>
      <c r="G1" s="21"/>
      <c r="H1" s="22"/>
      <c r="I1" s="22"/>
      <c r="J1" s="24" t="s">
        <v>70</v>
      </c>
      <c r="K1" s="25"/>
      <c r="L1" s="21"/>
      <c r="M1" s="298">
        <f>IF(LOT!$B$4="","",LOT!$B$4)</f>
        <v>43250</v>
      </c>
      <c r="N1" s="22"/>
      <c r="O1" s="16"/>
      <c r="P1" s="16"/>
      <c r="Q1" s="22"/>
      <c r="R1" s="22"/>
      <c r="S1" s="18"/>
      <c r="T1" s="18"/>
      <c r="U1" s="18"/>
    </row>
    <row r="2" spans="1:26" ht="24.95" customHeight="1" x14ac:dyDescent="0.25">
      <c r="A2" s="24" t="s">
        <v>73</v>
      </c>
      <c r="B2" s="21"/>
      <c r="C2" s="22"/>
      <c r="D2" s="22" t="str">
        <f>IF(LOT!$B$7="","",LOT!$B$7)</f>
        <v>AIN OUSSERA-ALGERIE</v>
      </c>
      <c r="E2" s="22"/>
      <c r="F2" s="21"/>
      <c r="G2" s="21"/>
      <c r="H2" s="22"/>
      <c r="I2" s="22"/>
      <c r="J2" s="24" t="s">
        <v>134</v>
      </c>
      <c r="K2" s="24"/>
      <c r="L2" s="21"/>
      <c r="M2" s="309">
        <f>IF(LOT!$B$5="","",LOT!$B$5)</f>
        <v>7872</v>
      </c>
      <c r="N2" s="22"/>
      <c r="O2" s="600" t="s">
        <v>136</v>
      </c>
      <c r="P2" s="600"/>
      <c r="Q2" s="22"/>
      <c r="R2" s="309">
        <f>IF(M2="","",M2-SUM(C8:C29))</f>
        <v>7695</v>
      </c>
      <c r="S2" s="18"/>
      <c r="T2" s="18"/>
      <c r="U2" s="18"/>
    </row>
    <row r="3" spans="1:26" ht="24.95" customHeight="1" x14ac:dyDescent="0.25">
      <c r="A3" s="24" t="s">
        <v>74</v>
      </c>
      <c r="B3" s="21"/>
      <c r="C3" s="22"/>
      <c r="D3" s="22" t="str">
        <f>IF(LOT!$B$8="","",LOT!$B$8)</f>
        <v/>
      </c>
      <c r="E3" s="22"/>
      <c r="F3" s="21"/>
      <c r="G3" s="21"/>
      <c r="H3" s="21"/>
      <c r="I3" s="21"/>
      <c r="J3" s="24" t="s">
        <v>135</v>
      </c>
      <c r="K3" s="24"/>
      <c r="L3" s="22"/>
      <c r="M3" s="309">
        <f>IF(LOT!$B$6="","",LOT!$B$6)</f>
        <v>1200</v>
      </c>
      <c r="N3" s="22"/>
      <c r="O3" s="600" t="s">
        <v>137</v>
      </c>
      <c r="P3" s="600"/>
      <c r="Q3" s="22"/>
      <c r="R3" s="309">
        <f>IF(M3="","",M3-SUM(J8:J29))</f>
        <v>1156</v>
      </c>
      <c r="S3" s="18"/>
      <c r="T3" s="18"/>
      <c r="U3" s="18"/>
    </row>
    <row r="4" spans="1:26" ht="15" customHeight="1" thickBot="1" x14ac:dyDescent="0.25">
      <c r="Q4" s="18"/>
      <c r="R4" s="18"/>
      <c r="S4" s="18"/>
      <c r="T4" s="18"/>
      <c r="U4" s="18"/>
    </row>
    <row r="5" spans="1:26" ht="24.95" customHeight="1" thickTop="1" thickBot="1" x14ac:dyDescent="0.3">
      <c r="C5" s="634" t="s">
        <v>138</v>
      </c>
      <c r="D5" s="634"/>
      <c r="E5" s="634"/>
      <c r="F5" s="634"/>
      <c r="G5" s="634"/>
      <c r="H5" s="634"/>
      <c r="I5" s="634"/>
      <c r="J5" s="634" t="s">
        <v>139</v>
      </c>
      <c r="K5" s="634"/>
      <c r="L5" s="634"/>
      <c r="M5" s="634"/>
      <c r="N5" s="634"/>
      <c r="O5" s="634"/>
      <c r="P5" s="634"/>
      <c r="S5" s="18"/>
      <c r="T5" s="18"/>
      <c r="U5" s="18"/>
    </row>
    <row r="6" spans="1:26" ht="24.95" customHeight="1" thickTop="1" thickBot="1" x14ac:dyDescent="0.25">
      <c r="A6" s="18"/>
      <c r="B6" s="17"/>
      <c r="C6" s="31" t="s">
        <v>140</v>
      </c>
      <c r="D6" s="36" t="s">
        <v>0</v>
      </c>
      <c r="E6" s="37" t="s">
        <v>253</v>
      </c>
      <c r="F6" s="36" t="s">
        <v>253</v>
      </c>
      <c r="G6" s="37" t="s">
        <v>132</v>
      </c>
      <c r="H6" s="81" t="s">
        <v>132</v>
      </c>
      <c r="I6" s="33" t="s">
        <v>0</v>
      </c>
      <c r="J6" s="31" t="s">
        <v>140</v>
      </c>
      <c r="K6" s="36" t="s">
        <v>0</v>
      </c>
      <c r="L6" s="37" t="s">
        <v>253</v>
      </c>
      <c r="M6" s="36" t="s">
        <v>253</v>
      </c>
      <c r="N6" s="37" t="s">
        <v>132</v>
      </c>
      <c r="O6" s="81" t="s">
        <v>132</v>
      </c>
      <c r="P6" s="33" t="s">
        <v>0</v>
      </c>
      <c r="Q6" s="83" t="s">
        <v>254</v>
      </c>
      <c r="R6" s="84" t="s">
        <v>254</v>
      </c>
      <c r="S6" s="17"/>
      <c r="T6" s="285"/>
      <c r="U6" s="42" t="s">
        <v>132</v>
      </c>
      <c r="V6" s="43" t="s">
        <v>132</v>
      </c>
      <c r="W6" s="592" t="s">
        <v>7</v>
      </c>
      <c r="X6" s="593" t="s">
        <v>7</v>
      </c>
      <c r="Y6" s="44"/>
      <c r="Z6" s="44"/>
    </row>
    <row r="7" spans="1:26" ht="24.95" customHeight="1" thickTop="1" thickBot="1" x14ac:dyDescent="0.25">
      <c r="A7" s="53" t="s">
        <v>80</v>
      </c>
      <c r="B7" s="39" t="s">
        <v>79</v>
      </c>
      <c r="C7" s="27" t="s">
        <v>4</v>
      </c>
      <c r="D7" s="28" t="s">
        <v>140</v>
      </c>
      <c r="E7" s="29" t="s">
        <v>3</v>
      </c>
      <c r="F7" s="30" t="s">
        <v>133</v>
      </c>
      <c r="G7" s="29" t="s">
        <v>3</v>
      </c>
      <c r="H7" s="82" t="s">
        <v>133</v>
      </c>
      <c r="I7" s="34" t="s">
        <v>20</v>
      </c>
      <c r="J7" s="32" t="s">
        <v>4</v>
      </c>
      <c r="K7" s="28" t="s">
        <v>140</v>
      </c>
      <c r="L7" s="29" t="s">
        <v>3</v>
      </c>
      <c r="M7" s="30" t="s">
        <v>133</v>
      </c>
      <c r="N7" s="29" t="s">
        <v>3</v>
      </c>
      <c r="O7" s="82" t="s">
        <v>133</v>
      </c>
      <c r="P7" s="34" t="s">
        <v>20</v>
      </c>
      <c r="Q7" s="85" t="s">
        <v>3</v>
      </c>
      <c r="R7" s="86" t="s">
        <v>133</v>
      </c>
      <c r="S7" s="17"/>
      <c r="T7" s="32" t="s">
        <v>141</v>
      </c>
      <c r="U7" s="45" t="s">
        <v>138</v>
      </c>
      <c r="V7" s="46" t="s">
        <v>139</v>
      </c>
      <c r="W7" s="45" t="s">
        <v>138</v>
      </c>
      <c r="X7" s="46" t="s">
        <v>139</v>
      </c>
      <c r="Y7" s="44"/>
      <c r="Z7" s="44"/>
    </row>
    <row r="8" spans="1:26" ht="24" customHeight="1" x14ac:dyDescent="0.2">
      <c r="A8" s="299">
        <f>+M1+7</f>
        <v>43257</v>
      </c>
      <c r="B8" s="136">
        <v>1</v>
      </c>
      <c r="C8" s="209">
        <f>+'Dem-Bat'!AA8</f>
        <v>85</v>
      </c>
      <c r="D8" s="120">
        <f>IF(C8="","",+C8/$M$2)</f>
        <v>1.0797764227642276E-2</v>
      </c>
      <c r="E8" s="119">
        <v>35</v>
      </c>
      <c r="F8" s="262"/>
      <c r="G8" s="119">
        <v>160</v>
      </c>
      <c r="H8" s="295">
        <f>+'Dem-Bat'!AC8</f>
        <v>134.83333333333334</v>
      </c>
      <c r="I8" s="601"/>
      <c r="J8" s="265">
        <f>+'Dem-Bat'!BB8</f>
        <v>20</v>
      </c>
      <c r="K8" s="121">
        <f>IF(J8="","",+J8/$M$3)</f>
        <v>1.6666666666666666E-2</v>
      </c>
      <c r="L8" s="122">
        <v>35</v>
      </c>
      <c r="M8" s="268"/>
      <c r="N8" s="123">
        <v>145</v>
      </c>
      <c r="O8" s="457">
        <f>+'Dem-Bat'!BD8</f>
        <v>173.2</v>
      </c>
      <c r="P8" s="601"/>
      <c r="Q8" s="125">
        <v>24</v>
      </c>
      <c r="R8" s="124">
        <v>24</v>
      </c>
      <c r="T8" s="286"/>
      <c r="U8" s="630" t="str">
        <f>IF(COUNT(Y8:Y13)=0,"",IF(SUM(Y8:Y13)&gt;=1,"SUP STD",IF(SUM(Y8:Y13)&lt;=-1,"BAS STD","EN STD")))</f>
        <v>SUP STD</v>
      </c>
      <c r="V8" s="633" t="str">
        <f>IF(COUNT(Z8:Z13)=0,"",IF(SUM(Z8:Z13)&gt;=1,"SUP STD",IF(SUM(Z8:Z13)&lt;=-1,"BAS STD","EN STD")))</f>
        <v>SUP STD</v>
      </c>
      <c r="W8" s="47">
        <f t="shared" ref="W8:W29" si="0">IF(H8="","",(H8-G8)/G8*100)</f>
        <v>-15.729166666666661</v>
      </c>
      <c r="X8" s="48">
        <f>IF(O8="","",(O8-N8)/N8*100)</f>
        <v>19.448275862068957</v>
      </c>
      <c r="Y8" s="44">
        <f t="shared" ref="Y8:Y29" si="1">IF(H8="","",IF(H8&gt;G8+(G8*5)/100,1,IF(H8&lt;G8-(G8*5)/100,-1,0)))</f>
        <v>-1</v>
      </c>
      <c r="Z8" s="44">
        <f t="shared" ref="Z8:Z29" si="2">IF(O8="","",IF(O8&gt;N8+(O8*5)/100,1,IF(O8&lt;N8-(O8*5)/100,-1,0)))</f>
        <v>1</v>
      </c>
    </row>
    <row r="9" spans="1:26" ht="24" customHeight="1" x14ac:dyDescent="0.2">
      <c r="A9" s="300">
        <f t="shared" ref="A9:A24" si="3">A8+7</f>
        <v>43264</v>
      </c>
      <c r="B9" s="137">
        <f>+B8+1</f>
        <v>2</v>
      </c>
      <c r="C9" s="209">
        <f>+'Dem-Bat'!AA9</f>
        <v>47</v>
      </c>
      <c r="D9" s="126">
        <f>IF(C9="","",SUM($C$8:C9)/$M$2)</f>
        <v>1.676829268292683E-2</v>
      </c>
      <c r="E9" s="127">
        <v>39</v>
      </c>
      <c r="F9" s="262">
        <f>+'Dem-Bat'!AB9</f>
        <v>41</v>
      </c>
      <c r="G9" s="127">
        <v>280</v>
      </c>
      <c r="H9" s="296">
        <f>+'Dem-Bat'!AC9</f>
        <v>326.16666666666669</v>
      </c>
      <c r="I9" s="601"/>
      <c r="J9" s="265">
        <f>+'Dem-Bat'!BB9</f>
        <v>10</v>
      </c>
      <c r="K9" s="126">
        <f>IF(J9="","",SUM($J$8:J9)/$M$3)</f>
        <v>2.5000000000000001E-2</v>
      </c>
      <c r="L9" s="129">
        <v>45</v>
      </c>
      <c r="M9" s="268">
        <f>+'Dem-Bat'!BC9</f>
        <v>47</v>
      </c>
      <c r="N9" s="127">
        <v>340</v>
      </c>
      <c r="O9" s="457">
        <f>+'Dem-Bat'!BD9</f>
        <v>318</v>
      </c>
      <c r="P9" s="601"/>
      <c r="Q9" s="130">
        <v>16</v>
      </c>
      <c r="R9" s="128">
        <v>16</v>
      </c>
      <c r="S9" s="19"/>
      <c r="T9" s="287"/>
      <c r="U9" s="631"/>
      <c r="V9" s="628"/>
      <c r="W9" s="49">
        <f t="shared" si="0"/>
        <v>16.488095238095248</v>
      </c>
      <c r="X9" s="50">
        <f t="shared" ref="X9:X29" si="4">IF(O9="","",(O9-N9)/N9*100)</f>
        <v>-6.4705882352941186</v>
      </c>
      <c r="Y9" s="44">
        <f t="shared" si="1"/>
        <v>1</v>
      </c>
      <c r="Z9" s="44">
        <f t="shared" si="2"/>
        <v>-1</v>
      </c>
    </row>
    <row r="10" spans="1:26" ht="24" customHeight="1" x14ac:dyDescent="0.2">
      <c r="A10" s="300">
        <f t="shared" si="3"/>
        <v>43271</v>
      </c>
      <c r="B10" s="137">
        <f t="shared" ref="B10:B25" si="5">+B9+1</f>
        <v>3</v>
      </c>
      <c r="C10" s="209">
        <f>+'Dem-Bat'!AA10</f>
        <v>17</v>
      </c>
      <c r="D10" s="126">
        <f>IF(C10="","",SUM($C$8:C10)/$M$2)</f>
        <v>1.8927845528455285E-2</v>
      </c>
      <c r="E10" s="127">
        <v>42</v>
      </c>
      <c r="F10" s="262">
        <f>+'Dem-Bat'!AB10</f>
        <v>44</v>
      </c>
      <c r="G10" s="127">
        <v>400</v>
      </c>
      <c r="H10" s="296">
        <f>+'Dem-Bat'!AC10</f>
        <v>504</v>
      </c>
      <c r="I10" s="601"/>
      <c r="J10" s="265">
        <f>+'Dem-Bat'!BB10</f>
        <v>8</v>
      </c>
      <c r="K10" s="126">
        <f>IF(J10="","",SUM($J$8:J10)/$M$3)</f>
        <v>3.1666666666666669E-2</v>
      </c>
      <c r="L10" s="129">
        <v>60</v>
      </c>
      <c r="M10" s="268">
        <f>+'Dem-Bat'!BC10</f>
        <v>60</v>
      </c>
      <c r="N10" s="127">
        <v>520</v>
      </c>
      <c r="O10" s="457">
        <f>+'Dem-Bat'!BD10</f>
        <v>600</v>
      </c>
      <c r="P10" s="601"/>
      <c r="Q10" s="130">
        <v>12</v>
      </c>
      <c r="R10" s="128">
        <v>12</v>
      </c>
      <c r="S10" s="19"/>
      <c r="T10" s="287"/>
      <c r="U10" s="631"/>
      <c r="V10" s="628"/>
      <c r="W10" s="49">
        <f t="shared" si="0"/>
        <v>26</v>
      </c>
      <c r="X10" s="50">
        <f t="shared" si="4"/>
        <v>15.384615384615385</v>
      </c>
      <c r="Y10" s="44">
        <f t="shared" si="1"/>
        <v>1</v>
      </c>
      <c r="Z10" s="44">
        <f t="shared" si="2"/>
        <v>1</v>
      </c>
    </row>
    <row r="11" spans="1:26" ht="24" customHeight="1" x14ac:dyDescent="0.2">
      <c r="A11" s="300">
        <f t="shared" si="3"/>
        <v>43278</v>
      </c>
      <c r="B11" s="137">
        <f t="shared" si="5"/>
        <v>4</v>
      </c>
      <c r="C11" s="209">
        <f>+'Dem-Bat'!AA11</f>
        <v>6</v>
      </c>
      <c r="D11" s="126">
        <f>IF(C11="","",SUM($C$8:C11)/$M$2)</f>
        <v>1.9690040650406505E-2</v>
      </c>
      <c r="E11" s="127">
        <v>45</v>
      </c>
      <c r="F11" s="262">
        <f>+'Dem-Bat'!AB11</f>
        <v>47</v>
      </c>
      <c r="G11" s="127">
        <v>520</v>
      </c>
      <c r="H11" s="296">
        <f>+'Dem-Bat'!AC11</f>
        <v>562</v>
      </c>
      <c r="I11" s="601"/>
      <c r="J11" s="265">
        <f>+'Dem-Bat'!BB11</f>
        <v>2</v>
      </c>
      <c r="K11" s="126">
        <f>IF(J11="","",SUM($J$8:J11)/$M$3)</f>
        <v>3.3333333333333333E-2</v>
      </c>
      <c r="L11" s="129">
        <v>62</v>
      </c>
      <c r="M11" s="268">
        <f>+'Dem-Bat'!BC11</f>
        <v>62</v>
      </c>
      <c r="N11" s="127">
        <v>665</v>
      </c>
      <c r="O11" s="457">
        <f>+'Dem-Bat'!BD11</f>
        <v>743</v>
      </c>
      <c r="P11" s="601"/>
      <c r="Q11" s="130">
        <v>8</v>
      </c>
      <c r="R11" s="128">
        <v>8</v>
      </c>
      <c r="S11" s="19"/>
      <c r="T11" s="287"/>
      <c r="U11" s="631"/>
      <c r="V11" s="628"/>
      <c r="W11" s="49">
        <f t="shared" si="0"/>
        <v>8.0769230769230766</v>
      </c>
      <c r="X11" s="50">
        <f t="shared" si="4"/>
        <v>11.729323308270677</v>
      </c>
      <c r="Y11" s="44">
        <f t="shared" si="1"/>
        <v>1</v>
      </c>
      <c r="Z11" s="44">
        <f t="shared" si="2"/>
        <v>1</v>
      </c>
    </row>
    <row r="12" spans="1:26" ht="24" customHeight="1" x14ac:dyDescent="0.2">
      <c r="A12" s="300">
        <f t="shared" si="3"/>
        <v>43285</v>
      </c>
      <c r="B12" s="137">
        <f t="shared" si="5"/>
        <v>5</v>
      </c>
      <c r="C12" s="209">
        <f>+'Dem-Bat'!AA12</f>
        <v>4</v>
      </c>
      <c r="D12" s="126">
        <f>IF(C12="","",SUM($C$8:C12)/$M$2)</f>
        <v>2.0198170731707318E-2</v>
      </c>
      <c r="E12" s="127">
        <v>48</v>
      </c>
      <c r="F12" s="262">
        <f>+'Dem-Bat'!AB12</f>
        <v>51.666666666666664</v>
      </c>
      <c r="G12" s="127">
        <v>620</v>
      </c>
      <c r="H12" s="296">
        <f>+'Dem-Bat'!AC12</f>
        <v>585.63333333333333</v>
      </c>
      <c r="I12" s="601"/>
      <c r="J12" s="265">
        <f>+'Dem-Bat'!BB12</f>
        <v>1</v>
      </c>
      <c r="K12" s="126">
        <f>IF(J12="","",SUM($J$8:J12)/$M$3)</f>
        <v>3.4166666666666665E-2</v>
      </c>
      <c r="L12" s="129">
        <v>65</v>
      </c>
      <c r="M12" s="268">
        <f>+'Dem-Bat'!BC12</f>
        <v>65</v>
      </c>
      <c r="N12" s="127">
        <v>800</v>
      </c>
      <c r="O12" s="457">
        <f>+'Dem-Bat'!BD12</f>
        <v>863.2</v>
      </c>
      <c r="P12" s="601"/>
      <c r="Q12" s="130">
        <v>8</v>
      </c>
      <c r="R12" s="128">
        <v>8</v>
      </c>
      <c r="S12" s="19"/>
      <c r="T12" s="287"/>
      <c r="U12" s="631"/>
      <c r="V12" s="628"/>
      <c r="W12" s="49">
        <f t="shared" si="0"/>
        <v>-5.5430107526881729</v>
      </c>
      <c r="X12" s="50">
        <f t="shared" si="4"/>
        <v>7.9000000000000057</v>
      </c>
      <c r="Y12" s="44">
        <f t="shared" si="1"/>
        <v>-1</v>
      </c>
      <c r="Z12" s="44">
        <f t="shared" si="2"/>
        <v>1</v>
      </c>
    </row>
    <row r="13" spans="1:26" ht="24" customHeight="1" x14ac:dyDescent="0.2">
      <c r="A13" s="300">
        <f t="shared" si="3"/>
        <v>43292</v>
      </c>
      <c r="B13" s="137">
        <f t="shared" si="5"/>
        <v>6</v>
      </c>
      <c r="C13" s="209">
        <f>+'Dem-Bat'!AA13</f>
        <v>10</v>
      </c>
      <c r="D13" s="126">
        <f>IF(C13="","",SUM($C$8:C13)/$M$2)</f>
        <v>2.146849593495935E-2</v>
      </c>
      <c r="E13" s="127">
        <v>51</v>
      </c>
      <c r="F13" s="262">
        <f>+'Dem-Bat'!AB13</f>
        <v>54.666666666666664</v>
      </c>
      <c r="G13" s="127">
        <v>720</v>
      </c>
      <c r="H13" s="296">
        <f>+'Dem-Bat'!AC13</f>
        <v>708.43333333333339</v>
      </c>
      <c r="I13" s="601"/>
      <c r="J13" s="265">
        <f>+'Dem-Bat'!BB13</f>
        <v>2</v>
      </c>
      <c r="K13" s="126">
        <f>IF(J13="","",SUM($J$8:J13)/$M$3)</f>
        <v>3.5833333333333335E-2</v>
      </c>
      <c r="L13" s="129">
        <v>68</v>
      </c>
      <c r="M13" s="268">
        <f>+'Dem-Bat'!BC13</f>
        <v>68</v>
      </c>
      <c r="N13" s="127">
        <v>930</v>
      </c>
      <c r="O13" s="457">
        <f>+'Dem-Bat'!BD13</f>
        <v>1006.6</v>
      </c>
      <c r="P13" s="601"/>
      <c r="Q13" s="130">
        <v>8</v>
      </c>
      <c r="R13" s="128">
        <v>8</v>
      </c>
      <c r="S13" s="19"/>
      <c r="T13" s="287"/>
      <c r="U13" s="632"/>
      <c r="V13" s="628"/>
      <c r="W13" s="49">
        <f t="shared" si="0"/>
        <v>-1.606481481481473</v>
      </c>
      <c r="X13" s="50">
        <f t="shared" si="4"/>
        <v>8.2365591397849496</v>
      </c>
      <c r="Y13" s="44">
        <f t="shared" si="1"/>
        <v>0</v>
      </c>
      <c r="Z13" s="44">
        <f t="shared" si="2"/>
        <v>1</v>
      </c>
    </row>
    <row r="14" spans="1:26" ht="24" customHeight="1" x14ac:dyDescent="0.2">
      <c r="A14" s="300">
        <f t="shared" si="3"/>
        <v>43299</v>
      </c>
      <c r="B14" s="137">
        <f t="shared" si="5"/>
        <v>7</v>
      </c>
      <c r="C14" s="209">
        <f>+'Dem-Bat'!AA14</f>
        <v>8</v>
      </c>
      <c r="D14" s="126">
        <f>IF(C14="","",SUM($C$8:C14)/$M$2)</f>
        <v>2.2484756097560975E-2</v>
      </c>
      <c r="E14" s="127">
        <v>52</v>
      </c>
      <c r="F14" s="262">
        <f>+'Dem-Bat'!AB14</f>
        <v>55.666666666666664</v>
      </c>
      <c r="G14" s="127">
        <v>820</v>
      </c>
      <c r="H14" s="296">
        <f>+'Dem-Bat'!AC14</f>
        <v>779.40666666666675</v>
      </c>
      <c r="I14" s="601"/>
      <c r="J14" s="265">
        <f>+'Dem-Bat'!BB14</f>
        <v>1</v>
      </c>
      <c r="K14" s="126">
        <f>IF(J14="","",SUM($J$8:J14)/$M$3)</f>
        <v>3.6666666666666667E-2</v>
      </c>
      <c r="L14" s="129">
        <v>70</v>
      </c>
      <c r="M14" s="268">
        <f>+'Dem-Bat'!BC14</f>
        <v>68</v>
      </c>
      <c r="N14" s="127">
        <v>1060</v>
      </c>
      <c r="O14" s="457">
        <f>+'Dem-Bat'!BD14</f>
        <v>1208.5999999999999</v>
      </c>
      <c r="P14" s="601"/>
      <c r="Q14" s="130">
        <v>8</v>
      </c>
      <c r="R14" s="128">
        <v>8</v>
      </c>
      <c r="T14" s="287"/>
      <c r="U14" s="626" t="str">
        <f>IF(COUNT(Y14:Y21)=0,"",IF(SUM(Y14:Y21)&gt;=1,"SUP STD",IF(SUM(Y14:Y21)&lt;=-1,"BAS STD","EN STD")))</f>
        <v>EN STD</v>
      </c>
      <c r="V14" s="628" t="str">
        <f>IF(COUNT(Z14:Z21)=0,"",IF(SUM(Z14:Z21)&gt;=1,"SUP STD",IF(SUM(Z14:Z21)&lt;=-1,"BAS STD","EN STD")))</f>
        <v>SUP STD</v>
      </c>
      <c r="W14" s="49">
        <f t="shared" si="0"/>
        <v>-4.9504065040650307</v>
      </c>
      <c r="X14" s="50">
        <f t="shared" si="4"/>
        <v>14.018867924528294</v>
      </c>
      <c r="Y14" s="44">
        <f t="shared" si="1"/>
        <v>0</v>
      </c>
      <c r="Z14" s="44">
        <f t="shared" si="2"/>
        <v>1</v>
      </c>
    </row>
    <row r="15" spans="1:26" ht="24" customHeight="1" x14ac:dyDescent="0.2">
      <c r="A15" s="300">
        <f t="shared" si="3"/>
        <v>43306</v>
      </c>
      <c r="B15" s="137">
        <f t="shared" si="5"/>
        <v>8</v>
      </c>
      <c r="C15" s="209" t="str">
        <f>+'Dem-Bat'!AA15</f>
        <v/>
      </c>
      <c r="D15" s="126" t="str">
        <f>IF(C15="","",SUM($C$8:C15)/$M$2)</f>
        <v/>
      </c>
      <c r="E15" s="127">
        <v>54</v>
      </c>
      <c r="F15" s="262" t="str">
        <f>+'Dem-Bat'!AB15</f>
        <v/>
      </c>
      <c r="G15" s="127">
        <v>920</v>
      </c>
      <c r="H15" s="296" t="str">
        <f>+'Dem-Bat'!AC15</f>
        <v/>
      </c>
      <c r="I15" s="601"/>
      <c r="J15" s="265" t="str">
        <f>+'Dem-Bat'!BB15</f>
        <v/>
      </c>
      <c r="K15" s="126" t="str">
        <f>IF(J15="","",SUM($J$8:J15)/$M$3)</f>
        <v/>
      </c>
      <c r="L15" s="129">
        <v>72</v>
      </c>
      <c r="M15" s="268" t="str">
        <f>+'Dem-Bat'!BC15</f>
        <v/>
      </c>
      <c r="N15" s="127">
        <v>1190</v>
      </c>
      <c r="O15" s="457" t="str">
        <f>+'Dem-Bat'!BD15</f>
        <v/>
      </c>
      <c r="P15" s="601"/>
      <c r="Q15" s="130">
        <v>8</v>
      </c>
      <c r="R15" s="128"/>
      <c r="S15" s="19"/>
      <c r="T15" s="287"/>
      <c r="U15" s="626"/>
      <c r="V15" s="628"/>
      <c r="W15" s="49" t="str">
        <f t="shared" si="0"/>
        <v/>
      </c>
      <c r="X15" s="50" t="str">
        <f t="shared" si="4"/>
        <v/>
      </c>
      <c r="Y15" s="44" t="str">
        <f t="shared" si="1"/>
        <v/>
      </c>
      <c r="Z15" s="44" t="str">
        <f t="shared" si="2"/>
        <v/>
      </c>
    </row>
    <row r="16" spans="1:26" ht="24" customHeight="1" x14ac:dyDescent="0.2">
      <c r="A16" s="300">
        <f t="shared" si="3"/>
        <v>43313</v>
      </c>
      <c r="B16" s="137">
        <f t="shared" si="5"/>
        <v>9</v>
      </c>
      <c r="C16" s="209" t="str">
        <f>+'Dem-Bat'!AA16</f>
        <v/>
      </c>
      <c r="D16" s="126" t="str">
        <f>IF(C16="","",SUM($C$8:C16)/$M$2)</f>
        <v/>
      </c>
      <c r="E16" s="127">
        <v>56</v>
      </c>
      <c r="F16" s="262" t="str">
        <f>+'Dem-Bat'!AB16</f>
        <v/>
      </c>
      <c r="G16" s="127">
        <v>1020</v>
      </c>
      <c r="H16" s="296" t="str">
        <f>+'Dem-Bat'!AC16</f>
        <v/>
      </c>
      <c r="I16" s="601"/>
      <c r="J16" s="265" t="str">
        <f>+'Dem-Bat'!BB16</f>
        <v/>
      </c>
      <c r="K16" s="126" t="str">
        <f>IF(J16="","",SUM($J$8:J16)/$M$3)</f>
        <v/>
      </c>
      <c r="L16" s="129">
        <v>74</v>
      </c>
      <c r="M16" s="268" t="str">
        <f>+'Dem-Bat'!BC16</f>
        <v/>
      </c>
      <c r="N16" s="127">
        <v>1320</v>
      </c>
      <c r="O16" s="457" t="str">
        <f>+'Dem-Bat'!BD16</f>
        <v/>
      </c>
      <c r="P16" s="601"/>
      <c r="Q16" s="130">
        <v>8</v>
      </c>
      <c r="R16" s="128"/>
      <c r="S16" s="19"/>
      <c r="T16" s="287"/>
      <c r="U16" s="626"/>
      <c r="V16" s="628"/>
      <c r="W16" s="49" t="str">
        <f t="shared" si="0"/>
        <v/>
      </c>
      <c r="X16" s="50" t="str">
        <f t="shared" si="4"/>
        <v/>
      </c>
      <c r="Y16" s="44" t="str">
        <f t="shared" si="1"/>
        <v/>
      </c>
      <c r="Z16" s="44" t="str">
        <f t="shared" si="2"/>
        <v/>
      </c>
    </row>
    <row r="17" spans="1:26" ht="24" customHeight="1" x14ac:dyDescent="0.2">
      <c r="A17" s="300">
        <f t="shared" si="3"/>
        <v>43320</v>
      </c>
      <c r="B17" s="137">
        <f t="shared" si="5"/>
        <v>10</v>
      </c>
      <c r="C17" s="209" t="str">
        <f>+'Dem-Bat'!AA17</f>
        <v/>
      </c>
      <c r="D17" s="126" t="str">
        <f>IF(C17="","",SUM($C$8:C17)/$M$2)</f>
        <v/>
      </c>
      <c r="E17" s="127">
        <v>57</v>
      </c>
      <c r="F17" s="262" t="str">
        <f>+'Dem-Bat'!AB17</f>
        <v/>
      </c>
      <c r="G17" s="127">
        <v>1105</v>
      </c>
      <c r="H17" s="296" t="str">
        <f>+'Dem-Bat'!AC17</f>
        <v/>
      </c>
      <c r="I17" s="601"/>
      <c r="J17" s="265" t="str">
        <f>+'Dem-Bat'!BB17</f>
        <v/>
      </c>
      <c r="K17" s="126" t="str">
        <f>IF(J17="","",SUM($J$8:J17)/$M$3)</f>
        <v/>
      </c>
      <c r="L17" s="129">
        <v>76</v>
      </c>
      <c r="M17" s="268" t="str">
        <f>+'Dem-Bat'!BC17</f>
        <v/>
      </c>
      <c r="N17" s="127">
        <v>1455</v>
      </c>
      <c r="O17" s="457" t="str">
        <f>+'Dem-Bat'!BD17</f>
        <v/>
      </c>
      <c r="P17" s="601"/>
      <c r="Q17" s="130">
        <v>8</v>
      </c>
      <c r="R17" s="128"/>
      <c r="S17" s="19"/>
      <c r="T17" s="287"/>
      <c r="U17" s="626"/>
      <c r="V17" s="628"/>
      <c r="W17" s="49" t="str">
        <f t="shared" si="0"/>
        <v/>
      </c>
      <c r="X17" s="50" t="str">
        <f t="shared" si="4"/>
        <v/>
      </c>
      <c r="Y17" s="44" t="str">
        <f t="shared" si="1"/>
        <v/>
      </c>
      <c r="Z17" s="44" t="str">
        <f t="shared" si="2"/>
        <v/>
      </c>
    </row>
    <row r="18" spans="1:26" ht="24" customHeight="1" x14ac:dyDescent="0.2">
      <c r="A18" s="300">
        <f t="shared" si="3"/>
        <v>43327</v>
      </c>
      <c r="B18" s="137">
        <f t="shared" si="5"/>
        <v>11</v>
      </c>
      <c r="C18" s="209" t="str">
        <f>+'Dem-Bat'!AA18</f>
        <v/>
      </c>
      <c r="D18" s="126" t="str">
        <f>IF(C18="","",SUM($C$8:C18)/$M$2)</f>
        <v/>
      </c>
      <c r="E18" s="127">
        <v>58</v>
      </c>
      <c r="F18" s="262" t="str">
        <f>+'Dem-Bat'!AB18</f>
        <v/>
      </c>
      <c r="G18" s="127">
        <v>1190</v>
      </c>
      <c r="H18" s="296" t="str">
        <f>+'Dem-Bat'!AC18</f>
        <v/>
      </c>
      <c r="I18" s="601"/>
      <c r="J18" s="265" t="str">
        <f>+'Dem-Bat'!BB18</f>
        <v/>
      </c>
      <c r="K18" s="126" t="str">
        <f>IF(J18="","",SUM($J$8:J18)/$M$3)</f>
        <v/>
      </c>
      <c r="L18" s="129">
        <v>78</v>
      </c>
      <c r="M18" s="268" t="str">
        <f>+'Dem-Bat'!BC18</f>
        <v/>
      </c>
      <c r="N18" s="127">
        <v>1570</v>
      </c>
      <c r="O18" s="457" t="str">
        <f>+'Dem-Bat'!BD18</f>
        <v/>
      </c>
      <c r="P18" s="601"/>
      <c r="Q18" s="130">
        <v>8</v>
      </c>
      <c r="R18" s="128"/>
      <c r="S18" s="19"/>
      <c r="T18" s="287"/>
      <c r="U18" s="626"/>
      <c r="V18" s="628"/>
      <c r="W18" s="49" t="str">
        <f t="shared" si="0"/>
        <v/>
      </c>
      <c r="X18" s="50" t="str">
        <f t="shared" si="4"/>
        <v/>
      </c>
      <c r="Y18" s="44" t="str">
        <f t="shared" si="1"/>
        <v/>
      </c>
      <c r="Z18" s="44" t="str">
        <f t="shared" si="2"/>
        <v/>
      </c>
    </row>
    <row r="19" spans="1:26" ht="24" customHeight="1" x14ac:dyDescent="0.2">
      <c r="A19" s="300">
        <f t="shared" si="3"/>
        <v>43334</v>
      </c>
      <c r="B19" s="137">
        <f t="shared" si="5"/>
        <v>12</v>
      </c>
      <c r="C19" s="209" t="str">
        <f>+'Dem-Bat'!AA19</f>
        <v/>
      </c>
      <c r="D19" s="126" t="str">
        <f>IF(C19="","",SUM($C$8:C19)/$M$2)</f>
        <v/>
      </c>
      <c r="E19" s="127">
        <v>59</v>
      </c>
      <c r="F19" s="262" t="str">
        <f>+'Dem-Bat'!AB19</f>
        <v/>
      </c>
      <c r="G19" s="127">
        <v>1280</v>
      </c>
      <c r="H19" s="296" t="str">
        <f>+'Dem-Bat'!AC19</f>
        <v/>
      </c>
      <c r="I19" s="601"/>
      <c r="J19" s="265" t="str">
        <f>+'Dem-Bat'!BB19</f>
        <v/>
      </c>
      <c r="K19" s="126" t="str">
        <f>IF(J19="","",SUM($J$8:J19)/$M$3)</f>
        <v/>
      </c>
      <c r="L19" s="129">
        <v>80</v>
      </c>
      <c r="M19" s="268" t="str">
        <f>+'Dem-Bat'!BC19</f>
        <v/>
      </c>
      <c r="N19" s="127">
        <v>1695</v>
      </c>
      <c r="O19" s="457" t="str">
        <f>+'Dem-Bat'!BD19</f>
        <v/>
      </c>
      <c r="P19" s="601"/>
      <c r="Q19" s="130">
        <v>8</v>
      </c>
      <c r="R19" s="128"/>
      <c r="S19" s="19"/>
      <c r="T19" s="287"/>
      <c r="U19" s="626"/>
      <c r="V19" s="628"/>
      <c r="W19" s="49" t="str">
        <f t="shared" si="0"/>
        <v/>
      </c>
      <c r="X19" s="50" t="str">
        <f t="shared" si="4"/>
        <v/>
      </c>
      <c r="Y19" s="44" t="str">
        <f t="shared" si="1"/>
        <v/>
      </c>
      <c r="Z19" s="44" t="str">
        <f t="shared" si="2"/>
        <v/>
      </c>
    </row>
    <row r="20" spans="1:26" ht="24" customHeight="1" x14ac:dyDescent="0.2">
      <c r="A20" s="300">
        <f t="shared" si="3"/>
        <v>43341</v>
      </c>
      <c r="B20" s="137">
        <f t="shared" si="5"/>
        <v>13</v>
      </c>
      <c r="C20" s="209" t="str">
        <f>+'Dem-Bat'!AA20</f>
        <v/>
      </c>
      <c r="D20" s="126" t="str">
        <f>IF(C20="","",SUM($C$8:C20)/$M$2)</f>
        <v/>
      </c>
      <c r="E20" s="127">
        <v>61</v>
      </c>
      <c r="F20" s="262" t="str">
        <f>+'Dem-Bat'!AB20</f>
        <v/>
      </c>
      <c r="G20" s="127">
        <v>1365</v>
      </c>
      <c r="H20" s="296" t="str">
        <f>+'Dem-Bat'!AC20</f>
        <v/>
      </c>
      <c r="I20" s="601"/>
      <c r="J20" s="265" t="str">
        <f>+'Dem-Bat'!BB20</f>
        <v/>
      </c>
      <c r="K20" s="126" t="str">
        <f>IF(J20="","",SUM($J$8:J20)/$M$3)</f>
        <v/>
      </c>
      <c r="L20" s="129">
        <v>82</v>
      </c>
      <c r="M20" s="268" t="str">
        <f>+'Dem-Bat'!BC20</f>
        <v/>
      </c>
      <c r="N20" s="127">
        <v>1810</v>
      </c>
      <c r="O20" s="457" t="str">
        <f>+'Dem-Bat'!BD20</f>
        <v/>
      </c>
      <c r="P20" s="601"/>
      <c r="Q20" s="130">
        <v>8</v>
      </c>
      <c r="R20" s="128"/>
      <c r="S20" s="19"/>
      <c r="T20" s="287"/>
      <c r="U20" s="626"/>
      <c r="V20" s="628"/>
      <c r="W20" s="49" t="str">
        <f t="shared" si="0"/>
        <v/>
      </c>
      <c r="X20" s="50" t="str">
        <f t="shared" si="4"/>
        <v/>
      </c>
      <c r="Y20" s="44" t="str">
        <f t="shared" si="1"/>
        <v/>
      </c>
      <c r="Z20" s="44" t="str">
        <f t="shared" si="2"/>
        <v/>
      </c>
    </row>
    <row r="21" spans="1:26" ht="24" customHeight="1" x14ac:dyDescent="0.2">
      <c r="A21" s="300">
        <f t="shared" si="3"/>
        <v>43348</v>
      </c>
      <c r="B21" s="137">
        <f t="shared" si="5"/>
        <v>14</v>
      </c>
      <c r="C21" s="209" t="str">
        <f>+'Dem-Bat'!AA21</f>
        <v/>
      </c>
      <c r="D21" s="126" t="str">
        <f>IF(C21="","",SUM($C$8:C21)/$M$2)</f>
        <v/>
      </c>
      <c r="E21" s="127">
        <v>65</v>
      </c>
      <c r="F21" s="262" t="str">
        <f>+'Dem-Bat'!AB21</f>
        <v/>
      </c>
      <c r="G21" s="127">
        <v>1450</v>
      </c>
      <c r="H21" s="296" t="str">
        <f>+'Dem-Bat'!AC21</f>
        <v/>
      </c>
      <c r="I21" s="601"/>
      <c r="J21" s="265" t="str">
        <f>+'Dem-Bat'!BB21</f>
        <v/>
      </c>
      <c r="K21" s="126" t="str">
        <f>IF(J21="","",SUM($J$8:J21)/$M$3)</f>
        <v/>
      </c>
      <c r="L21" s="129">
        <v>85</v>
      </c>
      <c r="M21" s="268" t="str">
        <f>+'Dem-Bat'!BC21</f>
        <v/>
      </c>
      <c r="N21" s="127">
        <v>1920</v>
      </c>
      <c r="O21" s="457" t="str">
        <f>+'Dem-Bat'!BD21</f>
        <v/>
      </c>
      <c r="P21" s="601"/>
      <c r="Q21" s="130">
        <v>8</v>
      </c>
      <c r="R21" s="128"/>
      <c r="S21" s="19"/>
      <c r="T21" s="287"/>
      <c r="U21" s="626"/>
      <c r="V21" s="628"/>
      <c r="W21" s="49" t="str">
        <f t="shared" si="0"/>
        <v/>
      </c>
      <c r="X21" s="50" t="str">
        <f t="shared" si="4"/>
        <v/>
      </c>
      <c r="Y21" s="44" t="str">
        <f t="shared" si="1"/>
        <v/>
      </c>
      <c r="Z21" s="44" t="str">
        <f t="shared" si="2"/>
        <v/>
      </c>
    </row>
    <row r="22" spans="1:26" ht="24" customHeight="1" x14ac:dyDescent="0.2">
      <c r="A22" s="300">
        <f t="shared" si="3"/>
        <v>43355</v>
      </c>
      <c r="B22" s="137">
        <f t="shared" si="5"/>
        <v>15</v>
      </c>
      <c r="C22" s="209" t="str">
        <f>+'Dem-Bat'!AA22</f>
        <v/>
      </c>
      <c r="D22" s="126" t="str">
        <f>IF(C22="","",SUM($C$8:C22)/$M$2)</f>
        <v/>
      </c>
      <c r="E22" s="127">
        <v>71</v>
      </c>
      <c r="F22" s="262" t="str">
        <f>+'Dem-Bat'!AB22</f>
        <v/>
      </c>
      <c r="G22" s="127">
        <v>1530</v>
      </c>
      <c r="H22" s="296" t="str">
        <f>+'Dem-Bat'!AC22</f>
        <v/>
      </c>
      <c r="I22" s="601"/>
      <c r="J22" s="265" t="str">
        <f>+'Dem-Bat'!BB22</f>
        <v/>
      </c>
      <c r="K22" s="126" t="str">
        <f>IF(J22="","",SUM($J$8:J22)/$M$3)</f>
        <v/>
      </c>
      <c r="L22" s="129">
        <v>87</v>
      </c>
      <c r="M22" s="268" t="str">
        <f>+'Dem-Bat'!BC22</f>
        <v/>
      </c>
      <c r="N22" s="127">
        <v>2035</v>
      </c>
      <c r="O22" s="457" t="str">
        <f>+'Dem-Bat'!BD22</f>
        <v/>
      </c>
      <c r="P22" s="601"/>
      <c r="Q22" s="130">
        <v>8</v>
      </c>
      <c r="R22" s="128"/>
      <c r="T22" s="287"/>
      <c r="U22" s="626" t="str">
        <f>IF(COUNT(Y22:Y29)=0,"",IF(SUM(Y22:Y29)&gt;=1,"SUP STD",IF(SUM(Y22:Y29)&lt;=-1,"BAS STD","EN STD")))</f>
        <v/>
      </c>
      <c r="V22" s="628" t="str">
        <f>IF(COUNT(Z22:Z29)=0,"",IF(SUM(Z22:Z29)&gt;=1,"SUP STD",IF(SUM(Z22:Z29)&lt;=-1,"BAS STD","EN STD")))</f>
        <v/>
      </c>
      <c r="W22" s="49" t="str">
        <f t="shared" si="0"/>
        <v/>
      </c>
      <c r="X22" s="50" t="str">
        <f t="shared" si="4"/>
        <v/>
      </c>
      <c r="Y22" s="44" t="str">
        <f t="shared" si="1"/>
        <v/>
      </c>
      <c r="Z22" s="44" t="str">
        <f t="shared" si="2"/>
        <v/>
      </c>
    </row>
    <row r="23" spans="1:26" ht="24" customHeight="1" x14ac:dyDescent="0.2">
      <c r="A23" s="300">
        <f t="shared" si="3"/>
        <v>43362</v>
      </c>
      <c r="B23" s="137">
        <f t="shared" si="5"/>
        <v>16</v>
      </c>
      <c r="C23" s="209" t="str">
        <f>+'Dem-Bat'!AA23</f>
        <v/>
      </c>
      <c r="D23" s="126" t="str">
        <f>IF(C23="","",SUM($C$8:C23)/$M$2)</f>
        <v/>
      </c>
      <c r="E23" s="127">
        <v>78</v>
      </c>
      <c r="F23" s="262" t="str">
        <f>+'Dem-Bat'!AB23</f>
        <v/>
      </c>
      <c r="G23" s="127">
        <v>1610</v>
      </c>
      <c r="H23" s="296" t="str">
        <f>+'Dem-Bat'!AC23</f>
        <v/>
      </c>
      <c r="I23" s="601"/>
      <c r="J23" s="265" t="str">
        <f>+'Dem-Bat'!BB23</f>
        <v/>
      </c>
      <c r="K23" s="126" t="str">
        <f>IF(J23="","",SUM($J$8:J23)/$M$3)</f>
        <v/>
      </c>
      <c r="L23" s="129">
        <v>89</v>
      </c>
      <c r="M23" s="268" t="str">
        <f>+'Dem-Bat'!BC23</f>
        <v/>
      </c>
      <c r="N23" s="127">
        <v>2160</v>
      </c>
      <c r="O23" s="457" t="str">
        <f>+'Dem-Bat'!BD23</f>
        <v/>
      </c>
      <c r="P23" s="601"/>
      <c r="Q23" s="130">
        <v>8</v>
      </c>
      <c r="R23" s="128"/>
      <c r="S23" s="19"/>
      <c r="T23" s="287"/>
      <c r="U23" s="626"/>
      <c r="V23" s="628"/>
      <c r="W23" s="49" t="str">
        <f t="shared" si="0"/>
        <v/>
      </c>
      <c r="X23" s="50" t="str">
        <f t="shared" si="4"/>
        <v/>
      </c>
      <c r="Y23" s="44" t="str">
        <f t="shared" si="1"/>
        <v/>
      </c>
      <c r="Z23" s="44" t="str">
        <f t="shared" si="2"/>
        <v/>
      </c>
    </row>
    <row r="24" spans="1:26" ht="24" customHeight="1" x14ac:dyDescent="0.2">
      <c r="A24" s="300">
        <f t="shared" si="3"/>
        <v>43369</v>
      </c>
      <c r="B24" s="137">
        <f t="shared" si="5"/>
        <v>17</v>
      </c>
      <c r="C24" s="209" t="str">
        <f>+'Dem-Bat'!AA24</f>
        <v/>
      </c>
      <c r="D24" s="126" t="str">
        <f>IF(C24="","",SUM($C$8:C24)/$M$2)</f>
        <v/>
      </c>
      <c r="E24" s="127">
        <v>86</v>
      </c>
      <c r="F24" s="262" t="str">
        <f>+'Dem-Bat'!AB24</f>
        <v/>
      </c>
      <c r="G24" s="127">
        <v>1745</v>
      </c>
      <c r="H24" s="296" t="str">
        <f>+'Dem-Bat'!AC24</f>
        <v/>
      </c>
      <c r="I24" s="601"/>
      <c r="J24" s="265" t="str">
        <f>+'Dem-Bat'!BB24</f>
        <v/>
      </c>
      <c r="K24" s="126" t="str">
        <f>IF(J24="","",SUM($J$8:J24)/$M$3)</f>
        <v/>
      </c>
      <c r="L24" s="131">
        <v>91</v>
      </c>
      <c r="M24" s="268" t="str">
        <f>+'Dem-Bat'!BC24</f>
        <v/>
      </c>
      <c r="N24" s="127">
        <v>2300</v>
      </c>
      <c r="O24" s="457" t="str">
        <f>+'Dem-Bat'!BD24</f>
        <v/>
      </c>
      <c r="P24" s="601"/>
      <c r="Q24" s="130">
        <v>8</v>
      </c>
      <c r="R24" s="128"/>
      <c r="S24" s="19"/>
      <c r="T24" s="287"/>
      <c r="U24" s="626"/>
      <c r="V24" s="628"/>
      <c r="W24" s="49" t="str">
        <f t="shared" si="0"/>
        <v/>
      </c>
      <c r="X24" s="50" t="str">
        <f t="shared" si="4"/>
        <v/>
      </c>
      <c r="Y24" s="44" t="str">
        <f t="shared" si="1"/>
        <v/>
      </c>
      <c r="Z24" s="44" t="str">
        <f t="shared" si="2"/>
        <v/>
      </c>
    </row>
    <row r="25" spans="1:26" ht="24" customHeight="1" x14ac:dyDescent="0.2">
      <c r="A25" s="300">
        <f>A24+7</f>
        <v>43376</v>
      </c>
      <c r="B25" s="137">
        <f t="shared" si="5"/>
        <v>18</v>
      </c>
      <c r="C25" s="209" t="str">
        <f>+'Dem-Bat'!AA25</f>
        <v/>
      </c>
      <c r="D25" s="126" t="str">
        <f>IF(C25="","",SUM($C$8:C25)/$M$2)</f>
        <v/>
      </c>
      <c r="E25" s="127">
        <v>94</v>
      </c>
      <c r="F25" s="262" t="str">
        <f>+'Dem-Bat'!AB25</f>
        <v/>
      </c>
      <c r="G25" s="127">
        <v>1880</v>
      </c>
      <c r="H25" s="296" t="str">
        <f>+'Dem-Bat'!AC25</f>
        <v/>
      </c>
      <c r="I25" s="601"/>
      <c r="J25" s="265" t="str">
        <f>+'Dem-Bat'!BB25</f>
        <v/>
      </c>
      <c r="K25" s="126" t="str">
        <f>IF(J25="","",SUM($J$8:J25)/$M$3)</f>
        <v/>
      </c>
      <c r="L25" s="131">
        <v>93</v>
      </c>
      <c r="M25" s="268" t="str">
        <f>+'Dem-Bat'!BC25</f>
        <v/>
      </c>
      <c r="N25" s="127">
        <v>2450</v>
      </c>
      <c r="O25" s="457" t="str">
        <f>+'Dem-Bat'!BD25</f>
        <v/>
      </c>
      <c r="P25" s="601"/>
      <c r="Q25" s="130">
        <v>8</v>
      </c>
      <c r="R25" s="128"/>
      <c r="S25" s="19"/>
      <c r="T25" s="287"/>
      <c r="U25" s="626"/>
      <c r="V25" s="628"/>
      <c r="W25" s="49" t="str">
        <f t="shared" si="0"/>
        <v/>
      </c>
      <c r="X25" s="50" t="str">
        <f t="shared" si="4"/>
        <v/>
      </c>
      <c r="Y25" s="44" t="str">
        <f t="shared" si="1"/>
        <v/>
      </c>
      <c r="Z25" s="44" t="str">
        <f t="shared" si="2"/>
        <v/>
      </c>
    </row>
    <row r="26" spans="1:26" ht="24" customHeight="1" x14ac:dyDescent="0.2">
      <c r="A26" s="300">
        <f>A25+7</f>
        <v>43383</v>
      </c>
      <c r="B26" s="137">
        <f>+B25+1</f>
        <v>19</v>
      </c>
      <c r="C26" s="209" t="str">
        <f>+'Dem-Bat'!AA26</f>
        <v/>
      </c>
      <c r="D26" s="126" t="str">
        <f>IF(C26="","",SUM($C$8:C26)/$M$2)</f>
        <v/>
      </c>
      <c r="E26" s="127">
        <v>102</v>
      </c>
      <c r="F26" s="262" t="str">
        <f>+'Dem-Bat'!AB26</f>
        <v/>
      </c>
      <c r="G26" s="127">
        <v>2015</v>
      </c>
      <c r="H26" s="296" t="str">
        <f>+'Dem-Bat'!AC26</f>
        <v/>
      </c>
      <c r="I26" s="601"/>
      <c r="J26" s="265" t="str">
        <f>+'Dem-Bat'!BB26</f>
        <v/>
      </c>
      <c r="K26" s="126" t="str">
        <f>IF(J26="","",SUM($J$8:J26)/$M$3)</f>
        <v/>
      </c>
      <c r="L26" s="131">
        <v>96</v>
      </c>
      <c r="M26" s="268" t="str">
        <f>+'Dem-Bat'!BC26</f>
        <v/>
      </c>
      <c r="N26" s="127">
        <v>2600</v>
      </c>
      <c r="O26" s="457" t="str">
        <f>+'Dem-Bat'!BD26</f>
        <v/>
      </c>
      <c r="P26" s="601"/>
      <c r="Q26" s="130">
        <v>8</v>
      </c>
      <c r="R26" s="128"/>
      <c r="S26" s="18"/>
      <c r="T26" s="287"/>
      <c r="U26" s="626"/>
      <c r="V26" s="628"/>
      <c r="W26" s="49" t="str">
        <f t="shared" si="0"/>
        <v/>
      </c>
      <c r="X26" s="50" t="str">
        <f t="shared" si="4"/>
        <v/>
      </c>
      <c r="Y26" s="44" t="str">
        <f t="shared" si="1"/>
        <v/>
      </c>
      <c r="Z26" s="44" t="str">
        <f t="shared" si="2"/>
        <v/>
      </c>
    </row>
    <row r="27" spans="1:26" ht="24" customHeight="1" x14ac:dyDescent="0.2">
      <c r="A27" s="300">
        <f>A26+7</f>
        <v>43390</v>
      </c>
      <c r="B27" s="137">
        <f>+B26+1</f>
        <v>20</v>
      </c>
      <c r="C27" s="209" t="str">
        <f>+'Dem-Bat'!AA27</f>
        <v/>
      </c>
      <c r="D27" s="126" t="str">
        <f>IF(C27="","",SUM($C$8:C27)/$M$2)</f>
        <v/>
      </c>
      <c r="E27" s="127">
        <v>107</v>
      </c>
      <c r="F27" s="262" t="str">
        <f>+'Dem-Bat'!AB27</f>
        <v/>
      </c>
      <c r="G27" s="127">
        <v>2150</v>
      </c>
      <c r="H27" s="296" t="str">
        <f>+'Dem-Bat'!AC27</f>
        <v/>
      </c>
      <c r="I27" s="601"/>
      <c r="J27" s="265" t="str">
        <f>+'Dem-Bat'!BB27</f>
        <v/>
      </c>
      <c r="K27" s="126" t="str">
        <f>IF(J27="","",SUM($J$8:J27)/$M$3)</f>
        <v/>
      </c>
      <c r="L27" s="131">
        <v>100</v>
      </c>
      <c r="M27" s="268" t="str">
        <f>+'Dem-Bat'!BC27</f>
        <v/>
      </c>
      <c r="N27" s="127">
        <v>2725</v>
      </c>
      <c r="O27" s="457" t="str">
        <f>+'Dem-Bat'!BD27</f>
        <v/>
      </c>
      <c r="P27" s="601"/>
      <c r="Q27" s="130">
        <v>9</v>
      </c>
      <c r="R27" s="128"/>
      <c r="S27" s="18"/>
      <c r="T27" s="287"/>
      <c r="U27" s="626"/>
      <c r="V27" s="628"/>
      <c r="W27" s="49" t="str">
        <f t="shared" si="0"/>
        <v/>
      </c>
      <c r="X27" s="50" t="str">
        <f t="shared" si="4"/>
        <v/>
      </c>
      <c r="Y27" s="44" t="str">
        <f t="shared" si="1"/>
        <v/>
      </c>
      <c r="Z27" s="44" t="str">
        <f t="shared" si="2"/>
        <v/>
      </c>
    </row>
    <row r="28" spans="1:26" ht="24" customHeight="1" x14ac:dyDescent="0.2">
      <c r="A28" s="300">
        <f>A27+7</f>
        <v>43397</v>
      </c>
      <c r="B28" s="137">
        <f>+B27+1</f>
        <v>21</v>
      </c>
      <c r="C28" s="209" t="str">
        <f>+'Dem-Bat'!AA28</f>
        <v/>
      </c>
      <c r="D28" s="126" t="str">
        <f>IF(C28="","",SUM($C$8:C28)/$M$2)</f>
        <v/>
      </c>
      <c r="E28" s="127">
        <v>112</v>
      </c>
      <c r="F28" s="262" t="str">
        <f>+'Dem-Bat'!AB28</f>
        <v/>
      </c>
      <c r="G28" s="127">
        <v>2410</v>
      </c>
      <c r="H28" s="296" t="str">
        <f>'Dem-Bat'!AC28</f>
        <v/>
      </c>
      <c r="I28" s="601"/>
      <c r="J28" s="265" t="str">
        <f>+'Dem-Bat'!BB28</f>
        <v/>
      </c>
      <c r="K28" s="126" t="str">
        <f>IF(J28="","",SUM($J$8:J28)/$M$3)</f>
        <v/>
      </c>
      <c r="L28" s="131">
        <v>105</v>
      </c>
      <c r="M28" s="268" t="str">
        <f>+'Dem-Bat'!BC28</f>
        <v/>
      </c>
      <c r="N28" s="127">
        <v>2850</v>
      </c>
      <c r="O28" s="457" t="str">
        <f>+'Dem-Bat'!BD28</f>
        <v/>
      </c>
      <c r="P28" s="601"/>
      <c r="Q28" s="130">
        <v>10</v>
      </c>
      <c r="R28" s="128"/>
      <c r="S28" s="18"/>
      <c r="T28" s="287"/>
      <c r="U28" s="626"/>
      <c r="V28" s="628"/>
      <c r="W28" s="49" t="str">
        <f t="shared" si="0"/>
        <v/>
      </c>
      <c r="X28" s="50" t="str">
        <f t="shared" si="4"/>
        <v/>
      </c>
      <c r="Y28" s="44" t="str">
        <f t="shared" si="1"/>
        <v/>
      </c>
      <c r="Z28" s="44" t="str">
        <f t="shared" si="2"/>
        <v/>
      </c>
    </row>
    <row r="29" spans="1:26" ht="24" customHeight="1" thickBot="1" x14ac:dyDescent="0.25">
      <c r="A29" s="301">
        <f>A28+7</f>
        <v>43404</v>
      </c>
      <c r="B29" s="138">
        <f>+B28+1</f>
        <v>22</v>
      </c>
      <c r="C29" s="209" t="str">
        <f>+'Dem-Bat'!AA29</f>
        <v/>
      </c>
      <c r="D29" s="132" t="str">
        <f>IF(C29="","",SUM($C$8:C29)/$M$2)</f>
        <v/>
      </c>
      <c r="E29" s="133">
        <v>117</v>
      </c>
      <c r="F29" s="264" t="str">
        <f>'Dem-Bat'!AB29</f>
        <v/>
      </c>
      <c r="G29" s="133">
        <v>2575</v>
      </c>
      <c r="H29" s="297" t="str">
        <f>'Dem-Bat'!AC29</f>
        <v/>
      </c>
      <c r="I29" s="601"/>
      <c r="J29" s="267" t="str">
        <f>+'Dem-Bat'!BB29</f>
        <v/>
      </c>
      <c r="K29" s="132" t="str">
        <f>IF(J29="","",SUM($J$8:J29)/$M$3)</f>
        <v/>
      </c>
      <c r="L29" s="134">
        <v>110</v>
      </c>
      <c r="M29" s="264" t="str">
        <f>+'Dem-Bat'!BC29</f>
        <v/>
      </c>
      <c r="N29" s="133">
        <v>2970</v>
      </c>
      <c r="O29" s="267" t="str">
        <f>+'Dem-Bat'!BD29</f>
        <v/>
      </c>
      <c r="P29" s="601"/>
      <c r="Q29" s="135">
        <v>11</v>
      </c>
      <c r="R29" s="128"/>
      <c r="S29" s="18"/>
      <c r="T29" s="288"/>
      <c r="U29" s="627"/>
      <c r="V29" s="629"/>
      <c r="W29" s="51" t="str">
        <f t="shared" si="0"/>
        <v/>
      </c>
      <c r="X29" s="52" t="str">
        <f t="shared" si="4"/>
        <v/>
      </c>
      <c r="Y29" s="44" t="str">
        <f t="shared" si="1"/>
        <v/>
      </c>
      <c r="Z29" s="44" t="str">
        <f t="shared" si="2"/>
        <v/>
      </c>
    </row>
    <row r="30" spans="1:26" ht="13.5" thickTop="1" x14ac:dyDescent="0.2"/>
  </sheetData>
  <mergeCells count="8">
    <mergeCell ref="U22:U29"/>
    <mergeCell ref="V22:V29"/>
    <mergeCell ref="U8:U13"/>
    <mergeCell ref="V8:V13"/>
    <mergeCell ref="C5:I5"/>
    <mergeCell ref="J5:P5"/>
    <mergeCell ref="U14:U21"/>
    <mergeCell ref="V14:V21"/>
  </mergeCells>
  <phoneticPr fontId="17" type="noConversion"/>
  <printOptions horizontalCentered="1" gridLinesSet="0"/>
  <pageMargins left="0.78740157480314965" right="0.78740157480314965" top="0.39370078740157483" bottom="0.98425196850393704" header="0.51181102362204722" footer="0.51181102362204722"/>
  <pageSetup paperSize="9" scale="56" orientation="portrait" horizontalDpi="180" verticalDpi="180" r:id="rId1"/>
  <headerFooter alignWithMargins="0">
    <oddHeader>&amp;A</oddHeader>
    <oddFooter>&amp;L&amp;6&amp;F&amp;C&amp;8Preparado por COBB Española&amp;D&amp;6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BV62"/>
  <sheetViews>
    <sheetView showGridLines="0" zoomScale="74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P3" sqref="P3:Q3"/>
    </sheetView>
  </sheetViews>
  <sheetFormatPr baseColWidth="10" defaultColWidth="9.140625" defaultRowHeight="12.75" x14ac:dyDescent="0.2"/>
  <cols>
    <col min="1" max="1" width="11" customWidth="1"/>
    <col min="2" max="2" width="6.42578125" style="1" customWidth="1"/>
    <col min="3" max="3" width="5.7109375" customWidth="1"/>
    <col min="4" max="4" width="6" customWidth="1"/>
    <col min="5" max="5" width="8" style="477" customWidth="1"/>
    <col min="6" max="17" width="8" customWidth="1"/>
    <col min="18" max="18" width="8.42578125" customWidth="1"/>
    <col min="19" max="21" width="8" customWidth="1"/>
    <col min="22" max="22" width="7.7109375" customWidth="1"/>
    <col min="23" max="23" width="6.7109375" customWidth="1"/>
    <col min="24" max="24" width="8.85546875" customWidth="1"/>
    <col min="25" max="25" width="6.42578125" customWidth="1"/>
    <col min="26" max="38" width="7.7109375" customWidth="1"/>
    <col min="39" max="43" width="8" customWidth="1"/>
    <col min="44" max="44" width="8.140625" style="478" customWidth="1"/>
    <col min="45" max="46" width="8" customWidth="1"/>
    <col min="47" max="47" width="9" customWidth="1"/>
    <col min="48" max="49" width="8" customWidth="1"/>
    <col min="50" max="50" width="9.140625" customWidth="1"/>
    <col min="51" max="52" width="8" customWidth="1"/>
    <col min="53" max="53" width="8.140625" customWidth="1"/>
    <col min="54" max="55" width="5.7109375" customWidth="1"/>
    <col min="56" max="56" width="8.42578125" customWidth="1"/>
    <col min="57" max="68" width="5.7109375" customWidth="1"/>
    <col min="69" max="71" width="5.7109375" hidden="1" customWidth="1"/>
    <col min="72" max="74" width="5.7109375" customWidth="1"/>
  </cols>
  <sheetData>
    <row r="1" spans="1:74" ht="24.95" customHeight="1" x14ac:dyDescent="0.25">
      <c r="A1" s="20" t="s">
        <v>125</v>
      </c>
      <c r="B1" s="415"/>
      <c r="C1" s="416"/>
      <c r="D1" s="416"/>
      <c r="E1" s="474" t="str">
        <f>IF(LOT!$B$3="","",LOT!$B$3)</f>
        <v>CASAP-BLIDA</v>
      </c>
      <c r="F1" s="22"/>
      <c r="G1" s="416"/>
      <c r="H1" s="416"/>
      <c r="I1" s="416"/>
      <c r="J1" s="416"/>
      <c r="K1" s="416"/>
      <c r="L1" s="24" t="s">
        <v>142</v>
      </c>
      <c r="M1" s="416"/>
      <c r="N1" s="416"/>
      <c r="O1" s="418"/>
      <c r="P1" s="616">
        <f>IF(LOT!$B$4="","",LOT!$B$4)</f>
        <v>43250</v>
      </c>
      <c r="Q1" s="616"/>
      <c r="R1" s="418"/>
      <c r="S1" s="467"/>
      <c r="T1" s="467"/>
      <c r="U1" s="419"/>
      <c r="V1" s="467" t="s">
        <v>242</v>
      </c>
      <c r="W1" s="419"/>
      <c r="X1" s="419"/>
      <c r="Y1" s="419"/>
      <c r="Z1" s="419"/>
      <c r="AA1" s="419"/>
      <c r="AB1" s="419"/>
      <c r="AC1" s="419"/>
      <c r="AD1" s="419"/>
      <c r="AE1" s="419"/>
      <c r="AF1" s="419"/>
      <c r="AG1" s="419"/>
      <c r="AH1" s="419"/>
      <c r="AI1" s="419"/>
      <c r="AJ1" s="419"/>
      <c r="AK1" s="419"/>
      <c r="AL1" s="419"/>
      <c r="AM1" s="419"/>
      <c r="AN1" s="419"/>
      <c r="AO1" s="419"/>
      <c r="AP1" s="467"/>
      <c r="AQ1" s="467"/>
      <c r="AR1" s="419"/>
      <c r="AS1" s="467" t="s">
        <v>252</v>
      </c>
      <c r="AT1" s="419"/>
      <c r="AU1" s="419"/>
      <c r="AV1" s="419"/>
      <c r="AW1" s="419"/>
      <c r="AX1" s="419"/>
      <c r="AY1" s="419"/>
      <c r="AZ1" s="419"/>
      <c r="BA1" s="419"/>
      <c r="BB1" s="419"/>
      <c r="BC1" s="419"/>
      <c r="BD1" s="419"/>
      <c r="BE1" s="419"/>
      <c r="BF1" s="419"/>
      <c r="BG1" s="419"/>
      <c r="BH1" s="419"/>
      <c r="BI1" s="419"/>
      <c r="BJ1" s="419"/>
      <c r="BK1" s="419"/>
      <c r="BL1" s="419"/>
      <c r="BM1" s="419"/>
      <c r="BN1" s="419"/>
      <c r="BO1" s="419"/>
      <c r="BP1" s="419"/>
    </row>
    <row r="2" spans="1:74" ht="24.95" customHeight="1" thickBot="1" x14ac:dyDescent="0.3">
      <c r="A2" s="24" t="s">
        <v>73</v>
      </c>
      <c r="B2" s="415"/>
      <c r="C2" s="416"/>
      <c r="D2" s="416"/>
      <c r="E2" s="474" t="str">
        <f>IF(LOT!$B$7="","",LOT!$B$7)</f>
        <v>AIN OUSSERA-ALGERIE</v>
      </c>
      <c r="F2" s="22"/>
      <c r="G2" s="416"/>
      <c r="H2" s="416"/>
      <c r="I2" s="416"/>
      <c r="J2" s="416"/>
      <c r="K2" s="416"/>
      <c r="L2" s="24" t="s">
        <v>143</v>
      </c>
      <c r="M2" s="416"/>
      <c r="N2" s="416"/>
      <c r="O2" s="418"/>
      <c r="P2" s="617">
        <f>IF(LOT!$B$5="","",LOT!$B$5)</f>
        <v>7872</v>
      </c>
      <c r="Q2" s="617"/>
      <c r="R2" s="468" t="s">
        <v>243</v>
      </c>
      <c r="S2" s="469"/>
      <c r="T2" s="471">
        <v>5000</v>
      </c>
      <c r="U2" s="468" t="s">
        <v>245</v>
      </c>
      <c r="V2" s="468"/>
      <c r="W2" s="471"/>
      <c r="X2" s="468" t="s">
        <v>247</v>
      </c>
      <c r="Y2" s="416"/>
      <c r="Z2" s="471"/>
      <c r="AA2" s="468" t="s">
        <v>249</v>
      </c>
      <c r="AB2" s="416"/>
      <c r="AC2" s="471"/>
      <c r="AD2" s="468" t="s">
        <v>251</v>
      </c>
      <c r="AE2" s="416"/>
      <c r="AF2" s="471"/>
      <c r="AG2" s="419"/>
      <c r="AH2" s="419"/>
      <c r="AI2" s="419"/>
      <c r="AJ2" s="419"/>
      <c r="AK2" s="419"/>
      <c r="AL2" s="419"/>
      <c r="AM2" s="419"/>
      <c r="AN2" s="416"/>
      <c r="AO2" s="416"/>
      <c r="AP2" s="468" t="s">
        <v>243</v>
      </c>
      <c r="AQ2" s="602"/>
      <c r="AR2" s="471"/>
      <c r="AS2" s="468" t="s">
        <v>245</v>
      </c>
      <c r="AT2" s="468"/>
      <c r="AU2" s="471"/>
      <c r="AV2" s="468" t="s">
        <v>247</v>
      </c>
      <c r="AW2" s="416"/>
      <c r="AX2" s="471"/>
      <c r="AY2" s="468" t="s">
        <v>249</v>
      </c>
      <c r="AZ2" s="416"/>
      <c r="BA2" s="471"/>
      <c r="BB2" s="468" t="s">
        <v>251</v>
      </c>
      <c r="BC2" s="416"/>
      <c r="BD2" s="471"/>
      <c r="BE2" s="416"/>
      <c r="BF2" s="419"/>
      <c r="BG2" s="419"/>
      <c r="BH2" s="419"/>
      <c r="BI2" s="419"/>
      <c r="BJ2" s="419"/>
      <c r="BK2" s="419"/>
      <c r="BL2" s="419"/>
      <c r="BM2" s="419"/>
      <c r="BN2" s="419"/>
      <c r="BO2" s="419"/>
      <c r="BP2" s="419"/>
    </row>
    <row r="3" spans="1:74" ht="24.95" customHeight="1" thickTop="1" thickBot="1" x14ac:dyDescent="0.3">
      <c r="A3" s="24" t="s">
        <v>74</v>
      </c>
      <c r="B3" s="415"/>
      <c r="C3" s="416"/>
      <c r="D3" s="416"/>
      <c r="E3" s="474" t="str">
        <f>IF(LOT!$B$8="","",LOT!$B$8)</f>
        <v/>
      </c>
      <c r="F3" s="22"/>
      <c r="G3" s="416"/>
      <c r="H3" s="416"/>
      <c r="I3" s="416"/>
      <c r="J3" s="416"/>
      <c r="K3" s="416"/>
      <c r="L3" s="24" t="s">
        <v>144</v>
      </c>
      <c r="M3" s="416"/>
      <c r="N3" s="416"/>
      <c r="O3" s="418"/>
      <c r="P3" s="617">
        <f>IF(LOT!$B$6="","",LOT!$B$6)</f>
        <v>1200</v>
      </c>
      <c r="Q3" s="617"/>
      <c r="R3" s="468" t="s">
        <v>244</v>
      </c>
      <c r="S3" s="416"/>
      <c r="T3" s="471"/>
      <c r="U3" s="468" t="s">
        <v>246</v>
      </c>
      <c r="V3" s="468"/>
      <c r="W3" s="471"/>
      <c r="X3" s="468" t="s">
        <v>248</v>
      </c>
      <c r="Y3" s="416"/>
      <c r="Z3" s="471"/>
      <c r="AA3" s="468" t="s">
        <v>250</v>
      </c>
      <c r="AB3" s="416"/>
      <c r="AC3" s="471"/>
      <c r="AD3" s="419"/>
      <c r="AE3" s="419"/>
      <c r="AF3" s="419"/>
      <c r="AG3" s="419"/>
      <c r="AH3" s="419"/>
      <c r="AI3" s="419"/>
      <c r="AJ3" s="419"/>
      <c r="AK3" s="419"/>
      <c r="AL3" s="419"/>
      <c r="AM3" s="419"/>
      <c r="AN3" s="416"/>
      <c r="AO3" s="416"/>
      <c r="AP3" s="468" t="s">
        <v>244</v>
      </c>
      <c r="AQ3" s="416"/>
      <c r="AR3" s="471"/>
      <c r="AS3" s="468" t="s">
        <v>246</v>
      </c>
      <c r="AT3" s="468"/>
      <c r="AU3" s="471"/>
      <c r="AV3" s="468" t="s">
        <v>248</v>
      </c>
      <c r="AW3" s="416"/>
      <c r="AX3" s="471"/>
      <c r="AY3" s="468" t="s">
        <v>250</v>
      </c>
      <c r="AZ3" s="416"/>
      <c r="BA3" s="471"/>
      <c r="BB3" s="419"/>
      <c r="BC3" s="419"/>
      <c r="BD3" s="419"/>
      <c r="BE3" s="419"/>
      <c r="BF3" s="419"/>
      <c r="BG3" s="419"/>
      <c r="BH3" s="419"/>
      <c r="BI3" s="419"/>
      <c r="BJ3" s="419"/>
      <c r="BK3" s="419"/>
      <c r="BL3" s="419"/>
      <c r="BM3" s="419"/>
      <c r="BN3" s="419"/>
      <c r="BO3" s="419"/>
      <c r="BP3" s="419"/>
    </row>
    <row r="4" spans="1:74" ht="15" customHeight="1" thickTop="1" thickBot="1" x14ac:dyDescent="0.25">
      <c r="A4" s="44"/>
      <c r="B4" s="423"/>
      <c r="C4" s="648" t="s">
        <v>138</v>
      </c>
      <c r="D4" s="649"/>
      <c r="E4" s="649"/>
      <c r="F4" s="649"/>
      <c r="G4" s="649"/>
      <c r="H4" s="649"/>
      <c r="I4" s="649"/>
      <c r="J4" s="649"/>
      <c r="K4" s="649"/>
      <c r="L4" s="649"/>
      <c r="M4" s="649"/>
      <c r="N4" s="649"/>
      <c r="O4" s="649"/>
      <c r="P4" s="649"/>
      <c r="Q4" s="649"/>
      <c r="R4" s="649"/>
      <c r="S4" s="649"/>
      <c r="T4" s="649"/>
      <c r="U4" s="649"/>
      <c r="V4" s="649"/>
      <c r="W4" s="649"/>
      <c r="X4" s="649"/>
      <c r="Y4" s="649"/>
      <c r="Z4" s="649"/>
      <c r="AA4" s="649"/>
      <c r="AB4" s="649"/>
      <c r="AC4" s="649"/>
      <c r="AD4" s="649"/>
      <c r="AE4" s="649"/>
      <c r="AF4" s="649"/>
      <c r="AG4" s="649"/>
      <c r="AH4" s="649"/>
      <c r="AI4" s="649"/>
      <c r="AJ4" s="649"/>
      <c r="AK4" s="649"/>
      <c r="AL4" s="649"/>
      <c r="AM4" s="649"/>
      <c r="AN4" s="649"/>
      <c r="AO4" s="650"/>
      <c r="AP4" s="639" t="s">
        <v>150</v>
      </c>
      <c r="AQ4" s="640"/>
      <c r="AR4" s="640"/>
      <c r="AS4" s="640"/>
      <c r="AT4" s="640"/>
      <c r="AU4" s="640"/>
      <c r="AV4" s="640"/>
      <c r="AW4" s="640"/>
      <c r="AX4" s="640"/>
      <c r="AY4" s="640"/>
      <c r="AZ4" s="640"/>
      <c r="BA4" s="640"/>
      <c r="BB4" s="640"/>
      <c r="BC4" s="640"/>
      <c r="BD4" s="640"/>
      <c r="BE4" s="640"/>
      <c r="BF4" s="640"/>
      <c r="BG4" s="640"/>
      <c r="BH4" s="640"/>
      <c r="BI4" s="640"/>
      <c r="BJ4" s="640"/>
      <c r="BK4" s="640"/>
      <c r="BL4" s="640"/>
      <c r="BM4" s="640"/>
      <c r="BN4" s="640"/>
      <c r="BO4" s="640"/>
      <c r="BP4" s="641"/>
      <c r="BQ4" s="44"/>
      <c r="BR4" s="44"/>
      <c r="BS4" s="44"/>
      <c r="BT4" s="44"/>
      <c r="BU4" s="44"/>
      <c r="BV4" s="44"/>
    </row>
    <row r="5" spans="1:74" ht="15" customHeight="1" thickTop="1" thickBot="1" x14ac:dyDescent="0.25">
      <c r="A5" s="44"/>
      <c r="B5" s="423"/>
      <c r="C5" s="642"/>
      <c r="D5" s="643"/>
      <c r="E5" s="643"/>
      <c r="F5" s="643"/>
      <c r="G5" s="643"/>
      <c r="H5" s="643"/>
      <c r="I5" s="643"/>
      <c r="J5" s="643"/>
      <c r="K5" s="643"/>
      <c r="L5" s="643"/>
      <c r="M5" s="643"/>
      <c r="N5" s="644"/>
      <c r="O5" s="642"/>
      <c r="P5" s="643"/>
      <c r="Q5" s="643"/>
      <c r="R5" s="643"/>
      <c r="S5" s="643"/>
      <c r="T5" s="643"/>
      <c r="U5" s="643"/>
      <c r="V5" s="643"/>
      <c r="W5" s="643"/>
      <c r="X5" s="643"/>
      <c r="Y5" s="643"/>
      <c r="Z5" s="643"/>
      <c r="AA5" s="643"/>
      <c r="AB5" s="643"/>
      <c r="AC5" s="643"/>
      <c r="AD5" s="643"/>
      <c r="AE5" s="643"/>
      <c r="AF5" s="643"/>
      <c r="AG5" s="643"/>
      <c r="AH5" s="643"/>
      <c r="AI5" s="643"/>
      <c r="AJ5" s="643"/>
      <c r="AK5" s="643"/>
      <c r="AL5" s="643"/>
      <c r="AM5" s="580"/>
      <c r="AN5" s="580"/>
      <c r="AO5" s="581"/>
      <c r="AP5" s="642"/>
      <c r="AQ5" s="643"/>
      <c r="AR5" s="643"/>
      <c r="AS5" s="643"/>
      <c r="AT5" s="643"/>
      <c r="AU5" s="643"/>
      <c r="AV5" s="643"/>
      <c r="AW5" s="643"/>
      <c r="AX5" s="644"/>
      <c r="AY5" s="645"/>
      <c r="AZ5" s="646"/>
      <c r="BA5" s="646"/>
      <c r="BB5" s="646"/>
      <c r="BC5" s="646"/>
      <c r="BD5" s="646"/>
      <c r="BE5" s="646"/>
      <c r="BF5" s="646"/>
      <c r="BG5" s="646"/>
      <c r="BH5" s="646"/>
      <c r="BI5" s="646"/>
      <c r="BJ5" s="646"/>
      <c r="BK5" s="646"/>
      <c r="BL5" s="646"/>
      <c r="BM5" s="646"/>
      <c r="BN5" s="646"/>
      <c r="BO5" s="646"/>
      <c r="BP5" s="647"/>
      <c r="BQ5" s="44"/>
      <c r="BR5" s="44"/>
      <c r="BS5" s="44"/>
      <c r="BT5" s="44"/>
      <c r="BU5" s="44"/>
      <c r="BV5" s="44"/>
    </row>
    <row r="6" spans="1:74" ht="24.95" customHeight="1" thickTop="1" x14ac:dyDescent="0.2">
      <c r="A6" s="44"/>
      <c r="B6" s="423"/>
      <c r="C6" s="637" t="s">
        <v>152</v>
      </c>
      <c r="D6" s="638"/>
      <c r="E6" s="481">
        <v>1</v>
      </c>
      <c r="F6" s="473"/>
      <c r="G6" s="637" t="s">
        <v>152</v>
      </c>
      <c r="H6" s="638"/>
      <c r="I6" s="473">
        <v>2</v>
      </c>
      <c r="J6" s="473"/>
      <c r="K6" s="637" t="s">
        <v>152</v>
      </c>
      <c r="L6" s="638"/>
      <c r="M6" s="473">
        <v>3</v>
      </c>
      <c r="N6" s="473"/>
      <c r="O6" s="637" t="s">
        <v>152</v>
      </c>
      <c r="P6" s="638"/>
      <c r="Q6" s="635">
        <v>4</v>
      </c>
      <c r="R6" s="636"/>
      <c r="S6" s="637" t="s">
        <v>152</v>
      </c>
      <c r="T6" s="638"/>
      <c r="U6" s="635">
        <v>5</v>
      </c>
      <c r="V6" s="636"/>
      <c r="W6" s="637" t="s">
        <v>152</v>
      </c>
      <c r="X6" s="638"/>
      <c r="Y6" s="473">
        <v>6</v>
      </c>
      <c r="Z6" s="473"/>
      <c r="AA6" s="637" t="s">
        <v>152</v>
      </c>
      <c r="AB6" s="638"/>
      <c r="AC6" s="473">
        <v>7</v>
      </c>
      <c r="AD6" s="473"/>
      <c r="AE6" s="637" t="s">
        <v>152</v>
      </c>
      <c r="AF6" s="638"/>
      <c r="AG6" s="473">
        <v>8</v>
      </c>
      <c r="AH6" s="473"/>
      <c r="AI6" s="637" t="s">
        <v>152</v>
      </c>
      <c r="AJ6" s="638"/>
      <c r="AK6" s="473">
        <v>9</v>
      </c>
      <c r="AL6" s="473"/>
      <c r="AM6" s="613" t="s">
        <v>153</v>
      </c>
      <c r="AN6" s="614"/>
      <c r="AO6" s="614"/>
      <c r="AP6" s="637" t="s">
        <v>152</v>
      </c>
      <c r="AQ6" s="638"/>
      <c r="AR6" s="481">
        <v>1</v>
      </c>
      <c r="AS6" s="637" t="s">
        <v>152</v>
      </c>
      <c r="AT6" s="638"/>
      <c r="AU6" s="473">
        <v>2</v>
      </c>
      <c r="AV6" s="637" t="s">
        <v>152</v>
      </c>
      <c r="AW6" s="638"/>
      <c r="AX6" s="473">
        <v>3</v>
      </c>
      <c r="AY6" s="637" t="s">
        <v>152</v>
      </c>
      <c r="AZ6" s="638"/>
      <c r="BA6" s="473">
        <v>4</v>
      </c>
      <c r="BB6" s="637" t="s">
        <v>152</v>
      </c>
      <c r="BC6" s="638"/>
      <c r="BD6" s="473">
        <v>5</v>
      </c>
      <c r="BE6" s="637" t="s">
        <v>152</v>
      </c>
      <c r="BF6" s="638"/>
      <c r="BG6" s="473">
        <v>6</v>
      </c>
      <c r="BH6" s="637" t="s">
        <v>152</v>
      </c>
      <c r="BI6" s="638"/>
      <c r="BJ6" s="473">
        <v>7</v>
      </c>
      <c r="BK6" s="637" t="s">
        <v>152</v>
      </c>
      <c r="BL6" s="638"/>
      <c r="BM6" s="473">
        <v>8</v>
      </c>
      <c r="BN6" s="637" t="s">
        <v>152</v>
      </c>
      <c r="BO6" s="638"/>
      <c r="BP6" s="473">
        <v>9</v>
      </c>
      <c r="BQ6" s="637" t="s">
        <v>33</v>
      </c>
      <c r="BR6" s="638"/>
      <c r="BS6" s="459">
        <v>6</v>
      </c>
      <c r="BT6" s="613" t="s">
        <v>153</v>
      </c>
      <c r="BU6" s="614"/>
      <c r="BV6" s="614"/>
    </row>
    <row r="7" spans="1:74" ht="24.95" customHeight="1" thickBot="1" x14ac:dyDescent="0.25">
      <c r="A7" s="427"/>
      <c r="B7" s="428"/>
      <c r="C7" s="429" t="s">
        <v>131</v>
      </c>
      <c r="D7" s="430" t="s">
        <v>253</v>
      </c>
      <c r="E7" s="450" t="s">
        <v>132</v>
      </c>
      <c r="F7" s="450" t="s">
        <v>0</v>
      </c>
      <c r="G7" s="429" t="s">
        <v>131</v>
      </c>
      <c r="H7" s="430" t="s">
        <v>253</v>
      </c>
      <c r="I7" s="450" t="s">
        <v>132</v>
      </c>
      <c r="J7" s="450" t="s">
        <v>0</v>
      </c>
      <c r="K7" s="429" t="s">
        <v>131</v>
      </c>
      <c r="L7" s="430" t="s">
        <v>253</v>
      </c>
      <c r="M7" s="450" t="s">
        <v>132</v>
      </c>
      <c r="N7" s="450" t="s">
        <v>0</v>
      </c>
      <c r="O7" s="429" t="s">
        <v>131</v>
      </c>
      <c r="P7" s="430" t="s">
        <v>253</v>
      </c>
      <c r="Q7" s="450" t="s">
        <v>132</v>
      </c>
      <c r="R7" s="450" t="s">
        <v>0</v>
      </c>
      <c r="S7" s="429" t="s">
        <v>131</v>
      </c>
      <c r="T7" s="430" t="s">
        <v>253</v>
      </c>
      <c r="U7" s="450" t="s">
        <v>132</v>
      </c>
      <c r="V7" s="450" t="s">
        <v>0</v>
      </c>
      <c r="W7" s="429" t="s">
        <v>131</v>
      </c>
      <c r="X7" s="430" t="s">
        <v>253</v>
      </c>
      <c r="Y7" s="450" t="s">
        <v>132</v>
      </c>
      <c r="Z7" s="450" t="s">
        <v>0</v>
      </c>
      <c r="AA7" s="429" t="s">
        <v>131</v>
      </c>
      <c r="AB7" s="430" t="s">
        <v>253</v>
      </c>
      <c r="AC7" s="450" t="s">
        <v>132</v>
      </c>
      <c r="AD7" s="450" t="s">
        <v>0</v>
      </c>
      <c r="AE7" s="429" t="s">
        <v>131</v>
      </c>
      <c r="AF7" s="430" t="s">
        <v>253</v>
      </c>
      <c r="AG7" s="450" t="s">
        <v>132</v>
      </c>
      <c r="AH7" s="450" t="s">
        <v>0</v>
      </c>
      <c r="AI7" s="429" t="s">
        <v>131</v>
      </c>
      <c r="AJ7" s="430" t="s">
        <v>253</v>
      </c>
      <c r="AK7" s="450" t="s">
        <v>132</v>
      </c>
      <c r="AL7" s="450" t="s">
        <v>0</v>
      </c>
      <c r="AM7" s="429" t="s">
        <v>131</v>
      </c>
      <c r="AN7" s="430" t="s">
        <v>253</v>
      </c>
      <c r="AO7" s="450" t="s">
        <v>132</v>
      </c>
      <c r="AP7" s="429" t="s">
        <v>131</v>
      </c>
      <c r="AQ7" s="430" t="s">
        <v>253</v>
      </c>
      <c r="AR7" s="450" t="s">
        <v>132</v>
      </c>
      <c r="AS7" s="429" t="s">
        <v>131</v>
      </c>
      <c r="AT7" s="430" t="s">
        <v>253</v>
      </c>
      <c r="AU7" s="450" t="s">
        <v>132</v>
      </c>
      <c r="AV7" s="429" t="s">
        <v>131</v>
      </c>
      <c r="AW7" s="430" t="s">
        <v>253</v>
      </c>
      <c r="AX7" s="450" t="s">
        <v>132</v>
      </c>
      <c r="AY7" s="429" t="s">
        <v>131</v>
      </c>
      <c r="AZ7" s="430" t="s">
        <v>253</v>
      </c>
      <c r="BA7" s="450" t="s">
        <v>132</v>
      </c>
      <c r="BB7" s="429" t="s">
        <v>131</v>
      </c>
      <c r="BC7" s="430" t="s">
        <v>253</v>
      </c>
      <c r="BD7" s="450" t="s">
        <v>132</v>
      </c>
      <c r="BE7" s="429" t="s">
        <v>131</v>
      </c>
      <c r="BF7" s="430" t="s">
        <v>253</v>
      </c>
      <c r="BG7" s="450" t="s">
        <v>132</v>
      </c>
      <c r="BH7" s="429" t="s">
        <v>131</v>
      </c>
      <c r="BI7" s="430" t="s">
        <v>253</v>
      </c>
      <c r="BJ7" s="450" t="s">
        <v>132</v>
      </c>
      <c r="BK7" s="429" t="s">
        <v>131</v>
      </c>
      <c r="BL7" s="430" t="s">
        <v>253</v>
      </c>
      <c r="BM7" s="450" t="s">
        <v>132</v>
      </c>
      <c r="BN7" s="429" t="s">
        <v>131</v>
      </c>
      <c r="BO7" s="430" t="s">
        <v>253</v>
      </c>
      <c r="BP7" s="450" t="s">
        <v>132</v>
      </c>
      <c r="BQ7" s="429" t="s">
        <v>131</v>
      </c>
      <c r="BR7" s="430" t="s">
        <v>253</v>
      </c>
      <c r="BS7" s="450" t="s">
        <v>132</v>
      </c>
      <c r="BT7" s="429" t="s">
        <v>131</v>
      </c>
      <c r="BU7" s="430" t="s">
        <v>253</v>
      </c>
      <c r="BV7" s="450" t="s">
        <v>132</v>
      </c>
    </row>
    <row r="8" spans="1:74" ht="24.95" customHeight="1" thickTop="1" thickBot="1" x14ac:dyDescent="0.25">
      <c r="A8" s="432" t="s">
        <v>80</v>
      </c>
      <c r="B8" s="433" t="s">
        <v>79</v>
      </c>
      <c r="C8" s="434" t="s">
        <v>4</v>
      </c>
      <c r="D8" s="435" t="s">
        <v>133</v>
      </c>
      <c r="E8" s="451" t="s">
        <v>133</v>
      </c>
      <c r="F8" s="451" t="s">
        <v>151</v>
      </c>
      <c r="G8" s="434" t="s">
        <v>4</v>
      </c>
      <c r="H8" s="435" t="s">
        <v>133</v>
      </c>
      <c r="I8" s="451" t="s">
        <v>133</v>
      </c>
      <c r="J8" s="451" t="s">
        <v>151</v>
      </c>
      <c r="K8" s="434" t="s">
        <v>4</v>
      </c>
      <c r="L8" s="435" t="s">
        <v>133</v>
      </c>
      <c r="M8" s="451" t="s">
        <v>133</v>
      </c>
      <c r="N8" s="451" t="s">
        <v>151</v>
      </c>
      <c r="O8" s="434" t="s">
        <v>4</v>
      </c>
      <c r="P8" s="435" t="s">
        <v>133</v>
      </c>
      <c r="Q8" s="451" t="s">
        <v>133</v>
      </c>
      <c r="R8" s="451" t="s">
        <v>151</v>
      </c>
      <c r="S8" s="434" t="s">
        <v>4</v>
      </c>
      <c r="T8" s="435" t="s">
        <v>133</v>
      </c>
      <c r="U8" s="451" t="s">
        <v>133</v>
      </c>
      <c r="V8" s="451" t="s">
        <v>151</v>
      </c>
      <c r="W8" s="434" t="s">
        <v>4</v>
      </c>
      <c r="X8" s="435" t="s">
        <v>133</v>
      </c>
      <c r="Y8" s="451" t="s">
        <v>133</v>
      </c>
      <c r="Z8" s="451" t="s">
        <v>151</v>
      </c>
      <c r="AA8" s="434" t="s">
        <v>4</v>
      </c>
      <c r="AB8" s="435" t="s">
        <v>133</v>
      </c>
      <c r="AC8" s="451" t="s">
        <v>133</v>
      </c>
      <c r="AD8" s="451" t="s">
        <v>151</v>
      </c>
      <c r="AE8" s="434" t="s">
        <v>4</v>
      </c>
      <c r="AF8" s="435" t="s">
        <v>133</v>
      </c>
      <c r="AG8" s="451" t="s">
        <v>133</v>
      </c>
      <c r="AH8" s="451" t="s">
        <v>151</v>
      </c>
      <c r="AI8" s="434" t="s">
        <v>4</v>
      </c>
      <c r="AJ8" s="435" t="s">
        <v>133</v>
      </c>
      <c r="AK8" s="451" t="s">
        <v>133</v>
      </c>
      <c r="AL8" s="451" t="s">
        <v>151</v>
      </c>
      <c r="AM8" s="434" t="s">
        <v>4</v>
      </c>
      <c r="AN8" s="435" t="s">
        <v>133</v>
      </c>
      <c r="AO8" s="451" t="s">
        <v>133</v>
      </c>
      <c r="AP8" s="434" t="s">
        <v>4</v>
      </c>
      <c r="AQ8" s="435" t="s">
        <v>133</v>
      </c>
      <c r="AR8" s="451" t="s">
        <v>133</v>
      </c>
      <c r="AS8" s="434" t="s">
        <v>4</v>
      </c>
      <c r="AT8" s="435" t="s">
        <v>133</v>
      </c>
      <c r="AU8" s="451" t="s">
        <v>133</v>
      </c>
      <c r="AV8" s="434" t="s">
        <v>4</v>
      </c>
      <c r="AW8" s="435" t="s">
        <v>133</v>
      </c>
      <c r="AX8" s="451" t="s">
        <v>133</v>
      </c>
      <c r="AY8" s="434" t="s">
        <v>4</v>
      </c>
      <c r="AZ8" s="435" t="s">
        <v>133</v>
      </c>
      <c r="BA8" s="451" t="s">
        <v>133</v>
      </c>
      <c r="BB8" s="434" t="s">
        <v>4</v>
      </c>
      <c r="BC8" s="435" t="s">
        <v>133</v>
      </c>
      <c r="BD8" s="451" t="s">
        <v>133</v>
      </c>
      <c r="BE8" s="434" t="s">
        <v>4</v>
      </c>
      <c r="BF8" s="435" t="s">
        <v>133</v>
      </c>
      <c r="BG8" s="451" t="s">
        <v>133</v>
      </c>
      <c r="BH8" s="434" t="s">
        <v>4</v>
      </c>
      <c r="BI8" s="435" t="s">
        <v>133</v>
      </c>
      <c r="BJ8" s="451" t="s">
        <v>133</v>
      </c>
      <c r="BK8" s="434" t="s">
        <v>4</v>
      </c>
      <c r="BL8" s="435" t="s">
        <v>133</v>
      </c>
      <c r="BM8" s="451" t="s">
        <v>133</v>
      </c>
      <c r="BN8" s="434" t="s">
        <v>4</v>
      </c>
      <c r="BO8" s="435" t="s">
        <v>133</v>
      </c>
      <c r="BP8" s="451" t="s">
        <v>133</v>
      </c>
      <c r="BQ8" s="434" t="s">
        <v>4</v>
      </c>
      <c r="BR8" s="435" t="s">
        <v>133</v>
      </c>
      <c r="BS8" s="451" t="s">
        <v>133</v>
      </c>
      <c r="BT8" s="434" t="s">
        <v>4</v>
      </c>
      <c r="BU8" s="435" t="s">
        <v>133</v>
      </c>
      <c r="BV8" s="451" t="s">
        <v>133</v>
      </c>
    </row>
    <row r="9" spans="1:74" ht="24" customHeight="1" x14ac:dyDescent="0.2">
      <c r="A9" s="452">
        <f>+P1+126</f>
        <v>43376</v>
      </c>
      <c r="B9" s="438">
        <v>18</v>
      </c>
      <c r="C9" s="392"/>
      <c r="D9" s="383"/>
      <c r="E9" s="475"/>
      <c r="G9" s="392"/>
      <c r="H9" s="383"/>
      <c r="I9" s="383"/>
      <c r="K9" s="392"/>
      <c r="L9" s="383"/>
      <c r="M9" s="383"/>
      <c r="O9" s="392"/>
      <c r="P9" s="383"/>
      <c r="Q9" s="383"/>
      <c r="S9" s="392"/>
      <c r="T9" s="383"/>
      <c r="U9" s="383"/>
      <c r="W9" s="392"/>
      <c r="X9" s="383"/>
      <c r="Y9" s="383"/>
      <c r="AA9" s="392"/>
      <c r="AB9" s="383"/>
      <c r="AC9" s="383"/>
      <c r="AE9" s="392"/>
      <c r="AF9" s="383"/>
      <c r="AG9" s="383"/>
      <c r="AI9" s="392"/>
      <c r="AJ9" s="383"/>
      <c r="AK9" s="383"/>
      <c r="AM9" s="393" t="str">
        <f>IF(C9="","",C9+G9+K9+W9+O9+S9+AA9+AE9+AI9)</f>
        <v/>
      </c>
      <c r="AN9" s="405" t="str">
        <f>IF(D9="","",(D9+H9+L9+X9+P9+T9+AB9+AF9+AJ9)/COUNT(D9,H9,L9,X9,P9,T9,AB9,AF9:AJ9))</f>
        <v/>
      </c>
      <c r="AO9" s="583" t="str">
        <f>IF(E9="","",(E9+I9+M9+Y9+Q9+U9+AC9+AG9+AK9)/COUNT(E9,I9,M9,Y9,Q9,U9,AC9,AG9,AK9))</f>
        <v/>
      </c>
      <c r="AP9" s="392"/>
      <c r="AQ9" s="383"/>
      <c r="AR9" s="479"/>
      <c r="AS9" s="392"/>
      <c r="AT9" s="383"/>
      <c r="AU9" s="383"/>
      <c r="AV9" s="392"/>
      <c r="AW9" s="383"/>
      <c r="AX9" s="383"/>
      <c r="AY9" s="392"/>
      <c r="AZ9" s="383"/>
      <c r="BA9" s="383"/>
      <c r="BB9" s="392"/>
      <c r="BC9" s="383"/>
      <c r="BD9" s="383"/>
      <c r="BE9" s="392"/>
      <c r="BF9" s="383"/>
      <c r="BG9" s="383"/>
      <c r="BH9" s="392"/>
      <c r="BI9" s="383"/>
      <c r="BJ9" s="383"/>
      <c r="BK9" s="392"/>
      <c r="BL9" s="383"/>
      <c r="BM9" s="383"/>
      <c r="BN9" s="392"/>
      <c r="BO9" s="383"/>
      <c r="BP9" s="214"/>
      <c r="BQ9" s="393"/>
      <c r="BR9" s="214"/>
      <c r="BS9" s="214"/>
      <c r="BT9" s="392" t="str">
        <f t="shared" ref="BT9:BT40" si="0">IF(AP9="","",AP9+AS9+AV9+AY9+BB9+BE9+BH9+BK9+BN9)</f>
        <v/>
      </c>
      <c r="BU9" s="383" t="str">
        <f>IF(AQ9="","",(AQ9+AT9+AW9+AZ9+BC9+BF9+BI9+BL9+BO9)/COUNT(AQ9,AT9,AW9,AZ9,BC9,BF9,BI9,BL9,BO9))</f>
        <v/>
      </c>
      <c r="BV9" s="383" t="str">
        <f>IF(AR9="","",(AR9+AU9+AX9+BA9+BD9+BG9+BJ9+BM9+BP9)/COUNT(AR9,AU9,AX9,BA9,BD9,BG9,BJ9,BM9,BP9))</f>
        <v/>
      </c>
    </row>
    <row r="10" spans="1:74" ht="24" customHeight="1" x14ac:dyDescent="0.2">
      <c r="A10" s="453">
        <f t="shared" ref="A10:A25" si="1">A9+7</f>
        <v>43383</v>
      </c>
      <c r="B10" s="442">
        <f>+B9+1</f>
        <v>19</v>
      </c>
      <c r="C10" s="393"/>
      <c r="D10" s="214"/>
      <c r="E10" s="476"/>
      <c r="G10" s="393"/>
      <c r="H10" s="214"/>
      <c r="I10" s="214"/>
      <c r="K10" s="393"/>
      <c r="L10" s="214"/>
      <c r="M10" s="214"/>
      <c r="O10" s="393"/>
      <c r="P10" s="214"/>
      <c r="Q10" s="214"/>
      <c r="S10" s="393"/>
      <c r="T10" s="214"/>
      <c r="U10" s="214"/>
      <c r="W10" s="393"/>
      <c r="X10" s="214"/>
      <c r="Y10" s="214"/>
      <c r="AA10" s="393"/>
      <c r="AB10" s="214"/>
      <c r="AC10" s="214"/>
      <c r="AE10" s="393"/>
      <c r="AF10" s="214"/>
      <c r="AG10" s="214"/>
      <c r="AI10" s="393"/>
      <c r="AJ10" s="214"/>
      <c r="AK10" s="214"/>
      <c r="AM10" s="393" t="str">
        <f t="shared" ref="AM10:AM61" si="2">IF(C10="","",C10+G10+K10+W10+O10+S10+AA10+AE10+AI10)</f>
        <v/>
      </c>
      <c r="AN10" s="405" t="str">
        <f t="shared" ref="AN10:AN56" si="3">IF(D10="","",(D10+H10+L10+X10+P10+T10+AB10+AF10+AJ10)/COUNT(D10,H10,L10,X10,P10,T10,AB10,AF10:AJ10))</f>
        <v/>
      </c>
      <c r="AO10" s="583" t="str">
        <f t="shared" ref="AO10:AO56" si="4">IF(E10="","",(E10+I10+M10+Y10+Q10+U10+AC10+AG10+AK10)/COUNT(E10,I10,M10,Y10,Q10,U10,AC10,AG10,AK10))</f>
        <v/>
      </c>
      <c r="AP10" s="393"/>
      <c r="AQ10" s="214"/>
      <c r="AR10" s="480"/>
      <c r="AS10" s="393"/>
      <c r="AT10" s="214"/>
      <c r="AU10" s="214"/>
      <c r="AV10" s="393"/>
      <c r="AW10" s="214"/>
      <c r="AX10" s="214"/>
      <c r="AY10" s="393"/>
      <c r="AZ10" s="214"/>
      <c r="BA10" s="214"/>
      <c r="BB10" s="393"/>
      <c r="BC10" s="214"/>
      <c r="BD10" s="214"/>
      <c r="BE10" s="393"/>
      <c r="BF10" s="214"/>
      <c r="BG10" s="214"/>
      <c r="BH10" s="393"/>
      <c r="BI10" s="214"/>
      <c r="BJ10" s="214"/>
      <c r="BK10" s="393"/>
      <c r="BL10" s="214"/>
      <c r="BM10" s="214"/>
      <c r="BN10" s="393"/>
      <c r="BO10" s="214"/>
      <c r="BP10" s="214"/>
      <c r="BQ10" s="393"/>
      <c r="BR10" s="214"/>
      <c r="BS10" s="214"/>
      <c r="BT10" s="392" t="str">
        <f t="shared" si="0"/>
        <v/>
      </c>
      <c r="BU10" s="383" t="str">
        <f t="shared" ref="BU10:BU56" si="5">IF(AQ10="","",(AQ10+AT10+AW10+AZ10+BC10+BF10+BI10+BL10+BO10)/COUNT(AQ10,AT10,AW10,AZ10,BC10,BF10,BI10,BL10,BO10))</f>
        <v/>
      </c>
      <c r="BV10" s="383" t="str">
        <f t="shared" ref="BV10:BV56" si="6">IF(AR10="","",(AR10+AU10+AX10+BA10+BD10+BG10+BJ10+BM10+BP10)/COUNT(AR10,AU10,AX10,BA10,BD10,BG10,BJ10,BM10,BP10))</f>
        <v/>
      </c>
    </row>
    <row r="11" spans="1:74" ht="24" customHeight="1" x14ac:dyDescent="0.2">
      <c r="A11" s="453">
        <f t="shared" si="1"/>
        <v>43390</v>
      </c>
      <c r="B11" s="442">
        <f t="shared" ref="B11:B26" si="7">+B10+1</f>
        <v>20</v>
      </c>
      <c r="C11" s="393"/>
      <c r="D11" s="214"/>
      <c r="E11" s="476"/>
      <c r="G11" s="393"/>
      <c r="H11" s="214"/>
      <c r="I11" s="214"/>
      <c r="K11" s="393"/>
      <c r="L11" s="214"/>
      <c r="M11" s="214"/>
      <c r="O11" s="393"/>
      <c r="P11" s="214"/>
      <c r="Q11" s="214"/>
      <c r="S11" s="393"/>
      <c r="T11" s="214"/>
      <c r="U11" s="214"/>
      <c r="W11" s="393"/>
      <c r="X11" s="214"/>
      <c r="Y11" s="214"/>
      <c r="AA11" s="393"/>
      <c r="AB11" s="214"/>
      <c r="AC11" s="214"/>
      <c r="AE11" s="393"/>
      <c r="AF11" s="214"/>
      <c r="AG11" s="214"/>
      <c r="AI11" s="393"/>
      <c r="AJ11" s="214"/>
      <c r="AK11" s="214"/>
      <c r="AM11" s="393" t="str">
        <f t="shared" si="2"/>
        <v/>
      </c>
      <c r="AN11" s="405" t="str">
        <f t="shared" si="3"/>
        <v/>
      </c>
      <c r="AO11" s="583" t="str">
        <f t="shared" si="4"/>
        <v/>
      </c>
      <c r="AP11" s="393"/>
      <c r="AQ11" s="214"/>
      <c r="AR11" s="480"/>
      <c r="AS11" s="393"/>
      <c r="AT11" s="214"/>
      <c r="AU11" s="214"/>
      <c r="AV11" s="393"/>
      <c r="AW11" s="214"/>
      <c r="AX11" s="214"/>
      <c r="AY11" s="393"/>
      <c r="AZ11" s="214"/>
      <c r="BA11" s="214"/>
      <c r="BB11" s="393"/>
      <c r="BC11" s="214"/>
      <c r="BD11" s="214"/>
      <c r="BE11" s="393"/>
      <c r="BF11" s="214"/>
      <c r="BG11" s="214"/>
      <c r="BH11" s="393"/>
      <c r="BI11" s="214"/>
      <c r="BJ11" s="214"/>
      <c r="BK11" s="393"/>
      <c r="BL11" s="214"/>
      <c r="BM11" s="214"/>
      <c r="BN11" s="393"/>
      <c r="BO11" s="214"/>
      <c r="BP11" s="214"/>
      <c r="BQ11" s="393"/>
      <c r="BR11" s="214"/>
      <c r="BS11" s="214"/>
      <c r="BT11" s="392" t="str">
        <f t="shared" si="0"/>
        <v/>
      </c>
      <c r="BU11" s="383" t="str">
        <f t="shared" si="5"/>
        <v/>
      </c>
      <c r="BV11" s="383" t="str">
        <f t="shared" si="6"/>
        <v/>
      </c>
    </row>
    <row r="12" spans="1:74" ht="24" customHeight="1" x14ac:dyDescent="0.2">
      <c r="A12" s="453">
        <f t="shared" si="1"/>
        <v>43397</v>
      </c>
      <c r="B12" s="442">
        <f t="shared" si="7"/>
        <v>21</v>
      </c>
      <c r="C12" s="209"/>
      <c r="D12" s="443"/>
      <c r="E12" s="443"/>
      <c r="G12" s="209"/>
      <c r="H12" s="443"/>
      <c r="I12" s="443"/>
      <c r="K12" s="209"/>
      <c r="L12" s="443"/>
      <c r="M12" s="443"/>
      <c r="O12" s="209"/>
      <c r="P12" s="443"/>
      <c r="Q12" s="443"/>
      <c r="S12" s="209"/>
      <c r="T12" s="443"/>
      <c r="U12" s="443"/>
      <c r="W12" s="209"/>
      <c r="X12" s="443"/>
      <c r="Y12" s="443"/>
      <c r="AA12" s="209"/>
      <c r="AB12" s="443"/>
      <c r="AC12" s="443"/>
      <c r="AE12" s="209"/>
      <c r="AF12" s="443"/>
      <c r="AG12" s="443"/>
      <c r="AI12" s="209"/>
      <c r="AJ12" s="443"/>
      <c r="AK12" s="443"/>
      <c r="AM12" s="393" t="str">
        <f t="shared" si="2"/>
        <v/>
      </c>
      <c r="AN12" s="405" t="str">
        <f t="shared" si="3"/>
        <v/>
      </c>
      <c r="AO12" s="583" t="str">
        <f t="shared" si="4"/>
        <v/>
      </c>
      <c r="AP12" s="209"/>
      <c r="AQ12" s="443"/>
      <c r="AR12" s="443"/>
      <c r="AS12" s="209"/>
      <c r="AT12" s="443"/>
      <c r="AU12" s="443"/>
      <c r="AV12" s="209"/>
      <c r="AW12" s="443"/>
      <c r="AX12" s="443"/>
      <c r="AY12" s="209"/>
      <c r="AZ12" s="443"/>
      <c r="BA12" s="443"/>
      <c r="BB12" s="209"/>
      <c r="BC12" s="443"/>
      <c r="BD12" s="443"/>
      <c r="BE12" s="209"/>
      <c r="BF12" s="443"/>
      <c r="BG12" s="443"/>
      <c r="BH12" s="209"/>
      <c r="BI12" s="443"/>
      <c r="BJ12" s="443"/>
      <c r="BK12" s="209"/>
      <c r="BL12" s="443"/>
      <c r="BM12" s="443"/>
      <c r="BN12" s="209"/>
      <c r="BO12" s="443"/>
      <c r="BP12" s="443"/>
      <c r="BQ12" s="209"/>
      <c r="BR12" s="443"/>
      <c r="BS12" s="443"/>
      <c r="BT12" s="392" t="str">
        <f t="shared" si="0"/>
        <v/>
      </c>
      <c r="BU12" s="383" t="str">
        <f t="shared" si="5"/>
        <v/>
      </c>
      <c r="BV12" s="383" t="str">
        <f t="shared" si="6"/>
        <v/>
      </c>
    </row>
    <row r="13" spans="1:74" ht="24" customHeight="1" x14ac:dyDescent="0.2">
      <c r="A13" s="453">
        <f t="shared" si="1"/>
        <v>43404</v>
      </c>
      <c r="B13" s="442">
        <f t="shared" si="7"/>
        <v>22</v>
      </c>
      <c r="C13" s="209"/>
      <c r="D13" s="443"/>
      <c r="E13" s="443"/>
      <c r="G13" s="209"/>
      <c r="H13" s="443"/>
      <c r="I13" s="443"/>
      <c r="K13" s="209"/>
      <c r="L13" s="443"/>
      <c r="M13" s="443"/>
      <c r="O13" s="209"/>
      <c r="P13" s="443"/>
      <c r="Q13" s="443"/>
      <c r="S13" s="209"/>
      <c r="T13" s="443"/>
      <c r="U13" s="443"/>
      <c r="W13" s="209"/>
      <c r="X13" s="443"/>
      <c r="Y13" s="443"/>
      <c r="AA13" s="209"/>
      <c r="AB13" s="443"/>
      <c r="AC13" s="443"/>
      <c r="AE13" s="209"/>
      <c r="AF13" s="443"/>
      <c r="AG13" s="443"/>
      <c r="AI13" s="209"/>
      <c r="AJ13" s="443"/>
      <c r="AK13" s="443"/>
      <c r="AM13" s="393" t="str">
        <f t="shared" si="2"/>
        <v/>
      </c>
      <c r="AN13" s="405" t="str">
        <f t="shared" si="3"/>
        <v/>
      </c>
      <c r="AO13" s="583" t="str">
        <f t="shared" si="4"/>
        <v/>
      </c>
      <c r="AP13" s="209"/>
      <c r="AQ13" s="443"/>
      <c r="AR13" s="443"/>
      <c r="AS13" s="209"/>
      <c r="AT13" s="443"/>
      <c r="AU13" s="443"/>
      <c r="AV13" s="209"/>
      <c r="AW13" s="443"/>
      <c r="AX13" s="443"/>
      <c r="AY13" s="209"/>
      <c r="AZ13" s="443"/>
      <c r="BA13" s="443"/>
      <c r="BB13" s="209"/>
      <c r="BC13" s="443"/>
      <c r="BD13" s="443"/>
      <c r="BE13" s="209"/>
      <c r="BF13" s="443"/>
      <c r="BG13" s="443"/>
      <c r="BH13" s="209"/>
      <c r="BI13" s="443"/>
      <c r="BJ13" s="443"/>
      <c r="BK13" s="209"/>
      <c r="BL13" s="443"/>
      <c r="BM13" s="443"/>
      <c r="BN13" s="209"/>
      <c r="BO13" s="443"/>
      <c r="BP13" s="443"/>
      <c r="BQ13" s="209"/>
      <c r="BR13" s="443"/>
      <c r="BS13" s="443"/>
      <c r="BT13" s="392" t="str">
        <f t="shared" si="0"/>
        <v/>
      </c>
      <c r="BU13" s="383" t="str">
        <f t="shared" si="5"/>
        <v/>
      </c>
      <c r="BV13" s="383" t="str">
        <f t="shared" si="6"/>
        <v/>
      </c>
    </row>
    <row r="14" spans="1:74" ht="24" customHeight="1" x14ac:dyDescent="0.2">
      <c r="A14" s="453">
        <f t="shared" si="1"/>
        <v>43411</v>
      </c>
      <c r="B14" s="442">
        <f t="shared" si="7"/>
        <v>23</v>
      </c>
      <c r="C14" s="209"/>
      <c r="D14" s="443"/>
      <c r="E14" s="443"/>
      <c r="F14" s="579" t="str">
        <f>IF(C14="","",'Pon-Bat'!C8/7/($T$2-(SUM($C$9:C14))))</f>
        <v/>
      </c>
      <c r="G14" s="209"/>
      <c r="H14" s="443"/>
      <c r="I14" s="443"/>
      <c r="J14" s="470" t="str">
        <f>IF(G14="","",'Pon-Bat'!I8/7/($T$3-(SUM($G$9:G14))))</f>
        <v/>
      </c>
      <c r="K14" s="209"/>
      <c r="L14" s="443"/>
      <c r="M14" s="443"/>
      <c r="N14" s="470" t="str">
        <f>IF(K14="","",'Pon-Bat'!O8/7/($W$2-(SUM($K$9:K14))))</f>
        <v/>
      </c>
      <c r="O14" s="209"/>
      <c r="P14" s="443"/>
      <c r="Q14" s="443"/>
      <c r="R14" s="470" t="str">
        <f>IF(O14="","",'Pon-Bat'!U8/7/($W$3-(SUM($O$9:O14))))</f>
        <v/>
      </c>
      <c r="S14" s="209"/>
      <c r="T14" s="443"/>
      <c r="U14" s="443"/>
      <c r="V14" s="470" t="str">
        <f>IF(S14="","",'Pon-Bat'!AA8/7/($Z$2-(SUM($S$9:S14))))</f>
        <v/>
      </c>
      <c r="W14" s="209"/>
      <c r="X14" s="443"/>
      <c r="Y14" s="443"/>
      <c r="Z14" s="470" t="str">
        <f>IF(W14="","",'Pon-Bat'!AG8/7/($Z$3-(SUM($W$9:W14))))</f>
        <v/>
      </c>
      <c r="AA14" s="209"/>
      <c r="AB14" s="443"/>
      <c r="AC14" s="443"/>
      <c r="AD14" s="470" t="str">
        <f>IF(AA14="","",'Pon-Bat'!AM8/7/($AC$2-(SUM($AA$9:AA14))))</f>
        <v/>
      </c>
      <c r="AE14" s="209"/>
      <c r="AF14" s="443"/>
      <c r="AG14" s="443"/>
      <c r="AH14" s="470" t="str">
        <f>IF(AE14="","",'Pon-Bat'!AS8/7/($AC$3-(SUM($AE$9:AE14))))</f>
        <v/>
      </c>
      <c r="AI14" s="209"/>
      <c r="AJ14" s="443"/>
      <c r="AK14" s="443"/>
      <c r="AL14" s="470" t="str">
        <f>IF(AI14="","",'Pon-Bat'!AY8/7/($AF$2-(SUM($AI$9:AI14))))</f>
        <v/>
      </c>
      <c r="AM14" s="393" t="str">
        <f t="shared" si="2"/>
        <v/>
      </c>
      <c r="AN14" s="405" t="str">
        <f t="shared" si="3"/>
        <v/>
      </c>
      <c r="AO14" s="583" t="str">
        <f t="shared" si="4"/>
        <v/>
      </c>
      <c r="AP14" s="209"/>
      <c r="AQ14" s="443"/>
      <c r="AR14" s="443"/>
      <c r="AS14" s="209"/>
      <c r="AT14" s="443"/>
      <c r="AU14" s="443"/>
      <c r="AV14" s="209"/>
      <c r="AW14" s="443"/>
      <c r="AX14" s="443"/>
      <c r="AY14" s="209"/>
      <c r="AZ14" s="443"/>
      <c r="BA14" s="443"/>
      <c r="BB14" s="209"/>
      <c r="BC14" s="443"/>
      <c r="BD14" s="443"/>
      <c r="BE14" s="209"/>
      <c r="BF14" s="443"/>
      <c r="BG14" s="443"/>
      <c r="BH14" s="209"/>
      <c r="BI14" s="443"/>
      <c r="BJ14" s="443"/>
      <c r="BK14" s="209"/>
      <c r="BL14" s="443"/>
      <c r="BM14" s="443"/>
      <c r="BN14" s="209"/>
      <c r="BO14" s="443"/>
      <c r="BP14" s="443"/>
      <c r="BQ14" s="209"/>
      <c r="BR14" s="443"/>
      <c r="BS14" s="443"/>
      <c r="BT14" s="392" t="str">
        <f t="shared" si="0"/>
        <v/>
      </c>
      <c r="BU14" s="383" t="str">
        <f t="shared" si="5"/>
        <v/>
      </c>
      <c r="BV14" s="383" t="str">
        <f t="shared" si="6"/>
        <v/>
      </c>
    </row>
    <row r="15" spans="1:74" ht="24" customHeight="1" x14ac:dyDescent="0.2">
      <c r="A15" s="453">
        <f t="shared" si="1"/>
        <v>43418</v>
      </c>
      <c r="B15" s="442">
        <f t="shared" si="7"/>
        <v>24</v>
      </c>
      <c r="C15" s="209"/>
      <c r="D15" s="443"/>
      <c r="E15" s="443"/>
      <c r="F15" s="579" t="str">
        <f>IF(C15="","",'Pon-Bat'!C9/7/($T$2-(SUM($C$9:C15))))</f>
        <v/>
      </c>
      <c r="G15" s="209"/>
      <c r="H15" s="443"/>
      <c r="I15" s="443"/>
      <c r="J15" s="470" t="str">
        <f>IF(G15="","",'Pon-Bat'!I9/7/($T$3-(SUM($G$9:G15))))</f>
        <v/>
      </c>
      <c r="K15" s="209"/>
      <c r="L15" s="443"/>
      <c r="M15" s="443"/>
      <c r="N15" s="470" t="str">
        <f>IF(K15="","",'Pon-Bat'!O9/7/($W$2-(SUM($K$9:K15))))</f>
        <v/>
      </c>
      <c r="O15" s="209"/>
      <c r="P15" s="443"/>
      <c r="Q15" s="443"/>
      <c r="R15" s="470" t="str">
        <f>IF(O15="","",'Pon-Bat'!U9/7/($W$3-(SUM($O$9:O15))))</f>
        <v/>
      </c>
      <c r="S15" s="209"/>
      <c r="T15" s="443"/>
      <c r="U15" s="443"/>
      <c r="V15" s="470" t="str">
        <f>IF(S15="","",'Pon-Bat'!AA9/7/($Z$2-(SUM($S$9:S15))))</f>
        <v/>
      </c>
      <c r="W15" s="209"/>
      <c r="X15" s="443"/>
      <c r="Y15" s="443"/>
      <c r="Z15" s="470" t="str">
        <f>IF(W15="","",'Pon-Bat'!AG9/7/($Z$3-(SUM($W$9:W15))))</f>
        <v/>
      </c>
      <c r="AA15" s="209"/>
      <c r="AB15" s="443"/>
      <c r="AC15" s="443"/>
      <c r="AD15" s="470" t="str">
        <f>IF(AA15="","",'Pon-Bat'!AM9/7/($AC$2-(SUM($AA$9:AA15))))</f>
        <v/>
      </c>
      <c r="AE15" s="209"/>
      <c r="AF15" s="443"/>
      <c r="AG15" s="443"/>
      <c r="AH15" s="470" t="str">
        <f>IF(AE15="","",'Pon-Bat'!AS9/7/($AC$3-(SUM($AE$9:AE15))))</f>
        <v/>
      </c>
      <c r="AI15" s="209"/>
      <c r="AJ15" s="443"/>
      <c r="AK15" s="443"/>
      <c r="AL15" s="470" t="str">
        <f>IF(AI15="","",'Pon-Bat'!AY9/7/($AF$2-(SUM($AI$9:AI15))))</f>
        <v/>
      </c>
      <c r="AM15" s="393" t="str">
        <f t="shared" si="2"/>
        <v/>
      </c>
      <c r="AN15" s="405" t="str">
        <f t="shared" si="3"/>
        <v/>
      </c>
      <c r="AO15" s="583" t="str">
        <f t="shared" si="4"/>
        <v/>
      </c>
      <c r="AP15" s="209"/>
      <c r="AQ15" s="443"/>
      <c r="AR15" s="443"/>
      <c r="AS15" s="209"/>
      <c r="AT15" s="443"/>
      <c r="AU15" s="443"/>
      <c r="AV15" s="209"/>
      <c r="AW15" s="443"/>
      <c r="AX15" s="443"/>
      <c r="AY15" s="209"/>
      <c r="AZ15" s="443"/>
      <c r="BA15" s="443"/>
      <c r="BB15" s="209"/>
      <c r="BC15" s="443"/>
      <c r="BD15" s="443"/>
      <c r="BE15" s="209"/>
      <c r="BF15" s="443"/>
      <c r="BG15" s="443"/>
      <c r="BH15" s="209"/>
      <c r="BI15" s="443"/>
      <c r="BJ15" s="443"/>
      <c r="BK15" s="209"/>
      <c r="BL15" s="443"/>
      <c r="BM15" s="443"/>
      <c r="BN15" s="209"/>
      <c r="BO15" s="443"/>
      <c r="BP15" s="443"/>
      <c r="BQ15" s="209"/>
      <c r="BR15" s="443"/>
      <c r="BS15" s="443"/>
      <c r="BT15" s="392" t="str">
        <f t="shared" si="0"/>
        <v/>
      </c>
      <c r="BU15" s="383" t="str">
        <f t="shared" si="5"/>
        <v/>
      </c>
      <c r="BV15" s="383" t="str">
        <f t="shared" si="6"/>
        <v/>
      </c>
    </row>
    <row r="16" spans="1:74" ht="24" customHeight="1" x14ac:dyDescent="0.2">
      <c r="A16" s="453">
        <f t="shared" si="1"/>
        <v>43425</v>
      </c>
      <c r="B16" s="442">
        <f t="shared" si="7"/>
        <v>25</v>
      </c>
      <c r="C16" s="209"/>
      <c r="D16" s="443"/>
      <c r="E16" s="443"/>
      <c r="F16" s="579" t="str">
        <f>IF(C16="","",'Pon-Bat'!C10/7/($T$2-(SUM($C$9:C16))))</f>
        <v/>
      </c>
      <c r="G16" s="209"/>
      <c r="H16" s="443"/>
      <c r="I16" s="443"/>
      <c r="J16" s="470" t="str">
        <f>IF(G16="","",'Pon-Bat'!I10/7/($T$3-(SUM($G$9:G16))))</f>
        <v/>
      </c>
      <c r="K16" s="209"/>
      <c r="L16" s="443"/>
      <c r="M16" s="443"/>
      <c r="N16" s="470" t="str">
        <f>IF(K16="","",'Pon-Bat'!O10/7/($W$2-(SUM($K$9:K16))))</f>
        <v/>
      </c>
      <c r="O16" s="209"/>
      <c r="P16" s="443"/>
      <c r="Q16" s="443"/>
      <c r="R16" s="470" t="str">
        <f>IF(O16="","",'Pon-Bat'!U10/7/($W$3-(SUM($O$9:O16))))</f>
        <v/>
      </c>
      <c r="S16" s="209"/>
      <c r="T16" s="443"/>
      <c r="U16" s="443"/>
      <c r="V16" s="470" t="str">
        <f>IF(S16="","",'Pon-Bat'!AA10/7/($Z$2-(SUM($S$9:S16))))</f>
        <v/>
      </c>
      <c r="W16" s="209"/>
      <c r="X16" s="443"/>
      <c r="Y16" s="443"/>
      <c r="Z16" s="470" t="str">
        <f>IF(W16="","",'Pon-Bat'!AG10/7/($Z$3-(SUM($W$9:W16))))</f>
        <v/>
      </c>
      <c r="AA16" s="209"/>
      <c r="AB16" s="443"/>
      <c r="AC16" s="443"/>
      <c r="AD16" s="470" t="str">
        <f>IF(AA16="","",'Pon-Bat'!AM10/7/($AC$2-(SUM($AA$9:AA16))))</f>
        <v/>
      </c>
      <c r="AE16" s="209"/>
      <c r="AF16" s="443"/>
      <c r="AG16" s="443"/>
      <c r="AH16" s="470" t="str">
        <f>IF(AE16="","",'Pon-Bat'!AS10/7/($AC$3-(SUM($AE$9:AE16))))</f>
        <v/>
      </c>
      <c r="AI16" s="209"/>
      <c r="AJ16" s="443"/>
      <c r="AK16" s="443"/>
      <c r="AL16" s="470" t="str">
        <f>IF(AI16="","",'Pon-Bat'!AY10/7/($AF$2-(SUM($AI$9:AI16))))</f>
        <v/>
      </c>
      <c r="AM16" s="393" t="str">
        <f t="shared" si="2"/>
        <v/>
      </c>
      <c r="AN16" s="405" t="str">
        <f t="shared" si="3"/>
        <v/>
      </c>
      <c r="AO16" s="583" t="str">
        <f t="shared" si="4"/>
        <v/>
      </c>
      <c r="AP16" s="209"/>
      <c r="AQ16" s="443"/>
      <c r="AR16" s="443"/>
      <c r="AS16" s="209"/>
      <c r="AT16" s="443"/>
      <c r="AU16" s="443"/>
      <c r="AV16" s="209"/>
      <c r="AW16" s="443"/>
      <c r="AX16" s="443"/>
      <c r="AY16" s="209"/>
      <c r="AZ16" s="443"/>
      <c r="BA16" s="443"/>
      <c r="BB16" s="209"/>
      <c r="BC16" s="443"/>
      <c r="BD16" s="443"/>
      <c r="BE16" s="209"/>
      <c r="BF16" s="443"/>
      <c r="BG16" s="443"/>
      <c r="BH16" s="209"/>
      <c r="BI16" s="443"/>
      <c r="BJ16" s="443"/>
      <c r="BK16" s="209"/>
      <c r="BL16" s="443"/>
      <c r="BM16" s="443"/>
      <c r="BN16" s="209"/>
      <c r="BO16" s="443"/>
      <c r="BP16" s="443"/>
      <c r="BQ16" s="209"/>
      <c r="BR16" s="443"/>
      <c r="BS16" s="443"/>
      <c r="BT16" s="392" t="str">
        <f t="shared" si="0"/>
        <v/>
      </c>
      <c r="BU16" s="383" t="str">
        <f t="shared" si="5"/>
        <v/>
      </c>
      <c r="BV16" s="383" t="str">
        <f t="shared" si="6"/>
        <v/>
      </c>
    </row>
    <row r="17" spans="1:74" ht="24" customHeight="1" x14ac:dyDescent="0.2">
      <c r="A17" s="453">
        <f t="shared" si="1"/>
        <v>43432</v>
      </c>
      <c r="B17" s="442">
        <f t="shared" si="7"/>
        <v>26</v>
      </c>
      <c r="C17" s="209"/>
      <c r="D17" s="443"/>
      <c r="E17" s="443"/>
      <c r="F17" s="579" t="str">
        <f>IF(C17="","",'Pon-Bat'!C11/7/($T$2-(SUM($C$9:C17))))</f>
        <v/>
      </c>
      <c r="G17" s="209"/>
      <c r="H17" s="443"/>
      <c r="I17" s="443"/>
      <c r="J17" s="470" t="str">
        <f>IF(G17="","",'Pon-Bat'!I11/7/($T$3-(SUM($G$9:G17))))</f>
        <v/>
      </c>
      <c r="K17" s="209"/>
      <c r="L17" s="443"/>
      <c r="M17" s="443"/>
      <c r="N17" s="470" t="str">
        <f>IF(K17="","",'Pon-Bat'!O11/7/($W$2-(SUM($K$9:K17))))</f>
        <v/>
      </c>
      <c r="O17" s="209"/>
      <c r="P17" s="443"/>
      <c r="Q17" s="443"/>
      <c r="R17" s="470" t="str">
        <f>IF(O17="","",'Pon-Bat'!U11/7/($W$3-(SUM($O$9:O17))))</f>
        <v/>
      </c>
      <c r="S17" s="209"/>
      <c r="T17" s="443"/>
      <c r="U17" s="443"/>
      <c r="V17" s="470" t="str">
        <f>IF(S17="","",'Pon-Bat'!AA11/7/($Z$2-(SUM($S$9:S17))))</f>
        <v/>
      </c>
      <c r="W17" s="209"/>
      <c r="X17" s="443"/>
      <c r="Y17" s="443"/>
      <c r="Z17" s="470" t="str">
        <f>IF(W17="","",'Pon-Bat'!AG11/7/($Z$3-(SUM($W$9:W17))))</f>
        <v/>
      </c>
      <c r="AA17" s="209"/>
      <c r="AB17" s="443"/>
      <c r="AC17" s="443"/>
      <c r="AD17" s="470" t="str">
        <f>IF(AA17="","",'Pon-Bat'!AM11/7/($AC$2-(SUM($AA$9:AA17))))</f>
        <v/>
      </c>
      <c r="AE17" s="209"/>
      <c r="AF17" s="443"/>
      <c r="AG17" s="443"/>
      <c r="AH17" s="470" t="str">
        <f>IF(AE17="","",'Pon-Bat'!AS11/7/($AC$3-(SUM($AE$9:AE17))))</f>
        <v/>
      </c>
      <c r="AI17" s="209"/>
      <c r="AJ17" s="443"/>
      <c r="AK17" s="443"/>
      <c r="AL17" s="470" t="str">
        <f>IF(AI17="","",'Pon-Bat'!AY11/7/($AF$2-(SUM($AI$9:AI17))))</f>
        <v/>
      </c>
      <c r="AM17" s="393" t="str">
        <f t="shared" si="2"/>
        <v/>
      </c>
      <c r="AN17" s="405" t="str">
        <f t="shared" si="3"/>
        <v/>
      </c>
      <c r="AO17" s="583" t="str">
        <f t="shared" si="4"/>
        <v/>
      </c>
      <c r="AP17" s="209"/>
      <c r="AQ17" s="443"/>
      <c r="AR17" s="443"/>
      <c r="AS17" s="209"/>
      <c r="AT17" s="443"/>
      <c r="AU17" s="443"/>
      <c r="AV17" s="209"/>
      <c r="AW17" s="443"/>
      <c r="AX17" s="443"/>
      <c r="AY17" s="209"/>
      <c r="AZ17" s="443"/>
      <c r="BA17" s="443"/>
      <c r="BB17" s="209"/>
      <c r="BC17" s="443"/>
      <c r="BD17" s="443"/>
      <c r="BE17" s="209"/>
      <c r="BF17" s="443"/>
      <c r="BG17" s="443"/>
      <c r="BH17" s="209"/>
      <c r="BI17" s="443"/>
      <c r="BJ17" s="443"/>
      <c r="BK17" s="209"/>
      <c r="BL17" s="443"/>
      <c r="BM17" s="443"/>
      <c r="BN17" s="209"/>
      <c r="BO17" s="443"/>
      <c r="BP17" s="443"/>
      <c r="BQ17" s="209"/>
      <c r="BR17" s="443"/>
      <c r="BS17" s="443"/>
      <c r="BT17" s="392" t="str">
        <f t="shared" si="0"/>
        <v/>
      </c>
      <c r="BU17" s="383" t="str">
        <f t="shared" si="5"/>
        <v/>
      </c>
      <c r="BV17" s="383" t="str">
        <f t="shared" si="6"/>
        <v/>
      </c>
    </row>
    <row r="18" spans="1:74" ht="24" customHeight="1" x14ac:dyDescent="0.2">
      <c r="A18" s="453">
        <f t="shared" si="1"/>
        <v>43439</v>
      </c>
      <c r="B18" s="442">
        <f t="shared" si="7"/>
        <v>27</v>
      </c>
      <c r="C18" s="209"/>
      <c r="D18" s="443"/>
      <c r="E18" s="443"/>
      <c r="F18" s="579" t="str">
        <f>IF(C18="","",'Pon-Bat'!C12/7/($T$2-(SUM($C$9:C18))))</f>
        <v/>
      </c>
      <c r="G18" s="209"/>
      <c r="H18" s="443"/>
      <c r="I18" s="443"/>
      <c r="J18" s="470" t="str">
        <f>IF(G18="","",'Pon-Bat'!I12/7/($T$3-(SUM($G$9:G18))))</f>
        <v/>
      </c>
      <c r="K18" s="209"/>
      <c r="L18" s="443"/>
      <c r="M18" s="443"/>
      <c r="N18" s="470" t="str">
        <f>IF(K18="","",'Pon-Bat'!O12/7/($W$2-(SUM($K$9:K18))))</f>
        <v/>
      </c>
      <c r="O18" s="209"/>
      <c r="P18" s="443"/>
      <c r="Q18" s="443"/>
      <c r="R18" s="470" t="str">
        <f>IF(O18="","",'Pon-Bat'!U12/7/($W$3-(SUM($O$9:O18))))</f>
        <v/>
      </c>
      <c r="S18" s="209"/>
      <c r="T18" s="443"/>
      <c r="U18" s="443"/>
      <c r="V18" s="470" t="str">
        <f>IF(S18="","",'Pon-Bat'!AA12/7/($Z$2-(SUM($S$9:S18))))</f>
        <v/>
      </c>
      <c r="W18" s="209"/>
      <c r="X18" s="443"/>
      <c r="Y18" s="443"/>
      <c r="Z18" s="470" t="str">
        <f>IF(W18="","",'Pon-Bat'!AG12/7/($Z$3-(SUM($W$9:W18))))</f>
        <v/>
      </c>
      <c r="AA18" s="209"/>
      <c r="AB18" s="443"/>
      <c r="AC18" s="443"/>
      <c r="AD18" s="470" t="str">
        <f>IF(AA18="","",'Pon-Bat'!AM12/7/($AC$2-(SUM($AA$9:AA18))))</f>
        <v/>
      </c>
      <c r="AE18" s="209"/>
      <c r="AF18" s="443"/>
      <c r="AG18" s="443"/>
      <c r="AH18" s="470" t="str">
        <f>IF(AE18="","",'Pon-Bat'!AS12/7/($AC$3-(SUM($AE$9:AE18))))</f>
        <v/>
      </c>
      <c r="AI18" s="209"/>
      <c r="AJ18" s="443"/>
      <c r="AK18" s="443"/>
      <c r="AL18" s="470" t="str">
        <f>IF(AI18="","",'Pon-Bat'!AY12/7/($AF$2-(SUM($AI$9:AI18))))</f>
        <v/>
      </c>
      <c r="AM18" s="393" t="str">
        <f t="shared" si="2"/>
        <v/>
      </c>
      <c r="AN18" s="405" t="str">
        <f t="shared" si="3"/>
        <v/>
      </c>
      <c r="AO18" s="583" t="str">
        <f t="shared" si="4"/>
        <v/>
      </c>
      <c r="AP18" s="209"/>
      <c r="AQ18" s="443"/>
      <c r="AR18" s="443"/>
      <c r="AS18" s="209"/>
      <c r="AT18" s="443"/>
      <c r="AU18" s="443"/>
      <c r="AV18" s="209"/>
      <c r="AW18" s="443"/>
      <c r="AX18" s="443"/>
      <c r="AY18" s="209"/>
      <c r="AZ18" s="443"/>
      <c r="BA18" s="443"/>
      <c r="BB18" s="209"/>
      <c r="BC18" s="443"/>
      <c r="BD18" s="443"/>
      <c r="BE18" s="209"/>
      <c r="BF18" s="443"/>
      <c r="BG18" s="443"/>
      <c r="BH18" s="209"/>
      <c r="BI18" s="443"/>
      <c r="BJ18" s="443"/>
      <c r="BK18" s="209"/>
      <c r="BL18" s="443"/>
      <c r="BM18" s="443"/>
      <c r="BN18" s="209"/>
      <c r="BO18" s="443"/>
      <c r="BP18" s="443"/>
      <c r="BQ18" s="209"/>
      <c r="BR18" s="443"/>
      <c r="BS18" s="443"/>
      <c r="BT18" s="392" t="str">
        <f t="shared" si="0"/>
        <v/>
      </c>
      <c r="BU18" s="383" t="str">
        <f t="shared" si="5"/>
        <v/>
      </c>
      <c r="BV18" s="383" t="str">
        <f t="shared" si="6"/>
        <v/>
      </c>
    </row>
    <row r="19" spans="1:74" ht="24" customHeight="1" x14ac:dyDescent="0.2">
      <c r="A19" s="453">
        <f t="shared" si="1"/>
        <v>43446</v>
      </c>
      <c r="B19" s="442">
        <f t="shared" si="7"/>
        <v>28</v>
      </c>
      <c r="C19" s="209"/>
      <c r="D19" s="443"/>
      <c r="E19" s="443"/>
      <c r="F19" s="579" t="str">
        <f>IF(C19="","",'Pon-Bat'!C13/7/($T$2-(SUM($C$9:C19))))</f>
        <v/>
      </c>
      <c r="G19" s="209"/>
      <c r="H19" s="443"/>
      <c r="I19" s="443"/>
      <c r="J19" s="470" t="str">
        <f>IF(G19="","",'Pon-Bat'!I13/7/($T$3-(SUM($G$9:G19))))</f>
        <v/>
      </c>
      <c r="K19" s="209"/>
      <c r="L19" s="443"/>
      <c r="M19" s="443"/>
      <c r="N19" s="470" t="str">
        <f>IF(K19="","",'Pon-Bat'!O13/7/($W$2-(SUM($K$9:K19))))</f>
        <v/>
      </c>
      <c r="O19" s="209"/>
      <c r="P19" s="443"/>
      <c r="Q19" s="443"/>
      <c r="R19" s="470" t="str">
        <f>IF(O19="","",'Pon-Bat'!U13/7/($W$3-(SUM($O$9:O19))))</f>
        <v/>
      </c>
      <c r="S19" s="209"/>
      <c r="T19" s="443"/>
      <c r="U19" s="443"/>
      <c r="V19" s="470" t="str">
        <f>IF(S19="","",'Pon-Bat'!AA13/7/($Z$2-(SUM($S$9:S19))))</f>
        <v/>
      </c>
      <c r="W19" s="209"/>
      <c r="X19" s="443"/>
      <c r="Y19" s="443"/>
      <c r="Z19" s="470" t="str">
        <f>IF(W19="","",'Pon-Bat'!AG13/7/($Z$3-(SUM($W$9:W19))))</f>
        <v/>
      </c>
      <c r="AA19" s="209"/>
      <c r="AB19" s="443"/>
      <c r="AC19" s="443"/>
      <c r="AD19" s="470" t="str">
        <f>IF(AA19="","",'Pon-Bat'!AM13/7/($AC$2-(SUM($AA$9:AA19))))</f>
        <v/>
      </c>
      <c r="AE19" s="209"/>
      <c r="AF19" s="443"/>
      <c r="AG19" s="443"/>
      <c r="AH19" s="470" t="str">
        <f>IF(AE19="","",'Pon-Bat'!AS13/7/($AC$3-(SUM($AE$9:AE19))))</f>
        <v/>
      </c>
      <c r="AI19" s="209"/>
      <c r="AJ19" s="443"/>
      <c r="AK19" s="443"/>
      <c r="AL19" s="470" t="str">
        <f>IF(AI19="","",'Pon-Bat'!AY13/7/($AF$2-(SUM($AI$9:AI19))))</f>
        <v/>
      </c>
      <c r="AM19" s="393" t="str">
        <f t="shared" si="2"/>
        <v/>
      </c>
      <c r="AN19" s="405" t="str">
        <f t="shared" si="3"/>
        <v/>
      </c>
      <c r="AO19" s="583" t="str">
        <f t="shared" si="4"/>
        <v/>
      </c>
      <c r="AP19" s="209"/>
      <c r="AQ19" s="443"/>
      <c r="AR19" s="443"/>
      <c r="AS19" s="209"/>
      <c r="AT19" s="443"/>
      <c r="AU19" s="443"/>
      <c r="AV19" s="209"/>
      <c r="AW19" s="443"/>
      <c r="AX19" s="443"/>
      <c r="AY19" s="209"/>
      <c r="AZ19" s="443"/>
      <c r="BA19" s="443"/>
      <c r="BB19" s="209"/>
      <c r="BC19" s="443"/>
      <c r="BD19" s="443"/>
      <c r="BE19" s="209"/>
      <c r="BF19" s="443"/>
      <c r="BG19" s="443"/>
      <c r="BH19" s="209"/>
      <c r="BI19" s="443"/>
      <c r="BJ19" s="443"/>
      <c r="BK19" s="209"/>
      <c r="BL19" s="443"/>
      <c r="BM19" s="443"/>
      <c r="BN19" s="209"/>
      <c r="BO19" s="443"/>
      <c r="BP19" s="443"/>
      <c r="BQ19" s="209"/>
      <c r="BR19" s="443"/>
      <c r="BS19" s="443"/>
      <c r="BT19" s="392" t="str">
        <f t="shared" si="0"/>
        <v/>
      </c>
      <c r="BU19" s="383" t="str">
        <f t="shared" si="5"/>
        <v/>
      </c>
      <c r="BV19" s="383" t="str">
        <f t="shared" si="6"/>
        <v/>
      </c>
    </row>
    <row r="20" spans="1:74" ht="24" customHeight="1" x14ac:dyDescent="0.2">
      <c r="A20" s="453">
        <f t="shared" si="1"/>
        <v>43453</v>
      </c>
      <c r="B20" s="442">
        <f t="shared" si="7"/>
        <v>29</v>
      </c>
      <c r="C20" s="209"/>
      <c r="D20" s="443"/>
      <c r="E20" s="443"/>
      <c r="F20" s="579" t="str">
        <f>IF(C20="","",'Pon-Bat'!C14/7/($T$2-(SUM($C$9:C20))))</f>
        <v/>
      </c>
      <c r="G20" s="209"/>
      <c r="H20" s="443"/>
      <c r="I20" s="443"/>
      <c r="J20" s="470" t="str">
        <f>IF(G20="","",'Pon-Bat'!I14/7/($T$3-(SUM($G$9:G20))))</f>
        <v/>
      </c>
      <c r="K20" s="209"/>
      <c r="L20" s="443"/>
      <c r="M20" s="443"/>
      <c r="N20" s="470" t="str">
        <f>IF(K20="","",'Pon-Bat'!O14/7/($W$2-(SUM($K$9:K20))))</f>
        <v/>
      </c>
      <c r="O20" s="209"/>
      <c r="P20" s="443"/>
      <c r="Q20" s="443"/>
      <c r="R20" s="470" t="str">
        <f>IF(O20="","",'Pon-Bat'!U14/7/($W$3-(SUM($O$9:O20))))</f>
        <v/>
      </c>
      <c r="S20" s="209"/>
      <c r="T20" s="443"/>
      <c r="U20" s="443"/>
      <c r="V20" s="470" t="str">
        <f>IF(S20="","",'Pon-Bat'!AA14/7/($Z$2-(SUM($S$9:S20))))</f>
        <v/>
      </c>
      <c r="W20" s="209"/>
      <c r="X20" s="443"/>
      <c r="Y20" s="443"/>
      <c r="Z20" s="470" t="str">
        <f>IF(W20="","",'Pon-Bat'!AG14/7/($Z$3-(SUM($W$9:W20))))</f>
        <v/>
      </c>
      <c r="AA20" s="209"/>
      <c r="AB20" s="443"/>
      <c r="AC20" s="443"/>
      <c r="AD20" s="470" t="str">
        <f>IF(AA20="","",'Pon-Bat'!AM14/7/($AC$2-(SUM($AA$9:AA20))))</f>
        <v/>
      </c>
      <c r="AE20" s="209"/>
      <c r="AF20" s="443"/>
      <c r="AG20" s="443"/>
      <c r="AH20" s="470" t="str">
        <f>IF(AE20="","",'Pon-Bat'!AS14/7/($AC$3-(SUM($AE$9:AE20))))</f>
        <v/>
      </c>
      <c r="AI20" s="209"/>
      <c r="AJ20" s="443"/>
      <c r="AK20" s="443"/>
      <c r="AL20" s="470" t="str">
        <f>IF(AI20="","",'Pon-Bat'!AY14/7/($AF$2-(SUM($AI$9:AI20))))</f>
        <v/>
      </c>
      <c r="AM20" s="393" t="str">
        <f t="shared" si="2"/>
        <v/>
      </c>
      <c r="AN20" s="405" t="str">
        <f t="shared" si="3"/>
        <v/>
      </c>
      <c r="AO20" s="583" t="str">
        <f t="shared" si="4"/>
        <v/>
      </c>
      <c r="AP20" s="209"/>
      <c r="AQ20" s="443"/>
      <c r="AR20" s="443"/>
      <c r="AS20" s="209"/>
      <c r="AT20" s="443"/>
      <c r="AU20" s="443"/>
      <c r="AV20" s="209"/>
      <c r="AW20" s="443"/>
      <c r="AX20" s="443"/>
      <c r="AY20" s="209"/>
      <c r="AZ20" s="443"/>
      <c r="BA20" s="443"/>
      <c r="BB20" s="209"/>
      <c r="BC20" s="443"/>
      <c r="BD20" s="443"/>
      <c r="BE20" s="209"/>
      <c r="BF20" s="443"/>
      <c r="BG20" s="443"/>
      <c r="BH20" s="209"/>
      <c r="BI20" s="443"/>
      <c r="BJ20" s="443"/>
      <c r="BK20" s="209"/>
      <c r="BL20" s="443"/>
      <c r="BM20" s="443"/>
      <c r="BN20" s="209"/>
      <c r="BO20" s="443"/>
      <c r="BP20" s="443"/>
      <c r="BQ20" s="209"/>
      <c r="BR20" s="443"/>
      <c r="BS20" s="443"/>
      <c r="BT20" s="392" t="str">
        <f t="shared" si="0"/>
        <v/>
      </c>
      <c r="BU20" s="383" t="str">
        <f t="shared" si="5"/>
        <v/>
      </c>
      <c r="BV20" s="383" t="str">
        <f t="shared" si="6"/>
        <v/>
      </c>
    </row>
    <row r="21" spans="1:74" ht="24" customHeight="1" x14ac:dyDescent="0.2">
      <c r="A21" s="453">
        <f t="shared" si="1"/>
        <v>43460</v>
      </c>
      <c r="B21" s="442">
        <f t="shared" si="7"/>
        <v>30</v>
      </c>
      <c r="C21" s="209"/>
      <c r="D21" s="443"/>
      <c r="E21" s="443"/>
      <c r="F21" s="579" t="str">
        <f>IF(C21="","",'Pon-Bat'!C15/7/($T$2-(SUM($C$9:C21))))</f>
        <v/>
      </c>
      <c r="G21" s="209"/>
      <c r="H21" s="443"/>
      <c r="I21" s="443"/>
      <c r="J21" s="470" t="str">
        <f>IF(G21="","",'Pon-Bat'!I15/7/($T$3-(SUM($G$9:G21))))</f>
        <v/>
      </c>
      <c r="K21" s="209"/>
      <c r="L21" s="443"/>
      <c r="M21" s="443"/>
      <c r="N21" s="470" t="str">
        <f>IF(K21="","",'Pon-Bat'!O15/7/($W$2-(SUM($K$9:K21))))</f>
        <v/>
      </c>
      <c r="O21" s="209"/>
      <c r="P21" s="443"/>
      <c r="Q21" s="443"/>
      <c r="R21" s="470" t="str">
        <f>IF(O21="","",'Pon-Bat'!U15/7/($W$3-(SUM($O$9:O21))))</f>
        <v/>
      </c>
      <c r="S21" s="209"/>
      <c r="T21" s="443"/>
      <c r="U21" s="443"/>
      <c r="V21" s="470" t="str">
        <f>IF(S21="","",'Pon-Bat'!AA15/7/($Z$2-(SUM($S$9:S21))))</f>
        <v/>
      </c>
      <c r="W21" s="209"/>
      <c r="X21" s="443"/>
      <c r="Y21" s="443"/>
      <c r="Z21" s="470" t="str">
        <f>IF(W21="","",'Pon-Bat'!AG15/7/($Z$3-(SUM($W$9:W21))))</f>
        <v/>
      </c>
      <c r="AA21" s="209"/>
      <c r="AB21" s="443"/>
      <c r="AC21" s="443"/>
      <c r="AD21" s="470" t="str">
        <f>IF(AA21="","",'Pon-Bat'!AM15/7/($AC$2-(SUM($AA$9:AA21))))</f>
        <v/>
      </c>
      <c r="AE21" s="209"/>
      <c r="AF21" s="443"/>
      <c r="AG21" s="443"/>
      <c r="AH21" s="470" t="str">
        <f>IF(AE21="","",'Pon-Bat'!AS15/7/($AC$3-(SUM($AE$9:AE21))))</f>
        <v/>
      </c>
      <c r="AI21" s="209"/>
      <c r="AJ21" s="443"/>
      <c r="AK21" s="443"/>
      <c r="AL21" s="470" t="str">
        <f>IF(AI21="","",'Pon-Bat'!AY15/7/($AF$2-(SUM($AI$9:AI21))))</f>
        <v/>
      </c>
      <c r="AM21" s="393" t="str">
        <f t="shared" si="2"/>
        <v/>
      </c>
      <c r="AN21" s="405" t="str">
        <f t="shared" si="3"/>
        <v/>
      </c>
      <c r="AO21" s="583" t="str">
        <f t="shared" si="4"/>
        <v/>
      </c>
      <c r="AP21" s="209"/>
      <c r="AQ21" s="443"/>
      <c r="AR21" s="443"/>
      <c r="AS21" s="209"/>
      <c r="AT21" s="443"/>
      <c r="AU21" s="443"/>
      <c r="AV21" s="209"/>
      <c r="AW21" s="443"/>
      <c r="AX21" s="443"/>
      <c r="AY21" s="209"/>
      <c r="AZ21" s="443"/>
      <c r="BA21" s="443"/>
      <c r="BB21" s="209"/>
      <c r="BC21" s="443"/>
      <c r="BD21" s="443"/>
      <c r="BE21" s="209"/>
      <c r="BF21" s="443"/>
      <c r="BG21" s="443"/>
      <c r="BH21" s="209"/>
      <c r="BI21" s="443"/>
      <c r="BJ21" s="443"/>
      <c r="BK21" s="209"/>
      <c r="BL21" s="443"/>
      <c r="BM21" s="443"/>
      <c r="BN21" s="209"/>
      <c r="BO21" s="443"/>
      <c r="BP21" s="443"/>
      <c r="BQ21" s="209"/>
      <c r="BR21" s="443"/>
      <c r="BS21" s="443"/>
      <c r="BT21" s="392" t="str">
        <f t="shared" si="0"/>
        <v/>
      </c>
      <c r="BU21" s="383" t="str">
        <f t="shared" si="5"/>
        <v/>
      </c>
      <c r="BV21" s="383" t="str">
        <f t="shared" si="6"/>
        <v/>
      </c>
    </row>
    <row r="22" spans="1:74" ht="24" customHeight="1" x14ac:dyDescent="0.2">
      <c r="A22" s="453">
        <f t="shared" si="1"/>
        <v>43467</v>
      </c>
      <c r="B22" s="442">
        <f t="shared" si="7"/>
        <v>31</v>
      </c>
      <c r="C22" s="209"/>
      <c r="D22" s="443"/>
      <c r="E22" s="443"/>
      <c r="F22" s="579" t="str">
        <f>IF(C22="","",'Pon-Bat'!C16/7/($T$2-(SUM($C$9:C22))))</f>
        <v/>
      </c>
      <c r="G22" s="209"/>
      <c r="H22" s="443"/>
      <c r="I22" s="443"/>
      <c r="J22" s="470" t="str">
        <f>IF(G22="","",'Pon-Bat'!I16/7/($T$3-(SUM($G$9:G22))))</f>
        <v/>
      </c>
      <c r="K22" s="209"/>
      <c r="L22" s="443"/>
      <c r="M22" s="443"/>
      <c r="N22" s="470" t="str">
        <f>IF(K22="","",'Pon-Bat'!O16/7/($W$2-(SUM($K$9:K22))))</f>
        <v/>
      </c>
      <c r="O22" s="209"/>
      <c r="P22" s="443"/>
      <c r="Q22" s="443"/>
      <c r="R22" s="470" t="str">
        <f>IF(O22="","",'Pon-Bat'!U16/7/($W$3-(SUM($O$9:O22))))</f>
        <v/>
      </c>
      <c r="S22" s="209"/>
      <c r="T22" s="443"/>
      <c r="U22" s="443"/>
      <c r="V22" s="470" t="str">
        <f>IF(S22="","",'Pon-Bat'!AA16/7/($Z$2-(SUM($S$9:S22))))</f>
        <v/>
      </c>
      <c r="W22" s="209"/>
      <c r="X22" s="443"/>
      <c r="Y22" s="443"/>
      <c r="Z22" s="470" t="str">
        <f>IF(W22="","",'Pon-Bat'!AG16/7/($Z$3-(SUM($W$9:W22))))</f>
        <v/>
      </c>
      <c r="AA22" s="209"/>
      <c r="AB22" s="443"/>
      <c r="AC22" s="443"/>
      <c r="AD22" s="470" t="str">
        <f>IF(AA22="","",'Pon-Bat'!AM16/7/($AC$2-(SUM($AA$9:AA22))))</f>
        <v/>
      </c>
      <c r="AE22" s="209"/>
      <c r="AF22" s="443"/>
      <c r="AG22" s="443"/>
      <c r="AH22" s="470" t="str">
        <f>IF(AE22="","",'Pon-Bat'!AS16/7/($AC$3-(SUM($AE$9:AE22))))</f>
        <v/>
      </c>
      <c r="AI22" s="209"/>
      <c r="AJ22" s="443"/>
      <c r="AK22" s="443"/>
      <c r="AL22" s="470" t="str">
        <f>IF(AI22="","",'Pon-Bat'!AY16/7/($AF$2-(SUM($AI$9:AI22))))</f>
        <v/>
      </c>
      <c r="AM22" s="393" t="str">
        <f t="shared" si="2"/>
        <v/>
      </c>
      <c r="AN22" s="405" t="str">
        <f t="shared" si="3"/>
        <v/>
      </c>
      <c r="AO22" s="583" t="str">
        <f t="shared" si="4"/>
        <v/>
      </c>
      <c r="AP22" s="209"/>
      <c r="AQ22" s="443"/>
      <c r="AR22" s="443"/>
      <c r="AS22" s="209"/>
      <c r="AT22" s="443"/>
      <c r="AU22" s="443"/>
      <c r="AV22" s="209"/>
      <c r="AW22" s="443"/>
      <c r="AX22" s="443"/>
      <c r="AY22" s="209"/>
      <c r="AZ22" s="443"/>
      <c r="BA22" s="443"/>
      <c r="BB22" s="209"/>
      <c r="BC22" s="443"/>
      <c r="BD22" s="443"/>
      <c r="BE22" s="209"/>
      <c r="BF22" s="443"/>
      <c r="BG22" s="443"/>
      <c r="BH22" s="209"/>
      <c r="BI22" s="443"/>
      <c r="BJ22" s="443"/>
      <c r="BK22" s="209"/>
      <c r="BL22" s="443"/>
      <c r="BM22" s="443"/>
      <c r="BN22" s="209"/>
      <c r="BO22" s="443"/>
      <c r="BP22" s="443"/>
      <c r="BQ22" s="209"/>
      <c r="BR22" s="443"/>
      <c r="BS22" s="443"/>
      <c r="BT22" s="392" t="str">
        <f t="shared" si="0"/>
        <v/>
      </c>
      <c r="BU22" s="383" t="str">
        <f t="shared" si="5"/>
        <v/>
      </c>
      <c r="BV22" s="383" t="str">
        <f t="shared" si="6"/>
        <v/>
      </c>
    </row>
    <row r="23" spans="1:74" ht="24" customHeight="1" x14ac:dyDescent="0.2">
      <c r="A23" s="453">
        <f t="shared" si="1"/>
        <v>43474</v>
      </c>
      <c r="B23" s="442">
        <f t="shared" si="7"/>
        <v>32</v>
      </c>
      <c r="C23" s="209"/>
      <c r="D23" s="443"/>
      <c r="E23" s="443"/>
      <c r="F23" s="579" t="str">
        <f>IF(C23="","",'Pon-Bat'!C17/7/($T$2-(SUM($C$9:C23))))</f>
        <v/>
      </c>
      <c r="G23" s="209"/>
      <c r="H23" s="443"/>
      <c r="I23" s="443"/>
      <c r="J23" s="470" t="str">
        <f>IF(G23="","",'Pon-Bat'!I17/7/($T$3-(SUM($G$9:G23))))</f>
        <v/>
      </c>
      <c r="K23" s="209"/>
      <c r="L23" s="443"/>
      <c r="M23" s="443"/>
      <c r="N23" s="470" t="str">
        <f>IF(K23="","",'Pon-Bat'!O17/7/($W$2-(SUM($K$9:K23))))</f>
        <v/>
      </c>
      <c r="O23" s="209"/>
      <c r="P23" s="443"/>
      <c r="Q23" s="443"/>
      <c r="R23" s="470" t="str">
        <f>IF(O23="","",'Pon-Bat'!U17/7/($W$3-(SUM($O$9:O23))))</f>
        <v/>
      </c>
      <c r="S23" s="209"/>
      <c r="T23" s="443"/>
      <c r="U23" s="443"/>
      <c r="V23" s="470" t="str">
        <f>IF(S23="","",'Pon-Bat'!AA17/7/($Z$2-(SUM($S$9:S23))))</f>
        <v/>
      </c>
      <c r="W23" s="209"/>
      <c r="X23" s="443"/>
      <c r="Y23" s="443"/>
      <c r="Z23" s="470" t="str">
        <f>IF(W23="","",'Pon-Bat'!AG17/7/($Z$3-(SUM($W$9:W23))))</f>
        <v/>
      </c>
      <c r="AA23" s="209"/>
      <c r="AB23" s="443"/>
      <c r="AC23" s="443"/>
      <c r="AD23" s="470" t="str">
        <f>IF(AA23="","",'Pon-Bat'!AM17/7/($AC$2-(SUM($AA$9:AA23))))</f>
        <v/>
      </c>
      <c r="AE23" s="209"/>
      <c r="AF23" s="443"/>
      <c r="AG23" s="443"/>
      <c r="AH23" s="470" t="str">
        <f>IF(AE23="","",'Pon-Bat'!AS17/7/($AC$3-(SUM($AE$9:AE23))))</f>
        <v/>
      </c>
      <c r="AI23" s="209"/>
      <c r="AJ23" s="443"/>
      <c r="AK23" s="443"/>
      <c r="AL23" s="470" t="str">
        <f>IF(AI23="","",'Pon-Bat'!AY17/7/($AF$2-(SUM($AI$9:AI23))))</f>
        <v/>
      </c>
      <c r="AM23" s="393" t="str">
        <f t="shared" si="2"/>
        <v/>
      </c>
      <c r="AN23" s="405" t="str">
        <f t="shared" si="3"/>
        <v/>
      </c>
      <c r="AO23" s="583" t="str">
        <f t="shared" si="4"/>
        <v/>
      </c>
      <c r="AP23" s="209"/>
      <c r="AQ23" s="443"/>
      <c r="AR23" s="443"/>
      <c r="AS23" s="209"/>
      <c r="AT23" s="443"/>
      <c r="AU23" s="443"/>
      <c r="AV23" s="209"/>
      <c r="AW23" s="443"/>
      <c r="AX23" s="443"/>
      <c r="AY23" s="209"/>
      <c r="AZ23" s="443"/>
      <c r="BA23" s="443"/>
      <c r="BB23" s="209"/>
      <c r="BC23" s="443"/>
      <c r="BD23" s="443"/>
      <c r="BE23" s="209"/>
      <c r="BF23" s="443"/>
      <c r="BG23" s="443"/>
      <c r="BH23" s="209"/>
      <c r="BI23" s="443"/>
      <c r="BJ23" s="443"/>
      <c r="BK23" s="209"/>
      <c r="BL23" s="443"/>
      <c r="BM23" s="443"/>
      <c r="BN23" s="209"/>
      <c r="BO23" s="443"/>
      <c r="BP23" s="443"/>
      <c r="BQ23" s="209"/>
      <c r="BR23" s="443"/>
      <c r="BS23" s="443"/>
      <c r="BT23" s="392" t="str">
        <f t="shared" si="0"/>
        <v/>
      </c>
      <c r="BU23" s="383" t="str">
        <f t="shared" si="5"/>
        <v/>
      </c>
      <c r="BV23" s="383" t="str">
        <f t="shared" si="6"/>
        <v/>
      </c>
    </row>
    <row r="24" spans="1:74" ht="24" customHeight="1" x14ac:dyDescent="0.2">
      <c r="A24" s="453">
        <f t="shared" si="1"/>
        <v>43481</v>
      </c>
      <c r="B24" s="442">
        <f t="shared" si="7"/>
        <v>33</v>
      </c>
      <c r="C24" s="209"/>
      <c r="D24" s="443"/>
      <c r="E24" s="443"/>
      <c r="F24" s="579" t="str">
        <f>IF(C24="","",'Pon-Bat'!C18/7/($T$2-(SUM($C$9:C24))))</f>
        <v/>
      </c>
      <c r="G24" s="209"/>
      <c r="H24" s="443"/>
      <c r="I24" s="443"/>
      <c r="J24" s="470" t="str">
        <f>IF(G24="","",'Pon-Bat'!I18/7/($T$3-(SUM($G$9:G24))))</f>
        <v/>
      </c>
      <c r="K24" s="209"/>
      <c r="L24" s="443"/>
      <c r="M24" s="443"/>
      <c r="N24" s="470" t="str">
        <f>IF(K24="","",'Pon-Bat'!O18/7/($W$2-(SUM($K$9:K24))))</f>
        <v/>
      </c>
      <c r="O24" s="209"/>
      <c r="P24" s="443"/>
      <c r="Q24" s="443"/>
      <c r="R24" s="470" t="str">
        <f>IF(O24="","",'Pon-Bat'!U18/7/($W$3-(SUM($O$9:O24))))</f>
        <v/>
      </c>
      <c r="S24" s="209"/>
      <c r="T24" s="443"/>
      <c r="U24" s="443"/>
      <c r="V24" s="470" t="str">
        <f>IF(S24="","",'Pon-Bat'!AA18/7/($Z$2-(SUM($S$9:S24))))</f>
        <v/>
      </c>
      <c r="W24" s="209"/>
      <c r="X24" s="443"/>
      <c r="Y24" s="443"/>
      <c r="Z24" s="470" t="str">
        <f>IF(W24="","",'Pon-Bat'!AG18/7/($Z$3-(SUM($W$9:W24))))</f>
        <v/>
      </c>
      <c r="AA24" s="209"/>
      <c r="AB24" s="443"/>
      <c r="AC24" s="443"/>
      <c r="AD24" s="470" t="str">
        <f>IF(AA24="","",'Pon-Bat'!AM18/7/($AC$2-(SUM($AA$9:AA24))))</f>
        <v/>
      </c>
      <c r="AE24" s="209"/>
      <c r="AF24" s="443"/>
      <c r="AG24" s="443"/>
      <c r="AH24" s="470" t="str">
        <f>IF(AE24="","",'Pon-Bat'!AS18/7/($AC$3-(SUM($AE$9:AE24))))</f>
        <v/>
      </c>
      <c r="AI24" s="209"/>
      <c r="AJ24" s="443"/>
      <c r="AK24" s="443"/>
      <c r="AL24" s="470" t="str">
        <f>IF(AI24="","",'Pon-Bat'!AY18/7/($AF$2-(SUM($AI$9:AI24))))</f>
        <v/>
      </c>
      <c r="AM24" s="393" t="str">
        <f t="shared" si="2"/>
        <v/>
      </c>
      <c r="AN24" s="405" t="str">
        <f t="shared" si="3"/>
        <v/>
      </c>
      <c r="AO24" s="583" t="str">
        <f t="shared" si="4"/>
        <v/>
      </c>
      <c r="AP24" s="209"/>
      <c r="AQ24" s="443"/>
      <c r="AR24" s="443"/>
      <c r="AS24" s="209"/>
      <c r="AT24" s="443"/>
      <c r="AU24" s="443"/>
      <c r="AV24" s="209"/>
      <c r="AW24" s="443"/>
      <c r="AX24" s="443"/>
      <c r="AY24" s="209"/>
      <c r="AZ24" s="443"/>
      <c r="BA24" s="443"/>
      <c r="BB24" s="209"/>
      <c r="BC24" s="443"/>
      <c r="BD24" s="443"/>
      <c r="BE24" s="209"/>
      <c r="BF24" s="443"/>
      <c r="BG24" s="443"/>
      <c r="BH24" s="209"/>
      <c r="BI24" s="443"/>
      <c r="BJ24" s="443"/>
      <c r="BK24" s="209"/>
      <c r="BL24" s="443"/>
      <c r="BM24" s="443"/>
      <c r="BN24" s="209"/>
      <c r="BO24" s="443"/>
      <c r="BP24" s="443"/>
      <c r="BQ24" s="209"/>
      <c r="BR24" s="443"/>
      <c r="BS24" s="443"/>
      <c r="BT24" s="392" t="str">
        <f t="shared" si="0"/>
        <v/>
      </c>
      <c r="BU24" s="383" t="str">
        <f t="shared" si="5"/>
        <v/>
      </c>
      <c r="BV24" s="383" t="str">
        <f t="shared" si="6"/>
        <v/>
      </c>
    </row>
    <row r="25" spans="1:74" ht="24" customHeight="1" x14ac:dyDescent="0.2">
      <c r="A25" s="453">
        <f t="shared" si="1"/>
        <v>43488</v>
      </c>
      <c r="B25" s="442">
        <f t="shared" si="7"/>
        <v>34</v>
      </c>
      <c r="C25" s="209"/>
      <c r="D25" s="443"/>
      <c r="E25" s="443"/>
      <c r="F25" s="579" t="str">
        <f>IF(C25="","",'Pon-Bat'!C19/7/($T$2-(SUM($C$9:C25))))</f>
        <v/>
      </c>
      <c r="G25" s="209"/>
      <c r="H25" s="443"/>
      <c r="I25" s="443"/>
      <c r="J25" s="470" t="str">
        <f>IF(G25="","",'Pon-Bat'!I19/7/($T$3-(SUM($G$9:G25))))</f>
        <v/>
      </c>
      <c r="K25" s="209"/>
      <c r="L25" s="443"/>
      <c r="M25" s="443"/>
      <c r="N25" s="470" t="str">
        <f>IF(K25="","",'Pon-Bat'!O19/7/($W$2-(SUM($K$9:K25))))</f>
        <v/>
      </c>
      <c r="O25" s="209"/>
      <c r="P25" s="443"/>
      <c r="Q25" s="443"/>
      <c r="R25" s="470" t="str">
        <f>IF(O25="","",'Pon-Bat'!U19/7/($W$3-(SUM($O$9:O25))))</f>
        <v/>
      </c>
      <c r="S25" s="209"/>
      <c r="T25" s="443"/>
      <c r="U25" s="443"/>
      <c r="V25" s="470" t="str">
        <f>IF(S25="","",'Pon-Bat'!AA19/7/($Z$2-(SUM($S$9:S25))))</f>
        <v/>
      </c>
      <c r="W25" s="209"/>
      <c r="X25" s="443"/>
      <c r="Y25" s="443"/>
      <c r="Z25" s="470" t="str">
        <f>IF(W25="","",'Pon-Bat'!AG19/7/($Z$3-(SUM($W$9:W25))))</f>
        <v/>
      </c>
      <c r="AA25" s="209"/>
      <c r="AB25" s="443"/>
      <c r="AC25" s="443"/>
      <c r="AD25" s="470" t="str">
        <f>IF(AA25="","",'Pon-Bat'!AM19/7/($AC$2-(SUM($AA$9:AA25))))</f>
        <v/>
      </c>
      <c r="AE25" s="209"/>
      <c r="AF25" s="443"/>
      <c r="AG25" s="443"/>
      <c r="AH25" s="470" t="str">
        <f>IF(AE25="","",'Pon-Bat'!AS19/7/($AC$3-(SUM($AE$9:AE25))))</f>
        <v/>
      </c>
      <c r="AI25" s="209"/>
      <c r="AJ25" s="443"/>
      <c r="AK25" s="443"/>
      <c r="AL25" s="470" t="str">
        <f>IF(AI25="","",'Pon-Bat'!AY19/7/($AF$2-(SUM($AI$9:AI25))))</f>
        <v/>
      </c>
      <c r="AM25" s="393" t="str">
        <f t="shared" si="2"/>
        <v/>
      </c>
      <c r="AN25" s="405" t="str">
        <f t="shared" si="3"/>
        <v/>
      </c>
      <c r="AO25" s="583" t="str">
        <f t="shared" si="4"/>
        <v/>
      </c>
      <c r="AP25" s="209"/>
      <c r="AQ25" s="443"/>
      <c r="AR25" s="443"/>
      <c r="AS25" s="209"/>
      <c r="AT25" s="443"/>
      <c r="AU25" s="443"/>
      <c r="AV25" s="209"/>
      <c r="AW25" s="443"/>
      <c r="AX25" s="443"/>
      <c r="AY25" s="209"/>
      <c r="AZ25" s="443"/>
      <c r="BA25" s="443"/>
      <c r="BB25" s="209"/>
      <c r="BC25" s="443"/>
      <c r="BD25" s="443"/>
      <c r="BE25" s="209"/>
      <c r="BF25" s="443"/>
      <c r="BG25" s="443"/>
      <c r="BH25" s="209"/>
      <c r="BI25" s="443"/>
      <c r="BJ25" s="443"/>
      <c r="BK25" s="209"/>
      <c r="BL25" s="443"/>
      <c r="BM25" s="443"/>
      <c r="BN25" s="209"/>
      <c r="BO25" s="443"/>
      <c r="BP25" s="443"/>
      <c r="BQ25" s="209"/>
      <c r="BR25" s="443"/>
      <c r="BS25" s="443"/>
      <c r="BT25" s="392" t="str">
        <f t="shared" si="0"/>
        <v/>
      </c>
      <c r="BU25" s="383" t="str">
        <f t="shared" si="5"/>
        <v/>
      </c>
      <c r="BV25" s="383" t="str">
        <f t="shared" si="6"/>
        <v/>
      </c>
    </row>
    <row r="26" spans="1:74" ht="24" customHeight="1" x14ac:dyDescent="0.2">
      <c r="A26" s="453">
        <f>A25+7</f>
        <v>43495</v>
      </c>
      <c r="B26" s="442">
        <f t="shared" si="7"/>
        <v>35</v>
      </c>
      <c r="C26" s="209"/>
      <c r="D26" s="443"/>
      <c r="E26" s="443"/>
      <c r="F26" s="579" t="str">
        <f>IF(C26="","",'Pon-Bat'!C20/7/($T$2-(SUM($C$9:C26))))</f>
        <v/>
      </c>
      <c r="G26" s="209"/>
      <c r="H26" s="443"/>
      <c r="I26" s="443"/>
      <c r="J26" s="470" t="str">
        <f>IF(G26="","",'Pon-Bat'!I20/7/($T$3-(SUM($G$9:G26))))</f>
        <v/>
      </c>
      <c r="K26" s="209"/>
      <c r="L26" s="443"/>
      <c r="M26" s="443"/>
      <c r="N26" s="470" t="str">
        <f>IF(K26="","",'Pon-Bat'!O20/7/($W$2-(SUM($K$9:K26))))</f>
        <v/>
      </c>
      <c r="O26" s="209"/>
      <c r="P26" s="443"/>
      <c r="Q26" s="443"/>
      <c r="R26" s="470" t="str">
        <f>IF(O26="","",'Pon-Bat'!U20/7/($W$3-(SUM($O$9:O26))))</f>
        <v/>
      </c>
      <c r="S26" s="209"/>
      <c r="T26" s="443"/>
      <c r="U26" s="443"/>
      <c r="V26" s="470" t="str">
        <f>IF(S26="","",'Pon-Bat'!AA20/7/($Z$2-(SUM($S$9:S26))))</f>
        <v/>
      </c>
      <c r="W26" s="209"/>
      <c r="X26" s="443"/>
      <c r="Y26" s="443"/>
      <c r="Z26" s="470" t="str">
        <f>IF(W26="","",'Pon-Bat'!AG20/7/($Z$3-(SUM($W$9:W26))))</f>
        <v/>
      </c>
      <c r="AA26" s="209"/>
      <c r="AB26" s="443"/>
      <c r="AC26" s="443"/>
      <c r="AD26" s="470" t="str">
        <f>IF(AA26="","",'Pon-Bat'!AM20/7/($AC$2-(SUM($AA$9:AA26))))</f>
        <v/>
      </c>
      <c r="AE26" s="209"/>
      <c r="AF26" s="443"/>
      <c r="AG26" s="443"/>
      <c r="AH26" s="470" t="str">
        <f>IF(AE26="","",'Pon-Bat'!AS20/7/($AC$3-(SUM($AE$9:AE26))))</f>
        <v/>
      </c>
      <c r="AI26" s="209"/>
      <c r="AJ26" s="443"/>
      <c r="AK26" s="443"/>
      <c r="AL26" s="470" t="str">
        <f>IF(AI26="","",'Pon-Bat'!AY20/7/($AF$2-(SUM($AI$9:AI26))))</f>
        <v/>
      </c>
      <c r="AM26" s="393" t="str">
        <f t="shared" si="2"/>
        <v/>
      </c>
      <c r="AN26" s="405" t="str">
        <f t="shared" si="3"/>
        <v/>
      </c>
      <c r="AO26" s="583" t="str">
        <f t="shared" si="4"/>
        <v/>
      </c>
      <c r="AP26" s="209"/>
      <c r="AQ26" s="443"/>
      <c r="AR26" s="443"/>
      <c r="AS26" s="209"/>
      <c r="AT26" s="443"/>
      <c r="AU26" s="443"/>
      <c r="AV26" s="209"/>
      <c r="AW26" s="443"/>
      <c r="AX26" s="443"/>
      <c r="AY26" s="209"/>
      <c r="AZ26" s="443"/>
      <c r="BA26" s="443"/>
      <c r="BB26" s="209"/>
      <c r="BC26" s="443"/>
      <c r="BD26" s="443"/>
      <c r="BE26" s="209"/>
      <c r="BF26" s="443"/>
      <c r="BG26" s="443"/>
      <c r="BH26" s="209"/>
      <c r="BI26" s="443"/>
      <c r="BJ26" s="443"/>
      <c r="BK26" s="209"/>
      <c r="BL26" s="443"/>
      <c r="BM26" s="443"/>
      <c r="BN26" s="209"/>
      <c r="BO26" s="443"/>
      <c r="BP26" s="443"/>
      <c r="BQ26" s="209"/>
      <c r="BR26" s="443"/>
      <c r="BS26" s="443"/>
      <c r="BT26" s="392" t="str">
        <f t="shared" si="0"/>
        <v/>
      </c>
      <c r="BU26" s="383" t="str">
        <f t="shared" si="5"/>
        <v/>
      </c>
      <c r="BV26" s="383" t="str">
        <f t="shared" si="6"/>
        <v/>
      </c>
    </row>
    <row r="27" spans="1:74" ht="24" customHeight="1" x14ac:dyDescent="0.2">
      <c r="A27" s="453">
        <f>A26+7</f>
        <v>43502</v>
      </c>
      <c r="B27" s="442">
        <f>+B26+1</f>
        <v>36</v>
      </c>
      <c r="C27" s="209"/>
      <c r="D27" s="443"/>
      <c r="E27" s="443"/>
      <c r="F27" s="579" t="str">
        <f>IF(C27="","",'Pon-Bat'!C21/7/($T$2-(SUM($C$9:C27))))</f>
        <v/>
      </c>
      <c r="G27" s="209"/>
      <c r="H27" s="443"/>
      <c r="I27" s="443"/>
      <c r="J27" s="470" t="str">
        <f>IF(G27="","",'Pon-Bat'!I21/7/($T$3-(SUM($G$9:G27))))</f>
        <v/>
      </c>
      <c r="K27" s="209"/>
      <c r="L27" s="443"/>
      <c r="M27" s="443"/>
      <c r="N27" s="470" t="str">
        <f>IF(K27="","",'Pon-Bat'!O21/7/($W$2-(SUM($K$9:K27))))</f>
        <v/>
      </c>
      <c r="O27" s="209"/>
      <c r="P27" s="443"/>
      <c r="Q27" s="443"/>
      <c r="R27" s="470" t="str">
        <f>IF(O27="","",'Pon-Bat'!U21/7/($W$3-(SUM($O$9:O27))))</f>
        <v/>
      </c>
      <c r="S27" s="209"/>
      <c r="T27" s="443"/>
      <c r="U27" s="443"/>
      <c r="V27" s="470" t="str">
        <f>IF(S27="","",'Pon-Bat'!AA21/7/($Z$2-(SUM($S$9:S27))))</f>
        <v/>
      </c>
      <c r="W27" s="209"/>
      <c r="X27" s="443"/>
      <c r="Y27" s="443"/>
      <c r="Z27" s="470" t="str">
        <f>IF(W27="","",'Pon-Bat'!AG21/7/($Z$3-(SUM($W$9:W27))))</f>
        <v/>
      </c>
      <c r="AA27" s="209"/>
      <c r="AB27" s="443"/>
      <c r="AC27" s="443"/>
      <c r="AD27" s="470" t="str">
        <f>IF(AA27="","",'Pon-Bat'!AM21/7/($AC$2-(SUM($AA$9:AA27))))</f>
        <v/>
      </c>
      <c r="AE27" s="209"/>
      <c r="AF27" s="443"/>
      <c r="AG27" s="443"/>
      <c r="AH27" s="470" t="str">
        <f>IF(AE27="","",'Pon-Bat'!AS21/7/($AC$3-(SUM($AE$9:AE27))))</f>
        <v/>
      </c>
      <c r="AI27" s="209"/>
      <c r="AJ27" s="443"/>
      <c r="AK27" s="443"/>
      <c r="AL27" s="470" t="str">
        <f>IF(AI27="","",'Pon-Bat'!AY21/7/($AF$2-(SUM($AI$9:AI27))))</f>
        <v/>
      </c>
      <c r="AM27" s="393" t="str">
        <f t="shared" si="2"/>
        <v/>
      </c>
      <c r="AN27" s="405" t="str">
        <f t="shared" si="3"/>
        <v/>
      </c>
      <c r="AO27" s="583" t="str">
        <f t="shared" si="4"/>
        <v/>
      </c>
      <c r="AP27" s="209"/>
      <c r="AQ27" s="443"/>
      <c r="AR27" s="443"/>
      <c r="AS27" s="209"/>
      <c r="AT27" s="443"/>
      <c r="AU27" s="443"/>
      <c r="AV27" s="209"/>
      <c r="AW27" s="443"/>
      <c r="AX27" s="443"/>
      <c r="AY27" s="209"/>
      <c r="AZ27" s="443"/>
      <c r="BA27" s="443"/>
      <c r="BB27" s="209"/>
      <c r="BC27" s="443"/>
      <c r="BD27" s="443"/>
      <c r="BE27" s="209"/>
      <c r="BF27" s="443"/>
      <c r="BG27" s="443"/>
      <c r="BH27" s="209"/>
      <c r="BI27" s="443"/>
      <c r="BJ27" s="443"/>
      <c r="BK27" s="209"/>
      <c r="BL27" s="443"/>
      <c r="BM27" s="443"/>
      <c r="BN27" s="209"/>
      <c r="BO27" s="443"/>
      <c r="BP27" s="443"/>
      <c r="BQ27" s="209"/>
      <c r="BR27" s="443"/>
      <c r="BS27" s="443"/>
      <c r="BT27" s="392" t="str">
        <f t="shared" si="0"/>
        <v/>
      </c>
      <c r="BU27" s="383" t="str">
        <f t="shared" si="5"/>
        <v/>
      </c>
      <c r="BV27" s="383" t="str">
        <f t="shared" si="6"/>
        <v/>
      </c>
    </row>
    <row r="28" spans="1:74" ht="24" customHeight="1" x14ac:dyDescent="0.2">
      <c r="A28" s="453">
        <f>A27+7</f>
        <v>43509</v>
      </c>
      <c r="B28" s="442">
        <f>+B27+1</f>
        <v>37</v>
      </c>
      <c r="C28" s="209"/>
      <c r="D28" s="443"/>
      <c r="E28" s="443"/>
      <c r="F28" s="579" t="str">
        <f>IF(C28="","",'Pon-Bat'!C22/7/($T$2-(SUM($C$9:C28))))</f>
        <v/>
      </c>
      <c r="G28" s="209"/>
      <c r="H28" s="443"/>
      <c r="I28" s="443"/>
      <c r="J28" s="470" t="str">
        <f>IF(G28="","",'Pon-Bat'!I22/7/($T$3-(SUM($G$9:G28))))</f>
        <v/>
      </c>
      <c r="K28" s="209"/>
      <c r="L28" s="443"/>
      <c r="M28" s="443"/>
      <c r="N28" s="470" t="str">
        <f>IF(K28="","",'Pon-Bat'!O22/7/($W$2-(SUM($K$9:K28))))</f>
        <v/>
      </c>
      <c r="O28" s="209"/>
      <c r="P28" s="443"/>
      <c r="Q28" s="443"/>
      <c r="R28" s="470" t="str">
        <f>IF(O28="","",'Pon-Bat'!U22/7/($W$3-(SUM($O$9:O28))))</f>
        <v/>
      </c>
      <c r="S28" s="209"/>
      <c r="T28" s="443"/>
      <c r="U28" s="443"/>
      <c r="V28" s="470" t="str">
        <f>IF(S28="","",'Pon-Bat'!AA22/7/($Z$2-(SUM($S$9:S28))))</f>
        <v/>
      </c>
      <c r="W28" s="209"/>
      <c r="X28" s="443"/>
      <c r="Y28" s="443"/>
      <c r="Z28" s="470" t="str">
        <f>IF(W28="","",'Pon-Bat'!AG22/7/($Z$3-(SUM($W$9:W28))))</f>
        <v/>
      </c>
      <c r="AA28" s="209"/>
      <c r="AB28" s="443"/>
      <c r="AC28" s="443"/>
      <c r="AD28" s="470" t="str">
        <f>IF(AA28="","",'Pon-Bat'!AM22/7/($AC$2-(SUM($AA$9:AA28))))</f>
        <v/>
      </c>
      <c r="AE28" s="209"/>
      <c r="AF28" s="443"/>
      <c r="AG28" s="443"/>
      <c r="AH28" s="470" t="str">
        <f>IF(AE28="","",'Pon-Bat'!AS22/7/($AC$3-(SUM($AE$9:AE28))))</f>
        <v/>
      </c>
      <c r="AI28" s="209"/>
      <c r="AJ28" s="443"/>
      <c r="AK28" s="443"/>
      <c r="AL28" s="470" t="str">
        <f>IF(AI28="","",'Pon-Bat'!AY22/7/($AF$2-(SUM($AI$9:AI28))))</f>
        <v/>
      </c>
      <c r="AM28" s="393" t="str">
        <f t="shared" si="2"/>
        <v/>
      </c>
      <c r="AN28" s="405" t="str">
        <f t="shared" si="3"/>
        <v/>
      </c>
      <c r="AO28" s="583" t="str">
        <f t="shared" si="4"/>
        <v/>
      </c>
      <c r="AP28" s="209"/>
      <c r="AQ28" s="443"/>
      <c r="AR28" s="443"/>
      <c r="AS28" s="209"/>
      <c r="AT28" s="443"/>
      <c r="AU28" s="443"/>
      <c r="AV28" s="209"/>
      <c r="AW28" s="443"/>
      <c r="AX28" s="443"/>
      <c r="AY28" s="209"/>
      <c r="AZ28" s="443"/>
      <c r="BA28" s="443"/>
      <c r="BB28" s="209"/>
      <c r="BC28" s="443"/>
      <c r="BD28" s="443"/>
      <c r="BE28" s="209"/>
      <c r="BF28" s="443"/>
      <c r="BG28" s="443"/>
      <c r="BH28" s="209"/>
      <c r="BI28" s="443"/>
      <c r="BJ28" s="443"/>
      <c r="BK28" s="209"/>
      <c r="BL28" s="443"/>
      <c r="BM28" s="443"/>
      <c r="BN28" s="209"/>
      <c r="BO28" s="443"/>
      <c r="BP28" s="443"/>
      <c r="BQ28" s="209"/>
      <c r="BR28" s="443"/>
      <c r="BS28" s="443"/>
      <c r="BT28" s="392" t="str">
        <f t="shared" si="0"/>
        <v/>
      </c>
      <c r="BU28" s="383" t="str">
        <f t="shared" si="5"/>
        <v/>
      </c>
      <c r="BV28" s="383" t="str">
        <f t="shared" si="6"/>
        <v/>
      </c>
    </row>
    <row r="29" spans="1:74" ht="24" customHeight="1" x14ac:dyDescent="0.2">
      <c r="A29" s="453">
        <f>A28+7</f>
        <v>43516</v>
      </c>
      <c r="B29" s="442">
        <f>+B28+1</f>
        <v>38</v>
      </c>
      <c r="C29" s="209"/>
      <c r="D29" s="443"/>
      <c r="E29" s="443"/>
      <c r="F29" s="579" t="str">
        <f>IF(C29="","",'Pon-Bat'!C23/7/($T$2-(SUM($C$9:C29))))</f>
        <v/>
      </c>
      <c r="G29" s="209"/>
      <c r="H29" s="443"/>
      <c r="I29" s="443"/>
      <c r="J29" s="470" t="str">
        <f>IF(G29="","",'Pon-Bat'!I23/7/($T$3-(SUM($G$9:G29))))</f>
        <v/>
      </c>
      <c r="K29" s="209"/>
      <c r="L29" s="443"/>
      <c r="M29" s="443"/>
      <c r="N29" s="470" t="str">
        <f>IF(K29="","",'Pon-Bat'!O23/7/($W$2-(SUM($K$9:K29))))</f>
        <v/>
      </c>
      <c r="O29" s="209"/>
      <c r="P29" s="443"/>
      <c r="Q29" s="443"/>
      <c r="R29" s="470" t="str">
        <f>IF(O29="","",'Pon-Bat'!U23/7/($W$3-(SUM($O$9:O29))))</f>
        <v/>
      </c>
      <c r="S29" s="209"/>
      <c r="T29" s="443"/>
      <c r="U29" s="443"/>
      <c r="V29" s="470" t="str">
        <f>IF(S29="","",'Pon-Bat'!AA23/7/($Z$2-(SUM($S$9:S29))))</f>
        <v/>
      </c>
      <c r="W29" s="209"/>
      <c r="X29" s="443"/>
      <c r="Y29" s="443"/>
      <c r="Z29" s="470" t="str">
        <f>IF(W29="","",'Pon-Bat'!AG23/7/($Z$3-(SUM($W$9:W29))))</f>
        <v/>
      </c>
      <c r="AA29" s="209"/>
      <c r="AB29" s="443"/>
      <c r="AC29" s="443"/>
      <c r="AD29" s="470" t="str">
        <f>IF(AA29="","",'Pon-Bat'!AM23/7/($AC$2-(SUM($AA$9:AA29))))</f>
        <v/>
      </c>
      <c r="AE29" s="209"/>
      <c r="AF29" s="443"/>
      <c r="AG29" s="443"/>
      <c r="AH29" s="470" t="str">
        <f>IF(AE29="","",'Pon-Bat'!AS23/7/($AC$3-(SUM($AE$9:AE29))))</f>
        <v/>
      </c>
      <c r="AI29" s="209"/>
      <c r="AJ29" s="443"/>
      <c r="AK29" s="443"/>
      <c r="AL29" s="470" t="str">
        <f>IF(AI29="","",'Pon-Bat'!AY23/7/($AF$2-(SUM($AI$9:AI29))))</f>
        <v/>
      </c>
      <c r="AM29" s="393" t="str">
        <f t="shared" si="2"/>
        <v/>
      </c>
      <c r="AN29" s="405" t="str">
        <f t="shared" si="3"/>
        <v/>
      </c>
      <c r="AO29" s="583" t="str">
        <f t="shared" si="4"/>
        <v/>
      </c>
      <c r="AP29" s="209"/>
      <c r="AQ29" s="443"/>
      <c r="AR29" s="443"/>
      <c r="AS29" s="209"/>
      <c r="AT29" s="443"/>
      <c r="AU29" s="443"/>
      <c r="AV29" s="209"/>
      <c r="AW29" s="443"/>
      <c r="AX29" s="443"/>
      <c r="AY29" s="209"/>
      <c r="AZ29" s="443"/>
      <c r="BA29" s="443"/>
      <c r="BB29" s="209"/>
      <c r="BC29" s="443"/>
      <c r="BD29" s="443"/>
      <c r="BE29" s="209"/>
      <c r="BF29" s="443"/>
      <c r="BG29" s="443"/>
      <c r="BH29" s="209"/>
      <c r="BI29" s="443"/>
      <c r="BJ29" s="443"/>
      <c r="BK29" s="209"/>
      <c r="BL29" s="443"/>
      <c r="BM29" s="443"/>
      <c r="BN29" s="209"/>
      <c r="BO29" s="443"/>
      <c r="BP29" s="443"/>
      <c r="BQ29" s="209"/>
      <c r="BR29" s="443"/>
      <c r="BS29" s="443"/>
      <c r="BT29" s="392" t="str">
        <f t="shared" si="0"/>
        <v/>
      </c>
      <c r="BU29" s="383" t="str">
        <f t="shared" si="5"/>
        <v/>
      </c>
      <c r="BV29" s="383" t="str">
        <f t="shared" si="6"/>
        <v/>
      </c>
    </row>
    <row r="30" spans="1:74" ht="24" customHeight="1" x14ac:dyDescent="0.2">
      <c r="A30" s="453">
        <f>A29+7</f>
        <v>43523</v>
      </c>
      <c r="B30" s="442">
        <f>+B29+1</f>
        <v>39</v>
      </c>
      <c r="C30" s="209"/>
      <c r="D30" s="443"/>
      <c r="E30" s="443"/>
      <c r="F30" s="579" t="str">
        <f>IF(C30="","",'Pon-Bat'!C24/7/($T$2-(SUM($C$9:C30))))</f>
        <v/>
      </c>
      <c r="G30" s="209"/>
      <c r="H30" s="443"/>
      <c r="I30" s="443"/>
      <c r="J30" s="470" t="str">
        <f>IF(G30="","",'Pon-Bat'!I24/7/($T$3-(SUM($G$9:G30))))</f>
        <v/>
      </c>
      <c r="K30" s="209"/>
      <c r="L30" s="443"/>
      <c r="M30" s="443"/>
      <c r="N30" s="470" t="str">
        <f>IF(K30="","",'Pon-Bat'!O24/7/($W$2-(SUM($K$9:K30))))</f>
        <v/>
      </c>
      <c r="O30" s="209"/>
      <c r="P30" s="443"/>
      <c r="Q30" s="443"/>
      <c r="R30" s="470" t="str">
        <f>IF(O30="","",'Pon-Bat'!U24/7/($W$3-(SUM($O$9:O30))))</f>
        <v/>
      </c>
      <c r="S30" s="209"/>
      <c r="T30" s="443"/>
      <c r="U30" s="443"/>
      <c r="V30" s="470" t="str">
        <f>IF(S30="","",'Pon-Bat'!AA24/7/($Z$2-(SUM($S$9:S30))))</f>
        <v/>
      </c>
      <c r="W30" s="209"/>
      <c r="X30" s="443"/>
      <c r="Y30" s="443"/>
      <c r="Z30" s="470" t="str">
        <f>IF(W30="","",'Pon-Bat'!AG24/7/($Z$3-(SUM($W$9:W30))))</f>
        <v/>
      </c>
      <c r="AA30" s="209"/>
      <c r="AB30" s="443"/>
      <c r="AC30" s="443"/>
      <c r="AD30" s="470" t="str">
        <f>IF(AA30="","",'Pon-Bat'!AM24/7/($AC$2-(SUM($AA$9:AA30))))</f>
        <v/>
      </c>
      <c r="AE30" s="209"/>
      <c r="AF30" s="443"/>
      <c r="AG30" s="443"/>
      <c r="AH30" s="470" t="str">
        <f>IF(AE30="","",'Pon-Bat'!AS24/7/($AC$3-(SUM($AE$9:AE30))))</f>
        <v/>
      </c>
      <c r="AI30" s="209"/>
      <c r="AJ30" s="443"/>
      <c r="AK30" s="443"/>
      <c r="AL30" s="470" t="str">
        <f>IF(AI30="","",'Pon-Bat'!AY24/7/($AF$2-(SUM($AI$9:AI30))))</f>
        <v/>
      </c>
      <c r="AM30" s="393" t="str">
        <f t="shared" si="2"/>
        <v/>
      </c>
      <c r="AN30" s="405" t="str">
        <f t="shared" si="3"/>
        <v/>
      </c>
      <c r="AO30" s="583" t="str">
        <f t="shared" si="4"/>
        <v/>
      </c>
      <c r="AP30" s="209"/>
      <c r="AQ30" s="443"/>
      <c r="AR30" s="443"/>
      <c r="AS30" s="209"/>
      <c r="AT30" s="443"/>
      <c r="AU30" s="443"/>
      <c r="AV30" s="209"/>
      <c r="AW30" s="443"/>
      <c r="AX30" s="443"/>
      <c r="AY30" s="209"/>
      <c r="AZ30" s="443"/>
      <c r="BA30" s="443"/>
      <c r="BB30" s="209"/>
      <c r="BC30" s="443"/>
      <c r="BD30" s="443"/>
      <c r="BE30" s="209"/>
      <c r="BF30" s="443"/>
      <c r="BG30" s="443"/>
      <c r="BH30" s="209"/>
      <c r="BI30" s="443"/>
      <c r="BJ30" s="443"/>
      <c r="BK30" s="209"/>
      <c r="BL30" s="443"/>
      <c r="BM30" s="443"/>
      <c r="BN30" s="209"/>
      <c r="BO30" s="443"/>
      <c r="BP30" s="443"/>
      <c r="BQ30" s="209"/>
      <c r="BR30" s="443"/>
      <c r="BS30" s="443"/>
      <c r="BT30" s="392" t="str">
        <f t="shared" si="0"/>
        <v/>
      </c>
      <c r="BU30" s="383" t="str">
        <f t="shared" si="5"/>
        <v/>
      </c>
      <c r="BV30" s="383" t="str">
        <f t="shared" si="6"/>
        <v/>
      </c>
    </row>
    <row r="31" spans="1:74" ht="24" customHeight="1" x14ac:dyDescent="0.2">
      <c r="A31" s="453">
        <f t="shared" ref="A31:A61" si="8">A30+7</f>
        <v>43530</v>
      </c>
      <c r="B31" s="442">
        <f t="shared" ref="B31:B61" si="9">+B30+1</f>
        <v>40</v>
      </c>
      <c r="C31" s="209"/>
      <c r="D31" s="443"/>
      <c r="E31" s="443"/>
      <c r="F31" s="579" t="str">
        <f>IF(C31="","",'Pon-Bat'!C25/7/($T$2-(SUM($C$9:C31))))</f>
        <v/>
      </c>
      <c r="G31" s="209"/>
      <c r="H31" s="443"/>
      <c r="I31" s="443"/>
      <c r="J31" s="470" t="str">
        <f>IF(G31="","",'Pon-Bat'!I25/7/($T$3-(SUM($G$9:G31))))</f>
        <v/>
      </c>
      <c r="K31" s="209"/>
      <c r="L31" s="443"/>
      <c r="M31" s="443"/>
      <c r="N31" s="470" t="str">
        <f>IF(K31="","",'Pon-Bat'!O25/7/($W$2-(SUM($K$9:K31))))</f>
        <v/>
      </c>
      <c r="O31" s="209"/>
      <c r="P31" s="443"/>
      <c r="Q31" s="443"/>
      <c r="R31" s="470" t="str">
        <f>IF(O31="","",'Pon-Bat'!U25/7/($W$3-(SUM($O$9:O31))))</f>
        <v/>
      </c>
      <c r="S31" s="209"/>
      <c r="T31" s="443"/>
      <c r="U31" s="443"/>
      <c r="V31" s="470" t="str">
        <f>IF(S31="","",'Pon-Bat'!AA25/7/($Z$2-(SUM($S$9:S31))))</f>
        <v/>
      </c>
      <c r="W31" s="209"/>
      <c r="X31" s="443"/>
      <c r="Y31" s="443"/>
      <c r="Z31" s="470" t="str">
        <f>IF(W31="","",'Pon-Bat'!AG25/7/($Z$3-(SUM($W$9:W31))))</f>
        <v/>
      </c>
      <c r="AA31" s="209"/>
      <c r="AB31" s="443"/>
      <c r="AC31" s="443"/>
      <c r="AD31" s="470" t="str">
        <f>IF(AA31="","",'Pon-Bat'!AM25/7/($AC$2-(SUM($AA$9:AA31))))</f>
        <v/>
      </c>
      <c r="AE31" s="209"/>
      <c r="AF31" s="443"/>
      <c r="AG31" s="443"/>
      <c r="AH31" s="470" t="str">
        <f>IF(AE31="","",'Pon-Bat'!AS25/7/($AC$3-(SUM($AE$9:AE31))))</f>
        <v/>
      </c>
      <c r="AI31" s="209"/>
      <c r="AJ31" s="443"/>
      <c r="AK31" s="443"/>
      <c r="AL31" s="470" t="str">
        <f>IF(AI31="","",'Pon-Bat'!AY25/7/($AF$2-(SUM($AI$9:AI31))))</f>
        <v/>
      </c>
      <c r="AM31" s="393" t="str">
        <f t="shared" si="2"/>
        <v/>
      </c>
      <c r="AN31" s="405" t="str">
        <f t="shared" si="3"/>
        <v/>
      </c>
      <c r="AO31" s="583" t="str">
        <f t="shared" si="4"/>
        <v/>
      </c>
      <c r="AP31" s="209"/>
      <c r="AQ31" s="443"/>
      <c r="AR31" s="443"/>
      <c r="AS31" s="209"/>
      <c r="AT31" s="443"/>
      <c r="AU31" s="443"/>
      <c r="AV31" s="209"/>
      <c r="AW31" s="443"/>
      <c r="AX31" s="443"/>
      <c r="AY31" s="209"/>
      <c r="AZ31" s="443"/>
      <c r="BA31" s="443"/>
      <c r="BB31" s="209"/>
      <c r="BC31" s="443"/>
      <c r="BD31" s="443"/>
      <c r="BE31" s="209"/>
      <c r="BF31" s="443"/>
      <c r="BG31" s="443"/>
      <c r="BH31" s="209"/>
      <c r="BI31" s="443"/>
      <c r="BJ31" s="443"/>
      <c r="BK31" s="209"/>
      <c r="BL31" s="443"/>
      <c r="BM31" s="443"/>
      <c r="BN31" s="209"/>
      <c r="BO31" s="443"/>
      <c r="BP31" s="443"/>
      <c r="BQ31" s="209"/>
      <c r="BR31" s="443"/>
      <c r="BS31" s="443"/>
      <c r="BT31" s="392" t="str">
        <f t="shared" si="0"/>
        <v/>
      </c>
      <c r="BU31" s="383" t="str">
        <f t="shared" si="5"/>
        <v/>
      </c>
      <c r="BV31" s="383" t="str">
        <f t="shared" si="6"/>
        <v/>
      </c>
    </row>
    <row r="32" spans="1:74" ht="24" customHeight="1" x14ac:dyDescent="0.2">
      <c r="A32" s="453">
        <f t="shared" si="8"/>
        <v>43537</v>
      </c>
      <c r="B32" s="442">
        <f t="shared" si="9"/>
        <v>41</v>
      </c>
      <c r="C32" s="209"/>
      <c r="D32" s="443"/>
      <c r="E32" s="443"/>
      <c r="F32" s="579" t="str">
        <f>IF(C32="","",'Pon-Bat'!C26/7/($T$2-(SUM($C$9:C32))))</f>
        <v/>
      </c>
      <c r="G32" s="209"/>
      <c r="H32" s="443"/>
      <c r="I32" s="443"/>
      <c r="J32" s="470" t="str">
        <f>IF(G32="","",'Pon-Bat'!I26/7/($T$3-(SUM($G$9:G32))))</f>
        <v/>
      </c>
      <c r="K32" s="209"/>
      <c r="L32" s="443"/>
      <c r="M32" s="443"/>
      <c r="N32" s="470" t="str">
        <f>IF(K32="","",'Pon-Bat'!O26/7/($W$2-(SUM($K$9:K32))))</f>
        <v/>
      </c>
      <c r="O32" s="209"/>
      <c r="P32" s="443"/>
      <c r="Q32" s="443"/>
      <c r="R32" s="470" t="str">
        <f>IF(O32="","",'Pon-Bat'!U26/7/($W$3-(SUM($O$9:O32))))</f>
        <v/>
      </c>
      <c r="S32" s="209"/>
      <c r="T32" s="443"/>
      <c r="U32" s="443"/>
      <c r="V32" s="470" t="str">
        <f>IF(S32="","",'Pon-Bat'!AA26/7/($Z$2-(SUM($S$9:S32))))</f>
        <v/>
      </c>
      <c r="W32" s="209"/>
      <c r="X32" s="443"/>
      <c r="Y32" s="443"/>
      <c r="Z32" s="470" t="str">
        <f>IF(W32="","",'Pon-Bat'!AG26/7/($Z$3-(SUM($W$9:W32))))</f>
        <v/>
      </c>
      <c r="AA32" s="209"/>
      <c r="AB32" s="443"/>
      <c r="AC32" s="443"/>
      <c r="AD32" s="470" t="str">
        <f>IF(AA32="","",'Pon-Bat'!AM26/7/($AC$2-(SUM($AA$9:AA32))))</f>
        <v/>
      </c>
      <c r="AE32" s="209"/>
      <c r="AF32" s="443"/>
      <c r="AG32" s="443"/>
      <c r="AH32" s="470" t="str">
        <f>IF(AE32="","",'Pon-Bat'!AS26/7/($AC$3-(SUM($AE$9:AE32))))</f>
        <v/>
      </c>
      <c r="AI32" s="209"/>
      <c r="AJ32" s="443"/>
      <c r="AK32" s="443"/>
      <c r="AL32" s="470" t="str">
        <f>IF(AI32="","",'Pon-Bat'!AY26/7/($AF$2-(SUM($AI$9:AI32))))</f>
        <v/>
      </c>
      <c r="AM32" s="393" t="str">
        <f t="shared" si="2"/>
        <v/>
      </c>
      <c r="AN32" s="405" t="str">
        <f t="shared" si="3"/>
        <v/>
      </c>
      <c r="AO32" s="583" t="str">
        <f t="shared" si="4"/>
        <v/>
      </c>
      <c r="AP32" s="209"/>
      <c r="AQ32" s="443"/>
      <c r="AR32" s="443"/>
      <c r="AS32" s="209"/>
      <c r="AT32" s="443"/>
      <c r="AU32" s="443"/>
      <c r="AV32" s="209"/>
      <c r="AW32" s="443"/>
      <c r="AX32" s="443"/>
      <c r="AY32" s="209"/>
      <c r="AZ32" s="443"/>
      <c r="BA32" s="443"/>
      <c r="BB32" s="209"/>
      <c r="BC32" s="443"/>
      <c r="BD32" s="443"/>
      <c r="BE32" s="209"/>
      <c r="BF32" s="443"/>
      <c r="BG32" s="443"/>
      <c r="BH32" s="209"/>
      <c r="BI32" s="443"/>
      <c r="BJ32" s="443"/>
      <c r="BK32" s="209"/>
      <c r="BL32" s="443"/>
      <c r="BM32" s="443"/>
      <c r="BN32" s="209"/>
      <c r="BO32" s="443"/>
      <c r="BP32" s="443"/>
      <c r="BQ32" s="209"/>
      <c r="BR32" s="443"/>
      <c r="BS32" s="443"/>
      <c r="BT32" s="392" t="str">
        <f t="shared" si="0"/>
        <v/>
      </c>
      <c r="BU32" s="383" t="str">
        <f t="shared" si="5"/>
        <v/>
      </c>
      <c r="BV32" s="383" t="str">
        <f t="shared" si="6"/>
        <v/>
      </c>
    </row>
    <row r="33" spans="1:74" ht="24" customHeight="1" x14ac:dyDescent="0.2">
      <c r="A33" s="453">
        <f t="shared" si="8"/>
        <v>43544</v>
      </c>
      <c r="B33" s="442">
        <v>42</v>
      </c>
      <c r="C33" s="209"/>
      <c r="D33" s="443"/>
      <c r="E33" s="443"/>
      <c r="F33" s="579" t="str">
        <f>IF(C33="","",'Pon-Bat'!C27/7/($T$2-(SUM($C$9:C33))))</f>
        <v/>
      </c>
      <c r="G33" s="209"/>
      <c r="H33" s="443"/>
      <c r="I33" s="443"/>
      <c r="J33" s="470" t="str">
        <f>IF(G33="","",'Pon-Bat'!I27/7/($T$3-(SUM($G$9:G33))))</f>
        <v/>
      </c>
      <c r="K33" s="209"/>
      <c r="L33" s="443"/>
      <c r="M33" s="443"/>
      <c r="N33" s="470" t="str">
        <f>IF(K33="","",'Pon-Bat'!O27/7/($W$2-(SUM($K$9:K33))))</f>
        <v/>
      </c>
      <c r="O33" s="209"/>
      <c r="P33" s="443"/>
      <c r="Q33" s="443"/>
      <c r="R33" s="470" t="str">
        <f>IF(O33="","",'Pon-Bat'!U27/7/($W$3-(SUM($O$9:O33))))</f>
        <v/>
      </c>
      <c r="S33" s="209"/>
      <c r="T33" s="443"/>
      <c r="U33" s="443"/>
      <c r="V33" s="470" t="str">
        <f>IF(S33="","",'Pon-Bat'!AA27/7/($Z$2-(SUM($S$9:S33))))</f>
        <v/>
      </c>
      <c r="W33" s="209"/>
      <c r="X33" s="443"/>
      <c r="Y33" s="443"/>
      <c r="Z33" s="470" t="str">
        <f>IF(W33="","",'Pon-Bat'!AG27/7/($Z$3-(SUM($W$9:W33))))</f>
        <v/>
      </c>
      <c r="AA33" s="209"/>
      <c r="AB33" s="443"/>
      <c r="AC33" s="443"/>
      <c r="AD33" s="470" t="str">
        <f>IF(AA33="","",'Pon-Bat'!AM27/7/($AC$2-(SUM($AA$9:AA33))))</f>
        <v/>
      </c>
      <c r="AE33" s="209"/>
      <c r="AF33" s="443"/>
      <c r="AG33" s="443"/>
      <c r="AH33" s="470" t="str">
        <f>IF(AE33="","",'Pon-Bat'!AS27/7/($AC$3-(SUM($AE$9:AE33))))</f>
        <v/>
      </c>
      <c r="AI33" s="209"/>
      <c r="AJ33" s="443"/>
      <c r="AK33" s="443"/>
      <c r="AL33" s="470" t="str">
        <f>IF(AI33="","",'Pon-Bat'!AY27/7/($AF$2-(SUM($AI$9:AI33))))</f>
        <v/>
      </c>
      <c r="AM33" s="393" t="str">
        <f t="shared" si="2"/>
        <v/>
      </c>
      <c r="AN33" s="405" t="str">
        <f t="shared" si="3"/>
        <v/>
      </c>
      <c r="AO33" s="583" t="str">
        <f t="shared" si="4"/>
        <v/>
      </c>
      <c r="AP33" s="209"/>
      <c r="AQ33" s="443"/>
      <c r="AR33" s="443"/>
      <c r="AS33" s="209"/>
      <c r="AT33" s="443"/>
      <c r="AU33" s="443"/>
      <c r="AV33" s="209"/>
      <c r="AW33" s="443"/>
      <c r="AX33" s="443"/>
      <c r="AY33" s="209"/>
      <c r="AZ33" s="443"/>
      <c r="BA33" s="443"/>
      <c r="BB33" s="209"/>
      <c r="BC33" s="443"/>
      <c r="BD33" s="443"/>
      <c r="BE33" s="209"/>
      <c r="BF33" s="443"/>
      <c r="BG33" s="443"/>
      <c r="BH33" s="209"/>
      <c r="BI33" s="443"/>
      <c r="BJ33" s="443"/>
      <c r="BK33" s="209"/>
      <c r="BL33" s="443"/>
      <c r="BM33" s="443"/>
      <c r="BN33" s="209"/>
      <c r="BO33" s="443"/>
      <c r="BP33" s="443"/>
      <c r="BQ33" s="209"/>
      <c r="BR33" s="443"/>
      <c r="BS33" s="443"/>
      <c r="BT33" s="392" t="str">
        <f t="shared" si="0"/>
        <v/>
      </c>
      <c r="BU33" s="383" t="str">
        <f t="shared" si="5"/>
        <v/>
      </c>
      <c r="BV33" s="383" t="str">
        <f t="shared" si="6"/>
        <v/>
      </c>
    </row>
    <row r="34" spans="1:74" ht="24" customHeight="1" x14ac:dyDescent="0.2">
      <c r="A34" s="453">
        <f t="shared" si="8"/>
        <v>43551</v>
      </c>
      <c r="B34" s="442">
        <f t="shared" si="9"/>
        <v>43</v>
      </c>
      <c r="C34" s="209"/>
      <c r="D34" s="443"/>
      <c r="E34" s="443"/>
      <c r="F34" s="579" t="str">
        <f>IF(C34="","",'Pon-Bat'!C28/7/($T$2-(SUM($C$9:C34))))</f>
        <v/>
      </c>
      <c r="G34" s="209"/>
      <c r="H34" s="443"/>
      <c r="I34" s="443"/>
      <c r="J34" s="470" t="str">
        <f>IF(G34="","",'Pon-Bat'!I28/7/($T$3-(SUM($G$9:G34))))</f>
        <v/>
      </c>
      <c r="K34" s="209"/>
      <c r="L34" s="443"/>
      <c r="M34" s="443"/>
      <c r="N34" s="470" t="str">
        <f>IF(K34="","",'Pon-Bat'!O28/7/($W$2-(SUM($K$9:K34))))</f>
        <v/>
      </c>
      <c r="O34" s="209"/>
      <c r="P34" s="443"/>
      <c r="Q34" s="443"/>
      <c r="R34" s="470" t="str">
        <f>IF(O34="","",'Pon-Bat'!U28/7/($W$3-(SUM($O$9:O34))))</f>
        <v/>
      </c>
      <c r="S34" s="209"/>
      <c r="T34" s="443"/>
      <c r="U34" s="443"/>
      <c r="V34" s="470" t="str">
        <f>IF(S34="","",'Pon-Bat'!AA28/7/($Z$2-(SUM($S$9:S34))))</f>
        <v/>
      </c>
      <c r="W34" s="209"/>
      <c r="X34" s="443"/>
      <c r="Y34" s="443"/>
      <c r="Z34" s="470" t="str">
        <f>IF(W34="","",'Pon-Bat'!AG28/7/($Z$3-(SUM($W$9:W34))))</f>
        <v/>
      </c>
      <c r="AA34" s="209"/>
      <c r="AB34" s="443"/>
      <c r="AC34" s="443"/>
      <c r="AD34" s="470" t="str">
        <f>IF(AA34="","",'Pon-Bat'!AM28/7/($AC$2-(SUM($AA$9:AA34))))</f>
        <v/>
      </c>
      <c r="AE34" s="209"/>
      <c r="AF34" s="443"/>
      <c r="AG34" s="443"/>
      <c r="AH34" s="470" t="str">
        <f>IF(AE34="","",'Pon-Bat'!AS28/7/($AC$3-(SUM($AE$9:AE34))))</f>
        <v/>
      </c>
      <c r="AI34" s="209"/>
      <c r="AJ34" s="443"/>
      <c r="AK34" s="443"/>
      <c r="AL34" s="470" t="str">
        <f>IF(AI34="","",'Pon-Bat'!AY28/7/($AF$2-(SUM($AI$9:AI34))))</f>
        <v/>
      </c>
      <c r="AM34" s="393" t="str">
        <f t="shared" si="2"/>
        <v/>
      </c>
      <c r="AN34" s="405" t="str">
        <f t="shared" si="3"/>
        <v/>
      </c>
      <c r="AO34" s="583" t="str">
        <f t="shared" si="4"/>
        <v/>
      </c>
      <c r="AP34" s="209"/>
      <c r="AQ34" s="443"/>
      <c r="AR34" s="443"/>
      <c r="AS34" s="209"/>
      <c r="AT34" s="443"/>
      <c r="AU34" s="443"/>
      <c r="AV34" s="209"/>
      <c r="AW34" s="443"/>
      <c r="AX34" s="443"/>
      <c r="AY34" s="209"/>
      <c r="AZ34" s="443"/>
      <c r="BA34" s="443"/>
      <c r="BB34" s="209"/>
      <c r="BC34" s="443"/>
      <c r="BD34" s="443"/>
      <c r="BE34" s="209"/>
      <c r="BF34" s="443"/>
      <c r="BG34" s="443"/>
      <c r="BH34" s="209"/>
      <c r="BI34" s="443"/>
      <c r="BJ34" s="443"/>
      <c r="BK34" s="209"/>
      <c r="BL34" s="443"/>
      <c r="BM34" s="443"/>
      <c r="BN34" s="209"/>
      <c r="BO34" s="443"/>
      <c r="BP34" s="443"/>
      <c r="BQ34" s="209"/>
      <c r="BR34" s="443"/>
      <c r="BS34" s="443"/>
      <c r="BT34" s="392" t="str">
        <f t="shared" si="0"/>
        <v/>
      </c>
      <c r="BU34" s="383" t="str">
        <f t="shared" si="5"/>
        <v/>
      </c>
      <c r="BV34" s="383" t="str">
        <f t="shared" si="6"/>
        <v/>
      </c>
    </row>
    <row r="35" spans="1:74" ht="24" customHeight="1" x14ac:dyDescent="0.2">
      <c r="A35" s="453">
        <f t="shared" si="8"/>
        <v>43558</v>
      </c>
      <c r="B35" s="442">
        <f t="shared" si="9"/>
        <v>44</v>
      </c>
      <c r="C35" s="209"/>
      <c r="D35" s="443"/>
      <c r="E35" s="443"/>
      <c r="F35" s="579" t="str">
        <f>IF(C35="","",'Pon-Bat'!C29/7/($T$2-(SUM($C$9:C35))))</f>
        <v/>
      </c>
      <c r="G35" s="209"/>
      <c r="H35" s="443"/>
      <c r="I35" s="443"/>
      <c r="J35" s="470" t="str">
        <f>IF(G35="","",'Pon-Bat'!I29/7/($T$3-(SUM($G$9:G35))))</f>
        <v/>
      </c>
      <c r="K35" s="209"/>
      <c r="L35" s="443"/>
      <c r="M35" s="443"/>
      <c r="N35" s="470" t="str">
        <f>IF(K35="","",'Pon-Bat'!O29/7/($W$2-(SUM($K$9:K35))))</f>
        <v/>
      </c>
      <c r="O35" s="209"/>
      <c r="P35" s="443"/>
      <c r="Q35" s="443"/>
      <c r="R35" s="470" t="str">
        <f>IF(O35="","",'Pon-Bat'!U29/7/($W$3-(SUM($O$9:O35))))</f>
        <v/>
      </c>
      <c r="S35" s="209"/>
      <c r="T35" s="443"/>
      <c r="U35" s="443"/>
      <c r="V35" s="470" t="str">
        <f>IF(S35="","",'Pon-Bat'!AA29/7/($Z$2-(SUM($S$9:S35))))</f>
        <v/>
      </c>
      <c r="W35" s="209"/>
      <c r="X35" s="443"/>
      <c r="Y35" s="443"/>
      <c r="Z35" s="470" t="str">
        <f>IF(W35="","",'Pon-Bat'!AG29/7/($Z$3-(SUM($W$9:W35))))</f>
        <v/>
      </c>
      <c r="AA35" s="209"/>
      <c r="AB35" s="443"/>
      <c r="AC35" s="443"/>
      <c r="AD35" s="470" t="str">
        <f>IF(AA35="","",'Pon-Bat'!AM29/7/($AC$2-(SUM($AA$9:AA35))))</f>
        <v/>
      </c>
      <c r="AE35" s="209"/>
      <c r="AF35" s="443"/>
      <c r="AG35" s="443"/>
      <c r="AH35" s="470" t="str">
        <f>IF(AE35="","",'Pon-Bat'!AS29/7/($AC$3-(SUM($AE$9:AE35))))</f>
        <v/>
      </c>
      <c r="AI35" s="209"/>
      <c r="AJ35" s="443"/>
      <c r="AK35" s="443"/>
      <c r="AL35" s="470" t="str">
        <f>IF(AI35="","",'Pon-Bat'!AY29/7/($AF$2-(SUM($AI$9:AI35))))</f>
        <v/>
      </c>
      <c r="AM35" s="393" t="str">
        <f t="shared" si="2"/>
        <v/>
      </c>
      <c r="AN35" s="405" t="str">
        <f t="shared" si="3"/>
        <v/>
      </c>
      <c r="AO35" s="583" t="str">
        <f t="shared" si="4"/>
        <v/>
      </c>
      <c r="AP35" s="209"/>
      <c r="AQ35" s="443"/>
      <c r="AR35" s="443"/>
      <c r="AS35" s="209"/>
      <c r="AT35" s="443"/>
      <c r="AU35" s="443"/>
      <c r="AV35" s="209"/>
      <c r="AW35" s="443"/>
      <c r="AX35" s="443"/>
      <c r="AY35" s="209"/>
      <c r="AZ35" s="443"/>
      <c r="BA35" s="443"/>
      <c r="BB35" s="209"/>
      <c r="BC35" s="443"/>
      <c r="BD35" s="443"/>
      <c r="BE35" s="209"/>
      <c r="BF35" s="443"/>
      <c r="BG35" s="443"/>
      <c r="BH35" s="209"/>
      <c r="BI35" s="443"/>
      <c r="BJ35" s="443"/>
      <c r="BK35" s="209"/>
      <c r="BL35" s="443"/>
      <c r="BM35" s="443"/>
      <c r="BN35" s="209"/>
      <c r="BO35" s="443"/>
      <c r="BP35" s="443"/>
      <c r="BQ35" s="209"/>
      <c r="BR35" s="443"/>
      <c r="BS35" s="443"/>
      <c r="BT35" s="392" t="str">
        <f t="shared" si="0"/>
        <v/>
      </c>
      <c r="BU35" s="383" t="str">
        <f t="shared" si="5"/>
        <v/>
      </c>
      <c r="BV35" s="383" t="str">
        <f t="shared" si="6"/>
        <v/>
      </c>
    </row>
    <row r="36" spans="1:74" ht="24" customHeight="1" x14ac:dyDescent="0.2">
      <c r="A36" s="453">
        <f t="shared" si="8"/>
        <v>43565</v>
      </c>
      <c r="B36" s="442">
        <f t="shared" si="9"/>
        <v>45</v>
      </c>
      <c r="C36" s="209"/>
      <c r="D36" s="443"/>
      <c r="E36" s="443"/>
      <c r="F36" s="579" t="str">
        <f>IF(C36="","",'Pon-Bat'!C30/7/($T$2-(SUM($C$9:C36))))</f>
        <v/>
      </c>
      <c r="G36" s="209"/>
      <c r="H36" s="443"/>
      <c r="I36" s="443"/>
      <c r="J36" s="470" t="str">
        <f>IF(G36="","",'Pon-Bat'!I30/7/($T$3-(SUM($G$9:G36))))</f>
        <v/>
      </c>
      <c r="K36" s="209"/>
      <c r="L36" s="443"/>
      <c r="M36" s="443"/>
      <c r="N36" s="470" t="str">
        <f>IF(K36="","",'Pon-Bat'!O30/7/($W$2-(SUM($K$9:K36))))</f>
        <v/>
      </c>
      <c r="O36" s="209"/>
      <c r="P36" s="443"/>
      <c r="Q36" s="443"/>
      <c r="R36" s="470" t="str">
        <f>IF(O36="","",'Pon-Bat'!U30/7/($W$3-(SUM($O$9:O36))))</f>
        <v/>
      </c>
      <c r="S36" s="209"/>
      <c r="T36" s="443"/>
      <c r="U36" s="443"/>
      <c r="V36" s="470" t="str">
        <f>IF(S36="","",'Pon-Bat'!AA30/7/($Z$2-(SUM($S$9:S36))))</f>
        <v/>
      </c>
      <c r="W36" s="209"/>
      <c r="X36" s="443"/>
      <c r="Y36" s="443"/>
      <c r="Z36" s="470" t="str">
        <f>IF(W36="","",'Pon-Bat'!AG30/7/($Z$3-(SUM($W$9:W36))))</f>
        <v/>
      </c>
      <c r="AA36" s="209"/>
      <c r="AB36" s="443"/>
      <c r="AC36" s="443"/>
      <c r="AD36" s="470" t="str">
        <f>IF(AA36="","",'Pon-Bat'!AM30/7/($AC$2-(SUM($AA$9:AA36))))</f>
        <v/>
      </c>
      <c r="AE36" s="209"/>
      <c r="AF36" s="443"/>
      <c r="AG36" s="443"/>
      <c r="AH36" s="470" t="str">
        <f>IF(AE36="","",'Pon-Bat'!AS30/7/($AC$3-(SUM($AE$9:AE36))))</f>
        <v/>
      </c>
      <c r="AI36" s="209"/>
      <c r="AJ36" s="443"/>
      <c r="AK36" s="443"/>
      <c r="AL36" s="470" t="str">
        <f>IF(AI36="","",'Pon-Bat'!AY30/7/($AF$2-(SUM($AI$9:AI36))))</f>
        <v/>
      </c>
      <c r="AM36" s="393" t="str">
        <f t="shared" si="2"/>
        <v/>
      </c>
      <c r="AN36" s="405" t="str">
        <f t="shared" si="3"/>
        <v/>
      </c>
      <c r="AO36" s="583" t="str">
        <f t="shared" si="4"/>
        <v/>
      </c>
      <c r="AP36" s="209"/>
      <c r="AQ36" s="443"/>
      <c r="AR36" s="443"/>
      <c r="AS36" s="209"/>
      <c r="AT36" s="443"/>
      <c r="AU36" s="443"/>
      <c r="AV36" s="209"/>
      <c r="AW36" s="443"/>
      <c r="AX36" s="443"/>
      <c r="AY36" s="209"/>
      <c r="AZ36" s="443"/>
      <c r="BA36" s="443"/>
      <c r="BB36" s="209"/>
      <c r="BC36" s="443"/>
      <c r="BD36" s="443"/>
      <c r="BE36" s="209"/>
      <c r="BF36" s="443"/>
      <c r="BG36" s="443"/>
      <c r="BH36" s="209"/>
      <c r="BI36" s="443"/>
      <c r="BJ36" s="443"/>
      <c r="BK36" s="209"/>
      <c r="BL36" s="443"/>
      <c r="BM36" s="443"/>
      <c r="BN36" s="209"/>
      <c r="BO36" s="443"/>
      <c r="BP36" s="443"/>
      <c r="BQ36" s="209"/>
      <c r="BR36" s="443"/>
      <c r="BS36" s="443"/>
      <c r="BT36" s="392" t="str">
        <f t="shared" si="0"/>
        <v/>
      </c>
      <c r="BU36" s="383" t="str">
        <f t="shared" si="5"/>
        <v/>
      </c>
      <c r="BV36" s="383" t="str">
        <f t="shared" si="6"/>
        <v/>
      </c>
    </row>
    <row r="37" spans="1:74" ht="24" customHeight="1" x14ac:dyDescent="0.2">
      <c r="A37" s="453">
        <f t="shared" si="8"/>
        <v>43572</v>
      </c>
      <c r="B37" s="442">
        <f t="shared" si="9"/>
        <v>46</v>
      </c>
      <c r="C37" s="209"/>
      <c r="D37" s="443"/>
      <c r="E37" s="443"/>
      <c r="F37" s="579" t="str">
        <f>IF(C37="","",'Pon-Bat'!C31/7/($T$2-(SUM($C$9:C37))))</f>
        <v/>
      </c>
      <c r="G37" s="209"/>
      <c r="H37" s="443"/>
      <c r="I37" s="443"/>
      <c r="J37" s="470" t="str">
        <f>IF(G37="","",'Pon-Bat'!I31/7/($T$3-(SUM($G$9:G37))))</f>
        <v/>
      </c>
      <c r="K37" s="209"/>
      <c r="L37" s="443"/>
      <c r="M37" s="443"/>
      <c r="N37" s="470" t="str">
        <f>IF(K37="","",'Pon-Bat'!O31/7/($W$2-(SUM($K$9:K37))))</f>
        <v/>
      </c>
      <c r="O37" s="209"/>
      <c r="P37" s="443"/>
      <c r="Q37" s="443"/>
      <c r="R37" s="470" t="str">
        <f>IF(O37="","",'Pon-Bat'!U31/7/($W$3-(SUM($O$9:O37))))</f>
        <v/>
      </c>
      <c r="S37" s="209"/>
      <c r="T37" s="443"/>
      <c r="U37" s="443"/>
      <c r="V37" s="470" t="str">
        <f>IF(S37="","",'Pon-Bat'!AA31/7/($Z$2-(SUM($S$9:S37))))</f>
        <v/>
      </c>
      <c r="W37" s="209"/>
      <c r="X37" s="443"/>
      <c r="Y37" s="443"/>
      <c r="Z37" s="470" t="str">
        <f>IF(W37="","",'Pon-Bat'!AG31/7/($Z$3-(SUM($W$9:W37))))</f>
        <v/>
      </c>
      <c r="AA37" s="209"/>
      <c r="AB37" s="443"/>
      <c r="AC37" s="443"/>
      <c r="AD37" s="470" t="str">
        <f>IF(AA37="","",'Pon-Bat'!AM31/7/($AC$2-(SUM($AA$9:AA37))))</f>
        <v/>
      </c>
      <c r="AE37" s="209"/>
      <c r="AF37" s="443"/>
      <c r="AG37" s="443"/>
      <c r="AH37" s="470" t="str">
        <f>IF(AE37="","",'Pon-Bat'!AS31/7/($AC$3-(SUM($AE$9:AE37))))</f>
        <v/>
      </c>
      <c r="AI37" s="209"/>
      <c r="AJ37" s="443"/>
      <c r="AK37" s="443"/>
      <c r="AL37" s="470" t="str">
        <f>IF(AI37="","",'Pon-Bat'!AY31/7/($AF$2-(SUM($AI$9:AI37))))</f>
        <v/>
      </c>
      <c r="AM37" s="393" t="str">
        <f t="shared" si="2"/>
        <v/>
      </c>
      <c r="AN37" s="405" t="str">
        <f t="shared" si="3"/>
        <v/>
      </c>
      <c r="AO37" s="583" t="str">
        <f t="shared" si="4"/>
        <v/>
      </c>
      <c r="AP37" s="209"/>
      <c r="AQ37" s="443"/>
      <c r="AR37" s="443"/>
      <c r="AS37" s="209"/>
      <c r="AT37" s="443"/>
      <c r="AU37" s="443"/>
      <c r="AV37" s="209"/>
      <c r="AW37" s="443"/>
      <c r="AX37" s="443"/>
      <c r="AY37" s="209"/>
      <c r="AZ37" s="443"/>
      <c r="BA37" s="443"/>
      <c r="BB37" s="209"/>
      <c r="BC37" s="443"/>
      <c r="BD37" s="443"/>
      <c r="BE37" s="209"/>
      <c r="BF37" s="443"/>
      <c r="BG37" s="443"/>
      <c r="BH37" s="209"/>
      <c r="BI37" s="443"/>
      <c r="BJ37" s="443"/>
      <c r="BK37" s="209"/>
      <c r="BL37" s="443"/>
      <c r="BM37" s="443"/>
      <c r="BN37" s="209"/>
      <c r="BO37" s="443"/>
      <c r="BP37" s="443"/>
      <c r="BQ37" s="209"/>
      <c r="BR37" s="443"/>
      <c r="BS37" s="443"/>
      <c r="BT37" s="392" t="str">
        <f t="shared" si="0"/>
        <v/>
      </c>
      <c r="BU37" s="383" t="str">
        <f t="shared" si="5"/>
        <v/>
      </c>
      <c r="BV37" s="383" t="str">
        <f t="shared" si="6"/>
        <v/>
      </c>
    </row>
    <row r="38" spans="1:74" ht="24" customHeight="1" x14ac:dyDescent="0.2">
      <c r="A38" s="453">
        <f t="shared" si="8"/>
        <v>43579</v>
      </c>
      <c r="B38" s="442">
        <f t="shared" si="9"/>
        <v>47</v>
      </c>
      <c r="C38" s="209"/>
      <c r="D38" s="443"/>
      <c r="E38" s="443"/>
      <c r="F38" s="579" t="str">
        <f>IF(C38="","",'Pon-Bat'!C32/7/($T$2-(SUM($C$9:C38))))</f>
        <v/>
      </c>
      <c r="G38" s="209"/>
      <c r="H38" s="443"/>
      <c r="I38" s="443"/>
      <c r="J38" s="470" t="str">
        <f>IF(G38="","",'Pon-Bat'!I32/7/($T$3-(SUM($G$9:G38))))</f>
        <v/>
      </c>
      <c r="K38" s="209"/>
      <c r="L38" s="443"/>
      <c r="M38" s="443"/>
      <c r="N38" s="470" t="str">
        <f>IF(K38="","",'Pon-Bat'!O32/7/($W$2-(SUM($K$9:K38))))</f>
        <v/>
      </c>
      <c r="O38" s="209"/>
      <c r="P38" s="443"/>
      <c r="Q38" s="443"/>
      <c r="R38" s="470" t="str">
        <f>IF(O38="","",'Pon-Bat'!U32/7/($W$3-(SUM($O$9:O38))))</f>
        <v/>
      </c>
      <c r="S38" s="209"/>
      <c r="T38" s="443"/>
      <c r="U38" s="443"/>
      <c r="V38" s="470" t="str">
        <f>IF(S38="","",'Pon-Bat'!AA32/7/($Z$2-(SUM($S$9:S38))))</f>
        <v/>
      </c>
      <c r="W38" s="209"/>
      <c r="X38" s="443"/>
      <c r="Y38" s="443"/>
      <c r="Z38" s="470" t="str">
        <f>IF(W38="","",'Pon-Bat'!AG32/7/($Z$3-(SUM($W$9:W38))))</f>
        <v/>
      </c>
      <c r="AA38" s="209"/>
      <c r="AB38" s="443"/>
      <c r="AC38" s="443"/>
      <c r="AD38" s="470" t="str">
        <f>IF(AA38="","",'Pon-Bat'!AM32/7/($AC$2-(SUM($AA$9:AA38))))</f>
        <v/>
      </c>
      <c r="AE38" s="209"/>
      <c r="AF38" s="443"/>
      <c r="AG38" s="443"/>
      <c r="AH38" s="470" t="str">
        <f>IF(AE38="","",'Pon-Bat'!AS32/7/($AC$3-(SUM($AE$9:AE38))))</f>
        <v/>
      </c>
      <c r="AI38" s="209"/>
      <c r="AJ38" s="443"/>
      <c r="AK38" s="443"/>
      <c r="AL38" s="470" t="str">
        <f>IF(AI38="","",'Pon-Bat'!AY32/7/($AF$2-(SUM($AI$9:AI38))))</f>
        <v/>
      </c>
      <c r="AM38" s="393" t="str">
        <f t="shared" si="2"/>
        <v/>
      </c>
      <c r="AN38" s="405" t="str">
        <f t="shared" si="3"/>
        <v/>
      </c>
      <c r="AO38" s="583" t="str">
        <f t="shared" si="4"/>
        <v/>
      </c>
      <c r="AP38" s="209"/>
      <c r="AQ38" s="443"/>
      <c r="AR38" s="443"/>
      <c r="AS38" s="209"/>
      <c r="AT38" s="443"/>
      <c r="AU38" s="443"/>
      <c r="AV38" s="209"/>
      <c r="AW38" s="443"/>
      <c r="AX38" s="443"/>
      <c r="AY38" s="209"/>
      <c r="AZ38" s="443"/>
      <c r="BA38" s="443"/>
      <c r="BB38" s="209"/>
      <c r="BC38" s="443"/>
      <c r="BD38" s="443"/>
      <c r="BE38" s="209"/>
      <c r="BF38" s="443"/>
      <c r="BG38" s="443"/>
      <c r="BH38" s="209"/>
      <c r="BI38" s="443"/>
      <c r="BJ38" s="443"/>
      <c r="BK38" s="209"/>
      <c r="BL38" s="443"/>
      <c r="BM38" s="443"/>
      <c r="BN38" s="209"/>
      <c r="BO38" s="443"/>
      <c r="BP38" s="443"/>
      <c r="BQ38" s="209"/>
      <c r="BR38" s="443"/>
      <c r="BS38" s="443"/>
      <c r="BT38" s="392" t="str">
        <f t="shared" si="0"/>
        <v/>
      </c>
      <c r="BU38" s="383" t="str">
        <f t="shared" si="5"/>
        <v/>
      </c>
      <c r="BV38" s="383" t="str">
        <f t="shared" si="6"/>
        <v/>
      </c>
    </row>
    <row r="39" spans="1:74" ht="24" customHeight="1" x14ac:dyDescent="0.2">
      <c r="A39" s="453">
        <f t="shared" si="8"/>
        <v>43586</v>
      </c>
      <c r="B39" s="442">
        <f t="shared" si="9"/>
        <v>48</v>
      </c>
      <c r="C39" s="209"/>
      <c r="D39" s="443"/>
      <c r="E39" s="443"/>
      <c r="F39" s="579" t="str">
        <f>IF(C39="","",'Pon-Bat'!C33/7/($T$2-(SUM($C$9:C39))))</f>
        <v/>
      </c>
      <c r="G39" s="209"/>
      <c r="H39" s="443"/>
      <c r="I39" s="443"/>
      <c r="J39" s="470" t="str">
        <f>IF(G39="","",'Pon-Bat'!I33/7/($T$3-(SUM($G$9:G39))))</f>
        <v/>
      </c>
      <c r="K39" s="209"/>
      <c r="L39" s="443"/>
      <c r="M39" s="443"/>
      <c r="N39" s="470" t="str">
        <f>IF(K39="","",'Pon-Bat'!O33/7/($W$2-(SUM($K$9:K39))))</f>
        <v/>
      </c>
      <c r="O39" s="209"/>
      <c r="P39" s="443"/>
      <c r="Q39" s="443"/>
      <c r="R39" s="470" t="str">
        <f>IF(O39="","",'Pon-Bat'!U33/7/($W$3-(SUM($O$9:O39))))</f>
        <v/>
      </c>
      <c r="S39" s="209"/>
      <c r="T39" s="443"/>
      <c r="U39" s="443"/>
      <c r="V39" s="470" t="str">
        <f>IF(S39="","",'Pon-Bat'!AA33/7/($Z$2-(SUM($S$9:S39))))</f>
        <v/>
      </c>
      <c r="W39" s="209"/>
      <c r="X39" s="443"/>
      <c r="Y39" s="443"/>
      <c r="Z39" s="470" t="str">
        <f>IF(W39="","",'Pon-Bat'!AG33/7/($Z$3-(SUM($W$9:W39))))</f>
        <v/>
      </c>
      <c r="AA39" s="209"/>
      <c r="AB39" s="443"/>
      <c r="AC39" s="443"/>
      <c r="AD39" s="470" t="str">
        <f>IF(AA39="","",'Pon-Bat'!AM33/7/($AC$2-(SUM($AA$9:AA39))))</f>
        <v/>
      </c>
      <c r="AE39" s="209"/>
      <c r="AF39" s="443"/>
      <c r="AG39" s="443"/>
      <c r="AH39" s="470" t="str">
        <f>IF(AE39="","",'Pon-Bat'!AS33/7/($AC$3-(SUM($AE$9:AE39))))</f>
        <v/>
      </c>
      <c r="AI39" s="209"/>
      <c r="AJ39" s="443"/>
      <c r="AK39" s="443"/>
      <c r="AL39" s="470" t="str">
        <f>IF(AI39="","",'Pon-Bat'!AY33/7/($AF$2-(SUM($AI$9:AI39))))</f>
        <v/>
      </c>
      <c r="AM39" s="393" t="str">
        <f t="shared" si="2"/>
        <v/>
      </c>
      <c r="AN39" s="405" t="str">
        <f t="shared" si="3"/>
        <v/>
      </c>
      <c r="AO39" s="583" t="str">
        <f t="shared" si="4"/>
        <v/>
      </c>
      <c r="AP39" s="209"/>
      <c r="AQ39" s="443"/>
      <c r="AR39" s="443"/>
      <c r="AS39" s="209"/>
      <c r="AT39" s="443"/>
      <c r="AU39" s="443"/>
      <c r="AV39" s="209"/>
      <c r="AW39" s="443"/>
      <c r="AX39" s="443"/>
      <c r="AY39" s="209"/>
      <c r="AZ39" s="443"/>
      <c r="BA39" s="443"/>
      <c r="BB39" s="209"/>
      <c r="BC39" s="443"/>
      <c r="BD39" s="443"/>
      <c r="BE39" s="209"/>
      <c r="BF39" s="443"/>
      <c r="BG39" s="443"/>
      <c r="BH39" s="209"/>
      <c r="BI39" s="443"/>
      <c r="BJ39" s="443"/>
      <c r="BK39" s="209"/>
      <c r="BL39" s="443"/>
      <c r="BM39" s="443"/>
      <c r="BN39" s="209"/>
      <c r="BO39" s="443"/>
      <c r="BP39" s="443"/>
      <c r="BQ39" s="209"/>
      <c r="BR39" s="443"/>
      <c r="BS39" s="443"/>
      <c r="BT39" s="392" t="str">
        <f t="shared" si="0"/>
        <v/>
      </c>
      <c r="BU39" s="383" t="str">
        <f t="shared" si="5"/>
        <v/>
      </c>
      <c r="BV39" s="383" t="str">
        <f t="shared" si="6"/>
        <v/>
      </c>
    </row>
    <row r="40" spans="1:74" ht="24" customHeight="1" x14ac:dyDescent="0.2">
      <c r="A40" s="453">
        <f t="shared" si="8"/>
        <v>43593</v>
      </c>
      <c r="B40" s="442">
        <f t="shared" si="9"/>
        <v>49</v>
      </c>
      <c r="C40" s="209"/>
      <c r="D40" s="443"/>
      <c r="E40" s="443"/>
      <c r="F40" s="579" t="str">
        <f>IF(C40="","",'Pon-Bat'!C34/7/($T$2-(SUM($C$9:C40))))</f>
        <v/>
      </c>
      <c r="G40" s="209"/>
      <c r="H40" s="443"/>
      <c r="I40" s="443"/>
      <c r="J40" s="470" t="str">
        <f>IF(G40="","",'Pon-Bat'!I34/7/($T$3-(SUM($G$9:G40))))</f>
        <v/>
      </c>
      <c r="K40" s="209"/>
      <c r="L40" s="443"/>
      <c r="M40" s="443"/>
      <c r="N40" s="470" t="str">
        <f>IF(K40="","",'Pon-Bat'!O34/7/($W$2-(SUM($K$9:K40))))</f>
        <v/>
      </c>
      <c r="O40" s="209"/>
      <c r="P40" s="443"/>
      <c r="Q40" s="443"/>
      <c r="R40" s="470" t="str">
        <f>IF(O40="","",'Pon-Bat'!U34/7/($W$3-(SUM($O$9:O40))))</f>
        <v/>
      </c>
      <c r="S40" s="209"/>
      <c r="T40" s="443"/>
      <c r="U40" s="443"/>
      <c r="V40" s="470" t="str">
        <f>IF(S40="","",'Pon-Bat'!AA34/7/($Z$2-(SUM($S$9:S40))))</f>
        <v/>
      </c>
      <c r="W40" s="209"/>
      <c r="X40" s="443"/>
      <c r="Y40" s="443"/>
      <c r="Z40" s="470" t="str">
        <f>IF(W40="","",'Pon-Bat'!AG34/7/($Z$3-(SUM($W$9:W40))))</f>
        <v/>
      </c>
      <c r="AA40" s="209"/>
      <c r="AB40" s="443"/>
      <c r="AC40" s="443"/>
      <c r="AD40" s="470" t="str">
        <f>IF(AA40="","",'Pon-Bat'!AM34/7/($AC$2-(SUM($AA$9:AA40))))</f>
        <v/>
      </c>
      <c r="AE40" s="209"/>
      <c r="AF40" s="443"/>
      <c r="AG40" s="443"/>
      <c r="AH40" s="470" t="str">
        <f>IF(AE40="","",'Pon-Bat'!AS34/7/($AC$3-(SUM($AE$9:AE40))))</f>
        <v/>
      </c>
      <c r="AI40" s="209"/>
      <c r="AJ40" s="443"/>
      <c r="AK40" s="443"/>
      <c r="AL40" s="470" t="str">
        <f>IF(AI40="","",'Pon-Bat'!AY34/7/($AF$2-(SUM($AI$9:AI40))))</f>
        <v/>
      </c>
      <c r="AM40" s="393" t="str">
        <f t="shared" si="2"/>
        <v/>
      </c>
      <c r="AN40" s="405" t="str">
        <f t="shared" si="3"/>
        <v/>
      </c>
      <c r="AO40" s="583" t="str">
        <f t="shared" si="4"/>
        <v/>
      </c>
      <c r="AP40" s="209"/>
      <c r="AQ40" s="443"/>
      <c r="AR40" s="443"/>
      <c r="AS40" s="209"/>
      <c r="AT40" s="443"/>
      <c r="AU40" s="443"/>
      <c r="AV40" s="209"/>
      <c r="AW40" s="443"/>
      <c r="AX40" s="443"/>
      <c r="AY40" s="209"/>
      <c r="AZ40" s="443"/>
      <c r="BA40" s="443"/>
      <c r="BB40" s="209"/>
      <c r="BC40" s="443"/>
      <c r="BD40" s="443"/>
      <c r="BE40" s="209"/>
      <c r="BF40" s="443"/>
      <c r="BG40" s="443"/>
      <c r="BH40" s="209"/>
      <c r="BI40" s="443"/>
      <c r="BJ40" s="443"/>
      <c r="BK40" s="209"/>
      <c r="BL40" s="443"/>
      <c r="BM40" s="443"/>
      <c r="BN40" s="209"/>
      <c r="BO40" s="443"/>
      <c r="BP40" s="443"/>
      <c r="BQ40" s="209"/>
      <c r="BR40" s="443"/>
      <c r="BS40" s="443"/>
      <c r="BT40" s="392" t="str">
        <f t="shared" si="0"/>
        <v/>
      </c>
      <c r="BU40" s="383" t="str">
        <f t="shared" si="5"/>
        <v/>
      </c>
      <c r="BV40" s="383" t="str">
        <f t="shared" si="6"/>
        <v/>
      </c>
    </row>
    <row r="41" spans="1:74" ht="24" customHeight="1" x14ac:dyDescent="0.2">
      <c r="A41" s="453">
        <f t="shared" si="8"/>
        <v>43600</v>
      </c>
      <c r="B41" s="442">
        <f t="shared" si="9"/>
        <v>50</v>
      </c>
      <c r="C41" s="209"/>
      <c r="D41" s="443"/>
      <c r="E41" s="443"/>
      <c r="F41" s="579" t="str">
        <f>IF(C41="","",'Pon-Bat'!C35/7/($T$2-(SUM($C$9:C41))))</f>
        <v/>
      </c>
      <c r="G41" s="209"/>
      <c r="H41" s="443"/>
      <c r="I41" s="443"/>
      <c r="J41" s="470" t="str">
        <f>IF(G41="","",'Pon-Bat'!I35/7/($T$3-(SUM($G$9:G41))))</f>
        <v/>
      </c>
      <c r="K41" s="209"/>
      <c r="L41" s="443"/>
      <c r="M41" s="443"/>
      <c r="N41" s="470" t="str">
        <f>IF(K41="","",'Pon-Bat'!O35/7/($W$2-(SUM($K$9:K41))))</f>
        <v/>
      </c>
      <c r="O41" s="209"/>
      <c r="P41" s="443"/>
      <c r="Q41" s="443"/>
      <c r="R41" s="470" t="str">
        <f>IF(O41="","",'Pon-Bat'!U35/7/($W$3-(SUM($O$9:O41))))</f>
        <v/>
      </c>
      <c r="S41" s="209"/>
      <c r="T41" s="443"/>
      <c r="U41" s="443"/>
      <c r="V41" s="470" t="str">
        <f>IF(S41="","",'Pon-Bat'!AA35/7/($Z$2-(SUM($S$9:S41))))</f>
        <v/>
      </c>
      <c r="W41" s="209"/>
      <c r="X41" s="443"/>
      <c r="Y41" s="443"/>
      <c r="Z41" s="470" t="str">
        <f>IF(W41="","",'Pon-Bat'!AG35/7/($Z$3-(SUM($W$9:W41))))</f>
        <v/>
      </c>
      <c r="AA41" s="209"/>
      <c r="AB41" s="443"/>
      <c r="AC41" s="443"/>
      <c r="AD41" s="470" t="str">
        <f>IF(AA41="","",'Pon-Bat'!AM35/7/($AC$2-(SUM($AA$9:AA41))))</f>
        <v/>
      </c>
      <c r="AE41" s="209"/>
      <c r="AF41" s="443"/>
      <c r="AG41" s="443"/>
      <c r="AH41" s="470" t="str">
        <f>IF(AE41="","",'Pon-Bat'!AS35/7/($AC$3-(SUM($AE$9:AE41))))</f>
        <v/>
      </c>
      <c r="AI41" s="209"/>
      <c r="AJ41" s="443"/>
      <c r="AK41" s="443"/>
      <c r="AL41" s="470" t="str">
        <f>IF(AI41="","",'Pon-Bat'!AY35/7/($AF$2-(SUM($AI$9:AI41))))</f>
        <v/>
      </c>
      <c r="AM41" s="393" t="str">
        <f t="shared" si="2"/>
        <v/>
      </c>
      <c r="AN41" s="405" t="str">
        <f t="shared" si="3"/>
        <v/>
      </c>
      <c r="AO41" s="583" t="str">
        <f t="shared" si="4"/>
        <v/>
      </c>
      <c r="AP41" s="209"/>
      <c r="AQ41" s="443"/>
      <c r="AR41" s="443"/>
      <c r="AS41" s="209"/>
      <c r="AT41" s="443"/>
      <c r="AU41" s="443"/>
      <c r="AV41" s="209"/>
      <c r="AW41" s="443"/>
      <c r="AX41" s="443"/>
      <c r="AY41" s="209"/>
      <c r="AZ41" s="443"/>
      <c r="BA41" s="443"/>
      <c r="BB41" s="209"/>
      <c r="BC41" s="443"/>
      <c r="BD41" s="443"/>
      <c r="BE41" s="209"/>
      <c r="BF41" s="443"/>
      <c r="BG41" s="443"/>
      <c r="BH41" s="209"/>
      <c r="BI41" s="443"/>
      <c r="BJ41" s="443"/>
      <c r="BK41" s="209"/>
      <c r="BL41" s="443"/>
      <c r="BM41" s="443"/>
      <c r="BN41" s="209"/>
      <c r="BO41" s="443"/>
      <c r="BP41" s="443"/>
      <c r="BQ41" s="209"/>
      <c r="BR41" s="443"/>
      <c r="BS41" s="443"/>
      <c r="BT41" s="392" t="str">
        <f t="shared" ref="BT41:BT61" si="10">IF(AP41="","",AP41+AS41+AV41+AY41+BB41+BE41+BH41+BK41+BN41)</f>
        <v/>
      </c>
      <c r="BU41" s="383" t="str">
        <f t="shared" si="5"/>
        <v/>
      </c>
      <c r="BV41" s="383" t="str">
        <f t="shared" si="6"/>
        <v/>
      </c>
    </row>
    <row r="42" spans="1:74" ht="24" customHeight="1" x14ac:dyDescent="0.2">
      <c r="A42" s="453">
        <f t="shared" si="8"/>
        <v>43607</v>
      </c>
      <c r="B42" s="442">
        <f t="shared" si="9"/>
        <v>51</v>
      </c>
      <c r="C42" s="209"/>
      <c r="D42" s="443"/>
      <c r="E42" s="443"/>
      <c r="F42" s="579" t="str">
        <f>IF(C42="","",'Pon-Bat'!C36/7/($T$2-(SUM($C$9:C42))))</f>
        <v/>
      </c>
      <c r="G42" s="209"/>
      <c r="H42" s="443"/>
      <c r="I42" s="443"/>
      <c r="J42" s="470" t="str">
        <f>IF(G42="","",'Pon-Bat'!I36/7/($T$3-(SUM($G$9:G42))))</f>
        <v/>
      </c>
      <c r="K42" s="209"/>
      <c r="L42" s="443"/>
      <c r="M42" s="443"/>
      <c r="N42" s="470" t="str">
        <f>IF(K42="","",'Pon-Bat'!O36/7/($W$2-(SUM($K$9:K42))))</f>
        <v/>
      </c>
      <c r="O42" s="209"/>
      <c r="P42" s="443"/>
      <c r="Q42" s="443"/>
      <c r="R42" s="470" t="str">
        <f>IF(O42="","",'Pon-Bat'!U36/7/($W$3-(SUM($O$9:O42))))</f>
        <v/>
      </c>
      <c r="S42" s="209"/>
      <c r="T42" s="443"/>
      <c r="U42" s="443"/>
      <c r="V42" s="470" t="str">
        <f>IF(S42="","",'Pon-Bat'!AA36/7/($Z$2-(SUM($S$9:S42))))</f>
        <v/>
      </c>
      <c r="W42" s="209"/>
      <c r="X42" s="443"/>
      <c r="Y42" s="443"/>
      <c r="Z42" s="470" t="str">
        <f>IF(W42="","",'Pon-Bat'!AG36/7/($Z$3-(SUM($W$9:W42))))</f>
        <v/>
      </c>
      <c r="AA42" s="209"/>
      <c r="AB42" s="443"/>
      <c r="AC42" s="443"/>
      <c r="AD42" s="470" t="str">
        <f>IF(AA42="","",'Pon-Bat'!AM36/7/($AC$2-(SUM($AA$9:AA42))))</f>
        <v/>
      </c>
      <c r="AE42" s="209"/>
      <c r="AF42" s="443"/>
      <c r="AG42" s="443"/>
      <c r="AH42" s="470" t="str">
        <f>IF(AE42="","",'Pon-Bat'!AS36/7/($AC$3-(SUM($AE$9:AE42))))</f>
        <v/>
      </c>
      <c r="AI42" s="209"/>
      <c r="AJ42" s="443"/>
      <c r="AK42" s="443"/>
      <c r="AL42" s="470" t="str">
        <f>IF(AI42="","",'Pon-Bat'!AY36/7/($AF$2-(SUM($AI$9:AI42))))</f>
        <v/>
      </c>
      <c r="AM42" s="393" t="str">
        <f t="shared" si="2"/>
        <v/>
      </c>
      <c r="AN42" s="405" t="str">
        <f t="shared" si="3"/>
        <v/>
      </c>
      <c r="AO42" s="583" t="str">
        <f t="shared" si="4"/>
        <v/>
      </c>
      <c r="AP42" s="209"/>
      <c r="AQ42" s="443"/>
      <c r="AR42" s="443"/>
      <c r="AS42" s="209"/>
      <c r="AT42" s="443"/>
      <c r="AU42" s="443"/>
      <c r="AV42" s="209"/>
      <c r="AW42" s="443"/>
      <c r="AX42" s="443"/>
      <c r="AY42" s="209"/>
      <c r="AZ42" s="443"/>
      <c r="BA42" s="443"/>
      <c r="BB42" s="209"/>
      <c r="BC42" s="443"/>
      <c r="BD42" s="443"/>
      <c r="BE42" s="209"/>
      <c r="BF42" s="443"/>
      <c r="BG42" s="443"/>
      <c r="BH42" s="209"/>
      <c r="BI42" s="443"/>
      <c r="BJ42" s="443"/>
      <c r="BK42" s="209"/>
      <c r="BL42" s="443"/>
      <c r="BM42" s="443"/>
      <c r="BN42" s="209"/>
      <c r="BO42" s="443"/>
      <c r="BP42" s="443"/>
      <c r="BQ42" s="209"/>
      <c r="BR42" s="443"/>
      <c r="BS42" s="443"/>
      <c r="BT42" s="392" t="str">
        <f t="shared" si="10"/>
        <v/>
      </c>
      <c r="BU42" s="383" t="str">
        <f t="shared" si="5"/>
        <v/>
      </c>
      <c r="BV42" s="383" t="str">
        <f t="shared" si="6"/>
        <v/>
      </c>
    </row>
    <row r="43" spans="1:74" ht="24" customHeight="1" x14ac:dyDescent="0.2">
      <c r="A43" s="453">
        <f t="shared" si="8"/>
        <v>43614</v>
      </c>
      <c r="B43" s="442">
        <f t="shared" si="9"/>
        <v>52</v>
      </c>
      <c r="C43" s="209"/>
      <c r="D43" s="443"/>
      <c r="E43" s="443"/>
      <c r="F43" s="579" t="str">
        <f>IF(C43="","",'Pon-Bat'!C37/7/($T$2-(SUM($C$9:C43))))</f>
        <v/>
      </c>
      <c r="G43" s="209"/>
      <c r="H43" s="443"/>
      <c r="I43" s="443"/>
      <c r="J43" s="470" t="str">
        <f>IF(G43="","",'Pon-Bat'!I37/7/($T$3-(SUM($G$9:G43))))</f>
        <v/>
      </c>
      <c r="K43" s="209"/>
      <c r="L43" s="443"/>
      <c r="M43" s="443"/>
      <c r="N43" s="470" t="str">
        <f>IF(K43="","",'Pon-Bat'!O37/7/($W$2-(SUM($K$9:K43))))</f>
        <v/>
      </c>
      <c r="O43" s="209"/>
      <c r="P43" s="443"/>
      <c r="Q43" s="443"/>
      <c r="R43" s="470" t="str">
        <f>IF(O43="","",'Pon-Bat'!U37/7/($W$3-(SUM($O$9:O43))))</f>
        <v/>
      </c>
      <c r="S43" s="209"/>
      <c r="T43" s="443"/>
      <c r="U43" s="443"/>
      <c r="V43" s="470" t="str">
        <f>IF(S43="","",'Pon-Bat'!AA37/7/($Z$2-(SUM($S$9:S43))))</f>
        <v/>
      </c>
      <c r="W43" s="209"/>
      <c r="X43" s="443"/>
      <c r="Y43" s="443"/>
      <c r="Z43" s="470" t="str">
        <f>IF(W43="","",'Pon-Bat'!AG37/7/($Z$3-(SUM($W$9:W43))))</f>
        <v/>
      </c>
      <c r="AA43" s="209"/>
      <c r="AB43" s="443"/>
      <c r="AC43" s="443"/>
      <c r="AD43" s="470" t="str">
        <f>IF(AA43="","",'Pon-Bat'!AM37/7/($AC$2-(SUM($AA$9:AA43))))</f>
        <v/>
      </c>
      <c r="AE43" s="209"/>
      <c r="AF43" s="443"/>
      <c r="AG43" s="443"/>
      <c r="AH43" s="470" t="str">
        <f>IF(AE43="","",'Pon-Bat'!AS37/7/($AC$3-(SUM($AE$9:AE43))))</f>
        <v/>
      </c>
      <c r="AI43" s="209"/>
      <c r="AJ43" s="443"/>
      <c r="AK43" s="443"/>
      <c r="AL43" s="470" t="str">
        <f>IF(AI43="","",'Pon-Bat'!AY37/7/($AF$2-(SUM($AI$9:AI43))))</f>
        <v/>
      </c>
      <c r="AM43" s="393" t="str">
        <f t="shared" si="2"/>
        <v/>
      </c>
      <c r="AN43" s="405" t="str">
        <f t="shared" si="3"/>
        <v/>
      </c>
      <c r="AO43" s="583" t="str">
        <f t="shared" si="4"/>
        <v/>
      </c>
      <c r="AP43" s="209"/>
      <c r="AQ43" s="443"/>
      <c r="AR43" s="443"/>
      <c r="AS43" s="209"/>
      <c r="AT43" s="443"/>
      <c r="AU43" s="443"/>
      <c r="AV43" s="209"/>
      <c r="AW43" s="443"/>
      <c r="AX43" s="443"/>
      <c r="AY43" s="209"/>
      <c r="AZ43" s="443"/>
      <c r="BA43" s="443"/>
      <c r="BB43" s="209"/>
      <c r="BC43" s="443"/>
      <c r="BD43" s="443"/>
      <c r="BE43" s="209"/>
      <c r="BF43" s="443"/>
      <c r="BG43" s="443"/>
      <c r="BH43" s="209"/>
      <c r="BI43" s="443"/>
      <c r="BJ43" s="443"/>
      <c r="BK43" s="209"/>
      <c r="BL43" s="443"/>
      <c r="BM43" s="443"/>
      <c r="BN43" s="209"/>
      <c r="BO43" s="443"/>
      <c r="BP43" s="443"/>
      <c r="BQ43" s="209"/>
      <c r="BR43" s="443"/>
      <c r="BS43" s="443"/>
      <c r="BT43" s="392" t="str">
        <f t="shared" si="10"/>
        <v/>
      </c>
      <c r="BU43" s="383" t="str">
        <f t="shared" si="5"/>
        <v/>
      </c>
      <c r="BV43" s="383" t="str">
        <f t="shared" si="6"/>
        <v/>
      </c>
    </row>
    <row r="44" spans="1:74" ht="24" customHeight="1" x14ac:dyDescent="0.2">
      <c r="A44" s="453">
        <f t="shared" si="8"/>
        <v>43621</v>
      </c>
      <c r="B44" s="442">
        <f t="shared" si="9"/>
        <v>53</v>
      </c>
      <c r="C44" s="209"/>
      <c r="D44" s="443"/>
      <c r="E44" s="443"/>
      <c r="F44" s="579" t="str">
        <f>IF(C44="","",'Pon-Bat'!C38/7/($T$2-(SUM($C$9:C44))))</f>
        <v/>
      </c>
      <c r="G44" s="209"/>
      <c r="H44" s="443"/>
      <c r="I44" s="443"/>
      <c r="J44" s="470" t="str">
        <f>IF(G44="","",'Pon-Bat'!I38/7/($T$3-(SUM($G$9:G44))))</f>
        <v/>
      </c>
      <c r="K44" s="209"/>
      <c r="L44" s="443"/>
      <c r="M44" s="443"/>
      <c r="N44" s="470" t="str">
        <f>IF(K44="","",'Pon-Bat'!O38/7/($W$2-(SUM($K$9:K44))))</f>
        <v/>
      </c>
      <c r="O44" s="209"/>
      <c r="P44" s="443"/>
      <c r="Q44" s="443"/>
      <c r="R44" s="470" t="str">
        <f>IF(O44="","",'Pon-Bat'!U38/7/($W$3-(SUM($O$9:O44))))</f>
        <v/>
      </c>
      <c r="S44" s="209"/>
      <c r="T44" s="443"/>
      <c r="U44" s="443"/>
      <c r="V44" s="470" t="str">
        <f>IF(S44="","",'Pon-Bat'!AA38/7/($Z$2-(SUM($S$9:S44))))</f>
        <v/>
      </c>
      <c r="W44" s="209"/>
      <c r="X44" s="443"/>
      <c r="Y44" s="443"/>
      <c r="Z44" s="470" t="str">
        <f>IF(W44="","",'Pon-Bat'!AG38/7/($Z$3-(SUM($W$9:W44))))</f>
        <v/>
      </c>
      <c r="AA44" s="209"/>
      <c r="AB44" s="443"/>
      <c r="AC44" s="443"/>
      <c r="AD44" s="470" t="str">
        <f>IF(AA44="","",'Pon-Bat'!AM38/7/($AC$2-(SUM($AA$9:AA44))))</f>
        <v/>
      </c>
      <c r="AE44" s="209"/>
      <c r="AF44" s="443"/>
      <c r="AG44" s="443"/>
      <c r="AH44" s="470" t="str">
        <f>IF(AE44="","",'Pon-Bat'!AS38/7/($AC$3-(SUM($AE$9:AE44))))</f>
        <v/>
      </c>
      <c r="AI44" s="209"/>
      <c r="AJ44" s="443"/>
      <c r="AK44" s="443"/>
      <c r="AL44" s="470" t="str">
        <f>IF(AI44="","",'Pon-Bat'!AY38/7/($AF$2-(SUM($AI$9:AI44))))</f>
        <v/>
      </c>
      <c r="AM44" s="393" t="str">
        <f t="shared" si="2"/>
        <v/>
      </c>
      <c r="AN44" s="405" t="str">
        <f t="shared" si="3"/>
        <v/>
      </c>
      <c r="AO44" s="583" t="str">
        <f t="shared" si="4"/>
        <v/>
      </c>
      <c r="AP44" s="209"/>
      <c r="AQ44" s="443"/>
      <c r="AR44" s="443"/>
      <c r="AS44" s="209"/>
      <c r="AT44" s="443"/>
      <c r="AU44" s="443"/>
      <c r="AV44" s="209"/>
      <c r="AW44" s="443"/>
      <c r="AX44" s="443"/>
      <c r="AY44" s="209"/>
      <c r="AZ44" s="443"/>
      <c r="BA44" s="443"/>
      <c r="BB44" s="209"/>
      <c r="BC44" s="443"/>
      <c r="BD44" s="443"/>
      <c r="BE44" s="209"/>
      <c r="BF44" s="443"/>
      <c r="BG44" s="443"/>
      <c r="BH44" s="209"/>
      <c r="BI44" s="443"/>
      <c r="BJ44" s="443"/>
      <c r="BK44" s="209"/>
      <c r="BL44" s="443"/>
      <c r="BM44" s="443"/>
      <c r="BN44" s="209"/>
      <c r="BO44" s="443"/>
      <c r="BP44" s="443"/>
      <c r="BQ44" s="209"/>
      <c r="BR44" s="443"/>
      <c r="BS44" s="443"/>
      <c r="BT44" s="392" t="str">
        <f t="shared" si="10"/>
        <v/>
      </c>
      <c r="BU44" s="383" t="str">
        <f t="shared" si="5"/>
        <v/>
      </c>
      <c r="BV44" s="383" t="str">
        <f t="shared" si="6"/>
        <v/>
      </c>
    </row>
    <row r="45" spans="1:74" ht="24" customHeight="1" x14ac:dyDescent="0.2">
      <c r="A45" s="453">
        <f t="shared" si="8"/>
        <v>43628</v>
      </c>
      <c r="B45" s="442">
        <f t="shared" si="9"/>
        <v>54</v>
      </c>
      <c r="C45" s="209"/>
      <c r="D45" s="443"/>
      <c r="E45" s="443"/>
      <c r="F45" s="579" t="str">
        <f>IF(C45="","",'Pon-Bat'!C39/7/($T$2-(SUM($C$9:C45))))</f>
        <v/>
      </c>
      <c r="G45" s="209"/>
      <c r="H45" s="443"/>
      <c r="I45" s="443"/>
      <c r="J45" s="470" t="str">
        <f>IF(G45="","",'Pon-Bat'!I39/7/($T$3-(SUM($G$9:G45))))</f>
        <v/>
      </c>
      <c r="K45" s="209"/>
      <c r="L45" s="443"/>
      <c r="M45" s="443"/>
      <c r="N45" s="470" t="str">
        <f>IF(K45="","",'Pon-Bat'!O39/7/($W$2-(SUM($K$9:K45))))</f>
        <v/>
      </c>
      <c r="O45" s="209"/>
      <c r="P45" s="443"/>
      <c r="Q45" s="443"/>
      <c r="R45" s="470" t="str">
        <f>IF(O45="","",'Pon-Bat'!U39/7/($W$3-(SUM($O$9:O45))))</f>
        <v/>
      </c>
      <c r="S45" s="209"/>
      <c r="T45" s="443"/>
      <c r="U45" s="443"/>
      <c r="V45" s="470" t="str">
        <f>IF(S45="","",'Pon-Bat'!AA39/7/($Z$2-(SUM($S$9:S45))))</f>
        <v/>
      </c>
      <c r="W45" s="209"/>
      <c r="X45" s="443"/>
      <c r="Y45" s="443"/>
      <c r="Z45" s="470" t="str">
        <f>IF(W45="","",'Pon-Bat'!AG39/7/($Z$3-(SUM($W$9:W45))))</f>
        <v/>
      </c>
      <c r="AA45" s="209"/>
      <c r="AB45" s="443"/>
      <c r="AC45" s="443"/>
      <c r="AD45" s="470" t="str">
        <f>IF(AA45="","",'Pon-Bat'!AM39/7/($AC$2-(SUM($AA$9:AA45))))</f>
        <v/>
      </c>
      <c r="AE45" s="209"/>
      <c r="AF45" s="443"/>
      <c r="AG45" s="443"/>
      <c r="AH45" s="470" t="str">
        <f>IF(AE45="","",'Pon-Bat'!AS39/7/($AC$3-(SUM($AE$9:AE45))))</f>
        <v/>
      </c>
      <c r="AI45" s="209"/>
      <c r="AJ45" s="443"/>
      <c r="AK45" s="443"/>
      <c r="AL45" s="470" t="str">
        <f>IF(AI45="","",'Pon-Bat'!AY39/7/($AF$2-(SUM($AI$9:AI45))))</f>
        <v/>
      </c>
      <c r="AM45" s="393" t="str">
        <f t="shared" si="2"/>
        <v/>
      </c>
      <c r="AN45" s="405" t="str">
        <f t="shared" si="3"/>
        <v/>
      </c>
      <c r="AO45" s="583" t="str">
        <f t="shared" si="4"/>
        <v/>
      </c>
      <c r="AP45" s="209"/>
      <c r="AQ45" s="443"/>
      <c r="AR45" s="443"/>
      <c r="AS45" s="209"/>
      <c r="AT45" s="443"/>
      <c r="AU45" s="443"/>
      <c r="AV45" s="209"/>
      <c r="AW45" s="443"/>
      <c r="AX45" s="443"/>
      <c r="AY45" s="209"/>
      <c r="AZ45" s="443"/>
      <c r="BA45" s="443"/>
      <c r="BB45" s="209"/>
      <c r="BC45" s="443"/>
      <c r="BD45" s="443"/>
      <c r="BE45" s="209"/>
      <c r="BF45" s="443"/>
      <c r="BG45" s="443"/>
      <c r="BH45" s="209"/>
      <c r="BI45" s="443"/>
      <c r="BJ45" s="443"/>
      <c r="BK45" s="209"/>
      <c r="BL45" s="443"/>
      <c r="BM45" s="443"/>
      <c r="BN45" s="209"/>
      <c r="BO45" s="443"/>
      <c r="BP45" s="443"/>
      <c r="BQ45" s="209"/>
      <c r="BR45" s="443"/>
      <c r="BS45" s="443"/>
      <c r="BT45" s="392" t="str">
        <f t="shared" si="10"/>
        <v/>
      </c>
      <c r="BU45" s="383" t="str">
        <f t="shared" si="5"/>
        <v/>
      </c>
      <c r="BV45" s="383" t="str">
        <f t="shared" si="6"/>
        <v/>
      </c>
    </row>
    <row r="46" spans="1:74" ht="24" customHeight="1" x14ac:dyDescent="0.2">
      <c r="A46" s="453">
        <f t="shared" si="8"/>
        <v>43635</v>
      </c>
      <c r="B46" s="442">
        <f t="shared" si="9"/>
        <v>55</v>
      </c>
      <c r="C46" s="209"/>
      <c r="D46" s="443"/>
      <c r="E46" s="443"/>
      <c r="F46" s="579" t="str">
        <f>IF(C46="","",'Pon-Bat'!C40/7/($T$2-(SUM($C$9:C46))))</f>
        <v/>
      </c>
      <c r="G46" s="209"/>
      <c r="H46" s="443"/>
      <c r="I46" s="443"/>
      <c r="J46" s="470" t="str">
        <f>IF(G46="","",'Pon-Bat'!I40/7/($T$3-(SUM($G$9:G46))))</f>
        <v/>
      </c>
      <c r="K46" s="209"/>
      <c r="L46" s="443"/>
      <c r="M46" s="443"/>
      <c r="N46" s="470" t="str">
        <f>IF(K46="","",'Pon-Bat'!O40/7/($W$2-(SUM($K$9:K46))))</f>
        <v/>
      </c>
      <c r="O46" s="209"/>
      <c r="P46" s="443"/>
      <c r="Q46" s="443"/>
      <c r="R46" s="470" t="str">
        <f>IF(O46="","",'Pon-Bat'!U40/7/($W$3-(SUM($O$9:O46))))</f>
        <v/>
      </c>
      <c r="S46" s="209"/>
      <c r="T46" s="443"/>
      <c r="U46" s="443"/>
      <c r="V46" s="470" t="str">
        <f>IF(S46="","",'Pon-Bat'!AA40/7/($Z$2-(SUM($S$9:S46))))</f>
        <v/>
      </c>
      <c r="W46" s="209"/>
      <c r="X46" s="443"/>
      <c r="Y46" s="443"/>
      <c r="Z46" s="470" t="str">
        <f>IF(W46="","",'Pon-Bat'!AG40/7/($Z$3-(SUM($W$9:W46))))</f>
        <v/>
      </c>
      <c r="AA46" s="209"/>
      <c r="AB46" s="443"/>
      <c r="AC46" s="443"/>
      <c r="AD46" s="470" t="str">
        <f>IF(AA46="","",'Pon-Bat'!AM40/7/($AC$2-(SUM($AA$9:AA46))))</f>
        <v/>
      </c>
      <c r="AE46" s="209"/>
      <c r="AF46" s="443"/>
      <c r="AG46" s="443"/>
      <c r="AH46" s="470" t="str">
        <f>IF(AE46="","",'Pon-Bat'!AS40/7/($AC$3-(SUM($AE$9:AE46))))</f>
        <v/>
      </c>
      <c r="AI46" s="209"/>
      <c r="AJ46" s="443"/>
      <c r="AK46" s="443"/>
      <c r="AL46" s="470" t="str">
        <f>IF(AI46="","",'Pon-Bat'!AY40/7/($AF$2-(SUM($AI$9:AI46))))</f>
        <v/>
      </c>
      <c r="AM46" s="393" t="str">
        <f t="shared" si="2"/>
        <v/>
      </c>
      <c r="AN46" s="405" t="str">
        <f t="shared" si="3"/>
        <v/>
      </c>
      <c r="AO46" s="583" t="str">
        <f t="shared" si="4"/>
        <v/>
      </c>
      <c r="AP46" s="209"/>
      <c r="AQ46" s="443"/>
      <c r="AR46" s="443"/>
      <c r="AS46" s="209"/>
      <c r="AT46" s="443"/>
      <c r="AU46" s="443"/>
      <c r="AV46" s="209"/>
      <c r="AW46" s="443"/>
      <c r="AX46" s="443"/>
      <c r="AY46" s="209"/>
      <c r="AZ46" s="443"/>
      <c r="BA46" s="443"/>
      <c r="BB46" s="209"/>
      <c r="BC46" s="443"/>
      <c r="BD46" s="443"/>
      <c r="BE46" s="209"/>
      <c r="BF46" s="443"/>
      <c r="BG46" s="443"/>
      <c r="BH46" s="209"/>
      <c r="BI46" s="443"/>
      <c r="BJ46" s="443"/>
      <c r="BK46" s="209"/>
      <c r="BL46" s="443"/>
      <c r="BM46" s="443"/>
      <c r="BN46" s="209"/>
      <c r="BO46" s="443"/>
      <c r="BP46" s="443"/>
      <c r="BQ46" s="209"/>
      <c r="BR46" s="443"/>
      <c r="BS46" s="443"/>
      <c r="BT46" s="392" t="str">
        <f t="shared" si="10"/>
        <v/>
      </c>
      <c r="BU46" s="383" t="str">
        <f t="shared" si="5"/>
        <v/>
      </c>
      <c r="BV46" s="383" t="str">
        <f t="shared" si="6"/>
        <v/>
      </c>
    </row>
    <row r="47" spans="1:74" ht="24" customHeight="1" x14ac:dyDescent="0.2">
      <c r="A47" s="453">
        <f t="shared" si="8"/>
        <v>43642</v>
      </c>
      <c r="B47" s="442">
        <f t="shared" si="9"/>
        <v>56</v>
      </c>
      <c r="C47" s="209"/>
      <c r="D47" s="443"/>
      <c r="E47" s="443"/>
      <c r="F47" s="579" t="str">
        <f>IF(C47="","",'Pon-Bat'!C41/7/($T$2-(SUM($C$9:C47))))</f>
        <v/>
      </c>
      <c r="G47" s="209"/>
      <c r="H47" s="443"/>
      <c r="I47" s="443"/>
      <c r="J47" s="470" t="str">
        <f>IF(G47="","",'Pon-Bat'!I41/7/($T$3-(SUM($G$9:G47))))</f>
        <v/>
      </c>
      <c r="K47" s="209"/>
      <c r="L47" s="443"/>
      <c r="M47" s="443"/>
      <c r="N47" s="470" t="str">
        <f>IF(K47="","",'Pon-Bat'!O41/7/($W$2-(SUM($K$9:K47))))</f>
        <v/>
      </c>
      <c r="O47" s="209"/>
      <c r="P47" s="443"/>
      <c r="Q47" s="443"/>
      <c r="R47" s="470" t="str">
        <f>IF(O47="","",'Pon-Bat'!U41/7/($W$3-(SUM($O$9:O47))))</f>
        <v/>
      </c>
      <c r="S47" s="209"/>
      <c r="T47" s="443"/>
      <c r="U47" s="443"/>
      <c r="V47" s="470" t="str">
        <f>IF(S47="","",'Pon-Bat'!AA41/7/($Z$2-(SUM($S$9:S47))))</f>
        <v/>
      </c>
      <c r="W47" s="209"/>
      <c r="X47" s="443"/>
      <c r="Y47" s="443"/>
      <c r="Z47" s="470" t="str">
        <f>IF(W47="","",'Pon-Bat'!AG41/7/($Z$3-(SUM($W$9:W47))))</f>
        <v/>
      </c>
      <c r="AA47" s="209"/>
      <c r="AB47" s="443"/>
      <c r="AC47" s="443"/>
      <c r="AD47" s="470" t="str">
        <f>IF(AA47="","",'Pon-Bat'!AM41/7/($AC$2-(SUM($AA$9:AA47))))</f>
        <v/>
      </c>
      <c r="AE47" s="209"/>
      <c r="AF47" s="443"/>
      <c r="AG47" s="443"/>
      <c r="AH47" s="470" t="str">
        <f>IF(AE47="","",'Pon-Bat'!AS41/7/($AC$3-(SUM($AE$9:AE47))))</f>
        <v/>
      </c>
      <c r="AI47" s="209"/>
      <c r="AJ47" s="443"/>
      <c r="AK47" s="443"/>
      <c r="AL47" s="470" t="str">
        <f>IF(AI47="","",'Pon-Bat'!AY41/7/($AF$2-(SUM($AI$9:AI47))))</f>
        <v/>
      </c>
      <c r="AM47" s="393" t="str">
        <f t="shared" si="2"/>
        <v/>
      </c>
      <c r="AN47" s="405" t="str">
        <f t="shared" si="3"/>
        <v/>
      </c>
      <c r="AO47" s="583" t="str">
        <f t="shared" si="4"/>
        <v/>
      </c>
      <c r="AP47" s="209"/>
      <c r="AQ47" s="443"/>
      <c r="AR47" s="443"/>
      <c r="AS47" s="209"/>
      <c r="AT47" s="443"/>
      <c r="AU47" s="443"/>
      <c r="AV47" s="209"/>
      <c r="AW47" s="443"/>
      <c r="AX47" s="443"/>
      <c r="AY47" s="209"/>
      <c r="AZ47" s="443"/>
      <c r="BA47" s="443"/>
      <c r="BB47" s="209"/>
      <c r="BC47" s="443"/>
      <c r="BD47" s="443"/>
      <c r="BE47" s="209"/>
      <c r="BF47" s="443"/>
      <c r="BG47" s="443"/>
      <c r="BH47" s="209"/>
      <c r="BI47" s="443"/>
      <c r="BJ47" s="443"/>
      <c r="BK47" s="209"/>
      <c r="BL47" s="443"/>
      <c r="BM47" s="443"/>
      <c r="BN47" s="209"/>
      <c r="BO47" s="443"/>
      <c r="BP47" s="443"/>
      <c r="BQ47" s="209"/>
      <c r="BR47" s="443"/>
      <c r="BS47" s="443"/>
      <c r="BT47" s="392" t="str">
        <f t="shared" si="10"/>
        <v/>
      </c>
      <c r="BU47" s="383" t="str">
        <f t="shared" si="5"/>
        <v/>
      </c>
      <c r="BV47" s="383" t="str">
        <f t="shared" si="6"/>
        <v/>
      </c>
    </row>
    <row r="48" spans="1:74" ht="24" customHeight="1" x14ac:dyDescent="0.2">
      <c r="A48" s="453">
        <f t="shared" si="8"/>
        <v>43649</v>
      </c>
      <c r="B48" s="442">
        <f t="shared" si="9"/>
        <v>57</v>
      </c>
      <c r="C48" s="209"/>
      <c r="D48" s="443"/>
      <c r="E48" s="443"/>
      <c r="F48" s="579" t="str">
        <f>IF(C48="","",'Pon-Bat'!C42/7/($T$2-(SUM($C$9:C48))))</f>
        <v/>
      </c>
      <c r="G48" s="209"/>
      <c r="H48" s="443"/>
      <c r="I48" s="443"/>
      <c r="J48" s="470" t="str">
        <f>IF(G48="","",'Pon-Bat'!I42/7/($T$3-(SUM($G$9:G48))))</f>
        <v/>
      </c>
      <c r="K48" s="209"/>
      <c r="L48" s="443"/>
      <c r="M48" s="443"/>
      <c r="N48" s="470" t="str">
        <f>IF(K48="","",'Pon-Bat'!O42/7/($W$2-(SUM($K$9:K48))))</f>
        <v/>
      </c>
      <c r="O48" s="209"/>
      <c r="P48" s="443"/>
      <c r="Q48" s="443"/>
      <c r="R48" s="470" t="str">
        <f>IF(O48="","",'Pon-Bat'!U42/7/($W$3-(SUM($O$9:O48))))</f>
        <v/>
      </c>
      <c r="S48" s="209"/>
      <c r="T48" s="443"/>
      <c r="U48" s="443"/>
      <c r="V48" s="470" t="str">
        <f>IF(S48="","",'Pon-Bat'!AA42/7/($Z$2-(SUM($S$9:S48))))</f>
        <v/>
      </c>
      <c r="W48" s="209"/>
      <c r="X48" s="443"/>
      <c r="Y48" s="443"/>
      <c r="Z48" s="470" t="str">
        <f>IF(W48="","",'Pon-Bat'!AG42/7/($Z$3-(SUM($W$9:W48))))</f>
        <v/>
      </c>
      <c r="AA48" s="209"/>
      <c r="AB48" s="443"/>
      <c r="AC48" s="443"/>
      <c r="AD48" s="470" t="str">
        <f>IF(AA48="","",'Pon-Bat'!AM42/7/($AC$2-(SUM($AA$9:AA48))))</f>
        <v/>
      </c>
      <c r="AE48" s="209"/>
      <c r="AF48" s="443"/>
      <c r="AG48" s="443"/>
      <c r="AH48" s="470" t="str">
        <f>IF(AE48="","",'Pon-Bat'!AS42/7/($AC$3-(SUM($AE$9:AE48))))</f>
        <v/>
      </c>
      <c r="AI48" s="209"/>
      <c r="AJ48" s="443"/>
      <c r="AK48" s="443"/>
      <c r="AL48" s="470" t="str">
        <f>IF(AI48="","",'Pon-Bat'!AY42/7/($AF$2-(SUM($AI$9:AI48))))</f>
        <v/>
      </c>
      <c r="AM48" s="393" t="str">
        <f t="shared" si="2"/>
        <v/>
      </c>
      <c r="AN48" s="405" t="str">
        <f t="shared" si="3"/>
        <v/>
      </c>
      <c r="AO48" s="583" t="str">
        <f t="shared" si="4"/>
        <v/>
      </c>
      <c r="AP48" s="209"/>
      <c r="AQ48" s="443"/>
      <c r="AR48" s="443"/>
      <c r="AS48" s="209"/>
      <c r="AT48" s="443"/>
      <c r="AU48" s="443"/>
      <c r="AV48" s="209"/>
      <c r="AW48" s="443"/>
      <c r="AX48" s="443"/>
      <c r="AY48" s="209"/>
      <c r="AZ48" s="443"/>
      <c r="BA48" s="443"/>
      <c r="BB48" s="209"/>
      <c r="BC48" s="443"/>
      <c r="BD48" s="443"/>
      <c r="BE48" s="209"/>
      <c r="BF48" s="443"/>
      <c r="BG48" s="443"/>
      <c r="BH48" s="209"/>
      <c r="BI48" s="443"/>
      <c r="BJ48" s="443"/>
      <c r="BK48" s="209"/>
      <c r="BL48" s="443"/>
      <c r="BM48" s="443"/>
      <c r="BN48" s="209"/>
      <c r="BO48" s="443"/>
      <c r="BP48" s="443"/>
      <c r="BQ48" s="209"/>
      <c r="BR48" s="443"/>
      <c r="BS48" s="443"/>
      <c r="BT48" s="392" t="str">
        <f t="shared" si="10"/>
        <v/>
      </c>
      <c r="BU48" s="383" t="str">
        <f t="shared" si="5"/>
        <v/>
      </c>
      <c r="BV48" s="383" t="str">
        <f t="shared" si="6"/>
        <v/>
      </c>
    </row>
    <row r="49" spans="1:74" ht="24" customHeight="1" x14ac:dyDescent="0.2">
      <c r="A49" s="453">
        <f t="shared" si="8"/>
        <v>43656</v>
      </c>
      <c r="B49" s="442">
        <f t="shared" si="9"/>
        <v>58</v>
      </c>
      <c r="C49" s="209"/>
      <c r="D49" s="443"/>
      <c r="E49" s="443"/>
      <c r="F49" s="579" t="str">
        <f>IF(C49="","",'Pon-Bat'!C43/7/($T$2-(SUM($C$9:C49))))</f>
        <v/>
      </c>
      <c r="G49" s="209"/>
      <c r="H49" s="443"/>
      <c r="I49" s="443"/>
      <c r="J49" s="470" t="str">
        <f>IF(G49="","",'Pon-Bat'!I43/7/($T$3-(SUM($G$9:G49))))</f>
        <v/>
      </c>
      <c r="K49" s="209"/>
      <c r="L49" s="443"/>
      <c r="M49" s="443"/>
      <c r="N49" s="470" t="str">
        <f>IF(K49="","",'Pon-Bat'!O43/7/($W$2-(SUM($K$9:K49))))</f>
        <v/>
      </c>
      <c r="O49" s="209"/>
      <c r="P49" s="443"/>
      <c r="Q49" s="443"/>
      <c r="R49" s="470" t="str">
        <f>IF(O49="","",'Pon-Bat'!U43/7/($W$3-(SUM($O$9:O49))))</f>
        <v/>
      </c>
      <c r="S49" s="209"/>
      <c r="T49" s="443"/>
      <c r="U49" s="443"/>
      <c r="V49" s="470" t="str">
        <f>IF(S49="","",'Pon-Bat'!AA43/7/($Z$2-(SUM($S$9:S49))))</f>
        <v/>
      </c>
      <c r="W49" s="209"/>
      <c r="X49" s="443"/>
      <c r="Y49" s="443"/>
      <c r="Z49" s="470" t="str">
        <f>IF(W49="","",'Pon-Bat'!AG43/7/($Z$3-(SUM($W$9:W49))))</f>
        <v/>
      </c>
      <c r="AA49" s="209"/>
      <c r="AB49" s="443"/>
      <c r="AC49" s="443"/>
      <c r="AD49" s="470" t="str">
        <f>IF(AA49="","",'Pon-Bat'!AM43/7/($AC$2-(SUM($AA$9:AA49))))</f>
        <v/>
      </c>
      <c r="AE49" s="209"/>
      <c r="AF49" s="443"/>
      <c r="AG49" s="443"/>
      <c r="AH49" s="470" t="str">
        <f>IF(AE49="","",'Pon-Bat'!AS43/7/($AC$3-(SUM($AE$9:AE49))))</f>
        <v/>
      </c>
      <c r="AI49" s="209"/>
      <c r="AJ49" s="443"/>
      <c r="AK49" s="443"/>
      <c r="AL49" s="470" t="str">
        <f>IF(AI49="","",'Pon-Bat'!AY43/7/($AF$2-(SUM($AI$9:AI49))))</f>
        <v/>
      </c>
      <c r="AM49" s="393" t="str">
        <f t="shared" si="2"/>
        <v/>
      </c>
      <c r="AN49" s="405" t="str">
        <f t="shared" si="3"/>
        <v/>
      </c>
      <c r="AO49" s="583" t="str">
        <f t="shared" si="4"/>
        <v/>
      </c>
      <c r="AP49" s="209"/>
      <c r="AQ49" s="443"/>
      <c r="AR49" s="443"/>
      <c r="AS49" s="209"/>
      <c r="AT49" s="443"/>
      <c r="AU49" s="443"/>
      <c r="AV49" s="209"/>
      <c r="AW49" s="443"/>
      <c r="AX49" s="443"/>
      <c r="AY49" s="209"/>
      <c r="AZ49" s="443"/>
      <c r="BA49" s="443"/>
      <c r="BB49" s="209"/>
      <c r="BC49" s="443"/>
      <c r="BD49" s="443"/>
      <c r="BE49" s="209"/>
      <c r="BF49" s="443"/>
      <c r="BG49" s="443"/>
      <c r="BH49" s="209"/>
      <c r="BI49" s="443"/>
      <c r="BJ49" s="443"/>
      <c r="BK49" s="209"/>
      <c r="BL49" s="443"/>
      <c r="BM49" s="443"/>
      <c r="BN49" s="209"/>
      <c r="BO49" s="443"/>
      <c r="BP49" s="443"/>
      <c r="BQ49" s="209"/>
      <c r="BR49" s="443"/>
      <c r="BS49" s="443"/>
      <c r="BT49" s="392" t="str">
        <f t="shared" si="10"/>
        <v/>
      </c>
      <c r="BU49" s="383" t="str">
        <f t="shared" si="5"/>
        <v/>
      </c>
      <c r="BV49" s="383" t="str">
        <f t="shared" si="6"/>
        <v/>
      </c>
    </row>
    <row r="50" spans="1:74" ht="24" customHeight="1" x14ac:dyDescent="0.2">
      <c r="A50" s="453">
        <f t="shared" si="8"/>
        <v>43663</v>
      </c>
      <c r="B50" s="442">
        <f t="shared" si="9"/>
        <v>59</v>
      </c>
      <c r="C50" s="209"/>
      <c r="D50" s="443"/>
      <c r="E50" s="443"/>
      <c r="F50" s="579" t="str">
        <f>IF(C50="","",'Pon-Bat'!C44/7/($T$2-(SUM($C$9:C50))))</f>
        <v/>
      </c>
      <c r="G50" s="209"/>
      <c r="H50" s="443"/>
      <c r="I50" s="443"/>
      <c r="J50" s="470" t="str">
        <f>IF(G50="","",'Pon-Bat'!I44/7/($T$3-(SUM($G$9:G50))))</f>
        <v/>
      </c>
      <c r="K50" s="209"/>
      <c r="L50" s="443"/>
      <c r="M50" s="443"/>
      <c r="N50" s="470" t="str">
        <f>IF(K50="","",'Pon-Bat'!O44/7/($W$2-(SUM($K$9:K50))))</f>
        <v/>
      </c>
      <c r="O50" s="209"/>
      <c r="P50" s="443"/>
      <c r="Q50" s="443"/>
      <c r="R50" s="470" t="str">
        <f>IF(O50="","",'Pon-Bat'!U44/7/($W$3-(SUM($O$9:O50))))</f>
        <v/>
      </c>
      <c r="S50" s="209"/>
      <c r="T50" s="443"/>
      <c r="U50" s="443"/>
      <c r="V50" s="470" t="str">
        <f>IF(S50="","",'Pon-Bat'!AA44/7/($Z$2-(SUM($S$9:S50))))</f>
        <v/>
      </c>
      <c r="W50" s="209"/>
      <c r="X50" s="443"/>
      <c r="Y50" s="443"/>
      <c r="Z50" s="470" t="str">
        <f>IF(W50="","",'Pon-Bat'!AG44/7/($Z$3-(SUM($W$9:W50))))</f>
        <v/>
      </c>
      <c r="AA50" s="209"/>
      <c r="AB50" s="443"/>
      <c r="AC50" s="443"/>
      <c r="AD50" s="470" t="str">
        <f>IF(AA50="","",'Pon-Bat'!AM44/7/($AC$2-(SUM($AA$9:AA50))))</f>
        <v/>
      </c>
      <c r="AE50" s="209"/>
      <c r="AF50" s="443"/>
      <c r="AG50" s="443"/>
      <c r="AH50" s="470" t="str">
        <f>IF(AE50="","",'Pon-Bat'!AS44/7/($AC$3-(SUM($AE$9:AE50))))</f>
        <v/>
      </c>
      <c r="AI50" s="209"/>
      <c r="AJ50" s="443"/>
      <c r="AK50" s="443"/>
      <c r="AL50" s="470" t="str">
        <f>IF(AI50="","",'Pon-Bat'!AY44/7/($AF$2-(SUM($AI$9:AI50))))</f>
        <v/>
      </c>
      <c r="AM50" s="393" t="str">
        <f t="shared" si="2"/>
        <v/>
      </c>
      <c r="AN50" s="405" t="str">
        <f t="shared" si="3"/>
        <v/>
      </c>
      <c r="AO50" s="583" t="str">
        <f t="shared" si="4"/>
        <v/>
      </c>
      <c r="AP50" s="209"/>
      <c r="AQ50" s="443"/>
      <c r="AR50" s="443"/>
      <c r="AS50" s="209"/>
      <c r="AT50" s="443"/>
      <c r="AU50" s="443"/>
      <c r="AV50" s="209"/>
      <c r="AW50" s="443"/>
      <c r="AX50" s="443"/>
      <c r="AY50" s="209"/>
      <c r="AZ50" s="443"/>
      <c r="BA50" s="443"/>
      <c r="BB50" s="209"/>
      <c r="BC50" s="443"/>
      <c r="BD50" s="443"/>
      <c r="BE50" s="209"/>
      <c r="BF50" s="443"/>
      <c r="BG50" s="443"/>
      <c r="BH50" s="209"/>
      <c r="BI50" s="443"/>
      <c r="BJ50" s="443"/>
      <c r="BK50" s="209"/>
      <c r="BL50" s="443"/>
      <c r="BM50" s="443"/>
      <c r="BN50" s="209"/>
      <c r="BO50" s="443"/>
      <c r="BP50" s="443"/>
      <c r="BQ50" s="209"/>
      <c r="BR50" s="443"/>
      <c r="BS50" s="443"/>
      <c r="BT50" s="392" t="str">
        <f t="shared" si="10"/>
        <v/>
      </c>
      <c r="BU50" s="383" t="str">
        <f t="shared" si="5"/>
        <v/>
      </c>
      <c r="BV50" s="383" t="str">
        <f t="shared" si="6"/>
        <v/>
      </c>
    </row>
    <row r="51" spans="1:74" ht="24" customHeight="1" x14ac:dyDescent="0.2">
      <c r="A51" s="453">
        <f t="shared" si="8"/>
        <v>43670</v>
      </c>
      <c r="B51" s="442">
        <f t="shared" si="9"/>
        <v>60</v>
      </c>
      <c r="C51" s="209"/>
      <c r="D51" s="443"/>
      <c r="E51" s="443"/>
      <c r="F51" s="579" t="str">
        <f>IF(C51="","",'Pon-Bat'!C45/7/($T$2-(SUM($C$9:C51))))</f>
        <v/>
      </c>
      <c r="G51" s="209"/>
      <c r="H51" s="443"/>
      <c r="I51" s="443"/>
      <c r="J51" s="470" t="str">
        <f>IF(G51="","",'Pon-Bat'!I45/7/($T$3-(SUM($G$9:G51))))</f>
        <v/>
      </c>
      <c r="K51" s="209"/>
      <c r="L51" s="443"/>
      <c r="M51" s="443"/>
      <c r="N51" s="470" t="str">
        <f>IF(K51="","",'Pon-Bat'!O45/7/($W$2-(SUM($K$9:K51))))</f>
        <v/>
      </c>
      <c r="O51" s="209"/>
      <c r="P51" s="443"/>
      <c r="Q51" s="443"/>
      <c r="R51" s="470" t="str">
        <f>IF(O51="","",'Pon-Bat'!U45/7/($W$3-(SUM($O$9:O51))))</f>
        <v/>
      </c>
      <c r="S51" s="209"/>
      <c r="T51" s="443"/>
      <c r="U51" s="443"/>
      <c r="V51" s="470" t="str">
        <f>IF(S51="","",'Pon-Bat'!AA45/7/($Z$2-(SUM($S$9:S51))))</f>
        <v/>
      </c>
      <c r="W51" s="209"/>
      <c r="X51" s="443"/>
      <c r="Y51" s="443"/>
      <c r="Z51" s="470" t="str">
        <f>IF(W51="","",'Pon-Bat'!AG45/7/($Z$3-(SUM($W$9:W51))))</f>
        <v/>
      </c>
      <c r="AA51" s="209"/>
      <c r="AB51" s="443"/>
      <c r="AC51" s="443"/>
      <c r="AD51" s="470" t="str">
        <f>IF(AA51="","",'Pon-Bat'!AM45/7/($AC$2-(SUM($AA$9:AA51))))</f>
        <v/>
      </c>
      <c r="AE51" s="209"/>
      <c r="AF51" s="443"/>
      <c r="AG51" s="443"/>
      <c r="AH51" s="470" t="str">
        <f>IF(AE51="","",'Pon-Bat'!AS45/7/($AC$3-(SUM($AE$9:AE51))))</f>
        <v/>
      </c>
      <c r="AI51" s="209"/>
      <c r="AJ51" s="443"/>
      <c r="AK51" s="443"/>
      <c r="AL51" s="470" t="str">
        <f>IF(AI51="","",'Pon-Bat'!AY45/7/($AF$2-(SUM($AI$9:AI51))))</f>
        <v/>
      </c>
      <c r="AM51" s="393" t="str">
        <f t="shared" si="2"/>
        <v/>
      </c>
      <c r="AN51" s="405" t="str">
        <f t="shared" si="3"/>
        <v/>
      </c>
      <c r="AO51" s="583" t="str">
        <f t="shared" si="4"/>
        <v/>
      </c>
      <c r="AP51" s="209"/>
      <c r="AQ51" s="443"/>
      <c r="AR51" s="443"/>
      <c r="AS51" s="209"/>
      <c r="AT51" s="443"/>
      <c r="AU51" s="443"/>
      <c r="AV51" s="209"/>
      <c r="AW51" s="443"/>
      <c r="AX51" s="443"/>
      <c r="AY51" s="209"/>
      <c r="AZ51" s="443"/>
      <c r="BA51" s="443"/>
      <c r="BB51" s="209"/>
      <c r="BC51" s="443"/>
      <c r="BD51" s="443"/>
      <c r="BE51" s="209"/>
      <c r="BF51" s="443"/>
      <c r="BG51" s="443"/>
      <c r="BH51" s="209"/>
      <c r="BI51" s="443"/>
      <c r="BJ51" s="443"/>
      <c r="BK51" s="209"/>
      <c r="BL51" s="443"/>
      <c r="BM51" s="443"/>
      <c r="BN51" s="209"/>
      <c r="BO51" s="443"/>
      <c r="BP51" s="443"/>
      <c r="BQ51" s="209"/>
      <c r="BR51" s="443"/>
      <c r="BS51" s="443"/>
      <c r="BT51" s="392" t="str">
        <f t="shared" si="10"/>
        <v/>
      </c>
      <c r="BU51" s="383" t="str">
        <f t="shared" si="5"/>
        <v/>
      </c>
      <c r="BV51" s="383" t="str">
        <f t="shared" si="6"/>
        <v/>
      </c>
    </row>
    <row r="52" spans="1:74" ht="24" customHeight="1" x14ac:dyDescent="0.2">
      <c r="A52" s="453">
        <f t="shared" si="8"/>
        <v>43677</v>
      </c>
      <c r="B52" s="442">
        <f t="shared" si="9"/>
        <v>61</v>
      </c>
      <c r="C52" s="209"/>
      <c r="D52" s="443"/>
      <c r="E52" s="443"/>
      <c r="F52" s="579" t="str">
        <f>IF(C52="","",'Pon-Bat'!C46/7/($T$2-(SUM($C$9:C52))))</f>
        <v/>
      </c>
      <c r="G52" s="209"/>
      <c r="H52" s="443"/>
      <c r="I52" s="443"/>
      <c r="J52" s="470" t="str">
        <f>IF(G52="","",'Pon-Bat'!I46/7/($T$3-(SUM($G$9:G52))))</f>
        <v/>
      </c>
      <c r="K52" s="209"/>
      <c r="L52" s="443"/>
      <c r="M52" s="443"/>
      <c r="N52" s="470" t="str">
        <f>IF(K52="","",'Pon-Bat'!O46/7/($W$2-(SUM($K$9:K52))))</f>
        <v/>
      </c>
      <c r="O52" s="209"/>
      <c r="P52" s="443"/>
      <c r="Q52" s="443"/>
      <c r="R52" s="470" t="str">
        <f>IF(O52="","",'Pon-Bat'!U46/7/($W$3-(SUM($O$9:O52))))</f>
        <v/>
      </c>
      <c r="S52" s="209"/>
      <c r="T52" s="443"/>
      <c r="U52" s="443"/>
      <c r="V52" s="470" t="str">
        <f>IF(S52="","",'Pon-Bat'!AA46/7/($Z$2-(SUM($S$9:S52))))</f>
        <v/>
      </c>
      <c r="W52" s="209"/>
      <c r="X52" s="443"/>
      <c r="Y52" s="443"/>
      <c r="Z52" s="470" t="str">
        <f>IF(W52="","",'Pon-Bat'!AG46/7/($Z$3-(SUM($W$9:W52))))</f>
        <v/>
      </c>
      <c r="AA52" s="209"/>
      <c r="AB52" s="443"/>
      <c r="AC52" s="443"/>
      <c r="AD52" s="470" t="str">
        <f>IF(AA52="","",'Pon-Bat'!AM46/7/($AC$2-(SUM($AA$9:AA52))))</f>
        <v/>
      </c>
      <c r="AE52" s="209"/>
      <c r="AF52" s="443"/>
      <c r="AG52" s="443"/>
      <c r="AH52" s="470" t="str">
        <f>IF(AE52="","",'Pon-Bat'!AS46/7/($AC$3-(SUM($AE$9:AE52))))</f>
        <v/>
      </c>
      <c r="AI52" s="209"/>
      <c r="AJ52" s="443"/>
      <c r="AK52" s="443"/>
      <c r="AL52" s="470" t="str">
        <f>IF(AI52="","",'Pon-Bat'!AY46/7/($AF$2-(SUM($AI$9:AI52))))</f>
        <v/>
      </c>
      <c r="AM52" s="393" t="str">
        <f t="shared" si="2"/>
        <v/>
      </c>
      <c r="AN52" s="405" t="str">
        <f t="shared" si="3"/>
        <v/>
      </c>
      <c r="AO52" s="583" t="str">
        <f t="shared" si="4"/>
        <v/>
      </c>
      <c r="AP52" s="209"/>
      <c r="AQ52" s="443"/>
      <c r="AR52" s="443"/>
      <c r="AS52" s="209"/>
      <c r="AT52" s="443"/>
      <c r="AU52" s="443"/>
      <c r="AV52" s="209"/>
      <c r="AW52" s="443"/>
      <c r="AX52" s="443"/>
      <c r="AY52" s="209"/>
      <c r="AZ52" s="443"/>
      <c r="BA52" s="443"/>
      <c r="BB52" s="209"/>
      <c r="BC52" s="443"/>
      <c r="BD52" s="443"/>
      <c r="BE52" s="209"/>
      <c r="BF52" s="443"/>
      <c r="BG52" s="443"/>
      <c r="BH52" s="209"/>
      <c r="BI52" s="443"/>
      <c r="BJ52" s="443"/>
      <c r="BK52" s="209"/>
      <c r="BL52" s="443"/>
      <c r="BM52" s="443"/>
      <c r="BN52" s="209"/>
      <c r="BO52" s="443"/>
      <c r="BP52" s="443"/>
      <c r="BQ52" s="209"/>
      <c r="BR52" s="443"/>
      <c r="BS52" s="443"/>
      <c r="BT52" s="392" t="str">
        <f t="shared" si="10"/>
        <v/>
      </c>
      <c r="BU52" s="383" t="str">
        <f t="shared" si="5"/>
        <v/>
      </c>
      <c r="BV52" s="383" t="str">
        <f t="shared" si="6"/>
        <v/>
      </c>
    </row>
    <row r="53" spans="1:74" ht="24" customHeight="1" x14ac:dyDescent="0.2">
      <c r="A53" s="453">
        <f t="shared" si="8"/>
        <v>43684</v>
      </c>
      <c r="B53" s="442">
        <f t="shared" si="9"/>
        <v>62</v>
      </c>
      <c r="C53" s="209"/>
      <c r="D53" s="443"/>
      <c r="E53" s="443"/>
      <c r="F53" s="579" t="str">
        <f>IF(C53="","",'Pon-Bat'!C47/7/($T$2-(SUM($C$9:C53))))</f>
        <v/>
      </c>
      <c r="G53" s="209"/>
      <c r="H53" s="443"/>
      <c r="I53" s="443"/>
      <c r="J53" s="470" t="str">
        <f>IF(G53="","",'Pon-Bat'!I47/7/($T$3-(SUM($G$9:G53))))</f>
        <v/>
      </c>
      <c r="K53" s="209"/>
      <c r="L53" s="443"/>
      <c r="M53" s="443"/>
      <c r="N53" s="470" t="str">
        <f>IF(K53="","",'Pon-Bat'!O47/7/($W$2-(SUM($K$9:K53))))</f>
        <v/>
      </c>
      <c r="O53" s="209"/>
      <c r="P53" s="443"/>
      <c r="Q53" s="443"/>
      <c r="R53" s="470" t="str">
        <f>IF(O53="","",'Pon-Bat'!U47/7/($W$3-(SUM($O$9:O53))))</f>
        <v/>
      </c>
      <c r="S53" s="209"/>
      <c r="T53" s="443"/>
      <c r="U53" s="443"/>
      <c r="V53" s="470" t="str">
        <f>IF(S53="","",'Pon-Bat'!AA47/7/($Z$2-(SUM($S$9:S53))))</f>
        <v/>
      </c>
      <c r="W53" s="209"/>
      <c r="X53" s="443"/>
      <c r="Y53" s="443"/>
      <c r="Z53" s="470" t="str">
        <f>IF(W53="","",'Pon-Bat'!AG47/7/($Z$3-(SUM($W$9:W53))))</f>
        <v/>
      </c>
      <c r="AA53" s="209"/>
      <c r="AB53" s="443"/>
      <c r="AC53" s="443"/>
      <c r="AD53" s="470" t="str">
        <f>IF(AA53="","",'Pon-Bat'!AM47/7/($AC$2-(SUM($AA$9:AA53))))</f>
        <v/>
      </c>
      <c r="AE53" s="209"/>
      <c r="AF53" s="443"/>
      <c r="AG53" s="443"/>
      <c r="AH53" s="470" t="str">
        <f>IF(AE53="","",'Pon-Bat'!AS47/7/($AC$3-(SUM($AE$9:AE53))))</f>
        <v/>
      </c>
      <c r="AI53" s="209"/>
      <c r="AJ53" s="443"/>
      <c r="AK53" s="443"/>
      <c r="AL53" s="470" t="str">
        <f>IF(AI53="","",'Pon-Bat'!AY47/7/($AF$2-(SUM($AI$9:AI53))))</f>
        <v/>
      </c>
      <c r="AM53" s="393" t="str">
        <f t="shared" si="2"/>
        <v/>
      </c>
      <c r="AN53" s="405" t="str">
        <f t="shared" si="3"/>
        <v/>
      </c>
      <c r="AO53" s="583" t="str">
        <f t="shared" si="4"/>
        <v/>
      </c>
      <c r="AP53" s="209"/>
      <c r="AQ53" s="443"/>
      <c r="AR53" s="443"/>
      <c r="AS53" s="209"/>
      <c r="AT53" s="443"/>
      <c r="AU53" s="443"/>
      <c r="AV53" s="209"/>
      <c r="AW53" s="443"/>
      <c r="AX53" s="443"/>
      <c r="AY53" s="209"/>
      <c r="AZ53" s="443"/>
      <c r="BA53" s="443"/>
      <c r="BB53" s="209"/>
      <c r="BC53" s="443"/>
      <c r="BD53" s="443"/>
      <c r="BE53" s="209"/>
      <c r="BF53" s="443"/>
      <c r="BG53" s="443"/>
      <c r="BH53" s="209"/>
      <c r="BI53" s="443"/>
      <c r="BJ53" s="443"/>
      <c r="BK53" s="209"/>
      <c r="BL53" s="443"/>
      <c r="BM53" s="443"/>
      <c r="BN53" s="209"/>
      <c r="BO53" s="443"/>
      <c r="BP53" s="443"/>
      <c r="BQ53" s="209"/>
      <c r="BR53" s="443"/>
      <c r="BS53" s="443"/>
      <c r="BT53" s="392" t="str">
        <f t="shared" si="10"/>
        <v/>
      </c>
      <c r="BU53" s="383" t="str">
        <f t="shared" si="5"/>
        <v/>
      </c>
      <c r="BV53" s="383" t="str">
        <f t="shared" si="6"/>
        <v/>
      </c>
    </row>
    <row r="54" spans="1:74" ht="24" customHeight="1" x14ac:dyDescent="0.2">
      <c r="A54" s="453">
        <f t="shared" si="8"/>
        <v>43691</v>
      </c>
      <c r="B54" s="442">
        <f t="shared" si="9"/>
        <v>63</v>
      </c>
      <c r="C54" s="209"/>
      <c r="D54" s="443"/>
      <c r="E54" s="443"/>
      <c r="F54" s="579" t="str">
        <f>IF(C54="","",'Pon-Bat'!C48/7/($T$2-(SUM($C$9:C54))))</f>
        <v/>
      </c>
      <c r="G54" s="209"/>
      <c r="H54" s="443"/>
      <c r="I54" s="443"/>
      <c r="J54" s="470" t="str">
        <f>IF(G54="","",'Pon-Bat'!I48/7/($T$3-(SUM($G$9:G54))))</f>
        <v/>
      </c>
      <c r="K54" s="209"/>
      <c r="L54" s="443"/>
      <c r="M54" s="443"/>
      <c r="N54" s="470" t="str">
        <f>IF(K54="","",'Pon-Bat'!O48/7/($W$2-(SUM($K$9:K54))))</f>
        <v/>
      </c>
      <c r="O54" s="209"/>
      <c r="P54" s="443"/>
      <c r="Q54" s="443"/>
      <c r="R54" s="470" t="str">
        <f>IF(O54="","",'Pon-Bat'!U48/7/($W$3-(SUM($O$9:O54))))</f>
        <v/>
      </c>
      <c r="S54" s="209"/>
      <c r="T54" s="443"/>
      <c r="U54" s="443"/>
      <c r="V54" s="470" t="str">
        <f>IF(S54="","",'Pon-Bat'!AA48/7/($Z$2-(SUM($S$9:S54))))</f>
        <v/>
      </c>
      <c r="W54" s="209"/>
      <c r="X54" s="443"/>
      <c r="Y54" s="443"/>
      <c r="Z54" s="470" t="str">
        <f>IF(W54="","",'Pon-Bat'!AG48/7/($Z$3-(SUM($W$9:W54))))</f>
        <v/>
      </c>
      <c r="AA54" s="209"/>
      <c r="AB54" s="443"/>
      <c r="AC54" s="443"/>
      <c r="AD54" s="470" t="str">
        <f>IF(AA54="","",'Pon-Bat'!AM48/7/($AC$2-(SUM($AA$9:AA54))))</f>
        <v/>
      </c>
      <c r="AE54" s="209"/>
      <c r="AF54" s="443"/>
      <c r="AG54" s="443"/>
      <c r="AH54" s="470" t="str">
        <f>IF(AE54="","",'Pon-Bat'!AS48/7/($AC$3-(SUM($AE$9:AE54))))</f>
        <v/>
      </c>
      <c r="AI54" s="209"/>
      <c r="AJ54" s="443"/>
      <c r="AK54" s="443"/>
      <c r="AL54" s="470" t="str">
        <f>IF(AI54="","",'Pon-Bat'!AY48/7/($AF$2-(SUM($AI$9:AI54))))</f>
        <v/>
      </c>
      <c r="AM54" s="393" t="str">
        <f t="shared" si="2"/>
        <v/>
      </c>
      <c r="AN54" s="405" t="str">
        <f t="shared" si="3"/>
        <v/>
      </c>
      <c r="AO54" s="583" t="str">
        <f t="shared" si="4"/>
        <v/>
      </c>
      <c r="AP54" s="209"/>
      <c r="AQ54" s="443"/>
      <c r="AR54" s="443"/>
      <c r="AS54" s="209"/>
      <c r="AT54" s="443"/>
      <c r="AU54" s="443"/>
      <c r="AV54" s="209"/>
      <c r="AW54" s="443"/>
      <c r="AX54" s="443"/>
      <c r="AY54" s="209"/>
      <c r="AZ54" s="443"/>
      <c r="BA54" s="443"/>
      <c r="BB54" s="209"/>
      <c r="BC54" s="443"/>
      <c r="BD54" s="443"/>
      <c r="BE54" s="209"/>
      <c r="BF54" s="443"/>
      <c r="BG54" s="443"/>
      <c r="BH54" s="209"/>
      <c r="BI54" s="443"/>
      <c r="BJ54" s="443"/>
      <c r="BK54" s="209"/>
      <c r="BL54" s="443"/>
      <c r="BM54" s="443"/>
      <c r="BN54" s="209"/>
      <c r="BO54" s="443"/>
      <c r="BP54" s="443"/>
      <c r="BQ54" s="209"/>
      <c r="BR54" s="443"/>
      <c r="BS54" s="443"/>
      <c r="BT54" s="392" t="str">
        <f t="shared" si="10"/>
        <v/>
      </c>
      <c r="BU54" s="383" t="str">
        <f t="shared" si="5"/>
        <v/>
      </c>
      <c r="BV54" s="383" t="str">
        <f t="shared" si="6"/>
        <v/>
      </c>
    </row>
    <row r="55" spans="1:74" ht="24" customHeight="1" x14ac:dyDescent="0.2">
      <c r="A55" s="453">
        <f t="shared" si="8"/>
        <v>43698</v>
      </c>
      <c r="B55" s="442">
        <f t="shared" si="9"/>
        <v>64</v>
      </c>
      <c r="C55" s="209"/>
      <c r="D55" s="443"/>
      <c r="E55" s="443"/>
      <c r="F55" s="579" t="str">
        <f>IF(C55="","",'Pon-Bat'!C49/7/($T$2-(SUM($C$9:C55))))</f>
        <v/>
      </c>
      <c r="G55" s="209"/>
      <c r="H55" s="443"/>
      <c r="I55" s="443"/>
      <c r="J55" s="470" t="str">
        <f>IF(G55="","",'Pon-Bat'!I49/7/($T$3-(SUM($G$9:G55))))</f>
        <v/>
      </c>
      <c r="K55" s="209"/>
      <c r="L55" s="443"/>
      <c r="M55" s="443"/>
      <c r="N55" s="470" t="str">
        <f>IF(K55="","",'Pon-Bat'!O49/7/($W$2-(SUM($K$9:K55))))</f>
        <v/>
      </c>
      <c r="O55" s="209"/>
      <c r="P55" s="443"/>
      <c r="Q55" s="443"/>
      <c r="R55" s="470" t="str">
        <f>IF(O55="","",'Pon-Bat'!U49/7/($W$3-(SUM($O$9:O55))))</f>
        <v/>
      </c>
      <c r="S55" s="209"/>
      <c r="T55" s="443"/>
      <c r="U55" s="443"/>
      <c r="V55" s="470" t="str">
        <f>IF(S55="","",'Pon-Bat'!AA49/7/($Z$2-(SUM($S$9:S55))))</f>
        <v/>
      </c>
      <c r="W55" s="209"/>
      <c r="X55" s="443"/>
      <c r="Y55" s="443"/>
      <c r="Z55" s="470" t="str">
        <f>IF(W55="","",'Pon-Bat'!AG49/7/($Z$3-(SUM($W$9:W55))))</f>
        <v/>
      </c>
      <c r="AA55" s="209"/>
      <c r="AB55" s="443"/>
      <c r="AC55" s="443"/>
      <c r="AD55" s="470" t="str">
        <f>IF(AA55="","",'Pon-Bat'!AM49/7/($AC$2-(SUM($AA$9:AA55))))</f>
        <v/>
      </c>
      <c r="AE55" s="209"/>
      <c r="AF55" s="443"/>
      <c r="AG55" s="443"/>
      <c r="AH55" s="470" t="str">
        <f>IF(AE55="","",'Pon-Bat'!AS49/7/($AC$3-(SUM($AE$9:AE55))))</f>
        <v/>
      </c>
      <c r="AI55" s="209"/>
      <c r="AJ55" s="443"/>
      <c r="AK55" s="443"/>
      <c r="AL55" s="470" t="str">
        <f>IF(AI55="","",'Pon-Bat'!AY49/7/($AF$2-(SUM($AI$9:AI55))))</f>
        <v/>
      </c>
      <c r="AM55" s="393" t="str">
        <f t="shared" si="2"/>
        <v/>
      </c>
      <c r="AN55" s="405" t="str">
        <f t="shared" si="3"/>
        <v/>
      </c>
      <c r="AO55" s="583" t="str">
        <f t="shared" si="4"/>
        <v/>
      </c>
      <c r="AP55" s="209"/>
      <c r="AQ55" s="443"/>
      <c r="AR55" s="443"/>
      <c r="AS55" s="209"/>
      <c r="AT55" s="443"/>
      <c r="AU55" s="443"/>
      <c r="AV55" s="209"/>
      <c r="AW55" s="443"/>
      <c r="AX55" s="443"/>
      <c r="AY55" s="209"/>
      <c r="AZ55" s="443"/>
      <c r="BA55" s="443"/>
      <c r="BB55" s="209"/>
      <c r="BC55" s="443"/>
      <c r="BD55" s="443"/>
      <c r="BE55" s="209"/>
      <c r="BF55" s="443"/>
      <c r="BG55" s="443"/>
      <c r="BH55" s="209"/>
      <c r="BI55" s="443"/>
      <c r="BJ55" s="443"/>
      <c r="BK55" s="209"/>
      <c r="BL55" s="443"/>
      <c r="BM55" s="443"/>
      <c r="BN55" s="209"/>
      <c r="BO55" s="443"/>
      <c r="BP55" s="443"/>
      <c r="BQ55" s="209"/>
      <c r="BR55" s="443"/>
      <c r="BS55" s="443"/>
      <c r="BT55" s="392" t="str">
        <f t="shared" si="10"/>
        <v/>
      </c>
      <c r="BU55" s="383" t="str">
        <f t="shared" si="5"/>
        <v/>
      </c>
      <c r="BV55" s="383" t="str">
        <f t="shared" si="6"/>
        <v/>
      </c>
    </row>
    <row r="56" spans="1:74" ht="24" customHeight="1" x14ac:dyDescent="0.2">
      <c r="A56" s="453">
        <f t="shared" si="8"/>
        <v>43705</v>
      </c>
      <c r="B56" s="442">
        <f t="shared" si="9"/>
        <v>65</v>
      </c>
      <c r="C56" s="209"/>
      <c r="D56" s="443"/>
      <c r="E56" s="443"/>
      <c r="F56" s="579" t="str">
        <f>IF(C56="","",'Pon-Bat'!C50/7/($T$2-(SUM($C$9:C56))))</f>
        <v/>
      </c>
      <c r="G56" s="209"/>
      <c r="H56" s="443"/>
      <c r="I56" s="443"/>
      <c r="J56" s="470" t="str">
        <f>IF(G56="","",'Pon-Bat'!I50/7/($T$3-(SUM($G$9:G56))))</f>
        <v/>
      </c>
      <c r="K56" s="209"/>
      <c r="L56" s="443"/>
      <c r="M56" s="443"/>
      <c r="N56" s="470" t="str">
        <f>IF(K56="","",'Pon-Bat'!O50/7/($W$2-(SUM($K$9:K56))))</f>
        <v/>
      </c>
      <c r="O56" s="209"/>
      <c r="P56" s="443"/>
      <c r="Q56" s="443"/>
      <c r="R56" s="470" t="str">
        <f>IF(O56="","",'Pon-Bat'!U50/7/($W$3-(SUM($O$9:O56))))</f>
        <v/>
      </c>
      <c r="S56" s="209"/>
      <c r="T56" s="443"/>
      <c r="U56" s="443"/>
      <c r="V56" s="470" t="str">
        <f>IF(S56="","",'Pon-Bat'!AA50/7/($Z$2-(SUM($S$9:S56))))</f>
        <v/>
      </c>
      <c r="W56" s="209"/>
      <c r="X56" s="443"/>
      <c r="Y56" s="443"/>
      <c r="Z56" s="470" t="str">
        <f>IF(W56="","",'Pon-Bat'!AG50/7/($Z$3-(SUM($W$9:W56))))</f>
        <v/>
      </c>
      <c r="AA56" s="209"/>
      <c r="AB56" s="443"/>
      <c r="AC56" s="443"/>
      <c r="AD56" s="470" t="str">
        <f>IF(AA56="","",'Pon-Bat'!AM50/7/($AC$2-(SUM($AA$9:AA56))))</f>
        <v/>
      </c>
      <c r="AE56" s="209"/>
      <c r="AF56" s="443"/>
      <c r="AG56" s="443"/>
      <c r="AH56" s="470" t="str">
        <f>IF(AE56="","",'Pon-Bat'!AS50/7/($AC$3-(SUM($AE$9:AE56))))</f>
        <v/>
      </c>
      <c r="AI56" s="209"/>
      <c r="AJ56" s="443"/>
      <c r="AK56" s="443"/>
      <c r="AL56" s="470" t="str">
        <f>IF(AI56="","",'Pon-Bat'!AY50/7/($AF$2-(SUM($AI$9:AI56))))</f>
        <v/>
      </c>
      <c r="AM56" s="393" t="str">
        <f t="shared" si="2"/>
        <v/>
      </c>
      <c r="AN56" s="405" t="str">
        <f t="shared" si="3"/>
        <v/>
      </c>
      <c r="AO56" s="583" t="str">
        <f t="shared" si="4"/>
        <v/>
      </c>
      <c r="AP56" s="209"/>
      <c r="AQ56" s="443"/>
      <c r="AR56" s="443"/>
      <c r="AS56" s="209"/>
      <c r="AT56" s="443"/>
      <c r="AU56" s="443"/>
      <c r="AV56" s="209"/>
      <c r="AW56" s="443"/>
      <c r="AX56" s="443"/>
      <c r="AY56" s="209"/>
      <c r="AZ56" s="443"/>
      <c r="BA56" s="443"/>
      <c r="BB56" s="209"/>
      <c r="BC56" s="443"/>
      <c r="BD56" s="443"/>
      <c r="BE56" s="209"/>
      <c r="BF56" s="443"/>
      <c r="BG56" s="443"/>
      <c r="BH56" s="209"/>
      <c r="BI56" s="443"/>
      <c r="BJ56" s="443"/>
      <c r="BK56" s="209"/>
      <c r="BL56" s="443"/>
      <c r="BM56" s="443"/>
      <c r="BN56" s="209"/>
      <c r="BO56" s="443"/>
      <c r="BP56" s="443"/>
      <c r="BQ56" s="209"/>
      <c r="BR56" s="443"/>
      <c r="BS56" s="443"/>
      <c r="BT56" s="392" t="str">
        <f t="shared" si="10"/>
        <v/>
      </c>
      <c r="BU56" s="383" t="str">
        <f t="shared" si="5"/>
        <v/>
      </c>
      <c r="BV56" s="383" t="str">
        <f t="shared" si="6"/>
        <v/>
      </c>
    </row>
    <row r="57" spans="1:74" ht="24" customHeight="1" x14ac:dyDescent="0.2">
      <c r="A57" s="453">
        <f t="shared" si="8"/>
        <v>43712</v>
      </c>
      <c r="B57" s="442">
        <f t="shared" si="9"/>
        <v>66</v>
      </c>
      <c r="C57" s="209"/>
      <c r="D57" s="443"/>
      <c r="E57" s="443"/>
      <c r="F57" s="579" t="str">
        <f>IF(C57="","",'Pon-Bat'!C51/7/($T$2-(SUM($C$9:C57))))</f>
        <v/>
      </c>
      <c r="G57" s="209"/>
      <c r="H57" s="443"/>
      <c r="I57" s="443"/>
      <c r="J57" s="470" t="str">
        <f>IF(G57="","",'Pon-Bat'!I51/7/($T$3-(SUM($G$9:G57))))</f>
        <v/>
      </c>
      <c r="K57" s="209"/>
      <c r="L57" s="443"/>
      <c r="M57" s="443"/>
      <c r="N57" s="470" t="str">
        <f>IF(K57="","",'Pon-Bat'!O51/7/($W$2-(SUM($K$9:K57))))</f>
        <v/>
      </c>
      <c r="O57" s="209"/>
      <c r="P57" s="443"/>
      <c r="Q57" s="443"/>
      <c r="R57" s="470" t="str">
        <f>IF(O57="","",'Pon-Bat'!U51/7/($W$3-(SUM($O$9:O57))))</f>
        <v/>
      </c>
      <c r="S57" s="209"/>
      <c r="T57" s="443"/>
      <c r="U57" s="443"/>
      <c r="V57" s="470" t="str">
        <f>IF(S57="","",'Pon-Bat'!AA51/7/($Z$2-(SUM($S$9:S57))))</f>
        <v/>
      </c>
      <c r="W57" s="209"/>
      <c r="X57" s="443"/>
      <c r="Y57" s="443"/>
      <c r="Z57" s="470" t="str">
        <f>IF(W57="","",'Pon-Bat'!AG51/7/($Z$3-(SUM($W$9:W57))))</f>
        <v/>
      </c>
      <c r="AA57" s="209"/>
      <c r="AB57" s="443"/>
      <c r="AC57" s="443"/>
      <c r="AD57" s="470" t="str">
        <f>IF(AA57="","",'Pon-Bat'!AM51/7/($AC$2-(SUM($AA$9:AA57))))</f>
        <v/>
      </c>
      <c r="AE57" s="209"/>
      <c r="AF57" s="443"/>
      <c r="AG57" s="443"/>
      <c r="AH57" s="470" t="str">
        <f>IF(AE57="","",'Pon-Bat'!AS51/7/($AC$3-(SUM($AE$9:AE57))))</f>
        <v/>
      </c>
      <c r="AI57" s="209"/>
      <c r="AJ57" s="443"/>
      <c r="AK57" s="443"/>
      <c r="AL57" s="470" t="str">
        <f>IF(AI57="","",'Pon-Bat'!AY51/7/($AF$2-(SUM($AI$9:AI57))))</f>
        <v/>
      </c>
      <c r="AM57" s="393" t="str">
        <f t="shared" si="2"/>
        <v/>
      </c>
      <c r="AN57" s="405" t="str">
        <f t="shared" ref="AN57:AO61" si="11">IF(D57="","",(D57+H57+L57+X57+P57+T57+AB57+AF57+AJ57)/COUNT(D57+H57+L57+X57+P57+T57+AB57+AF57+AJ57))</f>
        <v/>
      </c>
      <c r="AO57" s="583" t="str">
        <f t="shared" si="11"/>
        <v/>
      </c>
      <c r="AP57" s="209"/>
      <c r="AQ57" s="443"/>
      <c r="AR57" s="443"/>
      <c r="AS57" s="209"/>
      <c r="AT57" s="443"/>
      <c r="AU57" s="443"/>
      <c r="AV57" s="209"/>
      <c r="AW57" s="443"/>
      <c r="AX57" s="443"/>
      <c r="AY57" s="209"/>
      <c r="AZ57" s="443"/>
      <c r="BA57" s="443"/>
      <c r="BB57" s="209"/>
      <c r="BC57" s="443"/>
      <c r="BD57" s="443"/>
      <c r="BE57" s="209"/>
      <c r="BF57" s="443"/>
      <c r="BG57" s="443"/>
      <c r="BH57" s="209"/>
      <c r="BI57" s="443"/>
      <c r="BJ57" s="443"/>
      <c r="BK57" s="209"/>
      <c r="BL57" s="443"/>
      <c r="BM57" s="443"/>
      <c r="BN57" s="209"/>
      <c r="BO57" s="443"/>
      <c r="BP57" s="443"/>
      <c r="BQ57" s="209"/>
      <c r="BR57" s="443"/>
      <c r="BS57" s="443"/>
      <c r="BT57" s="392" t="str">
        <f t="shared" si="10"/>
        <v/>
      </c>
      <c r="BU57" s="383" t="str">
        <f t="shared" ref="BU57:BV61" si="12">IF(AQ57="","",(AQ57+AT57+AW57+AZ57+BC57+BF57+BI57+BL57+BO57)/COUNT(AQ57+AT57+AW57+AZ57+BC57+BF57+BI57+BL57+BO57))</f>
        <v/>
      </c>
      <c r="BV57" s="383" t="str">
        <f t="shared" si="12"/>
        <v/>
      </c>
    </row>
    <row r="58" spans="1:74" ht="24" customHeight="1" x14ac:dyDescent="0.2">
      <c r="A58" s="453">
        <f t="shared" si="8"/>
        <v>43719</v>
      </c>
      <c r="B58" s="442">
        <f t="shared" si="9"/>
        <v>67</v>
      </c>
      <c r="C58" s="209"/>
      <c r="D58" s="443"/>
      <c r="E58" s="443"/>
      <c r="F58" s="579" t="str">
        <f>IF(C58="","",'Pon-Bat'!C52/7/($T$2-(SUM($C$9:C58))))</f>
        <v/>
      </c>
      <c r="G58" s="209"/>
      <c r="H58" s="443"/>
      <c r="I58" s="443"/>
      <c r="J58" s="470" t="str">
        <f>IF(G58="","",'Pon-Bat'!I52/7/($T$3-(SUM($G$9:G58))))</f>
        <v/>
      </c>
      <c r="K58" s="209"/>
      <c r="L58" s="443"/>
      <c r="M58" s="443"/>
      <c r="N58" s="470" t="str">
        <f>IF(K58="","",'Pon-Bat'!O52/7/($W$2-(SUM($K$9:K58))))</f>
        <v/>
      </c>
      <c r="O58" s="209"/>
      <c r="P58" s="443"/>
      <c r="Q58" s="443"/>
      <c r="R58" s="470" t="str">
        <f>IF(O58="","",'Pon-Bat'!U52/7/($W$3-(SUM($O$9:O58))))</f>
        <v/>
      </c>
      <c r="S58" s="209"/>
      <c r="T58" s="443"/>
      <c r="U58" s="443"/>
      <c r="V58" s="470" t="str">
        <f>IF(S58="","",'Pon-Bat'!AA52/7/($Z$2-(SUM($S$9:S58))))</f>
        <v/>
      </c>
      <c r="W58" s="209"/>
      <c r="X58" s="443"/>
      <c r="Y58" s="443"/>
      <c r="Z58" s="470" t="str">
        <f>IF(W58="","",'Pon-Bat'!AG52/7/($Z$3-(SUM($W$9:W58))))</f>
        <v/>
      </c>
      <c r="AA58" s="209"/>
      <c r="AB58" s="443"/>
      <c r="AC58" s="443"/>
      <c r="AD58" s="470" t="str">
        <f>IF(AA58="","",'Pon-Bat'!AM52/7/($AC$2-(SUM($AA$9:AA58))))</f>
        <v/>
      </c>
      <c r="AE58" s="209"/>
      <c r="AF58" s="443"/>
      <c r="AG58" s="443"/>
      <c r="AH58" s="470" t="str">
        <f>IF(AE58="","",'Pon-Bat'!AS52/7/($AC$3-(SUM($AE$9:AE58))))</f>
        <v/>
      </c>
      <c r="AI58" s="209"/>
      <c r="AJ58" s="443"/>
      <c r="AK58" s="443"/>
      <c r="AL58" s="470" t="str">
        <f>IF(AI58="","",'Pon-Bat'!AY52/7/($AF$2-(SUM($AI$9:AI58))))</f>
        <v/>
      </c>
      <c r="AM58" s="393" t="str">
        <f t="shared" si="2"/>
        <v/>
      </c>
      <c r="AN58" s="405" t="str">
        <f t="shared" si="11"/>
        <v/>
      </c>
      <c r="AO58" s="583" t="str">
        <f t="shared" si="11"/>
        <v/>
      </c>
      <c r="AP58" s="209"/>
      <c r="AQ58" s="443"/>
      <c r="AR58" s="443"/>
      <c r="AS58" s="209"/>
      <c r="AT58" s="443"/>
      <c r="AU58" s="443"/>
      <c r="AV58" s="209"/>
      <c r="AW58" s="443"/>
      <c r="AX58" s="443"/>
      <c r="AY58" s="209"/>
      <c r="AZ58" s="443"/>
      <c r="BA58" s="443"/>
      <c r="BB58" s="209"/>
      <c r="BC58" s="443"/>
      <c r="BD58" s="443"/>
      <c r="BE58" s="209"/>
      <c r="BF58" s="443"/>
      <c r="BG58" s="443"/>
      <c r="BH58" s="209"/>
      <c r="BI58" s="443"/>
      <c r="BJ58" s="443"/>
      <c r="BK58" s="209"/>
      <c r="BL58" s="443"/>
      <c r="BM58" s="443"/>
      <c r="BN58" s="209"/>
      <c r="BO58" s="443"/>
      <c r="BP58" s="443"/>
      <c r="BQ58" s="209"/>
      <c r="BR58" s="443"/>
      <c r="BS58" s="443"/>
      <c r="BT58" s="392" t="str">
        <f t="shared" si="10"/>
        <v/>
      </c>
      <c r="BU58" s="383" t="str">
        <f t="shared" si="12"/>
        <v/>
      </c>
      <c r="BV58" s="383" t="str">
        <f t="shared" si="12"/>
        <v/>
      </c>
    </row>
    <row r="59" spans="1:74" ht="24" customHeight="1" x14ac:dyDescent="0.2">
      <c r="A59" s="453">
        <f t="shared" si="8"/>
        <v>43726</v>
      </c>
      <c r="B59" s="442">
        <f t="shared" si="9"/>
        <v>68</v>
      </c>
      <c r="C59" s="209"/>
      <c r="D59" s="443"/>
      <c r="E59" s="443"/>
      <c r="F59" s="579" t="str">
        <f>IF(C59="","",'Pon-Bat'!C53/7/($T$2-(SUM($C$9:C59))))</f>
        <v/>
      </c>
      <c r="G59" s="209"/>
      <c r="H59" s="443"/>
      <c r="I59" s="443"/>
      <c r="J59" s="470" t="str">
        <f>IF(G59="","",'Pon-Bat'!I53/7/($T$3-(SUM($G$9:G59))))</f>
        <v/>
      </c>
      <c r="K59" s="209"/>
      <c r="L59" s="443"/>
      <c r="M59" s="443"/>
      <c r="N59" s="470" t="str">
        <f>IF(K59="","",'Pon-Bat'!O53/7/($W$2-(SUM($K$9:K59))))</f>
        <v/>
      </c>
      <c r="O59" s="209"/>
      <c r="P59" s="443"/>
      <c r="Q59" s="443"/>
      <c r="R59" s="470" t="str">
        <f>IF(O59="","",'Pon-Bat'!U53/7/($W$3-(SUM($O$9:O59))))</f>
        <v/>
      </c>
      <c r="S59" s="209"/>
      <c r="T59" s="443"/>
      <c r="U59" s="443"/>
      <c r="V59" s="470" t="str">
        <f>IF(S59="","",'Pon-Bat'!AA53/7/($Z$2-(SUM($S$9:S59))))</f>
        <v/>
      </c>
      <c r="W59" s="209"/>
      <c r="X59" s="443"/>
      <c r="Y59" s="443"/>
      <c r="Z59" s="470" t="str">
        <f>IF(W59="","",'Pon-Bat'!AG53/7/($Z$3-(SUM($W$9:W59))))</f>
        <v/>
      </c>
      <c r="AA59" s="209"/>
      <c r="AB59" s="443"/>
      <c r="AC59" s="443"/>
      <c r="AD59" s="470" t="str">
        <f>IF(AA59="","",'Pon-Bat'!AM53/7/($AC$2-(SUM($AA$9:AA59))))</f>
        <v/>
      </c>
      <c r="AE59" s="209"/>
      <c r="AF59" s="443"/>
      <c r="AG59" s="443"/>
      <c r="AH59" s="470" t="str">
        <f>IF(AE59="","",'Pon-Bat'!AS53/7/($AC$3-(SUM($AE$9:AE59))))</f>
        <v/>
      </c>
      <c r="AI59" s="209"/>
      <c r="AJ59" s="443"/>
      <c r="AK59" s="443"/>
      <c r="AL59" s="470" t="str">
        <f>IF(AI59="","",'Pon-Bat'!AY53/7/($AF$2-(SUM($AI$9:AI59))))</f>
        <v/>
      </c>
      <c r="AM59" s="393" t="str">
        <f t="shared" si="2"/>
        <v/>
      </c>
      <c r="AN59" s="405" t="str">
        <f t="shared" si="11"/>
        <v/>
      </c>
      <c r="AO59" s="583" t="str">
        <f t="shared" si="11"/>
        <v/>
      </c>
      <c r="AP59" s="209"/>
      <c r="AQ59" s="443"/>
      <c r="AR59" s="443"/>
      <c r="AS59" s="209"/>
      <c r="AT59" s="443"/>
      <c r="AU59" s="443"/>
      <c r="AV59" s="209"/>
      <c r="AW59" s="443"/>
      <c r="AX59" s="443"/>
      <c r="AY59" s="209"/>
      <c r="AZ59" s="443"/>
      <c r="BA59" s="443"/>
      <c r="BB59" s="209"/>
      <c r="BC59" s="443"/>
      <c r="BD59" s="443"/>
      <c r="BE59" s="209"/>
      <c r="BF59" s="443"/>
      <c r="BG59" s="443"/>
      <c r="BH59" s="209"/>
      <c r="BI59" s="443"/>
      <c r="BJ59" s="443"/>
      <c r="BK59" s="209"/>
      <c r="BL59" s="443"/>
      <c r="BM59" s="443"/>
      <c r="BN59" s="209"/>
      <c r="BO59" s="443"/>
      <c r="BP59" s="443"/>
      <c r="BQ59" s="209"/>
      <c r="BR59" s="443"/>
      <c r="BS59" s="443"/>
      <c r="BT59" s="392" t="str">
        <f t="shared" si="10"/>
        <v/>
      </c>
      <c r="BU59" s="383" t="str">
        <f t="shared" si="12"/>
        <v/>
      </c>
      <c r="BV59" s="383" t="str">
        <f t="shared" si="12"/>
        <v/>
      </c>
    </row>
    <row r="60" spans="1:74" ht="24" customHeight="1" x14ac:dyDescent="0.2">
      <c r="A60" s="453">
        <f t="shared" si="8"/>
        <v>43733</v>
      </c>
      <c r="B60" s="442">
        <f t="shared" si="9"/>
        <v>69</v>
      </c>
      <c r="C60" s="209"/>
      <c r="D60" s="443"/>
      <c r="E60" s="443"/>
      <c r="F60" s="579" t="str">
        <f>IF(C60="","",'Pon-Bat'!C54/7/($T$2-(SUM($C$9:C60))))</f>
        <v/>
      </c>
      <c r="G60" s="209"/>
      <c r="H60" s="443"/>
      <c r="I60" s="443"/>
      <c r="J60" s="470" t="str">
        <f>IF(G60="","",'Pon-Bat'!I54/7/($T$3-(SUM($G$9:G60))))</f>
        <v/>
      </c>
      <c r="K60" s="209"/>
      <c r="L60" s="443"/>
      <c r="M60" s="443"/>
      <c r="N60" s="470" t="str">
        <f>IF(K60="","",'Pon-Bat'!O54/7/($W$2-(SUM($K$9:K60))))</f>
        <v/>
      </c>
      <c r="O60" s="209"/>
      <c r="P60" s="443"/>
      <c r="Q60" s="443"/>
      <c r="R60" s="470" t="str">
        <f>IF(O60="","",'Pon-Bat'!U54/7/($W$3-(SUM($O$9:O60))))</f>
        <v/>
      </c>
      <c r="S60" s="209"/>
      <c r="T60" s="443"/>
      <c r="U60" s="443"/>
      <c r="V60" s="470" t="str">
        <f>IF(S60="","",'Pon-Bat'!AA54/7/($Z$2-(SUM($S$9:S60))))</f>
        <v/>
      </c>
      <c r="W60" s="209"/>
      <c r="X60" s="443"/>
      <c r="Y60" s="443"/>
      <c r="Z60" s="470" t="str">
        <f>IF(W60="","",'Pon-Bat'!AG54/7/($Z$3-(SUM($W$9:W60))))</f>
        <v/>
      </c>
      <c r="AA60" s="209"/>
      <c r="AB60" s="443"/>
      <c r="AC60" s="443"/>
      <c r="AD60" s="470" t="str">
        <f>IF(AA60="","",'Pon-Bat'!AM54/7/($AC$2-(SUM($AA$9:AA60))))</f>
        <v/>
      </c>
      <c r="AE60" s="209"/>
      <c r="AF60" s="443"/>
      <c r="AG60" s="443"/>
      <c r="AH60" s="470" t="str">
        <f>IF(AE60="","",'Pon-Bat'!AS54/7/($AC$3-(SUM($AE$9:AE60))))</f>
        <v/>
      </c>
      <c r="AI60" s="209"/>
      <c r="AJ60" s="443"/>
      <c r="AK60" s="443"/>
      <c r="AL60" s="470" t="str">
        <f>IF(AI60="","",'Pon-Bat'!AY54/7/($AF$2-(SUM($AI$9:AI60))))</f>
        <v/>
      </c>
      <c r="AM60" s="393" t="str">
        <f t="shared" si="2"/>
        <v/>
      </c>
      <c r="AN60" s="405" t="str">
        <f t="shared" si="11"/>
        <v/>
      </c>
      <c r="AO60" s="583" t="str">
        <f t="shared" si="11"/>
        <v/>
      </c>
      <c r="AP60" s="209"/>
      <c r="AQ60" s="443"/>
      <c r="AR60" s="443"/>
      <c r="AS60" s="209"/>
      <c r="AT60" s="443"/>
      <c r="AU60" s="443"/>
      <c r="AV60" s="209"/>
      <c r="AW60" s="443"/>
      <c r="AX60" s="443"/>
      <c r="AY60" s="209"/>
      <c r="AZ60" s="443"/>
      <c r="BA60" s="443"/>
      <c r="BB60" s="209"/>
      <c r="BC60" s="443"/>
      <c r="BD60" s="443"/>
      <c r="BE60" s="209"/>
      <c r="BF60" s="443"/>
      <c r="BG60" s="443"/>
      <c r="BH60" s="209"/>
      <c r="BI60" s="443"/>
      <c r="BJ60" s="443"/>
      <c r="BK60" s="209"/>
      <c r="BL60" s="443"/>
      <c r="BM60" s="443"/>
      <c r="BN60" s="209"/>
      <c r="BO60" s="443"/>
      <c r="BP60" s="443"/>
      <c r="BQ60" s="209"/>
      <c r="BR60" s="443"/>
      <c r="BS60" s="443"/>
      <c r="BT60" s="392" t="str">
        <f t="shared" si="10"/>
        <v/>
      </c>
      <c r="BU60" s="383" t="str">
        <f t="shared" si="12"/>
        <v/>
      </c>
      <c r="BV60" s="383" t="str">
        <f t="shared" si="12"/>
        <v/>
      </c>
    </row>
    <row r="61" spans="1:74" ht="24" customHeight="1" thickBot="1" x14ac:dyDescent="0.25">
      <c r="A61" s="454">
        <f t="shared" si="8"/>
        <v>43740</v>
      </c>
      <c r="B61" s="445">
        <f t="shared" si="9"/>
        <v>70</v>
      </c>
      <c r="C61" s="211"/>
      <c r="D61" s="446"/>
      <c r="E61" s="446"/>
      <c r="F61" s="472" t="str">
        <f>IF(C61="","",'Pon-Bat'!C55/7/($T$2-(SUM($C$9:C61))))</f>
        <v/>
      </c>
      <c r="G61" s="211"/>
      <c r="H61" s="446"/>
      <c r="I61" s="446"/>
      <c r="J61" s="472" t="str">
        <f>IF(G61="","",'Pon-Bat'!I55/7/($T$3-(SUM($G$9:G61))))</f>
        <v/>
      </c>
      <c r="K61" s="211"/>
      <c r="L61" s="446"/>
      <c r="M61" s="446"/>
      <c r="N61" s="472" t="str">
        <f>IF(K61="","",'Pon-Bat'!O55/7/($W$2-(SUM($K$9:K61))))</f>
        <v/>
      </c>
      <c r="O61" s="211"/>
      <c r="P61" s="446"/>
      <c r="Q61" s="446"/>
      <c r="R61" s="472" t="str">
        <f>IF(O61="","",'Pon-Bat'!U55/7/($W$3-(SUM($O$9:O61))))</f>
        <v/>
      </c>
      <c r="S61" s="211"/>
      <c r="T61" s="446"/>
      <c r="U61" s="446"/>
      <c r="V61" s="472" t="str">
        <f>IF(S61="","",'Pon-Bat'!AA55/7/($Z$2-(SUM($S$9:S61))))</f>
        <v/>
      </c>
      <c r="W61" s="211"/>
      <c r="X61" s="446"/>
      <c r="Y61" s="446"/>
      <c r="Z61" s="472" t="str">
        <f>IF(W61="","",'Pon-Bat'!AG55/7/($Z$3-(SUM($W$9:W61))))</f>
        <v/>
      </c>
      <c r="AA61" s="211"/>
      <c r="AB61" s="446"/>
      <c r="AC61" s="446"/>
      <c r="AD61" s="472" t="str">
        <f>IF(AA61="","",'Pon-Bat'!AM55/7/($AC$2-(SUM($AA$9:AA61))))</f>
        <v/>
      </c>
      <c r="AE61" s="211"/>
      <c r="AF61" s="446"/>
      <c r="AG61" s="446"/>
      <c r="AH61" s="472" t="str">
        <f>IF(AE61="","",'Pon-Bat'!AS55/7/($AC$3-(SUM($AE$9:AE61))))</f>
        <v/>
      </c>
      <c r="AI61" s="211"/>
      <c r="AJ61" s="446"/>
      <c r="AK61" s="446"/>
      <c r="AL61" s="472" t="str">
        <f>IF(AI61="","",'Pon-Bat'!AY55/7/($AF$2-(SUM($AI$9:AI61))))</f>
        <v/>
      </c>
      <c r="AM61" s="395" t="str">
        <f t="shared" si="2"/>
        <v/>
      </c>
      <c r="AN61" s="396" t="str">
        <f t="shared" si="11"/>
        <v/>
      </c>
      <c r="AO61" s="582" t="str">
        <f t="shared" si="11"/>
        <v/>
      </c>
      <c r="AP61" s="211"/>
      <c r="AQ61" s="446"/>
      <c r="AR61" s="446"/>
      <c r="AS61" s="211"/>
      <c r="AT61" s="446"/>
      <c r="AU61" s="446"/>
      <c r="AV61" s="211"/>
      <c r="AW61" s="446"/>
      <c r="AX61" s="446"/>
      <c r="AY61" s="211"/>
      <c r="AZ61" s="446"/>
      <c r="BA61" s="446"/>
      <c r="BB61" s="211"/>
      <c r="BC61" s="446"/>
      <c r="BD61" s="446"/>
      <c r="BE61" s="211"/>
      <c r="BF61" s="446"/>
      <c r="BG61" s="446"/>
      <c r="BH61" s="211"/>
      <c r="BI61" s="446"/>
      <c r="BJ61" s="446"/>
      <c r="BK61" s="211"/>
      <c r="BL61" s="446"/>
      <c r="BM61" s="446"/>
      <c r="BN61" s="211"/>
      <c r="BO61" s="446"/>
      <c r="BP61" s="446"/>
      <c r="BQ61" s="211"/>
      <c r="BR61" s="446"/>
      <c r="BS61" s="446"/>
      <c r="BT61" s="395" t="str">
        <f t="shared" si="10"/>
        <v/>
      </c>
      <c r="BU61" s="216" t="str">
        <f t="shared" si="12"/>
        <v/>
      </c>
      <c r="BV61" s="216" t="str">
        <f t="shared" si="12"/>
        <v/>
      </c>
    </row>
    <row r="62" spans="1:74" ht="13.5" thickTop="1" x14ac:dyDescent="0.2"/>
  </sheetData>
  <mergeCells count="32">
    <mergeCell ref="C6:D6"/>
    <mergeCell ref="P1:Q1"/>
    <mergeCell ref="P2:Q2"/>
    <mergeCell ref="P3:Q3"/>
    <mergeCell ref="C4:AO4"/>
    <mergeCell ref="C5:N5"/>
    <mergeCell ref="AI6:AJ6"/>
    <mergeCell ref="O5:AL5"/>
    <mergeCell ref="W6:X6"/>
    <mergeCell ref="AE6:AF6"/>
    <mergeCell ref="Q6:R6"/>
    <mergeCell ref="G6:H6"/>
    <mergeCell ref="K6:L6"/>
    <mergeCell ref="AM6:AO6"/>
    <mergeCell ref="O6:P6"/>
    <mergeCell ref="S6:T6"/>
    <mergeCell ref="AP4:BP4"/>
    <mergeCell ref="AS6:AT6"/>
    <mergeCell ref="BE6:BF6"/>
    <mergeCell ref="BH6:BI6"/>
    <mergeCell ref="AP5:AX5"/>
    <mergeCell ref="BB6:BC6"/>
    <mergeCell ref="AP6:AQ6"/>
    <mergeCell ref="AY5:BP5"/>
    <mergeCell ref="U6:V6"/>
    <mergeCell ref="AA6:AB6"/>
    <mergeCell ref="BT6:BV6"/>
    <mergeCell ref="BN6:BO6"/>
    <mergeCell ref="BQ6:BR6"/>
    <mergeCell ref="AV6:AW6"/>
    <mergeCell ref="AY6:AZ6"/>
    <mergeCell ref="BK6:BL6"/>
  </mergeCells>
  <phoneticPr fontId="17" type="noConversion"/>
  <printOptions horizontalCentered="1"/>
  <pageMargins left="0" right="0" top="0" bottom="0.59055118110236227" header="0" footer="0"/>
  <pageSetup paperSize="9" scale="54" orientation="portrait" horizontalDpi="360" verticalDpi="360" r:id="rId1"/>
  <headerFooter alignWithMargins="0">
    <oddFooter>&amp;L&amp;6&amp;F&amp;C&amp;8Preparado por COBB Española&amp;D&amp;R&amp;8&amp;P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3"/>
  </sheetPr>
  <dimension ref="A1:V61"/>
  <sheetViews>
    <sheetView showGridLines="0" zoomScale="75" zoomScaleNormal="6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O1" sqref="O1"/>
    </sheetView>
  </sheetViews>
  <sheetFormatPr baseColWidth="10" defaultColWidth="9.140625" defaultRowHeight="12.75" x14ac:dyDescent="0.2"/>
  <cols>
    <col min="1" max="1" width="11.28515625" customWidth="1"/>
    <col min="2" max="2" width="7" style="1" customWidth="1"/>
    <col min="3" max="16" width="11.140625" customWidth="1"/>
    <col min="17" max="17" width="1.85546875" customWidth="1"/>
    <col min="18" max="18" width="42" customWidth="1"/>
  </cols>
  <sheetData>
    <row r="1" spans="1:22" ht="24.95" customHeight="1" x14ac:dyDescent="0.25">
      <c r="A1" s="20" t="s">
        <v>125</v>
      </c>
      <c r="B1" s="21"/>
      <c r="C1" s="22"/>
      <c r="D1" s="22" t="str">
        <f>IF(LOT!$B$3="","",LOT!$B$3)</f>
        <v>CASAP-BLIDA</v>
      </c>
      <c r="E1" s="23"/>
      <c r="F1" s="21"/>
      <c r="G1" s="21"/>
      <c r="H1" s="24" t="s">
        <v>142</v>
      </c>
      <c r="I1" s="25"/>
      <c r="J1" s="21"/>
      <c r="K1" s="489">
        <f>LOT!$B$4</f>
        <v>43250</v>
      </c>
      <c r="L1" s="25"/>
      <c r="M1" s="24" t="s">
        <v>241</v>
      </c>
      <c r="N1" s="21"/>
      <c r="O1" s="488" t="str">
        <f>'Pon-Rec'!$C$13</f>
        <v/>
      </c>
      <c r="P1" s="16"/>
      <c r="Q1" s="40"/>
      <c r="R1" s="41"/>
      <c r="S1" s="40"/>
      <c r="T1" s="40"/>
    </row>
    <row r="2" spans="1:22" ht="24.95" customHeight="1" x14ac:dyDescent="0.25">
      <c r="A2" s="24" t="s">
        <v>74</v>
      </c>
      <c r="B2" s="21"/>
      <c r="C2" s="22"/>
      <c r="D2" s="22" t="str">
        <f>IF(LOT!$B$8="","",LOT!$B$8)</f>
        <v/>
      </c>
      <c r="E2" s="22"/>
      <c r="F2" s="21"/>
      <c r="G2" s="21"/>
      <c r="H2" s="24" t="s">
        <v>143</v>
      </c>
      <c r="I2" s="24"/>
      <c r="J2" s="21"/>
      <c r="K2" s="488">
        <f>IF(LOT!$B$5="","",LOT!$B$5)</f>
        <v>7872</v>
      </c>
      <c r="L2" s="25"/>
      <c r="M2" s="24" t="s">
        <v>5</v>
      </c>
      <c r="N2" s="24"/>
      <c r="O2" s="488">
        <f>IF(K2="","",K2-SUM(C8:C60)-SUM('Dem-Rec'!C8:C24))</f>
        <v>7695</v>
      </c>
      <c r="P2" s="16"/>
      <c r="Q2" s="40"/>
      <c r="R2" s="41"/>
      <c r="S2" s="41"/>
      <c r="T2" s="41"/>
    </row>
    <row r="3" spans="1:22" ht="24.95" customHeight="1" x14ac:dyDescent="0.25">
      <c r="A3" s="24" t="s">
        <v>73</v>
      </c>
      <c r="B3" s="21"/>
      <c r="C3" s="22"/>
      <c r="D3" s="22" t="str">
        <f>IF(LOT!$B$7="","",LOT!$B$7)</f>
        <v>AIN OUSSERA-ALGERIE</v>
      </c>
      <c r="E3" s="22"/>
      <c r="F3" s="21"/>
      <c r="G3" s="21"/>
      <c r="H3" s="24" t="s">
        <v>144</v>
      </c>
      <c r="I3" s="24"/>
      <c r="J3" s="22"/>
      <c r="K3" s="488">
        <f>IF(LOT!$B$6="","",LOT!$B$6)</f>
        <v>1200</v>
      </c>
      <c r="L3" s="25"/>
      <c r="M3" s="24" t="s">
        <v>6</v>
      </c>
      <c r="N3" s="24"/>
      <c r="O3" s="488">
        <f>IF(K3="","",K3-SUM($I$8:$I$60)-SUM('Dem-Rec'!$J$8:$J$24))</f>
        <v>1156</v>
      </c>
      <c r="P3" s="16"/>
      <c r="Q3" s="40"/>
      <c r="R3" s="41"/>
      <c r="S3" s="41"/>
      <c r="T3" s="41"/>
    </row>
    <row r="4" spans="1:22" ht="15" customHeight="1" thickBot="1" x14ac:dyDescent="0.25">
      <c r="O4" s="18"/>
      <c r="P4" s="18"/>
      <c r="Q4" s="18"/>
      <c r="R4" s="18"/>
    </row>
    <row r="5" spans="1:22" ht="24.95" customHeight="1" thickTop="1" thickBot="1" x14ac:dyDescent="0.3">
      <c r="C5" s="651" t="s">
        <v>138</v>
      </c>
      <c r="D5" s="652"/>
      <c r="E5" s="652"/>
      <c r="F5" s="652"/>
      <c r="G5" s="652"/>
      <c r="H5" s="653"/>
      <c r="I5" s="651" t="s">
        <v>145</v>
      </c>
      <c r="J5" s="652"/>
      <c r="K5" s="652"/>
      <c r="L5" s="652"/>
      <c r="M5" s="652"/>
      <c r="N5" s="653"/>
      <c r="Q5" s="18"/>
      <c r="R5" s="18"/>
    </row>
    <row r="6" spans="1:22" ht="24.95" customHeight="1" thickTop="1" thickBot="1" x14ac:dyDescent="0.25">
      <c r="A6" s="18"/>
      <c r="B6" s="17"/>
      <c r="C6" s="594" t="s">
        <v>140</v>
      </c>
      <c r="D6" s="595" t="s">
        <v>0</v>
      </c>
      <c r="E6" s="87" t="s">
        <v>253</v>
      </c>
      <c r="F6" s="81" t="s">
        <v>253</v>
      </c>
      <c r="G6" s="87" t="s">
        <v>132</v>
      </c>
      <c r="H6" s="84" t="s">
        <v>132</v>
      </c>
      <c r="I6" s="594" t="s">
        <v>140</v>
      </c>
      <c r="J6" s="595" t="s">
        <v>0</v>
      </c>
      <c r="K6" s="87" t="s">
        <v>253</v>
      </c>
      <c r="L6" s="81" t="s">
        <v>253</v>
      </c>
      <c r="M6" s="87" t="s">
        <v>132</v>
      </c>
      <c r="N6" s="84" t="s">
        <v>132</v>
      </c>
      <c r="O6" s="83" t="s">
        <v>254</v>
      </c>
      <c r="P6" s="84" t="s">
        <v>254</v>
      </c>
      <c r="Q6" s="17"/>
      <c r="R6" s="289"/>
      <c r="T6" t="s">
        <v>146</v>
      </c>
      <c r="U6" s="357" t="s">
        <v>147</v>
      </c>
      <c r="V6" s="1" t="s">
        <v>148</v>
      </c>
    </row>
    <row r="7" spans="1:22" ht="24.95" customHeight="1" thickTop="1" thickBot="1" x14ac:dyDescent="0.25">
      <c r="A7" s="53" t="s">
        <v>80</v>
      </c>
      <c r="B7" s="94" t="s">
        <v>79</v>
      </c>
      <c r="C7" s="95" t="s">
        <v>4</v>
      </c>
      <c r="D7" s="96" t="s">
        <v>140</v>
      </c>
      <c r="E7" s="88" t="s">
        <v>3</v>
      </c>
      <c r="F7" s="97" t="s">
        <v>133</v>
      </c>
      <c r="G7" s="88" t="s">
        <v>3</v>
      </c>
      <c r="H7" s="86" t="s">
        <v>133</v>
      </c>
      <c r="I7" s="95" t="s">
        <v>4</v>
      </c>
      <c r="J7" s="96" t="s">
        <v>140</v>
      </c>
      <c r="K7" s="88" t="s">
        <v>3</v>
      </c>
      <c r="L7" s="97" t="s">
        <v>133</v>
      </c>
      <c r="M7" s="88" t="s">
        <v>3</v>
      </c>
      <c r="N7" s="86" t="s">
        <v>133</v>
      </c>
      <c r="O7" s="85" t="s">
        <v>3</v>
      </c>
      <c r="P7" s="86" t="s">
        <v>133</v>
      </c>
      <c r="Q7" s="17"/>
      <c r="R7" s="290" t="s">
        <v>141</v>
      </c>
      <c r="T7" s="356" t="s">
        <v>149</v>
      </c>
      <c r="U7" s="356" t="s">
        <v>149</v>
      </c>
      <c r="V7" s="356" t="s">
        <v>149</v>
      </c>
    </row>
    <row r="8" spans="1:22" ht="24" customHeight="1" x14ac:dyDescent="0.2">
      <c r="A8" s="299">
        <f>+K1+126</f>
        <v>43376</v>
      </c>
      <c r="B8" s="136">
        <v>18</v>
      </c>
      <c r="C8" s="269" t="str">
        <f>IF('Dem-Rec'!C25="","",'Dem-Rec'!C25)</f>
        <v/>
      </c>
      <c r="D8" s="121" t="str">
        <f>IF(C8="","",(SUM('Dem-Rec'!$C$8:$C$24)+SUM($C$8:C8))/$K$2)</f>
        <v/>
      </c>
      <c r="E8" s="123">
        <v>94</v>
      </c>
      <c r="F8" s="271" t="str">
        <f>IF('Dem-Rec'!F25="","",'Dem-Rec'!F25)</f>
        <v/>
      </c>
      <c r="G8" s="123">
        <v>1880</v>
      </c>
      <c r="H8" s="274" t="str">
        <f>IF('Dem-Rec'!H25="","",'Dem-Rec'!H25)</f>
        <v/>
      </c>
      <c r="I8" s="269" t="str">
        <f>IF('Dem-Rec'!J25="","",'Dem-Rec'!J25)</f>
        <v/>
      </c>
      <c r="J8" s="121" t="str">
        <f>IF(I8="","",(SUM('Dem-Rec'!$J$8:$J$24)+SUM($I$8:I8))/$K$3)</f>
        <v/>
      </c>
      <c r="K8" s="122">
        <v>93</v>
      </c>
      <c r="L8" s="271" t="str">
        <f>IF('Dem-Rec'!M25="","",'Dem-Rec'!M25)</f>
        <v/>
      </c>
      <c r="M8" s="127">
        <v>2450</v>
      </c>
      <c r="N8" s="274" t="str">
        <f>IF('Dem-Rec'!O25="","",'Dem-Rec'!O25)</f>
        <v/>
      </c>
      <c r="O8" s="125">
        <v>8</v>
      </c>
      <c r="P8" s="124"/>
      <c r="Q8" s="19"/>
      <c r="R8" s="291"/>
      <c r="T8" t="str">
        <f>IF(H8="","",IF(N8="","",N8-H8))</f>
        <v/>
      </c>
      <c r="U8" s="358" t="str">
        <f>IF(T8="","",T8/H8)</f>
        <v/>
      </c>
      <c r="V8">
        <f>M8-G8</f>
        <v>570</v>
      </c>
    </row>
    <row r="9" spans="1:22" ht="24" customHeight="1" x14ac:dyDescent="0.2">
      <c r="A9" s="300">
        <f t="shared" ref="A9:A24" si="0">A8+7</f>
        <v>43383</v>
      </c>
      <c r="B9" s="137">
        <f>+B8+1</f>
        <v>19</v>
      </c>
      <c r="C9" s="270" t="str">
        <f>IF('Dem-Rec'!C26="","",'Dem-Rec'!C26)</f>
        <v/>
      </c>
      <c r="D9" s="126" t="str">
        <f>IF(C9="","",(SUM('Dem-Rec'!$C$8:$C$24)+SUM($C$8:C9))/$K$2)</f>
        <v/>
      </c>
      <c r="E9" s="127">
        <v>102</v>
      </c>
      <c r="F9" s="272" t="str">
        <f>IF('Dem-Rec'!F26="","",'Dem-Rec'!F26)</f>
        <v/>
      </c>
      <c r="G9" s="127">
        <v>2015</v>
      </c>
      <c r="H9" s="275" t="str">
        <f>IF('Dem-Rec'!H26="","",'Dem-Rec'!H26)</f>
        <v/>
      </c>
      <c r="I9" s="270" t="str">
        <f>IF('Dem-Rec'!J26="","",'Dem-Rec'!J26)</f>
        <v/>
      </c>
      <c r="J9" s="126" t="str">
        <f>IF(I9="","",(SUM('Dem-Rec'!$J$8:$J$24)+SUM($I$8:I9))/$K$3)</f>
        <v/>
      </c>
      <c r="K9" s="129">
        <v>96</v>
      </c>
      <c r="L9" s="272" t="str">
        <f>IF('Dem-Rec'!M26="","",'Dem-Rec'!M26)</f>
        <v/>
      </c>
      <c r="M9" s="127">
        <v>2600</v>
      </c>
      <c r="N9" s="275" t="str">
        <f>IF('Dem-Rec'!O26="","",'Dem-Rec'!O26)</f>
        <v/>
      </c>
      <c r="O9" s="130">
        <v>8</v>
      </c>
      <c r="P9" s="128"/>
      <c r="Q9" s="19"/>
      <c r="R9" s="292"/>
      <c r="T9" t="str">
        <f t="shared" ref="T9:T60" si="1">IF(H9="","",IF(N9="","",N9-H9))</f>
        <v/>
      </c>
      <c r="U9" s="358" t="str">
        <f t="shared" ref="U9:U60" si="2">IF(T9="","",T9/H9)</f>
        <v/>
      </c>
      <c r="V9">
        <f t="shared" ref="V9:V60" si="3">M9-G9</f>
        <v>585</v>
      </c>
    </row>
    <row r="10" spans="1:22" ht="24" customHeight="1" x14ac:dyDescent="0.2">
      <c r="A10" s="300">
        <f t="shared" si="0"/>
        <v>43390</v>
      </c>
      <c r="B10" s="137">
        <f t="shared" ref="B10:B25" si="4">+B9+1</f>
        <v>20</v>
      </c>
      <c r="C10" s="270" t="str">
        <f>IF('Dem-Rec'!C27="","",'Dem-Rec'!C27)</f>
        <v/>
      </c>
      <c r="D10" s="126" t="str">
        <f>IF(C10="","",(SUM('Dem-Rec'!$C$8:$C$24)+SUM($C$8:C10))/$K$2)</f>
        <v/>
      </c>
      <c r="E10" s="127">
        <v>107</v>
      </c>
      <c r="F10" s="272" t="str">
        <f>IF('Dem-Rec'!F27="","",'Dem-Rec'!F27)</f>
        <v/>
      </c>
      <c r="G10" s="127">
        <v>2150</v>
      </c>
      <c r="H10" s="275" t="str">
        <f>IF('Dem-Rec'!H27="","",'Dem-Rec'!H27)</f>
        <v/>
      </c>
      <c r="I10" s="270" t="str">
        <f>IF('Dem-Rec'!J27="","",'Dem-Rec'!J27)</f>
        <v/>
      </c>
      <c r="J10" s="126" t="str">
        <f>IF(I10="","",(SUM('Dem-Rec'!$J$8:$J$24)+SUM($I$8:I10))/$K$3)</f>
        <v/>
      </c>
      <c r="K10" s="129">
        <v>100</v>
      </c>
      <c r="L10" s="272" t="str">
        <f>IF('Dem-Rec'!M27="","",'Dem-Rec'!M27)</f>
        <v/>
      </c>
      <c r="M10" s="127">
        <v>2725</v>
      </c>
      <c r="N10" s="275" t="str">
        <f>IF('Dem-Rec'!O27="","",'Dem-Rec'!O27)</f>
        <v/>
      </c>
      <c r="O10" s="130">
        <v>9</v>
      </c>
      <c r="P10" s="128"/>
      <c r="Q10" s="19"/>
      <c r="R10" s="292"/>
      <c r="T10" t="str">
        <f t="shared" si="1"/>
        <v/>
      </c>
      <c r="U10" s="358" t="str">
        <f t="shared" si="2"/>
        <v/>
      </c>
      <c r="V10">
        <f t="shared" si="3"/>
        <v>575</v>
      </c>
    </row>
    <row r="11" spans="1:22" ht="24" customHeight="1" x14ac:dyDescent="0.2">
      <c r="A11" s="300">
        <f t="shared" si="0"/>
        <v>43397</v>
      </c>
      <c r="B11" s="137">
        <f t="shared" si="4"/>
        <v>21</v>
      </c>
      <c r="C11" s="262" t="str">
        <f>IF('Dem-Rec'!C28&lt;&gt;"",'Dem-Rec'!C28,IF('Prod-Bat'!AM12="","",'Prod-Bat'!AM12))</f>
        <v/>
      </c>
      <c r="D11" s="126" t="str">
        <f>IF(C11="","",(SUM('Dem-Rec'!$C$8:$C$24)+SUM($C$8:C11))/$K$2)</f>
        <v/>
      </c>
      <c r="E11" s="127">
        <v>112</v>
      </c>
      <c r="F11" s="262" t="str">
        <f>IF('Dem-Rec'!F28&lt;&gt;"",'Dem-Rec'!F28,IF('Prod-Bat'!AN12="","",'Prod-Bat'!AN12))</f>
        <v/>
      </c>
      <c r="G11" s="127">
        <v>2410</v>
      </c>
      <c r="H11" s="266" t="str">
        <f>IF('Dem-Rec'!H28&lt;&gt;"",'Dem-Rec'!H28,IF('Prod-Bat'!AO12="","",'Prod-Bat'!AO12))</f>
        <v/>
      </c>
      <c r="I11" s="209" t="str">
        <f>IF('Dem-Rec'!J28="","",'Dem-Rec'!J28)</f>
        <v/>
      </c>
      <c r="J11" s="126" t="str">
        <f>IF(I11="","",(SUM('Dem-Rec'!$J$8:$J$24)+SUM($I$8:I11))/$K$3)</f>
        <v/>
      </c>
      <c r="K11" s="129">
        <v>105</v>
      </c>
      <c r="L11" s="262" t="str">
        <f>IF('Dem-Rec'!M28="","",'Dem-Rec'!M28)</f>
        <v/>
      </c>
      <c r="M11" s="127">
        <v>2850</v>
      </c>
      <c r="N11" s="266" t="str">
        <f>IF('Dem-Rec'!O28="","",'Dem-Rec'!O28)</f>
        <v/>
      </c>
      <c r="O11" s="130">
        <v>10</v>
      </c>
      <c r="P11" s="128"/>
      <c r="Q11" s="19"/>
      <c r="R11" s="292"/>
      <c r="T11" t="str">
        <f t="shared" si="1"/>
        <v/>
      </c>
      <c r="U11" s="358" t="str">
        <f t="shared" si="2"/>
        <v/>
      </c>
      <c r="V11">
        <f t="shared" si="3"/>
        <v>440</v>
      </c>
    </row>
    <row r="12" spans="1:22" ht="24" customHeight="1" thickBot="1" x14ac:dyDescent="0.25">
      <c r="A12" s="300">
        <f t="shared" si="0"/>
        <v>43404</v>
      </c>
      <c r="B12" s="137">
        <f t="shared" si="4"/>
        <v>22</v>
      </c>
      <c r="C12" s="262" t="str">
        <f>IF('Dem-Rec'!C29&lt;&gt;"",'Dem-Rec'!C29,IF('Prod-Bat'!AM13="","",'Prod-Bat'!AM13))</f>
        <v/>
      </c>
      <c r="D12" s="126" t="str">
        <f>IF(C12="","",(SUM('Dem-Rec'!$C$8:$C$24)+SUM($C$8:C12))/$K$2)</f>
        <v/>
      </c>
      <c r="E12" s="127">
        <v>117</v>
      </c>
      <c r="F12" s="262" t="str">
        <f>IF('Dem-Rec'!F29&lt;&gt;"",'Dem-Rec'!F29,IF('Prod-Bat'!AN13="","",'Prod-Bat'!AN13))</f>
        <v/>
      </c>
      <c r="G12" s="127">
        <v>2575</v>
      </c>
      <c r="H12" s="266" t="str">
        <f>IF('Dem-Rec'!H29&lt;&gt;"",'Dem-Rec'!H29,IF('Prod-Bat'!AO13="","",'Prod-Bat'!AO13))</f>
        <v/>
      </c>
      <c r="I12" s="209" t="str">
        <f>IF('Dem-Rec'!J29="","",'Dem-Rec'!J29)</f>
        <v/>
      </c>
      <c r="J12" s="126" t="str">
        <f>IF(I12="","",(SUM('Dem-Rec'!$J$8:$J$24)+SUM($I$8:I12))/$K$3)</f>
        <v/>
      </c>
      <c r="K12" s="129">
        <v>110</v>
      </c>
      <c r="L12" s="262" t="str">
        <f>IF('Dem-Rec'!M29="","",'Dem-Rec'!M29)</f>
        <v/>
      </c>
      <c r="M12" s="133">
        <v>2970</v>
      </c>
      <c r="N12" s="266" t="str">
        <f>IF('Dem-Rec'!O29="","",'Dem-Rec'!O29)</f>
        <v/>
      </c>
      <c r="O12" s="130">
        <v>11</v>
      </c>
      <c r="P12" s="128"/>
      <c r="Q12" s="19"/>
      <c r="R12" s="292"/>
      <c r="T12" t="str">
        <f t="shared" si="1"/>
        <v/>
      </c>
      <c r="U12" s="358" t="str">
        <f t="shared" si="2"/>
        <v/>
      </c>
      <c r="V12">
        <f t="shared" si="3"/>
        <v>395</v>
      </c>
    </row>
    <row r="13" spans="1:22" ht="24" customHeight="1" thickTop="1" x14ac:dyDescent="0.2">
      <c r="A13" s="300">
        <f t="shared" si="0"/>
        <v>43411</v>
      </c>
      <c r="B13" s="137">
        <f t="shared" si="4"/>
        <v>23</v>
      </c>
      <c r="C13" s="209" t="str">
        <f>+'Prod-Bat'!AM14</f>
        <v/>
      </c>
      <c r="D13" s="126" t="str">
        <f>IF(C13="","",(SUM('Dem-Rec'!$C$8:$C$24)+SUM($C$8:C13))/$K$2)</f>
        <v/>
      </c>
      <c r="E13" s="127">
        <v>122</v>
      </c>
      <c r="F13" s="262" t="str">
        <f>IF('Prod-Bat'!AN14="","",'Prod-Bat'!AN14)</f>
        <v/>
      </c>
      <c r="G13" s="127">
        <v>2735</v>
      </c>
      <c r="H13" s="266" t="str">
        <f>IF('Prod-Bat'!AO14="","",'Prod-Bat'!AO14)</f>
        <v/>
      </c>
      <c r="I13" s="209" t="str">
        <f>+'Prod-Bat'!BT14</f>
        <v/>
      </c>
      <c r="J13" s="126" t="str">
        <f>IF(I13="","",(SUM('Dem-Rec'!$J$8:$J$24)+SUM($I$8:I13))/$K$3)</f>
        <v/>
      </c>
      <c r="K13" s="129">
        <v>115</v>
      </c>
      <c r="L13" s="262" t="str">
        <f>+'Prod-Bat'!BU14</f>
        <v/>
      </c>
      <c r="M13" s="127">
        <v>3230</v>
      </c>
      <c r="N13" s="266" t="str">
        <f>IF('Dem-Rec'!O30="","",'Dem-Rec'!O30)</f>
        <v/>
      </c>
      <c r="O13" s="130">
        <v>12</v>
      </c>
      <c r="P13" s="128"/>
      <c r="Q13" s="19"/>
      <c r="R13" s="292"/>
      <c r="T13" t="str">
        <f t="shared" si="1"/>
        <v/>
      </c>
      <c r="U13" s="358" t="str">
        <f t="shared" si="2"/>
        <v/>
      </c>
      <c r="V13">
        <f t="shared" si="3"/>
        <v>495</v>
      </c>
    </row>
    <row r="14" spans="1:22" ht="24" customHeight="1" x14ac:dyDescent="0.2">
      <c r="A14" s="300">
        <f t="shared" si="0"/>
        <v>43418</v>
      </c>
      <c r="B14" s="137">
        <f t="shared" si="4"/>
        <v>24</v>
      </c>
      <c r="C14" s="209" t="str">
        <f>+'Prod-Bat'!AM15</f>
        <v/>
      </c>
      <c r="D14" s="126" t="str">
        <f>IF(C14="","",(SUM('Dem-Rec'!$C$8:$C$24)+SUM($C$8:C14))/$K$2)</f>
        <v/>
      </c>
      <c r="E14" s="127">
        <v>127</v>
      </c>
      <c r="F14" s="262" t="str">
        <f>IF('Prod-Bat'!AN15="","",'Prod-Bat'!AN15)</f>
        <v/>
      </c>
      <c r="G14" s="127">
        <v>2900</v>
      </c>
      <c r="H14" s="266" t="str">
        <f>IF('Prod-Bat'!AO15="","",'Prod-Bat'!AO15)</f>
        <v/>
      </c>
      <c r="I14" s="209" t="str">
        <f>+'Prod-Bat'!BT15</f>
        <v/>
      </c>
      <c r="J14" s="126" t="str">
        <f>IF(I14="","",(SUM('Dem-Rec'!$J$8:$J$24)+SUM($I$8:I14))/$K$3)</f>
        <v/>
      </c>
      <c r="K14" s="129">
        <v>120</v>
      </c>
      <c r="L14" s="262" t="str">
        <f>+'Prod-Bat'!BU15</f>
        <v/>
      </c>
      <c r="M14" s="127">
        <v>3355</v>
      </c>
      <c r="N14" s="266" t="str">
        <f>IF('Prod-Bat'!BV15="","",'Prod-Bat'!BV15)</f>
        <v/>
      </c>
      <c r="O14" s="130">
        <v>13</v>
      </c>
      <c r="P14" s="128"/>
      <c r="Q14" s="19"/>
      <c r="R14" s="292"/>
      <c r="T14" t="str">
        <f t="shared" si="1"/>
        <v/>
      </c>
      <c r="U14" s="358" t="str">
        <f t="shared" si="2"/>
        <v/>
      </c>
      <c r="V14">
        <f t="shared" si="3"/>
        <v>455</v>
      </c>
    </row>
    <row r="15" spans="1:22" ht="24" customHeight="1" x14ac:dyDescent="0.2">
      <c r="A15" s="300">
        <f t="shared" si="0"/>
        <v>43425</v>
      </c>
      <c r="B15" s="137">
        <f t="shared" si="4"/>
        <v>25</v>
      </c>
      <c r="C15" s="209" t="str">
        <f>+'Prod-Bat'!AM16</f>
        <v/>
      </c>
      <c r="D15" s="126" t="str">
        <f>IF(C15="","",(SUM('Dem-Rec'!$C$8:$C$24)+SUM($C$8:C15))/$K$2)</f>
        <v/>
      </c>
      <c r="E15" s="127">
        <v>135</v>
      </c>
      <c r="F15" s="262" t="str">
        <f>IF('Prod-Bat'!AN16="","",'Prod-Bat'!AN16)</f>
        <v/>
      </c>
      <c r="G15" s="127">
        <v>3000</v>
      </c>
      <c r="H15" s="266" t="str">
        <f>IF('Prod-Bat'!AO16="","",'Prod-Bat'!AO16)</f>
        <v/>
      </c>
      <c r="I15" s="209" t="str">
        <f>+'Prod-Bat'!BT16</f>
        <v/>
      </c>
      <c r="J15" s="126" t="str">
        <f>IF(I15="","",(SUM('Dem-Rec'!$J$8:$J$24)+SUM($I$8:I15))/$K$3)</f>
        <v/>
      </c>
      <c r="K15" s="129">
        <v>124</v>
      </c>
      <c r="L15" s="262" t="str">
        <f>+'Prod-Bat'!BU16</f>
        <v/>
      </c>
      <c r="M15" s="127">
        <v>3485</v>
      </c>
      <c r="N15" s="266" t="str">
        <f>IF('Prod-Bat'!BV16="","",'Prod-Bat'!BV16)</f>
        <v/>
      </c>
      <c r="O15" s="130">
        <v>14</v>
      </c>
      <c r="P15" s="128"/>
      <c r="Q15" s="19"/>
      <c r="R15" s="292"/>
      <c r="T15" t="str">
        <f t="shared" si="1"/>
        <v/>
      </c>
      <c r="U15" s="358" t="str">
        <f t="shared" si="2"/>
        <v/>
      </c>
      <c r="V15">
        <f t="shared" si="3"/>
        <v>485</v>
      </c>
    </row>
    <row r="16" spans="1:22" ht="24" customHeight="1" x14ac:dyDescent="0.2">
      <c r="A16" s="300">
        <f t="shared" si="0"/>
        <v>43432</v>
      </c>
      <c r="B16" s="137">
        <f t="shared" si="4"/>
        <v>26</v>
      </c>
      <c r="C16" s="209" t="str">
        <f>+'Prod-Bat'!AM17</f>
        <v/>
      </c>
      <c r="D16" s="126" t="str">
        <f>IF(C16="","",(SUM('Dem-Rec'!$C$8:$C$24)+SUM($C$8:C16))/$K$2)</f>
        <v/>
      </c>
      <c r="E16" s="127">
        <v>150</v>
      </c>
      <c r="F16" s="262" t="str">
        <f>IF('Prod-Bat'!AN17="","",'Prod-Bat'!AN17)</f>
        <v/>
      </c>
      <c r="G16" s="127">
        <v>3100</v>
      </c>
      <c r="H16" s="266" t="str">
        <f>IF('Prod-Bat'!AO17="","",'Prod-Bat'!AO17)</f>
        <v/>
      </c>
      <c r="I16" s="209" t="str">
        <f>+'Prod-Bat'!BT17</f>
        <v/>
      </c>
      <c r="J16" s="126" t="str">
        <f>IF(I16="","",(SUM('Dem-Rec'!$J$8:$J$24)+SUM($I$8:I16))/$K$3)</f>
        <v/>
      </c>
      <c r="K16" s="129">
        <v>128</v>
      </c>
      <c r="L16" s="262" t="str">
        <f>+'Prod-Bat'!BU17</f>
        <v/>
      </c>
      <c r="M16" s="127">
        <v>3610</v>
      </c>
      <c r="N16" s="266" t="str">
        <f>IF('Prod-Bat'!BV17="","",'Prod-Bat'!BV17)</f>
        <v/>
      </c>
      <c r="O16" s="130">
        <v>15</v>
      </c>
      <c r="P16" s="128"/>
      <c r="Q16" s="19"/>
      <c r="R16" s="292"/>
      <c r="T16" t="str">
        <f t="shared" si="1"/>
        <v/>
      </c>
      <c r="U16" s="358" t="str">
        <f t="shared" si="2"/>
        <v/>
      </c>
      <c r="V16">
        <f t="shared" si="3"/>
        <v>510</v>
      </c>
    </row>
    <row r="17" spans="1:22" ht="24" customHeight="1" x14ac:dyDescent="0.2">
      <c r="A17" s="300">
        <f t="shared" si="0"/>
        <v>43439</v>
      </c>
      <c r="B17" s="137">
        <f t="shared" si="4"/>
        <v>27</v>
      </c>
      <c r="C17" s="209" t="str">
        <f>+'Prod-Bat'!AM18</f>
        <v/>
      </c>
      <c r="D17" s="126" t="str">
        <f>IF(C17="","",(SUM('Dem-Rec'!$C$8:$C$24)+SUM($C$8:C17))/$K$2)</f>
        <v/>
      </c>
      <c r="E17" s="127">
        <v>165</v>
      </c>
      <c r="F17" s="262" t="str">
        <f>IF('Prod-Bat'!AN18="","",'Prod-Bat'!AN18)</f>
        <v/>
      </c>
      <c r="G17" s="127">
        <v>3200</v>
      </c>
      <c r="H17" s="266" t="str">
        <f>IF('Prod-Bat'!AO18="","",'Prod-Bat'!AO18)</f>
        <v/>
      </c>
      <c r="I17" s="209" t="str">
        <f>+'Prod-Bat'!BT18</f>
        <v/>
      </c>
      <c r="J17" s="126" t="str">
        <f>IF(I17="","",(SUM('Dem-Rec'!$J$8:$J$24)+SUM($I$8:I17))/$K$3)</f>
        <v/>
      </c>
      <c r="K17" s="129">
        <v>132</v>
      </c>
      <c r="L17" s="262" t="str">
        <f>+'Prod-Bat'!BU18</f>
        <v/>
      </c>
      <c r="M17" s="127">
        <v>3735</v>
      </c>
      <c r="N17" s="266" t="str">
        <f>IF('Prod-Bat'!BV18="","",'Prod-Bat'!BV18)</f>
        <v/>
      </c>
      <c r="O17" s="130">
        <v>15</v>
      </c>
      <c r="P17" s="128"/>
      <c r="Q17" s="19"/>
      <c r="R17" s="292"/>
      <c r="T17" t="str">
        <f t="shared" si="1"/>
        <v/>
      </c>
      <c r="U17" s="358" t="str">
        <f t="shared" si="2"/>
        <v/>
      </c>
      <c r="V17">
        <f t="shared" si="3"/>
        <v>535</v>
      </c>
    </row>
    <row r="18" spans="1:22" ht="24" customHeight="1" x14ac:dyDescent="0.2">
      <c r="A18" s="300">
        <f t="shared" si="0"/>
        <v>43446</v>
      </c>
      <c r="B18" s="137">
        <f t="shared" si="4"/>
        <v>28</v>
      </c>
      <c r="C18" s="209" t="str">
        <f>+'Prod-Bat'!AM19</f>
        <v/>
      </c>
      <c r="D18" s="126" t="str">
        <f>IF(C18="","",(SUM('Dem-Rec'!$C$8:$C$24)+SUM($C$8:C18))/$K$2)</f>
        <v/>
      </c>
      <c r="E18" s="127">
        <v>165</v>
      </c>
      <c r="F18" s="262" t="str">
        <f>IF('Prod-Bat'!AN19="","",'Prod-Bat'!AN19)</f>
        <v/>
      </c>
      <c r="G18" s="127">
        <v>3300</v>
      </c>
      <c r="H18" s="266" t="str">
        <f>IF('Prod-Bat'!AO19="","",'Prod-Bat'!AO19)</f>
        <v/>
      </c>
      <c r="I18" s="209" t="str">
        <f>+'Prod-Bat'!BT19</f>
        <v/>
      </c>
      <c r="J18" s="126" t="str">
        <f>IF(I18="","",(SUM('Dem-Rec'!$J$8:$J$24)+SUM($I$8:I18))/$K$3)</f>
        <v/>
      </c>
      <c r="K18" s="129">
        <v>133</v>
      </c>
      <c r="L18" s="262" t="str">
        <f>+'Prod-Bat'!BU19</f>
        <v/>
      </c>
      <c r="M18" s="127">
        <v>3865</v>
      </c>
      <c r="N18" s="266" t="str">
        <f>IF('Prod-Bat'!BV19="","",'Prod-Bat'!BV19)</f>
        <v/>
      </c>
      <c r="O18" s="130">
        <v>15</v>
      </c>
      <c r="P18" s="128"/>
      <c r="Q18" s="19"/>
      <c r="R18" s="292"/>
      <c r="T18" t="str">
        <f t="shared" si="1"/>
        <v/>
      </c>
      <c r="U18" s="358" t="str">
        <f t="shared" si="2"/>
        <v/>
      </c>
      <c r="V18">
        <f t="shared" si="3"/>
        <v>565</v>
      </c>
    </row>
    <row r="19" spans="1:22" ht="24" customHeight="1" x14ac:dyDescent="0.2">
      <c r="A19" s="300">
        <f t="shared" si="0"/>
        <v>43453</v>
      </c>
      <c r="B19" s="137">
        <f t="shared" si="4"/>
        <v>29</v>
      </c>
      <c r="C19" s="209" t="str">
        <f>+'Prod-Bat'!AM20</f>
        <v/>
      </c>
      <c r="D19" s="126" t="str">
        <f>IF(C19="","",(SUM('Dem-Rec'!$C$8:$C$24)+SUM($C$8:C19))/$K$2)</f>
        <v/>
      </c>
      <c r="E19" s="127">
        <v>165</v>
      </c>
      <c r="F19" s="262" t="str">
        <f>IF('Prod-Bat'!AN20="","",'Prod-Bat'!AN20)</f>
        <v/>
      </c>
      <c r="G19" s="127">
        <v>3380</v>
      </c>
      <c r="H19" s="266" t="str">
        <f>IF('Prod-Bat'!AO20="","",'Prod-Bat'!AO20)</f>
        <v/>
      </c>
      <c r="I19" s="209" t="str">
        <f>+'Prod-Bat'!BT20</f>
        <v/>
      </c>
      <c r="J19" s="126" t="str">
        <f>IF(I19="","",(SUM('Dem-Rec'!$J$8:$J$24)+SUM($I$8:I19))/$K$3)</f>
        <v/>
      </c>
      <c r="K19" s="129">
        <v>134</v>
      </c>
      <c r="L19" s="262" t="str">
        <f>+'Prod-Bat'!BU20</f>
        <v/>
      </c>
      <c r="M19" s="127">
        <v>3930</v>
      </c>
      <c r="N19" s="266" t="str">
        <f>IF('Prod-Bat'!BV20="","",'Prod-Bat'!BV20)</f>
        <v/>
      </c>
      <c r="O19" s="130">
        <v>15</v>
      </c>
      <c r="P19" s="128"/>
      <c r="Q19" s="19"/>
      <c r="R19" s="292"/>
      <c r="T19" t="str">
        <f t="shared" si="1"/>
        <v/>
      </c>
      <c r="U19" s="358" t="str">
        <f t="shared" si="2"/>
        <v/>
      </c>
      <c r="V19">
        <f t="shared" si="3"/>
        <v>550</v>
      </c>
    </row>
    <row r="20" spans="1:22" ht="24" customHeight="1" x14ac:dyDescent="0.2">
      <c r="A20" s="300">
        <f t="shared" si="0"/>
        <v>43460</v>
      </c>
      <c r="B20" s="137">
        <f t="shared" si="4"/>
        <v>30</v>
      </c>
      <c r="C20" s="209" t="str">
        <f>+'Prod-Bat'!AM21</f>
        <v/>
      </c>
      <c r="D20" s="126" t="str">
        <f>IF(C20="","",(SUM('Dem-Rec'!$C$8:$C$24)+SUM($C$8:C20))/$K$2)</f>
        <v/>
      </c>
      <c r="E20" s="127">
        <v>165</v>
      </c>
      <c r="F20" s="262" t="str">
        <f>IF('Prod-Bat'!AN21="","",'Prod-Bat'!AN21)</f>
        <v/>
      </c>
      <c r="G20" s="127">
        <v>3440</v>
      </c>
      <c r="H20" s="266" t="str">
        <f>IF('Prod-Bat'!AO21="","",'Prod-Bat'!AO21)</f>
        <v/>
      </c>
      <c r="I20" s="209" t="str">
        <f>+'Prod-Bat'!BT21</f>
        <v/>
      </c>
      <c r="J20" s="126" t="str">
        <f>IF(I20="","",(SUM('Dem-Rec'!$J$8:$J$24)+SUM($I$8:I20))/$K$3)</f>
        <v/>
      </c>
      <c r="K20" s="129">
        <v>134</v>
      </c>
      <c r="L20" s="262" t="str">
        <f>+'Prod-Bat'!BU21</f>
        <v/>
      </c>
      <c r="M20" s="127">
        <v>3970</v>
      </c>
      <c r="N20" s="266" t="str">
        <f>IF('Prod-Bat'!BV21="","",'Prod-Bat'!BV21)</f>
        <v/>
      </c>
      <c r="O20" s="130">
        <v>15</v>
      </c>
      <c r="P20" s="128"/>
      <c r="Q20" s="19"/>
      <c r="R20" s="292"/>
      <c r="T20" t="str">
        <f t="shared" si="1"/>
        <v/>
      </c>
      <c r="U20" s="358" t="str">
        <f t="shared" si="2"/>
        <v/>
      </c>
      <c r="V20">
        <f t="shared" si="3"/>
        <v>530</v>
      </c>
    </row>
    <row r="21" spans="1:22" ht="24" customHeight="1" x14ac:dyDescent="0.2">
      <c r="A21" s="300">
        <f t="shared" si="0"/>
        <v>43467</v>
      </c>
      <c r="B21" s="137">
        <f t="shared" si="4"/>
        <v>31</v>
      </c>
      <c r="C21" s="209" t="str">
        <f>+'Prod-Bat'!AM22</f>
        <v/>
      </c>
      <c r="D21" s="126" t="str">
        <f>IF(C21="","",(SUM('Dem-Rec'!$C$8:$C$24)+SUM($C$8:C21))/$K$2)</f>
        <v/>
      </c>
      <c r="E21" s="127">
        <v>165</v>
      </c>
      <c r="F21" s="262" t="str">
        <f>IF('Prod-Bat'!AN22="","",'Prod-Bat'!AN22)</f>
        <v/>
      </c>
      <c r="G21" s="127">
        <v>3460</v>
      </c>
      <c r="H21" s="266" t="str">
        <f>IF('Prod-Bat'!AO22="","",'Prod-Bat'!AO22)</f>
        <v/>
      </c>
      <c r="I21" s="209" t="str">
        <f>+'Prod-Bat'!BT22</f>
        <v/>
      </c>
      <c r="J21" s="126" t="str">
        <f>IF(I21="","",(SUM('Dem-Rec'!$J$8:$J$24)+SUM($I$8:I21))/$K$3)</f>
        <v/>
      </c>
      <c r="K21" s="129">
        <v>134</v>
      </c>
      <c r="L21" s="262" t="str">
        <f>+'Prod-Bat'!BU22</f>
        <v/>
      </c>
      <c r="M21" s="127">
        <v>4015</v>
      </c>
      <c r="N21" s="266" t="str">
        <f>IF('Prod-Bat'!BV22="","",'Prod-Bat'!BV22)</f>
        <v/>
      </c>
      <c r="O21" s="130">
        <v>15</v>
      </c>
      <c r="P21" s="128"/>
      <c r="Q21" s="19"/>
      <c r="R21" s="292"/>
      <c r="T21" t="str">
        <f t="shared" si="1"/>
        <v/>
      </c>
      <c r="U21" s="358" t="str">
        <f t="shared" si="2"/>
        <v/>
      </c>
      <c r="V21">
        <f t="shared" si="3"/>
        <v>555</v>
      </c>
    </row>
    <row r="22" spans="1:22" ht="24" customHeight="1" x14ac:dyDescent="0.2">
      <c r="A22" s="300">
        <f t="shared" si="0"/>
        <v>43474</v>
      </c>
      <c r="B22" s="137">
        <f t="shared" si="4"/>
        <v>32</v>
      </c>
      <c r="C22" s="209" t="str">
        <f>+'Prod-Bat'!AM23</f>
        <v/>
      </c>
      <c r="D22" s="126" t="str">
        <f>IF(C22="","",(SUM('Dem-Rec'!$C$8:$C$24)+SUM($C$8:C22))/$K$2)</f>
        <v/>
      </c>
      <c r="E22" s="127">
        <v>164</v>
      </c>
      <c r="F22" s="263" t="str">
        <f>IF('Prod-Bat'!AN23="","",'Prod-Bat'!AN23)</f>
        <v/>
      </c>
      <c r="G22" s="127">
        <v>3480</v>
      </c>
      <c r="H22" s="266" t="str">
        <f>IF('Prod-Bat'!AO23="","",'Prod-Bat'!AO23)</f>
        <v/>
      </c>
      <c r="I22" s="209" t="str">
        <f>+'Prod-Bat'!BT23</f>
        <v/>
      </c>
      <c r="J22" s="126" t="str">
        <f>IF(I22="","",(SUM('Dem-Rec'!$J$8:$J$24)+SUM($I$8:I22))/$K$3)</f>
        <v/>
      </c>
      <c r="K22" s="129">
        <v>136</v>
      </c>
      <c r="L22" s="262" t="str">
        <f>+'Prod-Bat'!BU23</f>
        <v/>
      </c>
      <c r="M22" s="127">
        <v>4060</v>
      </c>
      <c r="N22" s="266" t="str">
        <f>IF('Prod-Bat'!BV23="","",'Prod-Bat'!BV23)</f>
        <v/>
      </c>
      <c r="O22" s="130">
        <v>15</v>
      </c>
      <c r="P22" s="128"/>
      <c r="Q22" s="19"/>
      <c r="R22" s="292"/>
      <c r="T22" t="str">
        <f t="shared" si="1"/>
        <v/>
      </c>
      <c r="U22" s="358" t="str">
        <f t="shared" si="2"/>
        <v/>
      </c>
      <c r="V22">
        <f t="shared" si="3"/>
        <v>580</v>
      </c>
    </row>
    <row r="23" spans="1:22" ht="24" customHeight="1" x14ac:dyDescent="0.2">
      <c r="A23" s="300">
        <f t="shared" si="0"/>
        <v>43481</v>
      </c>
      <c r="B23" s="137">
        <f t="shared" si="4"/>
        <v>33</v>
      </c>
      <c r="C23" s="209" t="str">
        <f>+'Prod-Bat'!AM24</f>
        <v/>
      </c>
      <c r="D23" s="126" t="str">
        <f>IF(C23="","",(SUM('Dem-Rec'!$C$8:$C$24)+SUM($C$8:C23))/$K$2)</f>
        <v/>
      </c>
      <c r="E23" s="127">
        <v>163</v>
      </c>
      <c r="F23" s="263" t="str">
        <f>IF('Prod-Bat'!AN24="","",'Prod-Bat'!AN24)</f>
        <v/>
      </c>
      <c r="G23" s="127">
        <v>3500</v>
      </c>
      <c r="H23" s="266" t="str">
        <f>IF('Prod-Bat'!AO24="","",'Prod-Bat'!AO24)</f>
        <v/>
      </c>
      <c r="I23" s="209" t="str">
        <f>+'Prod-Bat'!BT24</f>
        <v/>
      </c>
      <c r="J23" s="126" t="str">
        <f>IF(I23="","",(SUM('Dem-Rec'!$J$8:$J$24)+SUM($I$8:I23))/$K$3)</f>
        <v/>
      </c>
      <c r="K23" s="129">
        <v>136</v>
      </c>
      <c r="L23" s="262" t="str">
        <f>+'Prod-Bat'!BU24</f>
        <v/>
      </c>
      <c r="M23" s="127">
        <v>4085</v>
      </c>
      <c r="N23" s="266" t="str">
        <f>IF('Prod-Bat'!BV24="","",'Prod-Bat'!BV24)</f>
        <v/>
      </c>
      <c r="O23" s="130">
        <v>15</v>
      </c>
      <c r="P23" s="128"/>
      <c r="Q23" s="19"/>
      <c r="R23" s="292"/>
      <c r="T23" t="str">
        <f t="shared" si="1"/>
        <v/>
      </c>
      <c r="U23" s="358" t="str">
        <f t="shared" si="2"/>
        <v/>
      </c>
      <c r="V23">
        <f t="shared" si="3"/>
        <v>585</v>
      </c>
    </row>
    <row r="24" spans="1:22" ht="24" customHeight="1" x14ac:dyDescent="0.2">
      <c r="A24" s="300">
        <f t="shared" si="0"/>
        <v>43488</v>
      </c>
      <c r="B24" s="137">
        <f t="shared" si="4"/>
        <v>34</v>
      </c>
      <c r="C24" s="209" t="str">
        <f>+'Prod-Bat'!AM25</f>
        <v/>
      </c>
      <c r="D24" s="126" t="str">
        <f>IF(C24="","",(SUM('Dem-Rec'!$C$8:$C$24)+SUM($C$8:C24))/$K$2)</f>
        <v/>
      </c>
      <c r="E24" s="127">
        <v>162</v>
      </c>
      <c r="F24" s="263" t="str">
        <f>IF('Prod-Bat'!AN25="","",'Prod-Bat'!AN25)</f>
        <v/>
      </c>
      <c r="G24" s="127">
        <v>3520</v>
      </c>
      <c r="H24" s="266" t="str">
        <f>IF('Prod-Bat'!AO25="","",'Prod-Bat'!AO25)</f>
        <v/>
      </c>
      <c r="I24" s="209" t="str">
        <f>+'Prod-Bat'!BT25</f>
        <v/>
      </c>
      <c r="J24" s="126" t="str">
        <f>IF(I24="","",(SUM('Dem-Rec'!$J$8:$J$24)+SUM($I$8:I24))/$K$3)</f>
        <v/>
      </c>
      <c r="K24" s="129">
        <v>136</v>
      </c>
      <c r="L24" s="262" t="str">
        <f>+'Prod-Bat'!BU25</f>
        <v/>
      </c>
      <c r="M24" s="127">
        <v>4105</v>
      </c>
      <c r="N24" s="266" t="str">
        <f>IF('Prod-Bat'!BV25="","",'Prod-Bat'!BV25)</f>
        <v/>
      </c>
      <c r="O24" s="130">
        <v>15</v>
      </c>
      <c r="P24" s="128"/>
      <c r="Q24" s="19"/>
      <c r="R24" s="292"/>
      <c r="T24" t="str">
        <f t="shared" si="1"/>
        <v/>
      </c>
      <c r="U24" s="358" t="str">
        <f t="shared" si="2"/>
        <v/>
      </c>
      <c r="V24">
        <f t="shared" si="3"/>
        <v>585</v>
      </c>
    </row>
    <row r="25" spans="1:22" ht="24" customHeight="1" x14ac:dyDescent="0.2">
      <c r="A25" s="300">
        <f>A24+7</f>
        <v>43495</v>
      </c>
      <c r="B25" s="137">
        <f t="shared" si="4"/>
        <v>35</v>
      </c>
      <c r="C25" s="209" t="str">
        <f>+'Prod-Bat'!AM26</f>
        <v/>
      </c>
      <c r="D25" s="126" t="str">
        <f>IF(C25="","",(SUM('Dem-Rec'!$C$8:$C$24)+SUM($C$8:C25))/$K$2)</f>
        <v/>
      </c>
      <c r="E25" s="127">
        <v>161</v>
      </c>
      <c r="F25" s="263" t="str">
        <f>IF('Prod-Bat'!AN26="","",'Prod-Bat'!AN26)</f>
        <v/>
      </c>
      <c r="G25" s="127">
        <v>3540</v>
      </c>
      <c r="H25" s="266" t="str">
        <f>IF('Prod-Bat'!AO26="","",'Prod-Bat'!AO26)</f>
        <v/>
      </c>
      <c r="I25" s="209" t="str">
        <f>+'Prod-Bat'!BT26</f>
        <v/>
      </c>
      <c r="J25" s="126" t="str">
        <f>IF(I25="","",(SUM('Dem-Rec'!$J$8:$J$24)+SUM($I$8:I25))/$K$3)</f>
        <v/>
      </c>
      <c r="K25" s="129">
        <v>138</v>
      </c>
      <c r="L25" s="262" t="str">
        <f>+'Prod-Bat'!BU26</f>
        <v/>
      </c>
      <c r="M25" s="127">
        <v>4130</v>
      </c>
      <c r="N25" s="266" t="str">
        <f>IF('Prod-Bat'!BV26="","",'Prod-Bat'!BV26)</f>
        <v/>
      </c>
      <c r="O25" s="130">
        <v>15</v>
      </c>
      <c r="P25" s="128"/>
      <c r="Q25" s="19"/>
      <c r="R25" s="292"/>
      <c r="T25" t="str">
        <f t="shared" si="1"/>
        <v/>
      </c>
      <c r="U25" s="358" t="str">
        <f t="shared" si="2"/>
        <v/>
      </c>
      <c r="V25">
        <f t="shared" si="3"/>
        <v>590</v>
      </c>
    </row>
    <row r="26" spans="1:22" ht="24" customHeight="1" x14ac:dyDescent="0.2">
      <c r="A26" s="300">
        <f>A25+7</f>
        <v>43502</v>
      </c>
      <c r="B26" s="137">
        <f>+B25+1</f>
        <v>36</v>
      </c>
      <c r="C26" s="209" t="str">
        <f>+'Prod-Bat'!AM27</f>
        <v/>
      </c>
      <c r="D26" s="126" t="str">
        <f>IF(C26="","",(SUM('Dem-Rec'!$C$8:$C$24)+SUM($C$8:C26))/$K$2)</f>
        <v/>
      </c>
      <c r="E26" s="127">
        <v>160</v>
      </c>
      <c r="F26" s="263" t="str">
        <f>IF('Prod-Bat'!AN27="","",'Prod-Bat'!AN27)</f>
        <v/>
      </c>
      <c r="G26" s="127">
        <v>3560</v>
      </c>
      <c r="H26" s="266" t="str">
        <f>IF('Prod-Bat'!AO27="","",'Prod-Bat'!AO27)</f>
        <v/>
      </c>
      <c r="I26" s="209" t="str">
        <f>+'Prod-Bat'!BT27</f>
        <v/>
      </c>
      <c r="J26" s="126" t="str">
        <f>IF(I26="","",(SUM('Dem-Rec'!$J$8:$J$24)+SUM($I$8:I26))/$K$3)</f>
        <v/>
      </c>
      <c r="K26" s="129">
        <v>138</v>
      </c>
      <c r="L26" s="262" t="str">
        <f>+'Prod-Bat'!BU27</f>
        <v/>
      </c>
      <c r="M26" s="127">
        <v>4150</v>
      </c>
      <c r="N26" s="266" t="str">
        <f>IF('Prod-Bat'!BV27="","",'Prod-Bat'!BV27)</f>
        <v/>
      </c>
      <c r="O26" s="130">
        <v>15</v>
      </c>
      <c r="P26" s="128"/>
      <c r="Q26" s="18"/>
      <c r="R26" s="292"/>
      <c r="T26" t="str">
        <f t="shared" si="1"/>
        <v/>
      </c>
      <c r="U26" s="358" t="str">
        <f t="shared" si="2"/>
        <v/>
      </c>
      <c r="V26">
        <f t="shared" si="3"/>
        <v>590</v>
      </c>
    </row>
    <row r="27" spans="1:22" ht="24" customHeight="1" x14ac:dyDescent="0.2">
      <c r="A27" s="300">
        <f>A26+7</f>
        <v>43509</v>
      </c>
      <c r="B27" s="137">
        <f>+B26+1</f>
        <v>37</v>
      </c>
      <c r="C27" s="209" t="str">
        <f>+'Prod-Bat'!AM28</f>
        <v/>
      </c>
      <c r="D27" s="126" t="str">
        <f>IF(C27="","",(SUM('Dem-Rec'!$C$8:$C$24)+SUM($C$8:C27))/$K$2)</f>
        <v/>
      </c>
      <c r="E27" s="127">
        <v>159</v>
      </c>
      <c r="F27" s="263" t="str">
        <f>IF('Prod-Bat'!AN28="","",'Prod-Bat'!AN28)</f>
        <v/>
      </c>
      <c r="G27" s="127">
        <v>3580</v>
      </c>
      <c r="H27" s="266" t="str">
        <f>IF('Prod-Bat'!AO28="","",'Prod-Bat'!AO28)</f>
        <v/>
      </c>
      <c r="I27" s="209" t="str">
        <f>+'Prod-Bat'!BT28</f>
        <v/>
      </c>
      <c r="J27" s="126" t="str">
        <f>IF(I27="","",(SUM('Dem-Rec'!$J$8:$J$24)+SUM($I$8:I27))/$K$3)</f>
        <v/>
      </c>
      <c r="K27" s="129">
        <v>138</v>
      </c>
      <c r="L27" s="262" t="str">
        <f>+'Prod-Bat'!BU28</f>
        <v/>
      </c>
      <c r="M27" s="127">
        <v>4170</v>
      </c>
      <c r="N27" s="266" t="str">
        <f>IF('Prod-Bat'!BV28="","",'Prod-Bat'!BV28)</f>
        <v/>
      </c>
      <c r="O27" s="130">
        <v>15</v>
      </c>
      <c r="P27" s="128"/>
      <c r="Q27" s="18"/>
      <c r="R27" s="292"/>
      <c r="T27" t="str">
        <f t="shared" si="1"/>
        <v/>
      </c>
      <c r="U27" s="358" t="str">
        <f t="shared" si="2"/>
        <v/>
      </c>
      <c r="V27">
        <f t="shared" si="3"/>
        <v>590</v>
      </c>
    </row>
    <row r="28" spans="1:22" ht="24" customHeight="1" x14ac:dyDescent="0.2">
      <c r="A28" s="300">
        <f>A27+7</f>
        <v>43516</v>
      </c>
      <c r="B28" s="137">
        <f>+B27+1</f>
        <v>38</v>
      </c>
      <c r="C28" s="209" t="str">
        <f>+'Prod-Bat'!AM29</f>
        <v/>
      </c>
      <c r="D28" s="126" t="str">
        <f>IF(C28="","",(SUM('Dem-Rec'!$C$8:$C$24)+SUM($C$8:C28))/$K$2)</f>
        <v/>
      </c>
      <c r="E28" s="127">
        <v>158</v>
      </c>
      <c r="F28" s="263" t="str">
        <f>IF('Prod-Bat'!AN29="","",'Prod-Bat'!AN29)</f>
        <v/>
      </c>
      <c r="G28" s="127">
        <v>3600</v>
      </c>
      <c r="H28" s="266" t="str">
        <f>IF('Prod-Bat'!AO29="","",'Prod-Bat'!AO29)</f>
        <v/>
      </c>
      <c r="I28" s="209" t="str">
        <f>+'Prod-Bat'!BT29</f>
        <v/>
      </c>
      <c r="J28" s="126" t="str">
        <f>IF(I28="","",(SUM('Dem-Rec'!$J$8:$J$24)+SUM($I$8:I28))/$K$3)</f>
        <v/>
      </c>
      <c r="K28" s="129">
        <v>138</v>
      </c>
      <c r="L28" s="262" t="str">
        <f>+'Prod-Bat'!BU29</f>
        <v/>
      </c>
      <c r="M28" s="127">
        <v>4195</v>
      </c>
      <c r="N28" s="266" t="str">
        <f>IF('Prod-Bat'!BV29="","",'Prod-Bat'!BV29)</f>
        <v/>
      </c>
      <c r="O28" s="130">
        <v>15</v>
      </c>
      <c r="P28" s="128"/>
      <c r="Q28" s="18"/>
      <c r="R28" s="292"/>
      <c r="T28" t="str">
        <f t="shared" si="1"/>
        <v/>
      </c>
      <c r="U28" s="358" t="str">
        <f t="shared" si="2"/>
        <v/>
      </c>
      <c r="V28">
        <f t="shared" si="3"/>
        <v>595</v>
      </c>
    </row>
    <row r="29" spans="1:22" ht="24" customHeight="1" x14ac:dyDescent="0.2">
      <c r="A29" s="300">
        <f t="shared" ref="A29:A60" si="5">A28+7</f>
        <v>43523</v>
      </c>
      <c r="B29" s="137">
        <f t="shared" ref="B29:B60" si="6">+B28+1</f>
        <v>39</v>
      </c>
      <c r="C29" s="209" t="str">
        <f>+'Prod-Bat'!AM30</f>
        <v/>
      </c>
      <c r="D29" s="139" t="str">
        <f>IF(C29="","",(SUM('Dem-Rec'!$C$8:$C$24)+SUM($C$8:C29))/$K$2)</f>
        <v/>
      </c>
      <c r="E29" s="140">
        <v>157</v>
      </c>
      <c r="F29" s="273" t="str">
        <f>IF('Prod-Bat'!AN30="","",'Prod-Bat'!AN30)</f>
        <v/>
      </c>
      <c r="G29" s="140">
        <v>3620</v>
      </c>
      <c r="H29" s="276" t="str">
        <f>IF('Prod-Bat'!AO30="","",'Prod-Bat'!AO30)</f>
        <v/>
      </c>
      <c r="I29" s="209" t="str">
        <f>+'Prod-Bat'!BT30</f>
        <v/>
      </c>
      <c r="J29" s="126" t="str">
        <f>IF(I29="","",(SUM('Dem-Rec'!$J$8:$J$24)+SUM($I$8:I29))/$K$3)</f>
        <v/>
      </c>
      <c r="K29" s="129">
        <v>138</v>
      </c>
      <c r="L29" s="262" t="str">
        <f>+'Prod-Bat'!BU30</f>
        <v/>
      </c>
      <c r="M29" s="140">
        <v>4215</v>
      </c>
      <c r="N29" s="266" t="str">
        <f>IF('Prod-Bat'!BV30="","",'Prod-Bat'!BV30)</f>
        <v/>
      </c>
      <c r="O29" s="130">
        <v>15</v>
      </c>
      <c r="P29" s="141"/>
      <c r="Q29" s="18"/>
      <c r="R29" s="293"/>
      <c r="T29" t="str">
        <f t="shared" si="1"/>
        <v/>
      </c>
      <c r="U29" s="358" t="str">
        <f t="shared" si="2"/>
        <v/>
      </c>
      <c r="V29">
        <f t="shared" si="3"/>
        <v>595</v>
      </c>
    </row>
    <row r="30" spans="1:22" ht="24" customHeight="1" x14ac:dyDescent="0.2">
      <c r="A30" s="300">
        <f t="shared" si="5"/>
        <v>43530</v>
      </c>
      <c r="B30" s="137">
        <f t="shared" si="6"/>
        <v>40</v>
      </c>
      <c r="C30" s="209" t="str">
        <f>+'Prod-Bat'!AM31</f>
        <v/>
      </c>
      <c r="D30" s="139" t="str">
        <f>IF(C30="","",(SUM('Dem-Rec'!$C$8:$C$24)+SUM($C$8:C30))/$K$2)</f>
        <v/>
      </c>
      <c r="E30" s="140">
        <v>156</v>
      </c>
      <c r="F30" s="273" t="str">
        <f>IF('Prod-Bat'!AN31="","",'Prod-Bat'!AN31)</f>
        <v/>
      </c>
      <c r="G30" s="140">
        <v>3640</v>
      </c>
      <c r="H30" s="276" t="str">
        <f>IF('Prod-Bat'!AO31="","",'Prod-Bat'!AO31)</f>
        <v/>
      </c>
      <c r="I30" s="209" t="str">
        <f>+'Prod-Bat'!BT31</f>
        <v/>
      </c>
      <c r="J30" s="126" t="str">
        <f>IF(I30="","",(SUM('Dem-Rec'!$J$8:$J$24)+SUM($I$8:I30))/$K$3)</f>
        <v/>
      </c>
      <c r="K30" s="129">
        <v>140</v>
      </c>
      <c r="L30" s="262" t="str">
        <f>+'Prod-Bat'!BU31</f>
        <v/>
      </c>
      <c r="M30" s="140">
        <v>4240</v>
      </c>
      <c r="N30" s="266" t="str">
        <f>IF('Prod-Bat'!BV31="","",'Prod-Bat'!BV31)</f>
        <v/>
      </c>
      <c r="O30" s="130">
        <v>15</v>
      </c>
      <c r="P30" s="141"/>
      <c r="Q30" s="18"/>
      <c r="R30" s="293"/>
      <c r="T30" t="str">
        <f t="shared" si="1"/>
        <v/>
      </c>
      <c r="U30" s="358" t="str">
        <f t="shared" si="2"/>
        <v/>
      </c>
      <c r="V30">
        <f t="shared" si="3"/>
        <v>600</v>
      </c>
    </row>
    <row r="31" spans="1:22" ht="24" customHeight="1" x14ac:dyDescent="0.2">
      <c r="A31" s="300">
        <f t="shared" si="5"/>
        <v>43537</v>
      </c>
      <c r="B31" s="137">
        <f t="shared" si="6"/>
        <v>41</v>
      </c>
      <c r="C31" s="209" t="str">
        <f>+'Prod-Bat'!AM32</f>
        <v/>
      </c>
      <c r="D31" s="139" t="str">
        <f>IF(C31="","",(SUM('Dem-Rec'!$C$8:$C$24)+SUM($C$8:C31))/$K$2)</f>
        <v/>
      </c>
      <c r="E31" s="140">
        <v>155</v>
      </c>
      <c r="F31" s="273" t="str">
        <f>IF('Prod-Bat'!AN32="","",'Prod-Bat'!AN32)</f>
        <v/>
      </c>
      <c r="G31" s="140">
        <v>3660</v>
      </c>
      <c r="H31" s="276" t="str">
        <f>IF('Prod-Bat'!AO32="","",'Prod-Bat'!AO32)</f>
        <v/>
      </c>
      <c r="I31" s="209" t="str">
        <f>+'Prod-Bat'!BT32</f>
        <v/>
      </c>
      <c r="J31" s="126" t="str">
        <f>IF(I31="","",(SUM('Dem-Rec'!$J$8:$J$24)+SUM($I$8:I31))/$K$3)</f>
        <v/>
      </c>
      <c r="K31" s="129">
        <v>140</v>
      </c>
      <c r="L31" s="262" t="str">
        <f>+'Prod-Bat'!BU32</f>
        <v/>
      </c>
      <c r="M31" s="140">
        <v>4260</v>
      </c>
      <c r="N31" s="266" t="str">
        <f>IF('Prod-Bat'!BV32="","",'Prod-Bat'!BV32)</f>
        <v/>
      </c>
      <c r="O31" s="130">
        <v>15</v>
      </c>
      <c r="P31" s="141"/>
      <c r="Q31" s="18"/>
      <c r="R31" s="293"/>
      <c r="T31" t="str">
        <f t="shared" si="1"/>
        <v/>
      </c>
      <c r="U31" s="358" t="str">
        <f t="shared" si="2"/>
        <v/>
      </c>
      <c r="V31">
        <f t="shared" si="3"/>
        <v>600</v>
      </c>
    </row>
    <row r="32" spans="1:22" ht="24" customHeight="1" x14ac:dyDescent="0.2">
      <c r="A32" s="300">
        <f t="shared" si="5"/>
        <v>43544</v>
      </c>
      <c r="B32" s="137">
        <f t="shared" si="6"/>
        <v>42</v>
      </c>
      <c r="C32" s="209" t="str">
        <f>+'Prod-Bat'!AM33</f>
        <v/>
      </c>
      <c r="D32" s="139" t="str">
        <f>IF(C32="","",(SUM('Dem-Rec'!$C$8:$C$24)+SUM($C$8:C32))/$K$2)</f>
        <v/>
      </c>
      <c r="E32" s="140">
        <v>154</v>
      </c>
      <c r="F32" s="273" t="str">
        <f>IF('Prod-Bat'!AN33="","",'Prod-Bat'!AN33)</f>
        <v/>
      </c>
      <c r="G32" s="140">
        <v>3675</v>
      </c>
      <c r="H32" s="276" t="str">
        <f>IF('Prod-Bat'!AO33="","",'Prod-Bat'!AO33)</f>
        <v/>
      </c>
      <c r="I32" s="209" t="str">
        <f>+'Prod-Bat'!BT33</f>
        <v/>
      </c>
      <c r="J32" s="126" t="str">
        <f>IF(I32="","",(SUM('Dem-Rec'!$J$8:$J$24)+SUM($I$8:I32))/$K$3)</f>
        <v/>
      </c>
      <c r="K32" s="129">
        <v>140</v>
      </c>
      <c r="L32" s="262" t="str">
        <f>+'Prod-Bat'!BU33</f>
        <v/>
      </c>
      <c r="M32" s="140">
        <v>4285</v>
      </c>
      <c r="N32" s="266" t="str">
        <f>IF('Prod-Bat'!BV33="","",'Prod-Bat'!BV33)</f>
        <v/>
      </c>
      <c r="O32" s="130">
        <v>15</v>
      </c>
      <c r="P32" s="141"/>
      <c r="Q32" s="18"/>
      <c r="R32" s="293"/>
      <c r="T32" t="str">
        <f t="shared" si="1"/>
        <v/>
      </c>
      <c r="U32" s="358" t="str">
        <f t="shared" si="2"/>
        <v/>
      </c>
      <c r="V32">
        <f t="shared" si="3"/>
        <v>610</v>
      </c>
    </row>
    <row r="33" spans="1:22" ht="24" customHeight="1" x14ac:dyDescent="0.2">
      <c r="A33" s="300">
        <f t="shared" si="5"/>
        <v>43551</v>
      </c>
      <c r="B33" s="137">
        <f t="shared" si="6"/>
        <v>43</v>
      </c>
      <c r="C33" s="209" t="str">
        <f>+'Prod-Bat'!AM34</f>
        <v/>
      </c>
      <c r="D33" s="139" t="str">
        <f>IF(C33="","",(SUM('Dem-Rec'!$C$8:$C$24)+SUM($C$8:C33))/$K$2)</f>
        <v/>
      </c>
      <c r="E33" s="140">
        <v>153</v>
      </c>
      <c r="F33" s="273" t="str">
        <f>IF('Prod-Bat'!AN34="","",'Prod-Bat'!AN34)</f>
        <v/>
      </c>
      <c r="G33" s="140">
        <v>3690</v>
      </c>
      <c r="H33" s="276" t="str">
        <f>IF('Prod-Bat'!AO34="","",'Prod-Bat'!AO34)</f>
        <v/>
      </c>
      <c r="I33" s="209" t="str">
        <f>+'Prod-Bat'!BT34</f>
        <v/>
      </c>
      <c r="J33" s="126" t="str">
        <f>IF(I33="","",(SUM('Dem-Rec'!$J$8:$J$24)+SUM($I$8:I33))/$K$3)</f>
        <v/>
      </c>
      <c r="K33" s="129">
        <v>140</v>
      </c>
      <c r="L33" s="262" t="str">
        <f>+'Prod-Bat'!BU34</f>
        <v/>
      </c>
      <c r="M33" s="140">
        <v>4305</v>
      </c>
      <c r="N33" s="266" t="str">
        <f>IF('Prod-Bat'!BV34="","",'Prod-Bat'!BV34)</f>
        <v/>
      </c>
      <c r="O33" s="130">
        <v>15</v>
      </c>
      <c r="P33" s="141"/>
      <c r="Q33" s="18"/>
      <c r="R33" s="293"/>
      <c r="T33" t="str">
        <f t="shared" si="1"/>
        <v/>
      </c>
      <c r="U33" s="358" t="str">
        <f t="shared" si="2"/>
        <v/>
      </c>
      <c r="V33">
        <f t="shared" si="3"/>
        <v>615</v>
      </c>
    </row>
    <row r="34" spans="1:22" ht="24" customHeight="1" x14ac:dyDescent="0.2">
      <c r="A34" s="300">
        <f t="shared" si="5"/>
        <v>43558</v>
      </c>
      <c r="B34" s="137">
        <f t="shared" si="6"/>
        <v>44</v>
      </c>
      <c r="C34" s="209" t="str">
        <f>+'Prod-Bat'!AM35</f>
        <v/>
      </c>
      <c r="D34" s="139" t="str">
        <f>IF(C34="","",(SUM('Dem-Rec'!$C$8:$C$24)+SUM($C$8:C34))/$K$2)</f>
        <v/>
      </c>
      <c r="E34" s="140">
        <v>152</v>
      </c>
      <c r="F34" s="273" t="str">
        <f>IF('Prod-Bat'!AN35="","",'Prod-Bat'!AN35)</f>
        <v/>
      </c>
      <c r="G34" s="140">
        <v>3705</v>
      </c>
      <c r="H34" s="276" t="str">
        <f>IF('Prod-Bat'!AO35="","",'Prod-Bat'!AO35)</f>
        <v/>
      </c>
      <c r="I34" s="209" t="str">
        <f>+'Prod-Bat'!BT35</f>
        <v/>
      </c>
      <c r="J34" s="126" t="str">
        <f>IF(I34="","",(SUM('Dem-Rec'!$J$8:$J$24)+SUM($I$8:I34))/$K$3)</f>
        <v/>
      </c>
      <c r="K34" s="129">
        <v>140</v>
      </c>
      <c r="L34" s="262" t="str">
        <f>+'Prod-Bat'!BU35</f>
        <v/>
      </c>
      <c r="M34" s="140">
        <v>4330</v>
      </c>
      <c r="N34" s="266" t="str">
        <f>IF('Prod-Bat'!BV35="","",'Prod-Bat'!BV35)</f>
        <v/>
      </c>
      <c r="O34" s="130">
        <v>15</v>
      </c>
      <c r="P34" s="141"/>
      <c r="Q34" s="18"/>
      <c r="R34" s="293"/>
      <c r="T34" t="str">
        <f t="shared" si="1"/>
        <v/>
      </c>
      <c r="U34" s="358" t="str">
        <f t="shared" si="2"/>
        <v/>
      </c>
      <c r="V34">
        <f t="shared" si="3"/>
        <v>625</v>
      </c>
    </row>
    <row r="35" spans="1:22" ht="24" customHeight="1" x14ac:dyDescent="0.2">
      <c r="A35" s="300">
        <f t="shared" si="5"/>
        <v>43565</v>
      </c>
      <c r="B35" s="137">
        <f t="shared" si="6"/>
        <v>45</v>
      </c>
      <c r="C35" s="209" t="str">
        <f>+'Prod-Bat'!AM36</f>
        <v/>
      </c>
      <c r="D35" s="139" t="str">
        <f>IF(C35="","",(SUM('Dem-Rec'!$C$8:$C$24)+SUM($C$8:C35))/$K$2)</f>
        <v/>
      </c>
      <c r="E35" s="140">
        <v>151</v>
      </c>
      <c r="F35" s="273" t="str">
        <f>IF('Prod-Bat'!AN36="","",'Prod-Bat'!AN36)</f>
        <v/>
      </c>
      <c r="G35" s="140">
        <v>3720</v>
      </c>
      <c r="H35" s="276" t="str">
        <f>IF('Prod-Bat'!AO36="","",'Prod-Bat'!AO36)</f>
        <v/>
      </c>
      <c r="I35" s="209" t="str">
        <f>+'Prod-Bat'!BT36</f>
        <v/>
      </c>
      <c r="J35" s="126" t="str">
        <f>IF(I35="","",(SUM('Dem-Rec'!$J$8:$J$24)+SUM($I$8:I35))/$K$3)</f>
        <v/>
      </c>
      <c r="K35" s="129">
        <v>142</v>
      </c>
      <c r="L35" s="262" t="str">
        <f>+'Prod-Bat'!BU36</f>
        <v/>
      </c>
      <c r="M35" s="140">
        <v>4350</v>
      </c>
      <c r="N35" s="266" t="str">
        <f>IF('Prod-Bat'!BV36="","",'Prod-Bat'!BV36)</f>
        <v/>
      </c>
      <c r="O35" s="130">
        <v>15</v>
      </c>
      <c r="P35" s="141"/>
      <c r="Q35" s="18"/>
      <c r="R35" s="293"/>
      <c r="T35" t="str">
        <f t="shared" si="1"/>
        <v/>
      </c>
      <c r="U35" s="358" t="str">
        <f t="shared" si="2"/>
        <v/>
      </c>
      <c r="V35">
        <f t="shared" si="3"/>
        <v>630</v>
      </c>
    </row>
    <row r="36" spans="1:22" ht="24" customHeight="1" x14ac:dyDescent="0.2">
      <c r="A36" s="300">
        <f t="shared" si="5"/>
        <v>43572</v>
      </c>
      <c r="B36" s="137">
        <f t="shared" si="6"/>
        <v>46</v>
      </c>
      <c r="C36" s="209" t="str">
        <f>+'Prod-Bat'!AM37</f>
        <v/>
      </c>
      <c r="D36" s="139" t="str">
        <f>IF(C36="","",(SUM('Dem-Rec'!$C$8:$C$24)+SUM($C$8:C36))/$K$2)</f>
        <v/>
      </c>
      <c r="E36" s="140">
        <v>150</v>
      </c>
      <c r="F36" s="273" t="str">
        <f>IF('Prod-Bat'!AN37="","",'Prod-Bat'!AN37)</f>
        <v/>
      </c>
      <c r="G36" s="140">
        <v>3735</v>
      </c>
      <c r="H36" s="276" t="str">
        <f>IF('Prod-Bat'!AO37="","",'Prod-Bat'!AO37)</f>
        <v/>
      </c>
      <c r="I36" s="209" t="str">
        <f>+'Prod-Bat'!BT37</f>
        <v/>
      </c>
      <c r="J36" s="126" t="str">
        <f>IF(I36="","",(SUM('Dem-Rec'!$J$8:$J$24)+SUM($I$8:I36))/$K$3)</f>
        <v/>
      </c>
      <c r="K36" s="129">
        <v>142</v>
      </c>
      <c r="L36" s="262" t="str">
        <f>+'Prod-Bat'!BU37</f>
        <v/>
      </c>
      <c r="M36" s="140">
        <v>4370</v>
      </c>
      <c r="N36" s="266" t="str">
        <f>IF('Prod-Bat'!BV37="","",'Prod-Bat'!BV37)</f>
        <v/>
      </c>
      <c r="O36" s="130">
        <v>15</v>
      </c>
      <c r="P36" s="141"/>
      <c r="Q36" s="18"/>
      <c r="R36" s="293"/>
      <c r="T36" t="str">
        <f t="shared" si="1"/>
        <v/>
      </c>
      <c r="U36" s="358" t="str">
        <f t="shared" si="2"/>
        <v/>
      </c>
      <c r="V36">
        <f t="shared" si="3"/>
        <v>635</v>
      </c>
    </row>
    <row r="37" spans="1:22" ht="24" customHeight="1" x14ac:dyDescent="0.2">
      <c r="A37" s="300">
        <f t="shared" si="5"/>
        <v>43579</v>
      </c>
      <c r="B37" s="137">
        <f t="shared" si="6"/>
        <v>47</v>
      </c>
      <c r="C37" s="209" t="str">
        <f>+'Prod-Bat'!AM38</f>
        <v/>
      </c>
      <c r="D37" s="139" t="str">
        <f>IF(C37="","",(SUM('Dem-Rec'!$C$8:$C$24)+SUM($C$8:C37))/$K$2)</f>
        <v/>
      </c>
      <c r="E37" s="140">
        <v>150</v>
      </c>
      <c r="F37" s="273" t="str">
        <f>IF('Prod-Bat'!AN38="","",'Prod-Bat'!AN38)</f>
        <v/>
      </c>
      <c r="G37" s="140">
        <v>3750</v>
      </c>
      <c r="H37" s="276" t="str">
        <f>IF('Prod-Bat'!AO38="","",'Prod-Bat'!AO38)</f>
        <v/>
      </c>
      <c r="I37" s="209" t="str">
        <f>+'Prod-Bat'!BT38</f>
        <v/>
      </c>
      <c r="J37" s="126" t="str">
        <f>IF(I37="","",(SUM('Dem-Rec'!$J$8:$J$24)+SUM($I$8:I37))/$K$3)</f>
        <v/>
      </c>
      <c r="K37" s="129">
        <v>142</v>
      </c>
      <c r="L37" s="262" t="str">
        <f>+'Prod-Bat'!BU38</f>
        <v/>
      </c>
      <c r="M37" s="140">
        <v>4395</v>
      </c>
      <c r="N37" s="266" t="str">
        <f>IF('Prod-Bat'!BV38="","",'Prod-Bat'!BV38)</f>
        <v/>
      </c>
      <c r="O37" s="130">
        <v>15</v>
      </c>
      <c r="P37" s="141"/>
      <c r="Q37" s="18"/>
      <c r="R37" s="293"/>
      <c r="T37" t="str">
        <f t="shared" si="1"/>
        <v/>
      </c>
      <c r="U37" s="358" t="str">
        <f t="shared" si="2"/>
        <v/>
      </c>
      <c r="V37">
        <f t="shared" si="3"/>
        <v>645</v>
      </c>
    </row>
    <row r="38" spans="1:22" ht="24" customHeight="1" x14ac:dyDescent="0.2">
      <c r="A38" s="300">
        <f t="shared" si="5"/>
        <v>43586</v>
      </c>
      <c r="B38" s="137">
        <f t="shared" si="6"/>
        <v>48</v>
      </c>
      <c r="C38" s="209" t="str">
        <f>+'Prod-Bat'!AM39</f>
        <v/>
      </c>
      <c r="D38" s="139" t="str">
        <f>IF(C38="","",(SUM('Dem-Rec'!$C$8:$C$24)+SUM($C$8:C38))/$K$2)</f>
        <v/>
      </c>
      <c r="E38" s="140">
        <v>149</v>
      </c>
      <c r="F38" s="273" t="str">
        <f>IF('Prod-Bat'!AN39="","",'Prod-Bat'!AN39)</f>
        <v/>
      </c>
      <c r="G38" s="140">
        <v>3765</v>
      </c>
      <c r="H38" s="276" t="str">
        <f>IF('Prod-Bat'!AO39="","",'Prod-Bat'!AO39)</f>
        <v/>
      </c>
      <c r="I38" s="209" t="str">
        <f>+'Prod-Bat'!BT39</f>
        <v/>
      </c>
      <c r="J38" s="126" t="str">
        <f>IF(I38="","",(SUM('Dem-Rec'!$J$8:$J$24)+SUM($I$8:I38))/$K$3)</f>
        <v/>
      </c>
      <c r="K38" s="129">
        <v>142</v>
      </c>
      <c r="L38" s="262" t="str">
        <f>+'Prod-Bat'!BU39</f>
        <v/>
      </c>
      <c r="M38" s="140">
        <v>4415</v>
      </c>
      <c r="N38" s="266" t="str">
        <f>IF('Prod-Bat'!BV39="","",'Prod-Bat'!BV39)</f>
        <v/>
      </c>
      <c r="O38" s="130">
        <v>15</v>
      </c>
      <c r="P38" s="141"/>
      <c r="Q38" s="18"/>
      <c r="R38" s="293"/>
      <c r="T38" t="str">
        <f t="shared" si="1"/>
        <v/>
      </c>
      <c r="U38" s="358" t="str">
        <f t="shared" si="2"/>
        <v/>
      </c>
      <c r="V38">
        <f t="shared" si="3"/>
        <v>650</v>
      </c>
    </row>
    <row r="39" spans="1:22" ht="24" customHeight="1" x14ac:dyDescent="0.2">
      <c r="A39" s="300">
        <f t="shared" si="5"/>
        <v>43593</v>
      </c>
      <c r="B39" s="137">
        <f t="shared" si="6"/>
        <v>49</v>
      </c>
      <c r="C39" s="209" t="str">
        <f>+'Prod-Bat'!AM40</f>
        <v/>
      </c>
      <c r="D39" s="139" t="str">
        <f>IF(C39="","",(SUM('Dem-Rec'!$C$8:$C$24)+SUM($C$8:C39))/$K$2)</f>
        <v/>
      </c>
      <c r="E39" s="140">
        <v>149</v>
      </c>
      <c r="F39" s="273" t="str">
        <f>IF('Prod-Bat'!AN40="","",'Prod-Bat'!AN40)</f>
        <v/>
      </c>
      <c r="G39" s="140">
        <v>3780</v>
      </c>
      <c r="H39" s="276" t="str">
        <f>IF('Prod-Bat'!AO40="","",'Prod-Bat'!AO40)</f>
        <v/>
      </c>
      <c r="I39" s="209" t="str">
        <f>+'Prod-Bat'!BT40</f>
        <v/>
      </c>
      <c r="J39" s="126" t="str">
        <f>IF(I39="","",(SUM('Dem-Rec'!$J$8:$J$24)+SUM($I$8:I39))/$K$3)</f>
        <v/>
      </c>
      <c r="K39" s="129">
        <v>142</v>
      </c>
      <c r="L39" s="262" t="str">
        <f>+'Prod-Bat'!BU40</f>
        <v/>
      </c>
      <c r="M39" s="140">
        <v>4440</v>
      </c>
      <c r="N39" s="266" t="str">
        <f>IF('Prod-Bat'!BV40="","",'Prod-Bat'!BV40)</f>
        <v/>
      </c>
      <c r="O39" s="130">
        <v>15</v>
      </c>
      <c r="P39" s="141"/>
      <c r="Q39" s="18"/>
      <c r="R39" s="293"/>
      <c r="T39" t="str">
        <f t="shared" si="1"/>
        <v/>
      </c>
      <c r="U39" s="358" t="str">
        <f t="shared" si="2"/>
        <v/>
      </c>
      <c r="V39">
        <f t="shared" si="3"/>
        <v>660</v>
      </c>
    </row>
    <row r="40" spans="1:22" ht="24" customHeight="1" x14ac:dyDescent="0.2">
      <c r="A40" s="300">
        <f t="shared" si="5"/>
        <v>43600</v>
      </c>
      <c r="B40" s="137">
        <f t="shared" si="6"/>
        <v>50</v>
      </c>
      <c r="C40" s="209" t="str">
        <f>+'Prod-Bat'!AM41</f>
        <v/>
      </c>
      <c r="D40" s="139" t="str">
        <f>IF(C40="","",(SUM('Dem-Rec'!$C$8:$C$24)+SUM($C$8:C40))/$K$2)</f>
        <v/>
      </c>
      <c r="E40" s="140">
        <v>148</v>
      </c>
      <c r="F40" s="273" t="str">
        <f>IF('Prod-Bat'!AN41="","",'Prod-Bat'!AN41)</f>
        <v/>
      </c>
      <c r="G40" s="140">
        <v>3795</v>
      </c>
      <c r="H40" s="276" t="str">
        <f>IF('Prod-Bat'!AO41="","",'Prod-Bat'!AO41)</f>
        <v/>
      </c>
      <c r="I40" s="209" t="str">
        <f>+'Prod-Bat'!BT41</f>
        <v/>
      </c>
      <c r="J40" s="126" t="str">
        <f>IF(I40="","",(SUM('Dem-Rec'!$J$8:$J$24)+SUM($I$8:I40))/$K$3)</f>
        <v/>
      </c>
      <c r="K40" s="129">
        <v>144</v>
      </c>
      <c r="L40" s="262" t="str">
        <f>+'Prod-Bat'!BU41</f>
        <v/>
      </c>
      <c r="M40" s="140">
        <v>4460</v>
      </c>
      <c r="N40" s="266" t="str">
        <f>IF('Prod-Bat'!BV41="","",'Prod-Bat'!BV41)</f>
        <v/>
      </c>
      <c r="O40" s="130">
        <v>15</v>
      </c>
      <c r="P40" s="141"/>
      <c r="Q40" s="18"/>
      <c r="R40" s="293"/>
      <c r="T40" t="str">
        <f t="shared" si="1"/>
        <v/>
      </c>
      <c r="U40" s="358" t="str">
        <f t="shared" si="2"/>
        <v/>
      </c>
      <c r="V40">
        <f t="shared" si="3"/>
        <v>665</v>
      </c>
    </row>
    <row r="41" spans="1:22" ht="24" customHeight="1" x14ac:dyDescent="0.2">
      <c r="A41" s="300">
        <f t="shared" si="5"/>
        <v>43607</v>
      </c>
      <c r="B41" s="137">
        <f t="shared" si="6"/>
        <v>51</v>
      </c>
      <c r="C41" s="209" t="str">
        <f>+'Prod-Bat'!AM42</f>
        <v/>
      </c>
      <c r="D41" s="139" t="str">
        <f>IF(C41="","",(SUM('Dem-Rec'!$C$8:$C$24)+SUM($C$8:C41))/$K$2)</f>
        <v/>
      </c>
      <c r="E41" s="140">
        <v>148</v>
      </c>
      <c r="F41" s="273" t="str">
        <f>IF('Prod-Bat'!AN42="","",'Prod-Bat'!AN42)</f>
        <v/>
      </c>
      <c r="G41" s="140">
        <v>3810</v>
      </c>
      <c r="H41" s="276" t="str">
        <f>IF('Prod-Bat'!AO42="","",'Prod-Bat'!AO42)</f>
        <v/>
      </c>
      <c r="I41" s="209" t="str">
        <f>+'Prod-Bat'!BT42</f>
        <v/>
      </c>
      <c r="J41" s="126" t="str">
        <f>IF(I41="","",(SUM('Dem-Rec'!$J$8:$J$24)+SUM($I$8:I41))/$K$3)</f>
        <v/>
      </c>
      <c r="K41" s="129">
        <v>144</v>
      </c>
      <c r="L41" s="262" t="str">
        <f>+'Prod-Bat'!BU42</f>
        <v/>
      </c>
      <c r="M41" s="140">
        <v>4485</v>
      </c>
      <c r="N41" s="266" t="str">
        <f>IF('Prod-Bat'!BV42="","",'Prod-Bat'!BV42)</f>
        <v/>
      </c>
      <c r="O41" s="130">
        <v>15</v>
      </c>
      <c r="P41" s="141"/>
      <c r="Q41" s="18"/>
      <c r="R41" s="293"/>
      <c r="T41" t="str">
        <f t="shared" si="1"/>
        <v/>
      </c>
      <c r="U41" s="358" t="str">
        <f t="shared" si="2"/>
        <v/>
      </c>
      <c r="V41">
        <f t="shared" si="3"/>
        <v>675</v>
      </c>
    </row>
    <row r="42" spans="1:22" ht="24" customHeight="1" x14ac:dyDescent="0.2">
      <c r="A42" s="300">
        <f t="shared" si="5"/>
        <v>43614</v>
      </c>
      <c r="B42" s="137">
        <f t="shared" si="6"/>
        <v>52</v>
      </c>
      <c r="C42" s="209" t="str">
        <f>+'Prod-Bat'!AM43</f>
        <v/>
      </c>
      <c r="D42" s="139" t="str">
        <f>IF(C42="","",(SUM('Dem-Rec'!$C$8:$C$24)+SUM($C$8:C42))/$K$2)</f>
        <v/>
      </c>
      <c r="E42" s="140">
        <v>147</v>
      </c>
      <c r="F42" s="273" t="str">
        <f>IF('Prod-Bat'!AN43="","",'Prod-Bat'!AN43)</f>
        <v/>
      </c>
      <c r="G42" s="140">
        <v>3820</v>
      </c>
      <c r="H42" s="276" t="str">
        <f>IF('Prod-Bat'!AO43="","",'Prod-Bat'!AO43)</f>
        <v/>
      </c>
      <c r="I42" s="209" t="str">
        <f>+'Prod-Bat'!BT43</f>
        <v/>
      </c>
      <c r="J42" s="126" t="str">
        <f>IF(I42="","",(SUM('Dem-Rec'!$J$8:$J$24)+SUM($I$8:I42))/$K$3)</f>
        <v/>
      </c>
      <c r="K42" s="129">
        <v>144</v>
      </c>
      <c r="L42" s="262" t="str">
        <f>+'Prod-Bat'!BU43</f>
        <v/>
      </c>
      <c r="M42" s="140">
        <v>4505</v>
      </c>
      <c r="N42" s="266" t="str">
        <f>IF('Prod-Bat'!BV43="","",'Prod-Bat'!BV43)</f>
        <v/>
      </c>
      <c r="O42" s="130">
        <v>15</v>
      </c>
      <c r="P42" s="141"/>
      <c r="Q42" s="18"/>
      <c r="R42" s="293"/>
      <c r="T42" t="str">
        <f t="shared" si="1"/>
        <v/>
      </c>
      <c r="U42" s="358" t="str">
        <f t="shared" si="2"/>
        <v/>
      </c>
      <c r="V42">
        <f t="shared" si="3"/>
        <v>685</v>
      </c>
    </row>
    <row r="43" spans="1:22" ht="24" customHeight="1" x14ac:dyDescent="0.2">
      <c r="A43" s="300">
        <f t="shared" si="5"/>
        <v>43621</v>
      </c>
      <c r="B43" s="137">
        <f t="shared" si="6"/>
        <v>53</v>
      </c>
      <c r="C43" s="209" t="str">
        <f>+'Prod-Bat'!AM44</f>
        <v/>
      </c>
      <c r="D43" s="139" t="str">
        <f>IF(C43="","",(SUM('Dem-Rec'!$C$8:$C$24)+SUM($C$8:C43))/$K$2)</f>
        <v/>
      </c>
      <c r="E43" s="140">
        <v>147</v>
      </c>
      <c r="F43" s="273" t="str">
        <f>IF('Prod-Bat'!AN44="","",'Prod-Bat'!AN44)</f>
        <v/>
      </c>
      <c r="G43" s="140">
        <v>3830</v>
      </c>
      <c r="H43" s="276" t="str">
        <f>IF('Prod-Bat'!AO44="","",'Prod-Bat'!AO44)</f>
        <v/>
      </c>
      <c r="I43" s="209" t="str">
        <f>+'Prod-Bat'!BT44</f>
        <v/>
      </c>
      <c r="J43" s="126" t="str">
        <f>IF(I43="","",(SUM('Dem-Rec'!$J$8:$J$24)+SUM($I$8:I43))/$K$3)</f>
        <v/>
      </c>
      <c r="K43" s="129">
        <v>144</v>
      </c>
      <c r="L43" s="262" t="str">
        <f>+'Prod-Bat'!BU44</f>
        <v/>
      </c>
      <c r="M43" s="140">
        <v>4530</v>
      </c>
      <c r="N43" s="266" t="str">
        <f>IF('Prod-Bat'!BV44="","",'Prod-Bat'!BV44)</f>
        <v/>
      </c>
      <c r="O43" s="130">
        <v>15</v>
      </c>
      <c r="P43" s="141"/>
      <c r="Q43" s="18"/>
      <c r="R43" s="293"/>
      <c r="T43" t="str">
        <f t="shared" si="1"/>
        <v/>
      </c>
      <c r="U43" s="358" t="str">
        <f t="shared" si="2"/>
        <v/>
      </c>
      <c r="V43">
        <f t="shared" si="3"/>
        <v>700</v>
      </c>
    </row>
    <row r="44" spans="1:22" ht="24" customHeight="1" x14ac:dyDescent="0.2">
      <c r="A44" s="300">
        <f t="shared" si="5"/>
        <v>43628</v>
      </c>
      <c r="B44" s="137">
        <f t="shared" si="6"/>
        <v>54</v>
      </c>
      <c r="C44" s="209" t="str">
        <f>+'Prod-Bat'!AM45</f>
        <v/>
      </c>
      <c r="D44" s="139" t="str">
        <f>IF(C44="","",(SUM('Dem-Rec'!$C$8:$C$24)+SUM($C$8:C44))/$K$2)</f>
        <v/>
      </c>
      <c r="E44" s="140">
        <v>146</v>
      </c>
      <c r="F44" s="273" t="str">
        <f>IF('Prod-Bat'!AN45="","",'Prod-Bat'!AN45)</f>
        <v/>
      </c>
      <c r="G44" s="140">
        <v>3840</v>
      </c>
      <c r="H44" s="276" t="str">
        <f>IF('Prod-Bat'!AO45="","",'Prod-Bat'!AO45)</f>
        <v/>
      </c>
      <c r="I44" s="209" t="str">
        <f>+'Prod-Bat'!BT45</f>
        <v/>
      </c>
      <c r="J44" s="126" t="str">
        <f>IF(I44="","",(SUM('Dem-Rec'!$J$8:$J$24)+SUM($I$8:I44))/$K$3)</f>
        <v/>
      </c>
      <c r="K44" s="129">
        <v>144</v>
      </c>
      <c r="L44" s="262" t="str">
        <f>+'Prod-Bat'!BU45</f>
        <v/>
      </c>
      <c r="M44" s="140">
        <v>4550</v>
      </c>
      <c r="N44" s="266" t="str">
        <f>IF('Prod-Bat'!BV45="","",'Prod-Bat'!BV45)</f>
        <v/>
      </c>
      <c r="O44" s="130">
        <v>15</v>
      </c>
      <c r="P44" s="141"/>
      <c r="Q44" s="18"/>
      <c r="R44" s="293"/>
      <c r="T44" t="str">
        <f t="shared" si="1"/>
        <v/>
      </c>
      <c r="U44" s="358" t="str">
        <f t="shared" si="2"/>
        <v/>
      </c>
      <c r="V44">
        <f t="shared" si="3"/>
        <v>710</v>
      </c>
    </row>
    <row r="45" spans="1:22" ht="24" customHeight="1" x14ac:dyDescent="0.2">
      <c r="A45" s="300">
        <f t="shared" si="5"/>
        <v>43635</v>
      </c>
      <c r="B45" s="137">
        <f t="shared" si="6"/>
        <v>55</v>
      </c>
      <c r="C45" s="209" t="str">
        <f>+'Prod-Bat'!AM46</f>
        <v/>
      </c>
      <c r="D45" s="139" t="str">
        <f>IF(C45="","",(SUM('Dem-Rec'!$C$8:$C$24)+SUM($C$8:C45))/$K$2)</f>
        <v/>
      </c>
      <c r="E45" s="140">
        <v>146</v>
      </c>
      <c r="F45" s="273" t="str">
        <f>IF('Prod-Bat'!AN46="","",'Prod-Bat'!AN46)</f>
        <v/>
      </c>
      <c r="G45" s="140">
        <v>3850</v>
      </c>
      <c r="H45" s="276" t="str">
        <f>IF('Prod-Bat'!AO46="","",'Prod-Bat'!AO46)</f>
        <v/>
      </c>
      <c r="I45" s="209" t="str">
        <f>+'Prod-Bat'!BT46</f>
        <v/>
      </c>
      <c r="J45" s="126" t="str">
        <f>IF(I45="","",(SUM('Dem-Rec'!$J$8:$J$24)+SUM($I$8:I45))/$K$3)</f>
        <v/>
      </c>
      <c r="K45" s="129">
        <v>146</v>
      </c>
      <c r="L45" s="262" t="str">
        <f>+'Prod-Bat'!BU46</f>
        <v/>
      </c>
      <c r="M45" s="140">
        <v>4575</v>
      </c>
      <c r="N45" s="266" t="str">
        <f>IF('Prod-Bat'!BV46="","",'Prod-Bat'!BV46)</f>
        <v/>
      </c>
      <c r="O45" s="130">
        <v>15</v>
      </c>
      <c r="P45" s="141"/>
      <c r="Q45" s="18"/>
      <c r="R45" s="293"/>
      <c r="T45" t="str">
        <f t="shared" si="1"/>
        <v/>
      </c>
      <c r="U45" s="358" t="str">
        <f t="shared" si="2"/>
        <v/>
      </c>
      <c r="V45">
        <f t="shared" si="3"/>
        <v>725</v>
      </c>
    </row>
    <row r="46" spans="1:22" ht="24" customHeight="1" x14ac:dyDescent="0.2">
      <c r="A46" s="300">
        <f t="shared" si="5"/>
        <v>43642</v>
      </c>
      <c r="B46" s="137">
        <f t="shared" si="6"/>
        <v>56</v>
      </c>
      <c r="C46" s="209" t="str">
        <f>+'Prod-Bat'!AM47</f>
        <v/>
      </c>
      <c r="D46" s="139" t="str">
        <f>IF(C46="","",(SUM('Dem-Rec'!$C$8:$C$24)+SUM($C$8:C46))/$K$2)</f>
        <v/>
      </c>
      <c r="E46" s="140">
        <v>145</v>
      </c>
      <c r="F46" s="273" t="str">
        <f>IF('Prod-Bat'!AN47="","",'Prod-Bat'!AN47)</f>
        <v/>
      </c>
      <c r="G46" s="140">
        <v>3860</v>
      </c>
      <c r="H46" s="276" t="str">
        <f>IF('Prod-Bat'!AO47="","",'Prod-Bat'!AO47)</f>
        <v/>
      </c>
      <c r="I46" s="209" t="str">
        <f>+'Prod-Bat'!BT47</f>
        <v/>
      </c>
      <c r="J46" s="126" t="str">
        <f>IF(I46="","",(SUM('Dem-Rec'!$J$8:$J$24)+SUM($I$8:I46))/$K$3)</f>
        <v/>
      </c>
      <c r="K46" s="129">
        <v>146</v>
      </c>
      <c r="L46" s="262" t="str">
        <f>+'Prod-Bat'!BU47</f>
        <v/>
      </c>
      <c r="M46" s="140">
        <v>4595</v>
      </c>
      <c r="N46" s="266" t="str">
        <f>IF('Prod-Bat'!BV47="","",'Prod-Bat'!BV47)</f>
        <v/>
      </c>
      <c r="O46" s="130">
        <v>15</v>
      </c>
      <c r="P46" s="141"/>
      <c r="Q46" s="18"/>
      <c r="R46" s="293"/>
      <c r="T46" t="str">
        <f t="shared" si="1"/>
        <v/>
      </c>
      <c r="U46" s="358" t="str">
        <f t="shared" si="2"/>
        <v/>
      </c>
      <c r="V46">
        <f t="shared" si="3"/>
        <v>735</v>
      </c>
    </row>
    <row r="47" spans="1:22" ht="24" customHeight="1" x14ac:dyDescent="0.2">
      <c r="A47" s="300">
        <f t="shared" si="5"/>
        <v>43649</v>
      </c>
      <c r="B47" s="137">
        <f t="shared" si="6"/>
        <v>57</v>
      </c>
      <c r="C47" s="209" t="str">
        <f>+'Prod-Bat'!AM48</f>
        <v/>
      </c>
      <c r="D47" s="139" t="str">
        <f>IF(C47="","",(SUM('Dem-Rec'!$C$8:$C$24)+SUM($C$8:C47))/$K$2)</f>
        <v/>
      </c>
      <c r="E47" s="140">
        <v>145</v>
      </c>
      <c r="F47" s="273" t="str">
        <f>IF('Prod-Bat'!AN48="","",'Prod-Bat'!AN48)</f>
        <v/>
      </c>
      <c r="G47" s="140">
        <v>3870</v>
      </c>
      <c r="H47" s="276" t="str">
        <f>IF('Prod-Bat'!AO48="","",'Prod-Bat'!AO48)</f>
        <v/>
      </c>
      <c r="I47" s="209" t="str">
        <f>+'Prod-Bat'!BT48</f>
        <v/>
      </c>
      <c r="J47" s="126" t="str">
        <f>IF(I47="","",(SUM('Dem-Rec'!$J$8:$J$24)+SUM($I$8:I47))/$K$3)</f>
        <v/>
      </c>
      <c r="K47" s="129">
        <v>146</v>
      </c>
      <c r="L47" s="262" t="str">
        <f>+'Prod-Bat'!BU48</f>
        <v/>
      </c>
      <c r="M47" s="140">
        <v>4615</v>
      </c>
      <c r="N47" s="266" t="str">
        <f>IF('Prod-Bat'!BV48="","",'Prod-Bat'!BV48)</f>
        <v/>
      </c>
      <c r="O47" s="130">
        <v>15</v>
      </c>
      <c r="P47" s="141"/>
      <c r="Q47" s="18"/>
      <c r="R47" s="293"/>
      <c r="T47" t="str">
        <f t="shared" si="1"/>
        <v/>
      </c>
      <c r="U47" s="358" t="str">
        <f t="shared" si="2"/>
        <v/>
      </c>
      <c r="V47">
        <f t="shared" si="3"/>
        <v>745</v>
      </c>
    </row>
    <row r="48" spans="1:22" ht="24" customHeight="1" x14ac:dyDescent="0.2">
      <c r="A48" s="300">
        <f t="shared" si="5"/>
        <v>43656</v>
      </c>
      <c r="B48" s="137">
        <f t="shared" si="6"/>
        <v>58</v>
      </c>
      <c r="C48" s="209" t="str">
        <f>+'Prod-Bat'!AM49</f>
        <v/>
      </c>
      <c r="D48" s="139" t="str">
        <f>IF(C48="","",(SUM('Dem-Rec'!$C$8:$C$24)+SUM($C$8:C48))/$K$2)</f>
        <v/>
      </c>
      <c r="E48" s="140">
        <v>145</v>
      </c>
      <c r="F48" s="273" t="str">
        <f>IF('Prod-Bat'!AN49="","",'Prod-Bat'!AN49)</f>
        <v/>
      </c>
      <c r="G48" s="140">
        <v>3880</v>
      </c>
      <c r="H48" s="276" t="str">
        <f>IF('Prod-Bat'!AO49="","",'Prod-Bat'!AO49)</f>
        <v/>
      </c>
      <c r="I48" s="209" t="str">
        <f>+'Prod-Bat'!BT49</f>
        <v/>
      </c>
      <c r="J48" s="126" t="str">
        <f>IF(I48="","",(SUM('Dem-Rec'!$J$8:$J$24)+SUM($I$8:I48))/$K$3)</f>
        <v/>
      </c>
      <c r="K48" s="129">
        <v>146</v>
      </c>
      <c r="L48" s="262" t="str">
        <f>+'Prod-Bat'!BU49</f>
        <v/>
      </c>
      <c r="M48" s="140">
        <v>4640</v>
      </c>
      <c r="N48" s="266" t="str">
        <f>IF('Prod-Bat'!BV49="","",'Prod-Bat'!BV49)</f>
        <v/>
      </c>
      <c r="O48" s="130">
        <v>15</v>
      </c>
      <c r="P48" s="141"/>
      <c r="Q48" s="18"/>
      <c r="R48" s="293"/>
      <c r="T48" t="str">
        <f t="shared" si="1"/>
        <v/>
      </c>
      <c r="U48" s="358" t="str">
        <f t="shared" si="2"/>
        <v/>
      </c>
      <c r="V48">
        <f t="shared" si="3"/>
        <v>760</v>
      </c>
    </row>
    <row r="49" spans="1:22" ht="24" customHeight="1" x14ac:dyDescent="0.2">
      <c r="A49" s="300">
        <f t="shared" si="5"/>
        <v>43663</v>
      </c>
      <c r="B49" s="137">
        <f t="shared" si="6"/>
        <v>59</v>
      </c>
      <c r="C49" s="209" t="str">
        <f>+'Prod-Bat'!AM50</f>
        <v/>
      </c>
      <c r="D49" s="139" t="str">
        <f>IF(C49="","",(SUM('Dem-Rec'!$C$8:$C$24)+SUM($C$8:C49))/$K$2)</f>
        <v/>
      </c>
      <c r="E49" s="140">
        <v>145</v>
      </c>
      <c r="F49" s="273" t="str">
        <f>IF('Prod-Bat'!AN50="","",'Prod-Bat'!AN50)</f>
        <v/>
      </c>
      <c r="G49" s="140">
        <v>3890</v>
      </c>
      <c r="H49" s="276" t="str">
        <f>IF('Prod-Bat'!AO50="","",'Prod-Bat'!AO50)</f>
        <v/>
      </c>
      <c r="I49" s="209" t="str">
        <f>+'Prod-Bat'!BT50</f>
        <v/>
      </c>
      <c r="J49" s="126" t="str">
        <f>IF(I49="","",(SUM('Dem-Rec'!$J$8:$J$24)+SUM($I$8:I49))/$K$3)</f>
        <v/>
      </c>
      <c r="K49" s="129">
        <v>146</v>
      </c>
      <c r="L49" s="262" t="str">
        <f>+'Prod-Bat'!BU50</f>
        <v/>
      </c>
      <c r="M49" s="140">
        <v>4660</v>
      </c>
      <c r="N49" s="266" t="str">
        <f>IF('Prod-Bat'!BV50="","",'Prod-Bat'!BV50)</f>
        <v/>
      </c>
      <c r="O49" s="130">
        <v>15</v>
      </c>
      <c r="P49" s="141"/>
      <c r="Q49" s="18"/>
      <c r="R49" s="293"/>
      <c r="T49" t="str">
        <f t="shared" si="1"/>
        <v/>
      </c>
      <c r="U49" s="358" t="str">
        <f t="shared" si="2"/>
        <v/>
      </c>
      <c r="V49">
        <f t="shared" si="3"/>
        <v>770</v>
      </c>
    </row>
    <row r="50" spans="1:22" ht="24" customHeight="1" x14ac:dyDescent="0.2">
      <c r="A50" s="300">
        <f t="shared" si="5"/>
        <v>43670</v>
      </c>
      <c r="B50" s="137">
        <f t="shared" si="6"/>
        <v>60</v>
      </c>
      <c r="C50" s="209" t="str">
        <f>+'Prod-Bat'!AM51</f>
        <v/>
      </c>
      <c r="D50" s="139" t="str">
        <f>IF(C50="","",(SUM('Dem-Rec'!$C$8:$C$24)+SUM($C$8:C50))/$K$2)</f>
        <v/>
      </c>
      <c r="E50" s="140">
        <v>145</v>
      </c>
      <c r="F50" s="273" t="str">
        <f>IF('Prod-Bat'!AN51="","",'Prod-Bat'!AN51)</f>
        <v/>
      </c>
      <c r="G50" s="140">
        <v>3900</v>
      </c>
      <c r="H50" s="276" t="str">
        <f>IF('Prod-Bat'!AO51="","",'Prod-Bat'!AO51)</f>
        <v/>
      </c>
      <c r="I50" s="209" t="str">
        <f>+'Prod-Bat'!BT51</f>
        <v/>
      </c>
      <c r="J50" s="126" t="str">
        <f>IF(I50="","",(SUM('Dem-Rec'!$J$8:$J$24)+SUM($I$8:I50))/$K$3)</f>
        <v/>
      </c>
      <c r="K50" s="129">
        <v>148</v>
      </c>
      <c r="L50" s="262" t="str">
        <f>+'Prod-Bat'!BU51</f>
        <v/>
      </c>
      <c r="M50" s="140">
        <v>4685</v>
      </c>
      <c r="N50" s="266" t="str">
        <f>IF('Prod-Bat'!BV51="","",'Prod-Bat'!BV51)</f>
        <v/>
      </c>
      <c r="O50" s="130">
        <v>15</v>
      </c>
      <c r="P50" s="141"/>
      <c r="Q50" s="18"/>
      <c r="R50" s="293"/>
      <c r="T50" t="str">
        <f t="shared" si="1"/>
        <v/>
      </c>
      <c r="U50" s="358" t="str">
        <f t="shared" si="2"/>
        <v/>
      </c>
      <c r="V50">
        <f t="shared" si="3"/>
        <v>785</v>
      </c>
    </row>
    <row r="51" spans="1:22" ht="24" customHeight="1" x14ac:dyDescent="0.2">
      <c r="A51" s="300">
        <f t="shared" si="5"/>
        <v>43677</v>
      </c>
      <c r="B51" s="137">
        <f t="shared" si="6"/>
        <v>61</v>
      </c>
      <c r="C51" s="209" t="str">
        <f>+'Prod-Bat'!AM52</f>
        <v/>
      </c>
      <c r="D51" s="139" t="str">
        <f>IF(C51="","",(SUM('Dem-Rec'!$C$8:$C$24)+SUM($C$8:C51))/$K$2)</f>
        <v/>
      </c>
      <c r="E51" s="140">
        <v>145</v>
      </c>
      <c r="F51" s="273" t="str">
        <f>IF('Prod-Bat'!AN52="","",'Prod-Bat'!AN52)</f>
        <v/>
      </c>
      <c r="G51" s="140">
        <v>3910</v>
      </c>
      <c r="H51" s="276" t="str">
        <f>IF('Prod-Bat'!AO52="","",'Prod-Bat'!AO52)</f>
        <v/>
      </c>
      <c r="I51" s="209" t="str">
        <f>+'Prod-Bat'!BT52</f>
        <v/>
      </c>
      <c r="J51" s="126" t="str">
        <f>IF(I51="","",(SUM('Dem-Rec'!$J$8:$J$24)+SUM($I$8:I51))/$K$3)</f>
        <v/>
      </c>
      <c r="K51" s="129">
        <v>148</v>
      </c>
      <c r="L51" s="262" t="str">
        <f>+'Prod-Bat'!BU52</f>
        <v/>
      </c>
      <c r="M51" s="140">
        <v>4705</v>
      </c>
      <c r="N51" s="266" t="str">
        <f>IF('Prod-Bat'!BV52="","",'Prod-Bat'!BV52)</f>
        <v/>
      </c>
      <c r="O51" s="130">
        <v>15</v>
      </c>
      <c r="P51" s="141"/>
      <c r="Q51" s="18"/>
      <c r="R51" s="293"/>
      <c r="T51" t="str">
        <f t="shared" si="1"/>
        <v/>
      </c>
      <c r="U51" s="358" t="str">
        <f t="shared" si="2"/>
        <v/>
      </c>
      <c r="V51">
        <f t="shared" si="3"/>
        <v>795</v>
      </c>
    </row>
    <row r="52" spans="1:22" ht="24" customHeight="1" x14ac:dyDescent="0.2">
      <c r="A52" s="300">
        <f t="shared" si="5"/>
        <v>43684</v>
      </c>
      <c r="B52" s="137">
        <f t="shared" si="6"/>
        <v>62</v>
      </c>
      <c r="C52" s="209" t="str">
        <f>+'Prod-Bat'!AM53</f>
        <v/>
      </c>
      <c r="D52" s="139" t="str">
        <f>IF(C52="","",(SUM('Dem-Rec'!$C$8:$C$24)+SUM($C$8:C52))/$K$2)</f>
        <v/>
      </c>
      <c r="E52" s="140">
        <v>145</v>
      </c>
      <c r="F52" s="273" t="str">
        <f>IF('Prod-Bat'!AN53="","",'Prod-Bat'!AN53)</f>
        <v/>
      </c>
      <c r="G52" s="140">
        <v>3920</v>
      </c>
      <c r="H52" s="276" t="str">
        <f>IF('Prod-Bat'!AO53="","",'Prod-Bat'!AO53)</f>
        <v/>
      </c>
      <c r="I52" s="209" t="str">
        <f>+'Prod-Bat'!BT53</f>
        <v/>
      </c>
      <c r="J52" s="126" t="str">
        <f>IF(I52="","",(SUM('Dem-Rec'!$J$8:$J$24)+SUM($I$8:I52))/$K$3)</f>
        <v/>
      </c>
      <c r="K52" s="129">
        <v>148</v>
      </c>
      <c r="L52" s="262" t="str">
        <f>+'Prod-Bat'!BU53</f>
        <v/>
      </c>
      <c r="M52" s="140">
        <v>4725</v>
      </c>
      <c r="N52" s="266" t="str">
        <f>IF('Prod-Bat'!BV53="","",'Prod-Bat'!BV53)</f>
        <v/>
      </c>
      <c r="O52" s="130">
        <v>15</v>
      </c>
      <c r="P52" s="141"/>
      <c r="Q52" s="18"/>
      <c r="R52" s="293"/>
      <c r="T52" t="str">
        <f t="shared" si="1"/>
        <v/>
      </c>
      <c r="U52" s="358" t="str">
        <f t="shared" si="2"/>
        <v/>
      </c>
      <c r="V52">
        <f t="shared" si="3"/>
        <v>805</v>
      </c>
    </row>
    <row r="53" spans="1:22" ht="24" customHeight="1" x14ac:dyDescent="0.2">
      <c r="A53" s="300">
        <f t="shared" si="5"/>
        <v>43691</v>
      </c>
      <c r="B53" s="137">
        <f t="shared" si="6"/>
        <v>63</v>
      </c>
      <c r="C53" s="209" t="str">
        <f>+'Prod-Bat'!AM54</f>
        <v/>
      </c>
      <c r="D53" s="139" t="str">
        <f>IF(C53="","",(SUM('Dem-Rec'!$C$8:$C$24)+SUM($C$8:C53))/$K$2)</f>
        <v/>
      </c>
      <c r="E53" s="140">
        <v>145</v>
      </c>
      <c r="F53" s="273" t="str">
        <f>IF('Prod-Bat'!AN54="","",'Prod-Bat'!AN54)</f>
        <v/>
      </c>
      <c r="G53" s="140">
        <v>3930</v>
      </c>
      <c r="H53" s="276" t="str">
        <f>IF('Prod-Bat'!AO54="","",'Prod-Bat'!AO54)</f>
        <v/>
      </c>
      <c r="I53" s="209" t="str">
        <f>+'Prod-Bat'!BT54</f>
        <v/>
      </c>
      <c r="J53" s="126" t="str">
        <f>IF(I53="","",(SUM('Dem-Rec'!$J$8:$J$24)+SUM($I$8:I53))/$K$3)</f>
        <v/>
      </c>
      <c r="K53" s="129">
        <v>148</v>
      </c>
      <c r="L53" s="262" t="str">
        <f>+'Prod-Bat'!BU54</f>
        <v/>
      </c>
      <c r="M53" s="140">
        <v>4750</v>
      </c>
      <c r="N53" s="266" t="str">
        <f>IF('Prod-Bat'!BV54="","",'Prod-Bat'!BV54)</f>
        <v/>
      </c>
      <c r="O53" s="130">
        <v>15</v>
      </c>
      <c r="P53" s="141"/>
      <c r="Q53" s="18"/>
      <c r="R53" s="293"/>
      <c r="T53" t="str">
        <f t="shared" si="1"/>
        <v/>
      </c>
      <c r="U53" s="358" t="str">
        <f t="shared" si="2"/>
        <v/>
      </c>
      <c r="V53">
        <f t="shared" si="3"/>
        <v>820</v>
      </c>
    </row>
    <row r="54" spans="1:22" ht="24" customHeight="1" x14ac:dyDescent="0.2">
      <c r="A54" s="300">
        <f t="shared" si="5"/>
        <v>43698</v>
      </c>
      <c r="B54" s="137">
        <f t="shared" si="6"/>
        <v>64</v>
      </c>
      <c r="C54" s="209" t="str">
        <f>+'Prod-Bat'!AM55</f>
        <v/>
      </c>
      <c r="D54" s="139" t="str">
        <f>IF(C54="","",(SUM('Dem-Rec'!$C$8:$C$24)+SUM($C$8:C54))/$K$2)</f>
        <v/>
      </c>
      <c r="E54" s="140">
        <v>145</v>
      </c>
      <c r="F54" s="273" t="str">
        <f>IF('Prod-Bat'!AN55="","",'Prod-Bat'!AN55)</f>
        <v/>
      </c>
      <c r="G54" s="140">
        <v>3940</v>
      </c>
      <c r="H54" s="276" t="str">
        <f>IF('Prod-Bat'!AO55="","",'Prod-Bat'!AO55)</f>
        <v/>
      </c>
      <c r="I54" s="209" t="str">
        <f>+'Prod-Bat'!BT55</f>
        <v/>
      </c>
      <c r="J54" s="126" t="str">
        <f>IF(I54="","",(SUM('Dem-Rec'!$J$8:$J$24)+SUM($I$8:I54))/$K$3)</f>
        <v/>
      </c>
      <c r="K54" s="129">
        <v>148</v>
      </c>
      <c r="L54" s="262" t="str">
        <f>+'Prod-Bat'!BU55</f>
        <v/>
      </c>
      <c r="M54" s="140">
        <v>4770</v>
      </c>
      <c r="N54" s="266" t="str">
        <f>IF('Prod-Bat'!BV55="","",'Prod-Bat'!BV55)</f>
        <v/>
      </c>
      <c r="O54" s="130">
        <v>15</v>
      </c>
      <c r="P54" s="141"/>
      <c r="Q54" s="18"/>
      <c r="R54" s="293"/>
      <c r="T54" t="str">
        <f t="shared" si="1"/>
        <v/>
      </c>
      <c r="U54" s="358" t="str">
        <f t="shared" si="2"/>
        <v/>
      </c>
      <c r="V54">
        <f t="shared" si="3"/>
        <v>830</v>
      </c>
    </row>
    <row r="55" spans="1:22" ht="24" customHeight="1" x14ac:dyDescent="0.2">
      <c r="A55" s="300">
        <f t="shared" si="5"/>
        <v>43705</v>
      </c>
      <c r="B55" s="137">
        <f t="shared" si="6"/>
        <v>65</v>
      </c>
      <c r="C55" s="209" t="str">
        <f>+'Prod-Bat'!AM56</f>
        <v/>
      </c>
      <c r="D55" s="139" t="str">
        <f>IF(C55="","",(SUM('Dem-Rec'!$C$8:$C$24)+SUM($C$8:C55))/$K$2)</f>
        <v/>
      </c>
      <c r="E55" s="140">
        <v>145</v>
      </c>
      <c r="F55" s="273" t="str">
        <f>IF('Prod-Bat'!AN56="","",'Prod-Bat'!AN56)</f>
        <v/>
      </c>
      <c r="G55" s="140">
        <v>3950</v>
      </c>
      <c r="H55" s="276" t="str">
        <f>IF('Prod-Bat'!AO56="","",'Prod-Bat'!AO56)</f>
        <v/>
      </c>
      <c r="I55" s="209" t="str">
        <f>+'Prod-Bat'!BT56</f>
        <v/>
      </c>
      <c r="J55" s="126" t="str">
        <f>IF(I55="","",(SUM('Dem-Rec'!$J$8:$J$24)+SUM($I$8:I55))/$K$3)</f>
        <v/>
      </c>
      <c r="K55" s="129">
        <v>150</v>
      </c>
      <c r="L55" s="262" t="str">
        <f>+'Prod-Bat'!BU56</f>
        <v/>
      </c>
      <c r="M55" s="140">
        <v>4795</v>
      </c>
      <c r="N55" s="266" t="str">
        <f>IF('Prod-Bat'!BV56="","",'Prod-Bat'!BV56)</f>
        <v/>
      </c>
      <c r="O55" s="130">
        <v>15</v>
      </c>
      <c r="P55" s="141"/>
      <c r="Q55" s="18"/>
      <c r="R55" s="293"/>
      <c r="T55" t="str">
        <f t="shared" si="1"/>
        <v/>
      </c>
      <c r="U55" s="358" t="str">
        <f t="shared" si="2"/>
        <v/>
      </c>
      <c r="V55">
        <f t="shared" si="3"/>
        <v>845</v>
      </c>
    </row>
    <row r="56" spans="1:22" ht="24" customHeight="1" x14ac:dyDescent="0.2">
      <c r="A56" s="300">
        <f t="shared" si="5"/>
        <v>43712</v>
      </c>
      <c r="B56" s="137">
        <f t="shared" si="6"/>
        <v>66</v>
      </c>
      <c r="C56" s="209" t="str">
        <f>+'Prod-Bat'!AM57</f>
        <v/>
      </c>
      <c r="D56" s="139" t="str">
        <f>IF(C56="","",(SUM('Dem-Rec'!$C$8:$C$24)+SUM($C$8:C56))/$K$2)</f>
        <v/>
      </c>
      <c r="E56" s="140">
        <v>145</v>
      </c>
      <c r="F56" s="273" t="str">
        <f>IF('Prod-Bat'!AN57="","",'Prod-Bat'!AN57)</f>
        <v/>
      </c>
      <c r="G56" s="140">
        <v>3960</v>
      </c>
      <c r="H56" s="276" t="str">
        <f>IF('Prod-Bat'!AO57="","",'Prod-Bat'!AO57)</f>
        <v/>
      </c>
      <c r="I56" s="209" t="str">
        <f>+'Prod-Bat'!BT57</f>
        <v/>
      </c>
      <c r="J56" s="126" t="str">
        <f>IF(I56="","",(SUM('Dem-Rec'!$J$8:$J$24)+SUM($I$8:I56))/$K$3)</f>
        <v/>
      </c>
      <c r="K56" s="129">
        <v>150</v>
      </c>
      <c r="L56" s="262" t="str">
        <f>+'Prod-Bat'!BU57</f>
        <v/>
      </c>
      <c r="M56" s="140"/>
      <c r="N56" s="266" t="str">
        <f>IF('Prod-Bat'!BV57="","",'Prod-Bat'!BV57)</f>
        <v/>
      </c>
      <c r="O56" s="130">
        <v>15</v>
      </c>
      <c r="P56" s="141"/>
      <c r="Q56" s="18"/>
      <c r="R56" s="293"/>
      <c r="T56" t="str">
        <f t="shared" si="1"/>
        <v/>
      </c>
      <c r="U56" s="358" t="str">
        <f t="shared" si="2"/>
        <v/>
      </c>
      <c r="V56">
        <f t="shared" si="3"/>
        <v>-3960</v>
      </c>
    </row>
    <row r="57" spans="1:22" ht="24" customHeight="1" x14ac:dyDescent="0.2">
      <c r="A57" s="300">
        <f t="shared" si="5"/>
        <v>43719</v>
      </c>
      <c r="B57" s="137">
        <f t="shared" si="6"/>
        <v>67</v>
      </c>
      <c r="C57" s="209" t="str">
        <f>+'Prod-Bat'!AM58</f>
        <v/>
      </c>
      <c r="D57" s="139" t="str">
        <f>IF(C57="","",(SUM('Dem-Rec'!$C$8:$C$24)+SUM($C$8:C57))/$K$2)</f>
        <v/>
      </c>
      <c r="E57" s="140">
        <v>145</v>
      </c>
      <c r="F57" s="273" t="str">
        <f>IF('Prod-Bat'!AN58="","",'Prod-Bat'!AN58)</f>
        <v/>
      </c>
      <c r="G57" s="140">
        <v>3970</v>
      </c>
      <c r="H57" s="276" t="str">
        <f>IF('Prod-Bat'!AO58="","",'Prod-Bat'!AO58)</f>
        <v/>
      </c>
      <c r="I57" s="209" t="str">
        <f>+'Prod-Bat'!BT58</f>
        <v/>
      </c>
      <c r="J57" s="126" t="str">
        <f>IF(I57="","",(SUM('Dem-Rec'!$J$8:$J$24)+SUM($I$8:I57))/$K$3)</f>
        <v/>
      </c>
      <c r="K57" s="129">
        <v>150</v>
      </c>
      <c r="L57" s="262" t="str">
        <f>+'Prod-Bat'!BU58</f>
        <v/>
      </c>
      <c r="M57" s="140"/>
      <c r="N57" s="266" t="str">
        <f>IF('Prod-Bat'!BV58="","",'Prod-Bat'!BV58)</f>
        <v/>
      </c>
      <c r="O57" s="130">
        <v>15</v>
      </c>
      <c r="P57" s="141"/>
      <c r="Q57" s="18"/>
      <c r="R57" s="293"/>
      <c r="T57" t="str">
        <f t="shared" si="1"/>
        <v/>
      </c>
      <c r="U57" s="358" t="str">
        <f t="shared" si="2"/>
        <v/>
      </c>
      <c r="V57">
        <f t="shared" si="3"/>
        <v>-3970</v>
      </c>
    </row>
    <row r="58" spans="1:22" ht="24" customHeight="1" x14ac:dyDescent="0.2">
      <c r="A58" s="300">
        <f t="shared" si="5"/>
        <v>43726</v>
      </c>
      <c r="B58" s="137">
        <f t="shared" si="6"/>
        <v>68</v>
      </c>
      <c r="C58" s="209" t="str">
        <f>+'Prod-Bat'!AM59</f>
        <v/>
      </c>
      <c r="D58" s="139" t="str">
        <f>IF(C58="","",(SUM('Dem-Rec'!$C$8:$C$24)+SUM($C$8:C58))/$K$2)</f>
        <v/>
      </c>
      <c r="E58" s="140">
        <v>145</v>
      </c>
      <c r="F58" s="273" t="str">
        <f>IF('Prod-Bat'!AN59="","",'Prod-Bat'!AN59)</f>
        <v/>
      </c>
      <c r="G58" s="140">
        <v>3980</v>
      </c>
      <c r="H58" s="276" t="str">
        <f>IF('Prod-Bat'!AO59="","",'Prod-Bat'!AO59)</f>
        <v/>
      </c>
      <c r="I58" s="209" t="str">
        <f>+'Prod-Bat'!BT59</f>
        <v/>
      </c>
      <c r="J58" s="126" t="str">
        <f>IF(I58="","",(SUM('Dem-Rec'!$J$8:$J$24)+SUM($I$8:I58))/$K$3)</f>
        <v/>
      </c>
      <c r="K58" s="129">
        <v>150</v>
      </c>
      <c r="L58" s="262" t="str">
        <f>+'Prod-Bat'!BU59</f>
        <v/>
      </c>
      <c r="M58" s="140"/>
      <c r="N58" s="266" t="str">
        <f>IF('Prod-Bat'!BV59="","",'Prod-Bat'!BV59)</f>
        <v/>
      </c>
      <c r="O58" s="130">
        <v>15</v>
      </c>
      <c r="P58" s="141"/>
      <c r="Q58" s="18"/>
      <c r="R58" s="293"/>
      <c r="T58" t="str">
        <f t="shared" si="1"/>
        <v/>
      </c>
      <c r="U58" s="358" t="str">
        <f t="shared" si="2"/>
        <v/>
      </c>
      <c r="V58">
        <f t="shared" si="3"/>
        <v>-3980</v>
      </c>
    </row>
    <row r="59" spans="1:22" ht="24" customHeight="1" x14ac:dyDescent="0.2">
      <c r="A59" s="300">
        <f t="shared" si="5"/>
        <v>43733</v>
      </c>
      <c r="B59" s="137">
        <f t="shared" si="6"/>
        <v>69</v>
      </c>
      <c r="C59" s="209" t="str">
        <f>+'Prod-Bat'!AM60</f>
        <v/>
      </c>
      <c r="D59" s="139" t="str">
        <f>IF(C59="","",(SUM('Dem-Rec'!$C$8:$C$24)+SUM($C$8:C59))/$K$2)</f>
        <v/>
      </c>
      <c r="E59" s="140">
        <v>145</v>
      </c>
      <c r="F59" s="273" t="str">
        <f>IF('Prod-Bat'!AN60="","",'Prod-Bat'!AN60)</f>
        <v/>
      </c>
      <c r="G59" s="140">
        <v>3990</v>
      </c>
      <c r="H59" s="276" t="str">
        <f>IF('Prod-Bat'!AO60="","",'Prod-Bat'!AO60)</f>
        <v/>
      </c>
      <c r="I59" s="209" t="str">
        <f>+'Prod-Bat'!BT60</f>
        <v/>
      </c>
      <c r="J59" s="126" t="str">
        <f>IF(I59="","",(SUM('Dem-Rec'!$J$8:$J$24)+SUM($I$8:I59))/$K$3)</f>
        <v/>
      </c>
      <c r="K59" s="129">
        <v>150</v>
      </c>
      <c r="L59" s="262" t="str">
        <f>+'Prod-Bat'!BU60</f>
        <v/>
      </c>
      <c r="M59" s="140"/>
      <c r="N59" s="266" t="str">
        <f>IF('Prod-Bat'!BV60="","",'Prod-Bat'!BV60)</f>
        <v/>
      </c>
      <c r="O59" s="130">
        <v>15</v>
      </c>
      <c r="P59" s="141"/>
      <c r="Q59" s="18"/>
      <c r="R59" s="293"/>
      <c r="T59" t="str">
        <f t="shared" si="1"/>
        <v/>
      </c>
      <c r="U59" s="358" t="str">
        <f t="shared" si="2"/>
        <v/>
      </c>
      <c r="V59">
        <f t="shared" si="3"/>
        <v>-3990</v>
      </c>
    </row>
    <row r="60" spans="1:22" ht="24" customHeight="1" thickBot="1" x14ac:dyDescent="0.25">
      <c r="A60" s="303">
        <f t="shared" si="5"/>
        <v>43740</v>
      </c>
      <c r="B60" s="142">
        <f t="shared" si="6"/>
        <v>70</v>
      </c>
      <c r="C60" s="273" t="str">
        <f>+'Prod-Bat'!AM61</f>
        <v/>
      </c>
      <c r="D60" s="139" t="str">
        <f>IF(C60="","",(SUM('Dem-Rec'!$C$8:$C$24)+SUM($C$8:C60))/$K$2)</f>
        <v/>
      </c>
      <c r="E60" s="140">
        <v>145</v>
      </c>
      <c r="F60" s="273" t="str">
        <f>IF('Prod-Bat'!AN61="","",'Prod-Bat'!AN61)</f>
        <v/>
      </c>
      <c r="G60" s="140">
        <v>4000</v>
      </c>
      <c r="H60" s="276" t="str">
        <f>IF('Prod-Bat'!AO61="","",'Prod-Bat'!AO61)</f>
        <v/>
      </c>
      <c r="I60" s="209" t="str">
        <f>+'Prod-Bat'!BT61</f>
        <v/>
      </c>
      <c r="J60" s="139" t="str">
        <f>IF(I60="","",(SUM('Dem-Rec'!$J$8:$J$24)+SUM($I$8:I60))/$K$3)</f>
        <v/>
      </c>
      <c r="K60" s="143">
        <v>152</v>
      </c>
      <c r="L60" s="262" t="str">
        <f>+'Prod-Bat'!BU61</f>
        <v/>
      </c>
      <c r="M60" s="140"/>
      <c r="N60" s="266" t="str">
        <f>IF('Prod-Bat'!BV61="","",'Prod-Bat'!BV61)</f>
        <v/>
      </c>
      <c r="O60" s="130">
        <v>15</v>
      </c>
      <c r="P60" s="141"/>
      <c r="Q60" s="18"/>
      <c r="R60" s="294"/>
      <c r="T60" t="str">
        <f t="shared" si="1"/>
        <v/>
      </c>
      <c r="U60" s="358" t="str">
        <f t="shared" si="2"/>
        <v/>
      </c>
      <c r="V60">
        <f t="shared" si="3"/>
        <v>-4000</v>
      </c>
    </row>
    <row r="61" spans="1:22" ht="13.5" thickTop="1" x14ac:dyDescent="0.2">
      <c r="A61" s="70"/>
      <c r="B61" s="71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</row>
  </sheetData>
  <mergeCells count="2">
    <mergeCell ref="C5:H5"/>
    <mergeCell ref="I5:N5"/>
  </mergeCells>
  <phoneticPr fontId="17" type="noConversion"/>
  <printOptions horizontalCentered="1"/>
  <pageMargins left="0.42" right="0.21" top="0.39370078740157483" bottom="0.98425196850393704" header="0.12" footer="0"/>
  <pageSetup paperSize="9" scale="65" orientation="portrait" horizontalDpi="360" verticalDpi="360" r:id="rId1"/>
  <headerFooter alignWithMargins="0">
    <oddHeader>&amp;C&amp;A</oddHeader>
    <oddFooter>&amp;L&amp;6&amp;F&amp;C&amp;8Preparado por COBB Española&amp;D&amp;R&amp;P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BW73"/>
  <sheetViews>
    <sheetView zoomScale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" sqref="D1"/>
    </sheetView>
  </sheetViews>
  <sheetFormatPr baseColWidth="10" defaultColWidth="9.140625" defaultRowHeight="12.75" x14ac:dyDescent="0.2"/>
  <cols>
    <col min="1" max="1" width="9.85546875" customWidth="1"/>
    <col min="2" max="2" width="6.42578125" style="1" customWidth="1"/>
    <col min="3" max="3" width="7.5703125" style="483" customWidth="1"/>
    <col min="4" max="4" width="6.28515625" customWidth="1"/>
    <col min="5" max="5" width="6.42578125" customWidth="1"/>
    <col min="6" max="6" width="6.140625" customWidth="1"/>
    <col min="7" max="7" width="8.85546875" customWidth="1"/>
    <col min="8" max="8" width="6.42578125" customWidth="1"/>
    <col min="9" max="9" width="8.140625" customWidth="1"/>
    <col min="10" max="11" width="6.42578125" customWidth="1"/>
    <col min="12" max="12" width="6.85546875" customWidth="1"/>
    <col min="13" max="13" width="10.5703125" customWidth="1"/>
    <col min="14" max="14" width="6.42578125" customWidth="1"/>
    <col min="15" max="15" width="8.5703125" customWidth="1"/>
    <col min="16" max="17" width="6.42578125" customWidth="1"/>
    <col min="18" max="18" width="7" customWidth="1"/>
    <col min="19" max="19" width="10.5703125" customWidth="1"/>
    <col min="20" max="23" width="6.42578125" customWidth="1"/>
    <col min="24" max="24" width="6.85546875" customWidth="1"/>
    <col min="25" max="25" width="9.85546875" customWidth="1"/>
    <col min="26" max="30" width="6.42578125" customWidth="1"/>
    <col min="31" max="31" width="11" customWidth="1"/>
    <col min="32" max="35" width="6.42578125" customWidth="1"/>
    <col min="36" max="36" width="7" customWidth="1"/>
    <col min="37" max="37" width="11" customWidth="1"/>
    <col min="38" max="41" width="6.42578125" customWidth="1"/>
    <col min="42" max="42" width="7" customWidth="1"/>
    <col min="43" max="43" width="11" customWidth="1"/>
    <col min="44" max="47" width="6.42578125" customWidth="1"/>
    <col min="48" max="48" width="7" customWidth="1"/>
    <col min="49" max="49" width="11" customWidth="1"/>
    <col min="50" max="53" width="6.42578125" customWidth="1"/>
    <col min="54" max="54" width="7" customWidth="1"/>
    <col min="55" max="55" width="11" customWidth="1"/>
    <col min="56" max="56" width="6.42578125" customWidth="1"/>
    <col min="57" max="57" width="10.42578125" customWidth="1"/>
    <col min="58" max="58" width="9.85546875" customWidth="1"/>
    <col min="59" max="59" width="11.7109375" customWidth="1"/>
    <col min="60" max="60" width="10" customWidth="1"/>
    <col min="61" max="61" width="10.5703125" customWidth="1"/>
    <col min="62" max="62" width="6.42578125" customWidth="1"/>
  </cols>
  <sheetData>
    <row r="1" spans="1:75" ht="24.95" customHeight="1" x14ac:dyDescent="0.25">
      <c r="A1" s="20" t="s">
        <v>125</v>
      </c>
      <c r="B1" s="415"/>
      <c r="C1" s="482"/>
      <c r="D1" s="415"/>
      <c r="E1" s="21" t="str">
        <f>IF(LOT!$B$3="","",LOT!$B$3)</f>
        <v>CASAP-BLIDA</v>
      </c>
      <c r="F1" s="21"/>
      <c r="G1" s="21"/>
      <c r="H1" s="21"/>
      <c r="I1" s="415"/>
      <c r="J1" s="416"/>
      <c r="K1" s="416"/>
      <c r="L1" s="416"/>
      <c r="M1" s="416"/>
      <c r="N1" s="22"/>
      <c r="O1" s="416"/>
      <c r="P1" s="24" t="s">
        <v>142</v>
      </c>
      <c r="Q1" s="418"/>
      <c r="R1" s="416"/>
      <c r="S1" s="418"/>
      <c r="T1" s="418"/>
      <c r="U1" s="418"/>
      <c r="V1" s="616">
        <f>IF(LOT!$B$4="","",LOT!$B$4)</f>
        <v>43250</v>
      </c>
      <c r="W1" s="616"/>
      <c r="X1" s="616"/>
      <c r="Y1" s="419"/>
      <c r="Z1" s="419"/>
      <c r="AA1" s="419"/>
      <c r="AB1" s="419"/>
      <c r="AC1" s="419"/>
      <c r="AD1" s="419"/>
      <c r="AE1" s="419"/>
      <c r="AF1" s="419"/>
      <c r="AG1" s="419"/>
      <c r="AH1" s="419"/>
      <c r="AI1" s="419"/>
      <c r="AJ1" s="419"/>
      <c r="AK1" s="419"/>
      <c r="AL1" s="419"/>
      <c r="AM1" s="419"/>
      <c r="AN1" s="419"/>
      <c r="AO1" s="419"/>
      <c r="AP1" s="419"/>
      <c r="AQ1" s="419"/>
      <c r="AR1" s="419"/>
      <c r="AS1" s="419"/>
      <c r="AT1" s="419"/>
      <c r="AU1" s="419"/>
      <c r="AV1" s="419"/>
      <c r="AW1" s="419"/>
      <c r="AX1" s="419"/>
      <c r="AY1" s="419"/>
      <c r="AZ1" s="419"/>
      <c r="BA1" s="419"/>
      <c r="BB1" s="419"/>
      <c r="BC1" s="419"/>
      <c r="BD1" s="419"/>
      <c r="BE1" s="419"/>
      <c r="BF1" s="419"/>
      <c r="BG1" s="419"/>
      <c r="BH1" s="419"/>
      <c r="BI1" s="419"/>
      <c r="BJ1" s="419"/>
      <c r="BK1" s="419"/>
      <c r="BL1" s="419"/>
      <c r="BM1" s="419"/>
      <c r="BN1" s="419"/>
      <c r="BO1" s="419"/>
      <c r="BP1" s="419"/>
      <c r="BQ1" s="419"/>
      <c r="BR1" s="419"/>
      <c r="BS1" s="419"/>
      <c r="BT1" s="419"/>
      <c r="BU1" s="419"/>
      <c r="BV1" s="419"/>
      <c r="BW1" s="419"/>
    </row>
    <row r="2" spans="1:75" ht="24.95" customHeight="1" x14ac:dyDescent="0.25">
      <c r="A2" s="24" t="s">
        <v>74</v>
      </c>
      <c r="B2" s="415"/>
      <c r="C2" s="482"/>
      <c r="D2" s="416"/>
      <c r="E2" s="22" t="str">
        <f>IF(LOT!$B$7="","",LOT!$B$7)</f>
        <v>AIN OUSSERA-ALGERIE</v>
      </c>
      <c r="F2" s="22"/>
      <c r="G2" s="22"/>
      <c r="H2" s="22"/>
      <c r="I2" s="416"/>
      <c r="J2" s="416"/>
      <c r="K2" s="416"/>
      <c r="L2" s="416"/>
      <c r="M2" s="416"/>
      <c r="N2" s="22"/>
      <c r="O2" s="416"/>
      <c r="P2" s="24" t="s">
        <v>143</v>
      </c>
      <c r="Q2" s="418"/>
      <c r="R2" s="416"/>
      <c r="S2" s="418"/>
      <c r="T2" s="418"/>
      <c r="U2" s="418"/>
      <c r="V2" s="617">
        <f>IF(LOT!$B$5="","",LOT!$B$5)</f>
        <v>7872</v>
      </c>
      <c r="W2" s="617"/>
      <c r="X2" s="617"/>
      <c r="Y2" s="24" t="s">
        <v>154</v>
      </c>
      <c r="Z2" s="24"/>
      <c r="AA2" s="416"/>
      <c r="AB2" s="416"/>
      <c r="AC2" s="416"/>
      <c r="AD2" s="659">
        <f>'Prod-Rec'!O2</f>
        <v>7695</v>
      </c>
      <c r="AE2" s="659"/>
      <c r="AF2" s="461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</row>
    <row r="3" spans="1:75" ht="24.95" customHeight="1" thickBot="1" x14ac:dyDescent="0.3">
      <c r="A3" s="24" t="s">
        <v>73</v>
      </c>
      <c r="B3" s="415"/>
      <c r="C3" s="482"/>
      <c r="D3" s="416"/>
      <c r="E3" s="22" t="str">
        <f>IF(LOT!$B$8="","",LOT!$B$8)</f>
        <v/>
      </c>
      <c r="F3" s="22"/>
      <c r="G3" s="22"/>
      <c r="H3" s="22"/>
      <c r="I3" s="416"/>
      <c r="J3" s="416"/>
      <c r="K3" s="416"/>
      <c r="L3" s="416"/>
      <c r="M3" s="416"/>
      <c r="N3" s="22"/>
      <c r="O3" s="416"/>
      <c r="P3" s="24" t="s">
        <v>144</v>
      </c>
      <c r="Q3" s="418"/>
      <c r="R3" s="416"/>
      <c r="S3" s="418"/>
      <c r="T3" s="418"/>
      <c r="U3" s="418"/>
      <c r="V3" s="617">
        <f>IF(LOT!$B$6="","",LOT!$B$6)</f>
        <v>1200</v>
      </c>
      <c r="W3" s="617"/>
      <c r="X3" s="617"/>
      <c r="Y3" s="24" t="s">
        <v>137</v>
      </c>
      <c r="Z3" s="24"/>
      <c r="AA3" s="416"/>
      <c r="AB3" s="416"/>
      <c r="AC3" s="416"/>
      <c r="AD3" s="659">
        <f>'Prod-Rec'!O3</f>
        <v>1156</v>
      </c>
      <c r="AE3" s="659"/>
      <c r="AF3" s="461"/>
      <c r="AG3" s="416"/>
      <c r="AH3" s="416"/>
      <c r="AI3" s="416"/>
      <c r="AJ3" s="416"/>
      <c r="AK3" s="416"/>
      <c r="AL3" s="416"/>
      <c r="AM3" s="416"/>
      <c r="AN3" s="416"/>
      <c r="AO3" s="416"/>
      <c r="AP3" s="416"/>
      <c r="AQ3" s="416"/>
      <c r="AR3" s="416"/>
      <c r="AS3" s="416"/>
      <c r="AT3" s="416"/>
      <c r="AU3" s="416"/>
      <c r="AV3" s="416"/>
      <c r="AW3" s="416"/>
      <c r="AX3" s="416"/>
      <c r="AY3" s="416"/>
      <c r="AZ3" s="416"/>
      <c r="BA3" s="416"/>
      <c r="BB3" s="416"/>
      <c r="BC3" s="416"/>
      <c r="BD3" s="416"/>
      <c r="BE3" s="416"/>
      <c r="BF3" s="416"/>
      <c r="BG3" s="416"/>
      <c r="BH3" s="416"/>
      <c r="BI3" s="416"/>
      <c r="BJ3" s="416"/>
      <c r="BK3" s="416"/>
      <c r="BL3" s="416"/>
      <c r="BM3" s="416"/>
      <c r="BN3" s="416"/>
      <c r="BO3" s="416"/>
      <c r="BP3" s="416"/>
      <c r="BQ3" s="416"/>
      <c r="BR3" s="416"/>
      <c r="BS3" s="416"/>
      <c r="BT3" s="416"/>
      <c r="BU3" s="416"/>
      <c r="BV3" s="416"/>
      <c r="BW3" s="416"/>
    </row>
    <row r="4" spans="1:75" ht="15" customHeight="1" thickBot="1" x14ac:dyDescent="0.25">
      <c r="A4" s="44"/>
      <c r="B4" s="423"/>
      <c r="C4" s="660"/>
      <c r="D4" s="661"/>
      <c r="E4" s="661"/>
      <c r="F4" s="661"/>
      <c r="G4" s="661"/>
      <c r="H4" s="661"/>
      <c r="I4" s="661"/>
      <c r="J4" s="661"/>
      <c r="K4" s="661"/>
      <c r="L4" s="661"/>
      <c r="M4" s="661"/>
      <c r="N4" s="661"/>
      <c r="O4" s="661"/>
      <c r="P4" s="661"/>
      <c r="Q4" s="661"/>
      <c r="R4" s="661"/>
      <c r="S4" s="661"/>
      <c r="T4" s="661"/>
      <c r="U4" s="645"/>
      <c r="V4" s="646"/>
      <c r="W4" s="646"/>
      <c r="X4" s="646"/>
      <c r="Y4" s="646"/>
      <c r="Z4" s="646"/>
      <c r="AA4" s="646"/>
      <c r="AB4" s="646"/>
      <c r="AC4" s="646"/>
      <c r="AD4" s="646"/>
      <c r="AE4" s="646"/>
      <c r="AF4" s="647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</row>
    <row r="5" spans="1:75" ht="24.95" customHeight="1" thickTop="1" x14ac:dyDescent="0.2">
      <c r="A5" s="44"/>
      <c r="B5" s="423"/>
      <c r="C5" s="637" t="s">
        <v>152</v>
      </c>
      <c r="D5" s="638"/>
      <c r="E5" s="638"/>
      <c r="F5" s="623">
        <v>1</v>
      </c>
      <c r="G5" s="623"/>
      <c r="H5" s="624"/>
      <c r="I5" s="637" t="s">
        <v>152</v>
      </c>
      <c r="J5" s="638"/>
      <c r="K5" s="638"/>
      <c r="L5" s="623">
        <v>2</v>
      </c>
      <c r="M5" s="623"/>
      <c r="N5" s="624"/>
      <c r="O5" s="637" t="s">
        <v>152</v>
      </c>
      <c r="P5" s="638"/>
      <c r="Q5" s="638"/>
      <c r="R5" s="623">
        <v>3</v>
      </c>
      <c r="S5" s="623"/>
      <c r="T5" s="624"/>
      <c r="U5" s="637" t="s">
        <v>152</v>
      </c>
      <c r="V5" s="638"/>
      <c r="W5" s="638"/>
      <c r="X5" s="657">
        <v>4</v>
      </c>
      <c r="Y5" s="657"/>
      <c r="Z5" s="658"/>
      <c r="AA5" s="637" t="s">
        <v>152</v>
      </c>
      <c r="AB5" s="638"/>
      <c r="AC5" s="638"/>
      <c r="AD5" s="657">
        <v>5</v>
      </c>
      <c r="AE5" s="657"/>
      <c r="AF5" s="658"/>
      <c r="AG5" s="637" t="s">
        <v>152</v>
      </c>
      <c r="AH5" s="638"/>
      <c r="AI5" s="638"/>
      <c r="AJ5" s="623">
        <v>6</v>
      </c>
      <c r="AK5" s="623"/>
      <c r="AL5" s="624"/>
      <c r="AM5" s="637" t="s">
        <v>152</v>
      </c>
      <c r="AN5" s="638"/>
      <c r="AO5" s="638"/>
      <c r="AP5" s="623">
        <v>7</v>
      </c>
      <c r="AQ5" s="623"/>
      <c r="AR5" s="624"/>
      <c r="AS5" s="637" t="s">
        <v>152</v>
      </c>
      <c r="AT5" s="638"/>
      <c r="AU5" s="638"/>
      <c r="AV5" s="623">
        <v>8</v>
      </c>
      <c r="AW5" s="623"/>
      <c r="AX5" s="624"/>
      <c r="AY5" s="637" t="s">
        <v>152</v>
      </c>
      <c r="AZ5" s="638"/>
      <c r="BA5" s="638"/>
      <c r="BB5" s="623">
        <v>9</v>
      </c>
      <c r="BC5" s="623"/>
      <c r="BD5" s="624"/>
      <c r="BE5" s="666" t="s">
        <v>163</v>
      </c>
      <c r="BF5" s="662"/>
      <c r="BG5" s="662"/>
      <c r="BH5" s="662"/>
      <c r="BI5" s="662"/>
      <c r="BJ5" s="662"/>
      <c r="BK5" s="663"/>
      <c r="BL5" s="662" t="s">
        <v>163</v>
      </c>
      <c r="BM5" s="662"/>
      <c r="BN5" s="662"/>
      <c r="BO5" s="662"/>
      <c r="BP5" s="662"/>
      <c r="BQ5" s="663"/>
      <c r="BR5" s="662" t="s">
        <v>163</v>
      </c>
      <c r="BS5" s="662"/>
      <c r="BT5" s="662"/>
      <c r="BU5" s="662"/>
      <c r="BV5" s="662"/>
      <c r="BW5" s="663"/>
    </row>
    <row r="6" spans="1:75" ht="24.95" customHeight="1" thickBot="1" x14ac:dyDescent="0.25">
      <c r="A6" s="427"/>
      <c r="B6" s="428"/>
      <c r="C6" s="654" t="s">
        <v>155</v>
      </c>
      <c r="D6" s="655"/>
      <c r="E6" s="655"/>
      <c r="F6" s="655"/>
      <c r="G6" s="655"/>
      <c r="H6" s="656"/>
      <c r="I6" s="654" t="s">
        <v>155</v>
      </c>
      <c r="J6" s="655"/>
      <c r="K6" s="655"/>
      <c r="L6" s="655"/>
      <c r="M6" s="655"/>
      <c r="N6" s="656"/>
      <c r="O6" s="654" t="s">
        <v>155</v>
      </c>
      <c r="P6" s="655"/>
      <c r="Q6" s="655"/>
      <c r="R6" s="655"/>
      <c r="S6" s="655"/>
      <c r="T6" s="656"/>
      <c r="U6" s="654" t="s">
        <v>155</v>
      </c>
      <c r="V6" s="655"/>
      <c r="W6" s="655"/>
      <c r="X6" s="655"/>
      <c r="Y6" s="655"/>
      <c r="Z6" s="656"/>
      <c r="AA6" s="654" t="s">
        <v>155</v>
      </c>
      <c r="AB6" s="655"/>
      <c r="AC6" s="655"/>
      <c r="AD6" s="655"/>
      <c r="AE6" s="655"/>
      <c r="AF6" s="656"/>
      <c r="AG6" s="654" t="s">
        <v>155</v>
      </c>
      <c r="AH6" s="655"/>
      <c r="AI6" s="655"/>
      <c r="AJ6" s="655"/>
      <c r="AK6" s="655"/>
      <c r="AL6" s="656"/>
      <c r="AM6" s="654" t="s">
        <v>155</v>
      </c>
      <c r="AN6" s="655"/>
      <c r="AO6" s="655"/>
      <c r="AP6" s="655"/>
      <c r="AQ6" s="655"/>
      <c r="AR6" s="656"/>
      <c r="AS6" s="654" t="s">
        <v>155</v>
      </c>
      <c r="AT6" s="655"/>
      <c r="AU6" s="655"/>
      <c r="AV6" s="655"/>
      <c r="AW6" s="655"/>
      <c r="AX6" s="656"/>
      <c r="AY6" s="654" t="s">
        <v>155</v>
      </c>
      <c r="AZ6" s="655"/>
      <c r="BA6" s="655"/>
      <c r="BB6" s="655"/>
      <c r="BC6" s="655"/>
      <c r="BD6" s="656"/>
      <c r="BE6" s="667" t="s">
        <v>162</v>
      </c>
      <c r="BF6" s="664"/>
      <c r="BG6" s="664"/>
      <c r="BH6" s="664"/>
      <c r="BI6" s="664"/>
      <c r="BJ6" s="664"/>
      <c r="BK6" s="665"/>
      <c r="BL6" s="664" t="s">
        <v>164</v>
      </c>
      <c r="BM6" s="664"/>
      <c r="BN6" s="664"/>
      <c r="BO6" s="664"/>
      <c r="BP6" s="664"/>
      <c r="BQ6" s="665"/>
      <c r="BR6" s="664" t="s">
        <v>165</v>
      </c>
      <c r="BS6" s="664"/>
      <c r="BT6" s="664"/>
      <c r="BU6" s="664"/>
      <c r="BV6" s="664"/>
      <c r="BW6" s="665"/>
    </row>
    <row r="7" spans="1:75" ht="24.95" customHeight="1" thickTop="1" thickBot="1" x14ac:dyDescent="0.25">
      <c r="A7" s="53" t="s">
        <v>80</v>
      </c>
      <c r="B7" s="39" t="s">
        <v>79</v>
      </c>
      <c r="C7" s="596" t="s">
        <v>156</v>
      </c>
      <c r="D7" s="435" t="s">
        <v>157</v>
      </c>
      <c r="E7" s="435" t="s">
        <v>158</v>
      </c>
      <c r="F7" s="451" t="s">
        <v>159</v>
      </c>
      <c r="G7" s="451" t="s">
        <v>160</v>
      </c>
      <c r="H7" s="451" t="s">
        <v>161</v>
      </c>
      <c r="I7" s="596" t="s">
        <v>156</v>
      </c>
      <c r="J7" s="435" t="s">
        <v>157</v>
      </c>
      <c r="K7" s="435" t="s">
        <v>158</v>
      </c>
      <c r="L7" s="451" t="s">
        <v>159</v>
      </c>
      <c r="M7" s="451" t="s">
        <v>160</v>
      </c>
      <c r="N7" s="451" t="s">
        <v>161</v>
      </c>
      <c r="O7" s="596" t="s">
        <v>156</v>
      </c>
      <c r="P7" s="435" t="s">
        <v>157</v>
      </c>
      <c r="Q7" s="435" t="s">
        <v>158</v>
      </c>
      <c r="R7" s="451" t="s">
        <v>159</v>
      </c>
      <c r="S7" s="451" t="s">
        <v>160</v>
      </c>
      <c r="T7" s="451" t="s">
        <v>161</v>
      </c>
      <c r="U7" s="596" t="s">
        <v>156</v>
      </c>
      <c r="V7" s="435" t="s">
        <v>157</v>
      </c>
      <c r="W7" s="435" t="s">
        <v>158</v>
      </c>
      <c r="X7" s="451" t="s">
        <v>159</v>
      </c>
      <c r="Y7" s="451" t="s">
        <v>160</v>
      </c>
      <c r="Z7" s="451" t="s">
        <v>161</v>
      </c>
      <c r="AA7" s="596" t="s">
        <v>156</v>
      </c>
      <c r="AB7" s="435" t="s">
        <v>157</v>
      </c>
      <c r="AC7" s="435" t="s">
        <v>158</v>
      </c>
      <c r="AD7" s="451" t="s">
        <v>159</v>
      </c>
      <c r="AE7" s="451" t="s">
        <v>160</v>
      </c>
      <c r="AF7" s="451" t="s">
        <v>161</v>
      </c>
      <c r="AG7" s="596" t="s">
        <v>156</v>
      </c>
      <c r="AH7" s="435" t="s">
        <v>157</v>
      </c>
      <c r="AI7" s="435" t="s">
        <v>158</v>
      </c>
      <c r="AJ7" s="451" t="s">
        <v>159</v>
      </c>
      <c r="AK7" s="451" t="s">
        <v>160</v>
      </c>
      <c r="AL7" s="451" t="s">
        <v>161</v>
      </c>
      <c r="AM7" s="596" t="s">
        <v>156</v>
      </c>
      <c r="AN7" s="435" t="s">
        <v>157</v>
      </c>
      <c r="AO7" s="435" t="s">
        <v>158</v>
      </c>
      <c r="AP7" s="451" t="s">
        <v>159</v>
      </c>
      <c r="AQ7" s="451" t="s">
        <v>160</v>
      </c>
      <c r="AR7" s="451" t="s">
        <v>161</v>
      </c>
      <c r="AS7" s="596" t="s">
        <v>156</v>
      </c>
      <c r="AT7" s="435" t="s">
        <v>157</v>
      </c>
      <c r="AU7" s="435" t="s">
        <v>158</v>
      </c>
      <c r="AV7" s="451" t="s">
        <v>159</v>
      </c>
      <c r="AW7" s="451" t="s">
        <v>160</v>
      </c>
      <c r="AX7" s="451" t="s">
        <v>161</v>
      </c>
      <c r="AY7" s="596" t="s">
        <v>156</v>
      </c>
      <c r="AZ7" s="435" t="s">
        <v>157</v>
      </c>
      <c r="BA7" s="435" t="s">
        <v>158</v>
      </c>
      <c r="BB7" s="451" t="s">
        <v>159</v>
      </c>
      <c r="BC7" s="451" t="s">
        <v>160</v>
      </c>
      <c r="BD7" s="451" t="s">
        <v>161</v>
      </c>
      <c r="BE7" s="596" t="s">
        <v>156</v>
      </c>
      <c r="BF7" s="435" t="s">
        <v>157</v>
      </c>
      <c r="BG7" s="435" t="s">
        <v>158</v>
      </c>
      <c r="BH7" s="451" t="s">
        <v>159</v>
      </c>
      <c r="BI7" s="451" t="s">
        <v>160</v>
      </c>
      <c r="BJ7" s="451" t="s">
        <v>161</v>
      </c>
      <c r="BK7" s="509" t="s">
        <v>34</v>
      </c>
      <c r="BL7" s="596" t="s">
        <v>156</v>
      </c>
      <c r="BM7" s="435" t="s">
        <v>157</v>
      </c>
      <c r="BN7" s="435" t="s">
        <v>158</v>
      </c>
      <c r="BO7" s="451" t="s">
        <v>159</v>
      </c>
      <c r="BP7" s="451" t="s">
        <v>160</v>
      </c>
      <c r="BQ7" s="451" t="s">
        <v>161</v>
      </c>
      <c r="BR7" s="596" t="s">
        <v>156</v>
      </c>
      <c r="BS7" s="435" t="s">
        <v>157</v>
      </c>
      <c r="BT7" s="435" t="s">
        <v>158</v>
      </c>
      <c r="BU7" s="451" t="s">
        <v>159</v>
      </c>
      <c r="BV7" s="451" t="s">
        <v>160</v>
      </c>
      <c r="BW7" s="451" t="s">
        <v>161</v>
      </c>
    </row>
    <row r="8" spans="1:75" ht="24" customHeight="1" thickTop="1" x14ac:dyDescent="0.2">
      <c r="A8" s="484">
        <f>+V1+126+35</f>
        <v>43411</v>
      </c>
      <c r="B8" s="485">
        <v>23</v>
      </c>
      <c r="C8" s="209"/>
      <c r="D8" s="443"/>
      <c r="E8" s="443"/>
      <c r="F8" s="443"/>
      <c r="G8" s="490"/>
      <c r="H8" s="507"/>
      <c r="I8" s="209"/>
      <c r="J8" s="443"/>
      <c r="K8" s="443"/>
      <c r="L8" s="443"/>
      <c r="M8" s="490"/>
      <c r="N8" s="507"/>
      <c r="O8" s="209"/>
      <c r="P8" s="443"/>
      <c r="Q8" s="443"/>
      <c r="R8" s="443"/>
      <c r="S8" s="490"/>
      <c r="T8" s="507"/>
      <c r="U8" s="209"/>
      <c r="V8" s="443"/>
      <c r="W8" s="443"/>
      <c r="X8" s="443"/>
      <c r="Y8" s="490"/>
      <c r="Z8" s="507"/>
      <c r="AA8" s="209"/>
      <c r="AB8" s="443"/>
      <c r="AC8" s="443"/>
      <c r="AD8" s="443"/>
      <c r="AE8" s="490"/>
      <c r="AF8" s="507"/>
      <c r="AG8" s="209"/>
      <c r="AH8" s="443"/>
      <c r="AI8" s="443"/>
      <c r="AJ8" s="443"/>
      <c r="AK8" s="490"/>
      <c r="AL8" s="507"/>
      <c r="AM8" s="209"/>
      <c r="AN8" s="443"/>
      <c r="AO8" s="443"/>
      <c r="AP8" s="443"/>
      <c r="AQ8" s="490"/>
      <c r="AR8" s="507"/>
      <c r="AS8" s="209"/>
      <c r="AT8" s="443"/>
      <c r="AU8" s="443"/>
      <c r="AV8" s="443"/>
      <c r="AW8" s="490"/>
      <c r="AX8" s="507"/>
      <c r="AY8" s="209"/>
      <c r="AZ8" s="443"/>
      <c r="BA8" s="443"/>
      <c r="BB8" s="443"/>
      <c r="BC8" s="490"/>
      <c r="BD8" s="507"/>
      <c r="BE8" s="510" t="str">
        <f t="shared" ref="BE8:BJ8" si="0">IF(C8="","",C8+I8+O8+AG8+U8+AA8+AM8+AS8+AY8)</f>
        <v/>
      </c>
      <c r="BF8" s="511" t="str">
        <f t="shared" si="0"/>
        <v/>
      </c>
      <c r="BG8" s="511" t="str">
        <f t="shared" si="0"/>
        <v/>
      </c>
      <c r="BH8" s="511" t="str">
        <f t="shared" si="0"/>
        <v/>
      </c>
      <c r="BI8" s="511" t="str">
        <f t="shared" si="0"/>
        <v/>
      </c>
      <c r="BJ8" s="511" t="str">
        <f t="shared" si="0"/>
        <v/>
      </c>
      <c r="BK8" s="512" t="str">
        <f>IF(BE8="","",+BE8-BF8-BG8-BH8-BI8)</f>
        <v/>
      </c>
      <c r="BL8" s="526" t="str">
        <f>IF(BE8="","",+BF8/BE8)</f>
        <v/>
      </c>
      <c r="BM8" s="520" t="str">
        <f>IF(BE8="","",+BG8/BE8)</f>
        <v/>
      </c>
      <c r="BN8" s="520" t="str">
        <f>IF(BE8="","",+BH8/BE8)</f>
        <v/>
      </c>
      <c r="BO8" s="520" t="str">
        <f>IF(BE8="","",+BI8/BE8)</f>
        <v/>
      </c>
      <c r="BP8" s="520" t="str">
        <f>IF(BE8="","",+BJ8/BE8)</f>
        <v/>
      </c>
      <c r="BQ8" s="521" t="str">
        <f>IF(BE8="","",+BK8/BE8)</f>
        <v/>
      </c>
      <c r="BR8" s="529" t="str">
        <f>IF(BE8="","",+BL8/BE8)</f>
        <v/>
      </c>
      <c r="BS8" s="530" t="str">
        <f>IF(BK8="","",+BM8/BE8)</f>
        <v/>
      </c>
      <c r="BT8" s="530" t="str">
        <f>IF(BK8="","",+BN8/BE8)</f>
        <v/>
      </c>
      <c r="BU8" s="530" t="str">
        <f>IF(BK8="","",+BO8/BE8)</f>
        <v/>
      </c>
      <c r="BV8" s="530" t="str">
        <f>IF(BK8="","",+BP8/BE8)</f>
        <v/>
      </c>
      <c r="BW8" s="531" t="str">
        <f>IF(BK8="","",+BQ8/BE8)</f>
        <v/>
      </c>
    </row>
    <row r="9" spans="1:75" ht="24" customHeight="1" x14ac:dyDescent="0.2">
      <c r="A9" s="486">
        <f>A8+7</f>
        <v>43418</v>
      </c>
      <c r="B9" s="487">
        <f>+B8+1</f>
        <v>24</v>
      </c>
      <c r="C9" s="209"/>
      <c r="D9" s="443"/>
      <c r="E9" s="443"/>
      <c r="F9" s="443"/>
      <c r="G9" s="490"/>
      <c r="H9" s="491"/>
      <c r="I9" s="209"/>
      <c r="J9" s="443"/>
      <c r="K9" s="443"/>
      <c r="L9" s="443"/>
      <c r="M9" s="490"/>
      <c r="N9" s="491"/>
      <c r="O9" s="209"/>
      <c r="P9" s="443"/>
      <c r="Q9" s="443"/>
      <c r="R9" s="443"/>
      <c r="S9" s="490"/>
      <c r="T9" s="491"/>
      <c r="U9" s="209"/>
      <c r="V9" s="443"/>
      <c r="W9" s="443"/>
      <c r="X9" s="443"/>
      <c r="Y9" s="490"/>
      <c r="Z9" s="491"/>
      <c r="AA9" s="209"/>
      <c r="AB9" s="443"/>
      <c r="AC9" s="443"/>
      <c r="AD9" s="443"/>
      <c r="AE9" s="490"/>
      <c r="AF9" s="491"/>
      <c r="AG9" s="209"/>
      <c r="AH9" s="443"/>
      <c r="AI9" s="443"/>
      <c r="AJ9" s="443"/>
      <c r="AK9" s="490"/>
      <c r="AL9" s="491"/>
      <c r="AM9" s="209"/>
      <c r="AN9" s="443"/>
      <c r="AO9" s="443"/>
      <c r="AP9" s="443"/>
      <c r="AQ9" s="490"/>
      <c r="AR9" s="491"/>
      <c r="AS9" s="209"/>
      <c r="AT9" s="443"/>
      <c r="AU9" s="443"/>
      <c r="AV9" s="443"/>
      <c r="AW9" s="490"/>
      <c r="AX9" s="491"/>
      <c r="AY9" s="209"/>
      <c r="AZ9" s="443"/>
      <c r="BA9" s="443"/>
      <c r="BB9" s="443"/>
      <c r="BC9" s="490"/>
      <c r="BD9" s="491"/>
      <c r="BE9" s="513" t="str">
        <f t="shared" ref="BE9:BE55" si="1">IF(C9="","",C9+I9+O9+AG9+U9+AA9+AM9+AS9+AY9)</f>
        <v/>
      </c>
      <c r="BF9" s="514" t="str">
        <f t="shared" ref="BF9:BJ55" si="2">IF(D9="","",D9+J9+P9+AH9+V9+AB9+AN9+AT9+AZ9)</f>
        <v/>
      </c>
      <c r="BG9" s="514" t="str">
        <f t="shared" si="2"/>
        <v/>
      </c>
      <c r="BH9" s="514" t="str">
        <f t="shared" si="2"/>
        <v/>
      </c>
      <c r="BI9" s="514" t="str">
        <f t="shared" si="2"/>
        <v/>
      </c>
      <c r="BJ9" s="514" t="str">
        <f t="shared" si="2"/>
        <v/>
      </c>
      <c r="BK9" s="515" t="str">
        <f>IF(BE9="","",BE9-BF9-BG9-BH9-BI9-BJ9)</f>
        <v/>
      </c>
      <c r="BL9" s="527" t="str">
        <f t="shared" ref="BL9:BL54" si="3">IF(BE9="","",+BF9/BE9)</f>
        <v/>
      </c>
      <c r="BM9" s="522" t="str">
        <f t="shared" ref="BM9:BM54" si="4">IF(BE9="","",+BG9/BE9)</f>
        <v/>
      </c>
      <c r="BN9" s="522" t="str">
        <f t="shared" ref="BN9:BN54" si="5">IF(BE9="","",+BH9/BE9)</f>
        <v/>
      </c>
      <c r="BO9" s="522" t="str">
        <f t="shared" ref="BO9:BO54" si="6">IF(BE9="","",+BI9/BE9)</f>
        <v/>
      </c>
      <c r="BP9" s="522" t="str">
        <f>IF(BE9="","",+BJ9/BE9)</f>
        <v/>
      </c>
      <c r="BQ9" s="523" t="str">
        <f t="shared" ref="BQ9:BQ54" si="7">IF(BE9="","",+BK9/BE9)</f>
        <v/>
      </c>
      <c r="BR9" s="532" t="str">
        <f>IF(BE9="","",+SUM($BF$8:BF9)/SUM($BE$8:BE9))</f>
        <v/>
      </c>
      <c r="BS9" s="533" t="str">
        <f>IF(BE9="","",+SUM($BG$8:BG9)/SUM($BE$8:BE9))</f>
        <v/>
      </c>
      <c r="BT9" s="533" t="str">
        <f>IF(BE9="","",+SUM($BH$8:BH9)/SUM($BE$8:BE9))</f>
        <v/>
      </c>
      <c r="BU9" s="533" t="str">
        <f>IF(BE9="","",+SUM($BI$8:BI9)/SUM($BE$8:BE9))</f>
        <v/>
      </c>
      <c r="BV9" s="533" t="str">
        <f>IF(BE9="","",+SUM($BJ$8:BJ9)/SUM($BE$8:BE9))</f>
        <v/>
      </c>
      <c r="BW9" s="534" t="str">
        <f>IF(BE9="","",+SUM($BK$8:BK9)/SUM($BE$8:BE9))</f>
        <v/>
      </c>
    </row>
    <row r="10" spans="1:75" ht="24" customHeight="1" x14ac:dyDescent="0.2">
      <c r="A10" s="486">
        <f>A9+7</f>
        <v>43425</v>
      </c>
      <c r="B10" s="487">
        <f>+B9+1</f>
        <v>25</v>
      </c>
      <c r="C10" s="209"/>
      <c r="D10" s="443"/>
      <c r="E10" s="443"/>
      <c r="F10" s="443"/>
      <c r="G10" s="490"/>
      <c r="H10" s="491"/>
      <c r="I10" s="209"/>
      <c r="J10" s="443"/>
      <c r="K10" s="443"/>
      <c r="L10" s="443"/>
      <c r="M10" s="490"/>
      <c r="N10" s="491"/>
      <c r="O10" s="209"/>
      <c r="P10" s="443"/>
      <c r="Q10" s="443"/>
      <c r="R10" s="443"/>
      <c r="S10" s="490"/>
      <c r="T10" s="491"/>
      <c r="U10" s="209"/>
      <c r="V10" s="443"/>
      <c r="W10" s="443"/>
      <c r="X10" s="443"/>
      <c r="Y10" s="490"/>
      <c r="Z10" s="491"/>
      <c r="AA10" s="209"/>
      <c r="AB10" s="443"/>
      <c r="AC10" s="443"/>
      <c r="AD10" s="443"/>
      <c r="AE10" s="490"/>
      <c r="AF10" s="491"/>
      <c r="AG10" s="209"/>
      <c r="AH10" s="443"/>
      <c r="AI10" s="443"/>
      <c r="AJ10" s="443"/>
      <c r="AK10" s="490"/>
      <c r="AL10" s="491"/>
      <c r="AM10" s="209"/>
      <c r="AN10" s="443"/>
      <c r="AO10" s="443"/>
      <c r="AP10" s="443"/>
      <c r="AQ10" s="490"/>
      <c r="AR10" s="491"/>
      <c r="AS10" s="209"/>
      <c r="AT10" s="443"/>
      <c r="AU10" s="443"/>
      <c r="AV10" s="443"/>
      <c r="AW10" s="490"/>
      <c r="AX10" s="491"/>
      <c r="AY10" s="209"/>
      <c r="AZ10" s="443"/>
      <c r="BA10" s="443"/>
      <c r="BB10" s="443"/>
      <c r="BC10" s="490"/>
      <c r="BD10" s="491"/>
      <c r="BE10" s="513" t="str">
        <f t="shared" si="1"/>
        <v/>
      </c>
      <c r="BF10" s="514" t="str">
        <f t="shared" si="2"/>
        <v/>
      </c>
      <c r="BG10" s="514" t="str">
        <f t="shared" si="2"/>
        <v/>
      </c>
      <c r="BH10" s="514" t="str">
        <f t="shared" si="2"/>
        <v/>
      </c>
      <c r="BI10" s="514" t="str">
        <f t="shared" si="2"/>
        <v/>
      </c>
      <c r="BJ10" s="514" t="str">
        <f t="shared" si="2"/>
        <v/>
      </c>
      <c r="BK10" s="515" t="str">
        <f t="shared" ref="BK10:BK55" si="8">IF(BE10="","",BE10-BF10-BG10-BH10-BI10-BJ10)</f>
        <v/>
      </c>
      <c r="BL10" s="527" t="str">
        <f t="shared" si="3"/>
        <v/>
      </c>
      <c r="BM10" s="522" t="str">
        <f t="shared" si="4"/>
        <v/>
      </c>
      <c r="BN10" s="522" t="str">
        <f t="shared" si="5"/>
        <v/>
      </c>
      <c r="BO10" s="522" t="str">
        <f t="shared" si="6"/>
        <v/>
      </c>
      <c r="BP10" s="522" t="str">
        <f t="shared" ref="BP10:BP54" si="9">IF(BE10="","",+BJ10/BE10)</f>
        <v/>
      </c>
      <c r="BQ10" s="523" t="str">
        <f t="shared" si="7"/>
        <v/>
      </c>
      <c r="BR10" s="532" t="str">
        <f>IF(BE10="","",+SUM($BF$8:BF10)/SUM($BE$8:BE10))</f>
        <v/>
      </c>
      <c r="BS10" s="533" t="str">
        <f>IF(BE10="","",+SUM($BG$8:BG10)/SUM($BE$8:BE10))</f>
        <v/>
      </c>
      <c r="BT10" s="533" t="str">
        <f>IF(BE10="","",+SUM($BH$8:BH10)/SUM($BE$8:BE10))</f>
        <v/>
      </c>
      <c r="BU10" s="533" t="str">
        <f>IF(BE10="","",+SUM($BI$8:BI10)/SUM($BE$8:BE10))</f>
        <v/>
      </c>
      <c r="BV10" s="533" t="str">
        <f>IF(BE10="","",+SUM($BJ$8:BJ10)/SUM($BE$8:BE10))</f>
        <v/>
      </c>
      <c r="BW10" s="534" t="str">
        <f>IF(BE10="","",+SUM($BK$8:BK10)/SUM($BE$8:BE10))</f>
        <v/>
      </c>
    </row>
    <row r="11" spans="1:75" ht="24" customHeight="1" x14ac:dyDescent="0.2">
      <c r="A11" s="486">
        <f t="shared" ref="A11:A24" si="10">A10+7</f>
        <v>43432</v>
      </c>
      <c r="B11" s="487">
        <f t="shared" ref="B11:B25" si="11">+B10+1</f>
        <v>26</v>
      </c>
      <c r="C11" s="209"/>
      <c r="D11" s="443"/>
      <c r="E11" s="443"/>
      <c r="F11" s="443"/>
      <c r="G11" s="490"/>
      <c r="H11" s="491"/>
      <c r="I11" s="209"/>
      <c r="J11" s="443"/>
      <c r="K11" s="443"/>
      <c r="L11" s="443"/>
      <c r="M11" s="490"/>
      <c r="N11" s="491"/>
      <c r="O11" s="209"/>
      <c r="P11" s="443"/>
      <c r="Q11" s="443"/>
      <c r="R11" s="443"/>
      <c r="S11" s="490"/>
      <c r="T11" s="491"/>
      <c r="U11" s="209"/>
      <c r="V11" s="443"/>
      <c r="W11" s="443"/>
      <c r="X11" s="443"/>
      <c r="Y11" s="490"/>
      <c r="Z11" s="491"/>
      <c r="AA11" s="209"/>
      <c r="AB11" s="443"/>
      <c r="AC11" s="443"/>
      <c r="AD11" s="443"/>
      <c r="AE11" s="490"/>
      <c r="AF11" s="491"/>
      <c r="AG11" s="209"/>
      <c r="AH11" s="443"/>
      <c r="AI11" s="443"/>
      <c r="AJ11" s="443"/>
      <c r="AK11" s="490"/>
      <c r="AL11" s="491"/>
      <c r="AM11" s="209"/>
      <c r="AN11" s="443"/>
      <c r="AO11" s="443"/>
      <c r="AP11" s="443"/>
      <c r="AQ11" s="490"/>
      <c r="AR11" s="491"/>
      <c r="AS11" s="209"/>
      <c r="AT11" s="443"/>
      <c r="AU11" s="443"/>
      <c r="AV11" s="443"/>
      <c r="AW11" s="490"/>
      <c r="AX11" s="491"/>
      <c r="AY11" s="209"/>
      <c r="AZ11" s="443"/>
      <c r="BA11" s="443"/>
      <c r="BB11" s="443"/>
      <c r="BC11" s="490"/>
      <c r="BD11" s="491"/>
      <c r="BE11" s="513" t="str">
        <f t="shared" si="1"/>
        <v/>
      </c>
      <c r="BF11" s="514" t="str">
        <f t="shared" si="2"/>
        <v/>
      </c>
      <c r="BG11" s="514" t="str">
        <f t="shared" si="2"/>
        <v/>
      </c>
      <c r="BH11" s="514" t="str">
        <f t="shared" si="2"/>
        <v/>
      </c>
      <c r="BI11" s="514" t="str">
        <f t="shared" si="2"/>
        <v/>
      </c>
      <c r="BJ11" s="514" t="str">
        <f t="shared" si="2"/>
        <v/>
      </c>
      <c r="BK11" s="515" t="str">
        <f t="shared" si="8"/>
        <v/>
      </c>
      <c r="BL11" s="527" t="str">
        <f t="shared" si="3"/>
        <v/>
      </c>
      <c r="BM11" s="522" t="str">
        <f t="shared" si="4"/>
        <v/>
      </c>
      <c r="BN11" s="522" t="str">
        <f t="shared" si="5"/>
        <v/>
      </c>
      <c r="BO11" s="522" t="str">
        <f t="shared" si="6"/>
        <v/>
      </c>
      <c r="BP11" s="522" t="str">
        <f t="shared" si="9"/>
        <v/>
      </c>
      <c r="BQ11" s="523" t="str">
        <f t="shared" si="7"/>
        <v/>
      </c>
      <c r="BR11" s="532" t="str">
        <f>IF(BE11="","",+SUM($BF$8:BF11)/SUM($BE$8:BE11))</f>
        <v/>
      </c>
      <c r="BS11" s="533" t="str">
        <f>IF(BE11="","",+SUM($BG$8:BG11)/SUM($BE$8:BE11))</f>
        <v/>
      </c>
      <c r="BT11" s="533" t="str">
        <f>IF(BE11="","",+SUM($BH$8:BH11)/SUM($BE$8:BE11))</f>
        <v/>
      </c>
      <c r="BU11" s="533" t="str">
        <f>IF(BE11="","",+SUM($BI$8:BI11)/SUM($BE$8:BE11))</f>
        <v/>
      </c>
      <c r="BV11" s="533" t="str">
        <f>IF(BE11="","",+SUM($BJ$8:BJ11)/SUM($BE$8:BE11))</f>
        <v/>
      </c>
      <c r="BW11" s="534" t="str">
        <f>IF(BE11="","",+SUM($BK$8:BK11)/SUM($BE$8:BE11))</f>
        <v/>
      </c>
    </row>
    <row r="12" spans="1:75" ht="20.100000000000001" customHeight="1" x14ac:dyDescent="0.2">
      <c r="A12" s="486">
        <f t="shared" si="10"/>
        <v>43439</v>
      </c>
      <c r="B12" s="487">
        <f t="shared" si="11"/>
        <v>27</v>
      </c>
      <c r="C12" s="209"/>
      <c r="D12" s="443"/>
      <c r="E12" s="443"/>
      <c r="F12" s="443"/>
      <c r="G12" s="490"/>
      <c r="H12" s="491"/>
      <c r="I12" s="209"/>
      <c r="J12" s="443"/>
      <c r="K12" s="443"/>
      <c r="L12" s="443"/>
      <c r="M12" s="490"/>
      <c r="N12" s="491"/>
      <c r="O12" s="209"/>
      <c r="P12" s="443"/>
      <c r="Q12" s="443"/>
      <c r="R12" s="443"/>
      <c r="S12" s="490"/>
      <c r="T12" s="491"/>
      <c r="U12" s="209"/>
      <c r="V12" s="443"/>
      <c r="W12" s="443"/>
      <c r="X12" s="443"/>
      <c r="Y12" s="490"/>
      <c r="Z12" s="491"/>
      <c r="AA12" s="209"/>
      <c r="AB12" s="443"/>
      <c r="AC12" s="443"/>
      <c r="AD12" s="443"/>
      <c r="AE12" s="490"/>
      <c r="AF12" s="491"/>
      <c r="AG12" s="209"/>
      <c r="AH12" s="443"/>
      <c r="AI12" s="443"/>
      <c r="AJ12" s="443"/>
      <c r="AK12" s="490"/>
      <c r="AL12" s="491"/>
      <c r="AM12" s="209"/>
      <c r="AN12" s="443"/>
      <c r="AO12" s="443"/>
      <c r="AP12" s="443"/>
      <c r="AQ12" s="490"/>
      <c r="AR12" s="491"/>
      <c r="AS12" s="209"/>
      <c r="AT12" s="443"/>
      <c r="AU12" s="443"/>
      <c r="AV12" s="443"/>
      <c r="AW12" s="490"/>
      <c r="AX12" s="491"/>
      <c r="AY12" s="209"/>
      <c r="AZ12" s="443"/>
      <c r="BA12" s="443"/>
      <c r="BB12" s="443"/>
      <c r="BC12" s="490"/>
      <c r="BD12" s="491"/>
      <c r="BE12" s="513" t="str">
        <f t="shared" si="1"/>
        <v/>
      </c>
      <c r="BF12" s="514" t="str">
        <f t="shared" si="2"/>
        <v/>
      </c>
      <c r="BG12" s="514" t="str">
        <f t="shared" si="2"/>
        <v/>
      </c>
      <c r="BH12" s="514" t="str">
        <f t="shared" si="2"/>
        <v/>
      </c>
      <c r="BI12" s="514" t="str">
        <f t="shared" si="2"/>
        <v/>
      </c>
      <c r="BJ12" s="514" t="str">
        <f t="shared" si="2"/>
        <v/>
      </c>
      <c r="BK12" s="515" t="str">
        <f t="shared" si="8"/>
        <v/>
      </c>
      <c r="BL12" s="527" t="str">
        <f t="shared" si="3"/>
        <v/>
      </c>
      <c r="BM12" s="522" t="str">
        <f t="shared" si="4"/>
        <v/>
      </c>
      <c r="BN12" s="522" t="str">
        <f t="shared" si="5"/>
        <v/>
      </c>
      <c r="BO12" s="522" t="str">
        <f t="shared" si="6"/>
        <v/>
      </c>
      <c r="BP12" s="522" t="str">
        <f t="shared" si="9"/>
        <v/>
      </c>
      <c r="BQ12" s="523" t="str">
        <f t="shared" si="7"/>
        <v/>
      </c>
      <c r="BR12" s="532" t="str">
        <f>IF(BE12="","",+SUM($BF$8:BF12)/SUM($BE$8:BE12))</f>
        <v/>
      </c>
      <c r="BS12" s="533" t="str">
        <f>IF(BE12="","",+SUM($BG$8:BG12)/SUM($BE$8:BE12))</f>
        <v/>
      </c>
      <c r="BT12" s="533" t="str">
        <f>IF(BE12="","",+SUM($BH$8:BH12)/SUM($BE$8:BE12))</f>
        <v/>
      </c>
      <c r="BU12" s="533" t="str">
        <f>IF(BE12="","",+SUM($BI$8:BI12)/SUM($BE$8:BE12))</f>
        <v/>
      </c>
      <c r="BV12" s="533" t="str">
        <f>IF(BE12="","",+SUM($BJ$8:BJ12)/SUM($BE$8:BE12))</f>
        <v/>
      </c>
      <c r="BW12" s="534" t="str">
        <f>IF(BE12="","",+SUM($BK$8:BK12)/SUM($BE$8:BE12))</f>
        <v/>
      </c>
    </row>
    <row r="13" spans="1:75" ht="24" customHeight="1" x14ac:dyDescent="0.2">
      <c r="A13" s="486">
        <f t="shared" si="10"/>
        <v>43446</v>
      </c>
      <c r="B13" s="487">
        <f t="shared" si="11"/>
        <v>28</v>
      </c>
      <c r="C13" s="209"/>
      <c r="D13" s="443"/>
      <c r="E13" s="443"/>
      <c r="F13" s="443"/>
      <c r="G13" s="490"/>
      <c r="H13" s="491"/>
      <c r="I13" s="209"/>
      <c r="J13" s="443"/>
      <c r="K13" s="443"/>
      <c r="L13" s="443"/>
      <c r="M13" s="490"/>
      <c r="N13" s="491"/>
      <c r="O13" s="209"/>
      <c r="P13" s="443"/>
      <c r="Q13" s="443"/>
      <c r="R13" s="443"/>
      <c r="S13" s="490"/>
      <c r="T13" s="491"/>
      <c r="U13" s="209"/>
      <c r="V13" s="443"/>
      <c r="W13" s="443"/>
      <c r="X13" s="443"/>
      <c r="Y13" s="490"/>
      <c r="Z13" s="491"/>
      <c r="AA13" s="209"/>
      <c r="AB13" s="443"/>
      <c r="AC13" s="443"/>
      <c r="AD13" s="443"/>
      <c r="AE13" s="490"/>
      <c r="AF13" s="491"/>
      <c r="AG13" s="209"/>
      <c r="AH13" s="443"/>
      <c r="AI13" s="443"/>
      <c r="AJ13" s="443"/>
      <c r="AK13" s="490"/>
      <c r="AL13" s="491"/>
      <c r="AM13" s="209"/>
      <c r="AN13" s="443"/>
      <c r="AO13" s="443"/>
      <c r="AP13" s="443"/>
      <c r="AQ13" s="490"/>
      <c r="AR13" s="491"/>
      <c r="AS13" s="209"/>
      <c r="AT13" s="443"/>
      <c r="AU13" s="443"/>
      <c r="AV13" s="443"/>
      <c r="AW13" s="490"/>
      <c r="AX13" s="491"/>
      <c r="AY13" s="209"/>
      <c r="AZ13" s="443"/>
      <c r="BA13" s="443"/>
      <c r="BB13" s="443"/>
      <c r="BC13" s="490"/>
      <c r="BD13" s="491"/>
      <c r="BE13" s="513" t="str">
        <f t="shared" si="1"/>
        <v/>
      </c>
      <c r="BF13" s="516" t="str">
        <f t="shared" si="2"/>
        <v/>
      </c>
      <c r="BG13" s="516" t="str">
        <f t="shared" si="2"/>
        <v/>
      </c>
      <c r="BH13" s="516" t="str">
        <f t="shared" si="2"/>
        <v/>
      </c>
      <c r="BI13" s="516" t="str">
        <f t="shared" si="2"/>
        <v/>
      </c>
      <c r="BJ13" s="516" t="str">
        <f t="shared" si="2"/>
        <v/>
      </c>
      <c r="BK13" s="515" t="str">
        <f>IF(BE13="","",BE13-BF13-BG13-BH13-BI13-BJ13)</f>
        <v/>
      </c>
      <c r="BL13" s="527" t="str">
        <f t="shared" si="3"/>
        <v/>
      </c>
      <c r="BM13" s="522" t="str">
        <f t="shared" si="4"/>
        <v/>
      </c>
      <c r="BN13" s="522" t="str">
        <f t="shared" si="5"/>
        <v/>
      </c>
      <c r="BO13" s="522" t="str">
        <f t="shared" si="6"/>
        <v/>
      </c>
      <c r="BP13" s="522" t="str">
        <f t="shared" si="9"/>
        <v/>
      </c>
      <c r="BQ13" s="523" t="str">
        <f t="shared" si="7"/>
        <v/>
      </c>
      <c r="BR13" s="532" t="str">
        <f>IF(BE13="","",+SUM($BF$8:BF13)/SUM($BE$8:BE13))</f>
        <v/>
      </c>
      <c r="BS13" s="533" t="str">
        <f>IF(BE13="","",+SUM($BG$8:BG13)/SUM($BE$8:BE13))</f>
        <v/>
      </c>
      <c r="BT13" s="533" t="str">
        <f>IF(BE13="","",+SUM($BH$8:BH13)/SUM($BE$8:BE13))</f>
        <v/>
      </c>
      <c r="BU13" s="533" t="str">
        <f>IF(BE13="","",+SUM($BI$8:BI13)/SUM($BE$8:BE13))</f>
        <v/>
      </c>
      <c r="BV13" s="533" t="str">
        <f>IF(BE13="","",+SUM($BJ$8:BJ13)/SUM($BE$8:BE13))</f>
        <v/>
      </c>
      <c r="BW13" s="534" t="str">
        <f>IF(BE13="","",+SUM($BK$8:BK13)/SUM($BE$8:BE13))</f>
        <v/>
      </c>
    </row>
    <row r="14" spans="1:75" ht="24" customHeight="1" x14ac:dyDescent="0.2">
      <c r="A14" s="486">
        <f t="shared" si="10"/>
        <v>43453</v>
      </c>
      <c r="B14" s="487">
        <f t="shared" si="11"/>
        <v>29</v>
      </c>
      <c r="C14" s="209"/>
      <c r="D14" s="443"/>
      <c r="E14" s="443"/>
      <c r="F14" s="443"/>
      <c r="G14" s="490"/>
      <c r="H14" s="491"/>
      <c r="I14" s="209"/>
      <c r="J14" s="443"/>
      <c r="K14" s="443"/>
      <c r="L14" s="443"/>
      <c r="M14" s="490"/>
      <c r="N14" s="491"/>
      <c r="O14" s="209"/>
      <c r="P14" s="443"/>
      <c r="Q14" s="443"/>
      <c r="R14" s="443"/>
      <c r="S14" s="490"/>
      <c r="T14" s="491"/>
      <c r="U14" s="209"/>
      <c r="V14" s="443"/>
      <c r="W14" s="443"/>
      <c r="X14" s="443"/>
      <c r="Y14" s="490"/>
      <c r="Z14" s="491"/>
      <c r="AA14" s="209"/>
      <c r="AB14" s="443"/>
      <c r="AC14" s="443"/>
      <c r="AD14" s="443"/>
      <c r="AE14" s="490"/>
      <c r="AF14" s="491"/>
      <c r="AG14" s="209"/>
      <c r="AH14" s="443"/>
      <c r="AI14" s="443"/>
      <c r="AJ14" s="443"/>
      <c r="AK14" s="490"/>
      <c r="AL14" s="491"/>
      <c r="AM14" s="209"/>
      <c r="AN14" s="443"/>
      <c r="AO14" s="443"/>
      <c r="AP14" s="443"/>
      <c r="AQ14" s="490"/>
      <c r="AR14" s="491"/>
      <c r="AS14" s="209"/>
      <c r="AT14" s="443"/>
      <c r="AU14" s="443"/>
      <c r="AV14" s="443"/>
      <c r="AW14" s="490"/>
      <c r="AX14" s="491"/>
      <c r="AY14" s="209"/>
      <c r="AZ14" s="443"/>
      <c r="BA14" s="443"/>
      <c r="BB14" s="443"/>
      <c r="BC14" s="490"/>
      <c r="BD14" s="491"/>
      <c r="BE14" s="513" t="str">
        <f t="shared" si="1"/>
        <v/>
      </c>
      <c r="BF14" s="516" t="str">
        <f t="shared" si="2"/>
        <v/>
      </c>
      <c r="BG14" s="516" t="str">
        <f t="shared" si="2"/>
        <v/>
      </c>
      <c r="BH14" s="516" t="str">
        <f t="shared" si="2"/>
        <v/>
      </c>
      <c r="BI14" s="516" t="str">
        <f t="shared" si="2"/>
        <v/>
      </c>
      <c r="BJ14" s="516" t="str">
        <f t="shared" si="2"/>
        <v/>
      </c>
      <c r="BK14" s="515" t="str">
        <f t="shared" si="8"/>
        <v/>
      </c>
      <c r="BL14" s="527" t="str">
        <f t="shared" si="3"/>
        <v/>
      </c>
      <c r="BM14" s="522" t="str">
        <f t="shared" si="4"/>
        <v/>
      </c>
      <c r="BN14" s="522" t="str">
        <f t="shared" si="5"/>
        <v/>
      </c>
      <c r="BO14" s="522" t="str">
        <f t="shared" si="6"/>
        <v/>
      </c>
      <c r="BP14" s="522" t="str">
        <f t="shared" si="9"/>
        <v/>
      </c>
      <c r="BQ14" s="523" t="str">
        <f t="shared" si="7"/>
        <v/>
      </c>
      <c r="BR14" s="532" t="str">
        <f>IF(BE14="","",+SUM($BF$8:BF14)/SUM($BE$8:BE14))</f>
        <v/>
      </c>
      <c r="BS14" s="533" t="str">
        <f>IF(BE14="","",+SUM($BG$8:BG14)/SUM($BE$8:BE14))</f>
        <v/>
      </c>
      <c r="BT14" s="533" t="str">
        <f>IF(BE14="","",+SUM($BH$8:BH14)/SUM($BE$8:BE14))</f>
        <v/>
      </c>
      <c r="BU14" s="533" t="str">
        <f>IF(BE14="","",+SUM($BI$8:BI14)/SUM($BE$8:BE14))</f>
        <v/>
      </c>
      <c r="BV14" s="533" t="str">
        <f>IF(BE14="","",+SUM($BJ$8:BJ14)/SUM($BE$8:BE14))</f>
        <v/>
      </c>
      <c r="BW14" s="534" t="str">
        <f>IF(BE14="","",+SUM($BK$8:BK14)/SUM($BE$8:BE14))</f>
        <v/>
      </c>
    </row>
    <row r="15" spans="1:75" ht="24" customHeight="1" x14ac:dyDescent="0.2">
      <c r="A15" s="486">
        <f t="shared" si="10"/>
        <v>43460</v>
      </c>
      <c r="B15" s="487">
        <f t="shared" si="11"/>
        <v>30</v>
      </c>
      <c r="C15" s="209"/>
      <c r="D15" s="443"/>
      <c r="E15" s="443"/>
      <c r="F15" s="443"/>
      <c r="G15" s="490"/>
      <c r="H15" s="491"/>
      <c r="I15" s="209"/>
      <c r="J15" s="443"/>
      <c r="K15" s="443"/>
      <c r="L15" s="443"/>
      <c r="M15" s="490"/>
      <c r="N15" s="491"/>
      <c r="O15" s="209"/>
      <c r="P15" s="443"/>
      <c r="Q15" s="443"/>
      <c r="R15" s="443"/>
      <c r="S15" s="490"/>
      <c r="T15" s="491"/>
      <c r="U15" s="209"/>
      <c r="V15" s="443"/>
      <c r="W15" s="443"/>
      <c r="X15" s="443"/>
      <c r="Y15" s="490"/>
      <c r="Z15" s="491"/>
      <c r="AA15" s="209"/>
      <c r="AB15" s="443"/>
      <c r="AC15" s="443"/>
      <c r="AD15" s="443"/>
      <c r="AE15" s="490"/>
      <c r="AF15" s="491"/>
      <c r="AG15" s="209"/>
      <c r="AH15" s="443"/>
      <c r="AI15" s="443"/>
      <c r="AJ15" s="443"/>
      <c r="AK15" s="490"/>
      <c r="AL15" s="491"/>
      <c r="AM15" s="209"/>
      <c r="AN15" s="443"/>
      <c r="AO15" s="443"/>
      <c r="AP15" s="443"/>
      <c r="AQ15" s="490"/>
      <c r="AR15" s="491"/>
      <c r="AS15" s="209"/>
      <c r="AT15" s="443"/>
      <c r="AU15" s="443"/>
      <c r="AV15" s="443"/>
      <c r="AW15" s="490"/>
      <c r="AX15" s="491"/>
      <c r="AY15" s="209"/>
      <c r="AZ15" s="443"/>
      <c r="BA15" s="443"/>
      <c r="BB15" s="443"/>
      <c r="BC15" s="490"/>
      <c r="BD15" s="491"/>
      <c r="BE15" s="513" t="str">
        <f t="shared" si="1"/>
        <v/>
      </c>
      <c r="BF15" s="516" t="str">
        <f t="shared" si="2"/>
        <v/>
      </c>
      <c r="BG15" s="516" t="str">
        <f t="shared" si="2"/>
        <v/>
      </c>
      <c r="BH15" s="516" t="str">
        <f t="shared" si="2"/>
        <v/>
      </c>
      <c r="BI15" s="516" t="str">
        <f t="shared" si="2"/>
        <v/>
      </c>
      <c r="BJ15" s="516" t="str">
        <f t="shared" si="2"/>
        <v/>
      </c>
      <c r="BK15" s="515" t="str">
        <f t="shared" si="8"/>
        <v/>
      </c>
      <c r="BL15" s="527" t="str">
        <f t="shared" si="3"/>
        <v/>
      </c>
      <c r="BM15" s="522" t="str">
        <f t="shared" si="4"/>
        <v/>
      </c>
      <c r="BN15" s="522" t="str">
        <f t="shared" si="5"/>
        <v/>
      </c>
      <c r="BO15" s="522" t="str">
        <f t="shared" si="6"/>
        <v/>
      </c>
      <c r="BP15" s="522" t="str">
        <f t="shared" si="9"/>
        <v/>
      </c>
      <c r="BQ15" s="523" t="str">
        <f t="shared" si="7"/>
        <v/>
      </c>
      <c r="BR15" s="532" t="str">
        <f>IF(BE15="","",+SUM($BF$8:BF15)/SUM($BE$8:BE15))</f>
        <v/>
      </c>
      <c r="BS15" s="533" t="str">
        <f>IF(BE15="","",+SUM($BG$8:BG15)/SUM($BE$8:BE15))</f>
        <v/>
      </c>
      <c r="BT15" s="533" t="str">
        <f>IF(BE15="","",+SUM($BH$8:BH15)/SUM($BE$8:BE15))</f>
        <v/>
      </c>
      <c r="BU15" s="533" t="str">
        <f>IF(BE15="","",+SUM($BI$8:BI15)/SUM($BE$8:BE15))</f>
        <v/>
      </c>
      <c r="BV15" s="533" t="str">
        <f>IF(BE15="","",+SUM($BJ$8:BJ15)/SUM($BE$8:BE15))</f>
        <v/>
      </c>
      <c r="BW15" s="534" t="str">
        <f>IF(BE15="","",+SUM($BK$8:BK15)/SUM($BE$8:BE15))</f>
        <v/>
      </c>
    </row>
    <row r="16" spans="1:75" ht="24" customHeight="1" x14ac:dyDescent="0.2">
      <c r="A16" s="486">
        <f t="shared" si="10"/>
        <v>43467</v>
      </c>
      <c r="B16" s="487">
        <f t="shared" si="11"/>
        <v>31</v>
      </c>
      <c r="C16" s="209"/>
      <c r="D16" s="443"/>
      <c r="E16" s="443"/>
      <c r="F16" s="443"/>
      <c r="G16" s="490"/>
      <c r="H16" s="491"/>
      <c r="I16" s="209"/>
      <c r="J16" s="443"/>
      <c r="K16" s="443"/>
      <c r="L16" s="443"/>
      <c r="M16" s="490"/>
      <c r="N16" s="491"/>
      <c r="O16" s="209"/>
      <c r="P16" s="443"/>
      <c r="Q16" s="443"/>
      <c r="R16" s="443"/>
      <c r="S16" s="490"/>
      <c r="T16" s="491"/>
      <c r="U16" s="209"/>
      <c r="V16" s="443"/>
      <c r="W16" s="443"/>
      <c r="X16" s="443"/>
      <c r="Y16" s="490"/>
      <c r="Z16" s="491"/>
      <c r="AA16" s="209"/>
      <c r="AB16" s="443"/>
      <c r="AC16" s="443"/>
      <c r="AD16" s="443"/>
      <c r="AE16" s="490"/>
      <c r="AF16" s="491"/>
      <c r="AG16" s="209"/>
      <c r="AH16" s="443"/>
      <c r="AI16" s="443"/>
      <c r="AJ16" s="443"/>
      <c r="AK16" s="490"/>
      <c r="AL16" s="491"/>
      <c r="AM16" s="209"/>
      <c r="AN16" s="443"/>
      <c r="AO16" s="443"/>
      <c r="AP16" s="443"/>
      <c r="AQ16" s="490"/>
      <c r="AR16" s="491"/>
      <c r="AS16" s="209"/>
      <c r="AT16" s="443"/>
      <c r="AU16" s="443"/>
      <c r="AV16" s="443"/>
      <c r="AW16" s="490"/>
      <c r="AX16" s="491"/>
      <c r="AY16" s="209"/>
      <c r="AZ16" s="443"/>
      <c r="BA16" s="443"/>
      <c r="BB16" s="443"/>
      <c r="BC16" s="490"/>
      <c r="BD16" s="491"/>
      <c r="BE16" s="513" t="str">
        <f t="shared" si="1"/>
        <v/>
      </c>
      <c r="BF16" s="516" t="str">
        <f t="shared" si="2"/>
        <v/>
      </c>
      <c r="BG16" s="516" t="str">
        <f t="shared" si="2"/>
        <v/>
      </c>
      <c r="BH16" s="516" t="str">
        <f t="shared" si="2"/>
        <v/>
      </c>
      <c r="BI16" s="516" t="str">
        <f t="shared" si="2"/>
        <v/>
      </c>
      <c r="BJ16" s="516" t="str">
        <f t="shared" si="2"/>
        <v/>
      </c>
      <c r="BK16" s="515" t="str">
        <f t="shared" si="8"/>
        <v/>
      </c>
      <c r="BL16" s="527" t="str">
        <f t="shared" si="3"/>
        <v/>
      </c>
      <c r="BM16" s="522" t="str">
        <f t="shared" si="4"/>
        <v/>
      </c>
      <c r="BN16" s="522" t="str">
        <f t="shared" si="5"/>
        <v/>
      </c>
      <c r="BO16" s="522" t="str">
        <f t="shared" si="6"/>
        <v/>
      </c>
      <c r="BP16" s="522" t="str">
        <f t="shared" si="9"/>
        <v/>
      </c>
      <c r="BQ16" s="523" t="str">
        <f t="shared" si="7"/>
        <v/>
      </c>
      <c r="BR16" s="532" t="str">
        <f>IF(BE16="","",+SUM($BF$8:BF16)/SUM($BE$8:BE16))</f>
        <v/>
      </c>
      <c r="BS16" s="533" t="str">
        <f>IF(BE16="","",+SUM($BG$8:BG16)/SUM($BE$8:BE16))</f>
        <v/>
      </c>
      <c r="BT16" s="533" t="str">
        <f>IF(BE16="","",+SUM($BH$8:BH16)/SUM($BE$8:BE16))</f>
        <v/>
      </c>
      <c r="BU16" s="533" t="str">
        <f>IF(BE16="","",+SUM($BI$8:BI16)/SUM($BE$8:BE16))</f>
        <v/>
      </c>
      <c r="BV16" s="533" t="str">
        <f>IF(BE16="","",+SUM($BJ$8:BJ16)/SUM($BE$8:BE16))</f>
        <v/>
      </c>
      <c r="BW16" s="534" t="str">
        <f>IF(BE16="","",+SUM($BK$8:BK16)/SUM($BE$8:BE16))</f>
        <v/>
      </c>
    </row>
    <row r="17" spans="1:75" ht="24" customHeight="1" x14ac:dyDescent="0.2">
      <c r="A17" s="486">
        <f t="shared" si="10"/>
        <v>43474</v>
      </c>
      <c r="B17" s="487">
        <f t="shared" si="11"/>
        <v>32</v>
      </c>
      <c r="C17" s="209"/>
      <c r="D17" s="443"/>
      <c r="E17" s="443"/>
      <c r="F17" s="443"/>
      <c r="G17" s="443"/>
      <c r="H17" s="507"/>
      <c r="I17" s="209"/>
      <c r="J17" s="443"/>
      <c r="K17" s="443"/>
      <c r="L17" s="443"/>
      <c r="M17" s="443"/>
      <c r="N17" s="507"/>
      <c r="O17" s="209"/>
      <c r="P17" s="443"/>
      <c r="Q17" s="443"/>
      <c r="R17" s="443"/>
      <c r="S17" s="443"/>
      <c r="T17" s="507"/>
      <c r="U17" s="209"/>
      <c r="V17" s="443"/>
      <c r="W17" s="443"/>
      <c r="X17" s="443"/>
      <c r="Y17" s="443"/>
      <c r="Z17" s="507"/>
      <c r="AA17" s="209"/>
      <c r="AB17" s="443"/>
      <c r="AC17" s="443"/>
      <c r="AD17" s="443"/>
      <c r="AE17" s="443"/>
      <c r="AF17" s="507"/>
      <c r="AG17" s="209"/>
      <c r="AH17" s="443"/>
      <c r="AI17" s="443"/>
      <c r="AJ17" s="443"/>
      <c r="AK17" s="443"/>
      <c r="AL17" s="507"/>
      <c r="AM17" s="209"/>
      <c r="AN17" s="443"/>
      <c r="AO17" s="443"/>
      <c r="AP17" s="443"/>
      <c r="AQ17" s="443"/>
      <c r="AR17" s="507"/>
      <c r="AS17" s="209"/>
      <c r="AT17" s="443"/>
      <c r="AU17" s="443"/>
      <c r="AV17" s="443"/>
      <c r="AW17" s="443"/>
      <c r="AX17" s="507"/>
      <c r="AY17" s="209"/>
      <c r="AZ17" s="443"/>
      <c r="BA17" s="443"/>
      <c r="BB17" s="443"/>
      <c r="BC17" s="443"/>
      <c r="BD17" s="507"/>
      <c r="BE17" s="513" t="str">
        <f t="shared" si="1"/>
        <v/>
      </c>
      <c r="BF17" s="516" t="str">
        <f t="shared" si="2"/>
        <v/>
      </c>
      <c r="BG17" s="516" t="str">
        <f t="shared" si="2"/>
        <v/>
      </c>
      <c r="BH17" s="516" t="str">
        <f t="shared" si="2"/>
        <v/>
      </c>
      <c r="BI17" s="516" t="str">
        <f t="shared" si="2"/>
        <v/>
      </c>
      <c r="BJ17" s="516" t="str">
        <f t="shared" si="2"/>
        <v/>
      </c>
      <c r="BK17" s="515" t="str">
        <f t="shared" si="8"/>
        <v/>
      </c>
      <c r="BL17" s="527" t="str">
        <f t="shared" si="3"/>
        <v/>
      </c>
      <c r="BM17" s="522" t="str">
        <f t="shared" si="4"/>
        <v/>
      </c>
      <c r="BN17" s="522" t="str">
        <f t="shared" si="5"/>
        <v/>
      </c>
      <c r="BO17" s="522" t="str">
        <f t="shared" si="6"/>
        <v/>
      </c>
      <c r="BP17" s="522" t="str">
        <f t="shared" si="9"/>
        <v/>
      </c>
      <c r="BQ17" s="523" t="str">
        <f t="shared" si="7"/>
        <v/>
      </c>
      <c r="BR17" s="532" t="str">
        <f>IF(BE17="","",+SUM($BF$8:BF17)/SUM($BE$8:BE17))</f>
        <v/>
      </c>
      <c r="BS17" s="533" t="str">
        <f>IF(BE17="","",+SUM($BG$8:BG17)/SUM($BE$8:BE17))</f>
        <v/>
      </c>
      <c r="BT17" s="533" t="str">
        <f>IF(BE17="","",+SUM($BH$8:BH17)/SUM($BE$8:BE17))</f>
        <v/>
      </c>
      <c r="BU17" s="533" t="str">
        <f>IF(BE17="","",+SUM($BI$8:BI17)/SUM($BE$8:BE17))</f>
        <v/>
      </c>
      <c r="BV17" s="533" t="str">
        <f>IF(BE17="","",+SUM($BJ$8:BJ17)/SUM($BE$8:BE17))</f>
        <v/>
      </c>
      <c r="BW17" s="534" t="str">
        <f>IF(BE17="","",+SUM($BK$8:BK17)/SUM($BE$8:BE17))</f>
        <v/>
      </c>
    </row>
    <row r="18" spans="1:75" ht="24" customHeight="1" x14ac:dyDescent="0.2">
      <c r="A18" s="486">
        <f t="shared" si="10"/>
        <v>43481</v>
      </c>
      <c r="B18" s="487">
        <f t="shared" si="11"/>
        <v>33</v>
      </c>
      <c r="C18" s="209"/>
      <c r="D18" s="443"/>
      <c r="E18" s="443"/>
      <c r="F18" s="443"/>
      <c r="G18" s="443"/>
      <c r="H18" s="507"/>
      <c r="I18" s="209"/>
      <c r="J18" s="443"/>
      <c r="K18" s="443"/>
      <c r="L18" s="443"/>
      <c r="M18" s="443"/>
      <c r="N18" s="507"/>
      <c r="O18" s="209"/>
      <c r="P18" s="443"/>
      <c r="Q18" s="443"/>
      <c r="R18" s="443"/>
      <c r="S18" s="443"/>
      <c r="T18" s="507"/>
      <c r="U18" s="209"/>
      <c r="V18" s="443"/>
      <c r="W18" s="443"/>
      <c r="X18" s="443"/>
      <c r="Y18" s="443"/>
      <c r="Z18" s="507"/>
      <c r="AA18" s="209"/>
      <c r="AB18" s="443"/>
      <c r="AC18" s="443"/>
      <c r="AD18" s="443"/>
      <c r="AE18" s="443"/>
      <c r="AF18" s="507"/>
      <c r="AG18" s="209"/>
      <c r="AH18" s="443"/>
      <c r="AI18" s="443"/>
      <c r="AJ18" s="443"/>
      <c r="AK18" s="443"/>
      <c r="AL18" s="507"/>
      <c r="AM18" s="209"/>
      <c r="AN18" s="443"/>
      <c r="AO18" s="443"/>
      <c r="AP18" s="443"/>
      <c r="AQ18" s="443"/>
      <c r="AR18" s="507"/>
      <c r="AS18" s="209"/>
      <c r="AT18" s="443"/>
      <c r="AU18" s="443"/>
      <c r="AV18" s="443"/>
      <c r="AW18" s="443"/>
      <c r="AX18" s="507"/>
      <c r="AY18" s="209"/>
      <c r="AZ18" s="443"/>
      <c r="BA18" s="443"/>
      <c r="BB18" s="443"/>
      <c r="BC18" s="443"/>
      <c r="BD18" s="507"/>
      <c r="BE18" s="513" t="str">
        <f t="shared" si="1"/>
        <v/>
      </c>
      <c r="BF18" s="516" t="str">
        <f t="shared" si="2"/>
        <v/>
      </c>
      <c r="BG18" s="516" t="str">
        <f t="shared" si="2"/>
        <v/>
      </c>
      <c r="BH18" s="516" t="str">
        <f t="shared" si="2"/>
        <v/>
      </c>
      <c r="BI18" s="516" t="str">
        <f t="shared" si="2"/>
        <v/>
      </c>
      <c r="BJ18" s="516" t="str">
        <f t="shared" si="2"/>
        <v/>
      </c>
      <c r="BK18" s="515" t="str">
        <f t="shared" si="8"/>
        <v/>
      </c>
      <c r="BL18" s="527" t="str">
        <f t="shared" si="3"/>
        <v/>
      </c>
      <c r="BM18" s="522" t="str">
        <f t="shared" si="4"/>
        <v/>
      </c>
      <c r="BN18" s="522" t="str">
        <f t="shared" si="5"/>
        <v/>
      </c>
      <c r="BO18" s="522" t="str">
        <f t="shared" si="6"/>
        <v/>
      </c>
      <c r="BP18" s="522" t="str">
        <f t="shared" si="9"/>
        <v/>
      </c>
      <c r="BQ18" s="523" t="str">
        <f t="shared" si="7"/>
        <v/>
      </c>
      <c r="BR18" s="532" t="str">
        <f>IF(BE18="","",+SUM($BF$8:BF18)/SUM($BE$8:BE18))</f>
        <v/>
      </c>
      <c r="BS18" s="533" t="str">
        <f>IF(BE18="","",+SUM($BG$8:BG18)/SUM($BE$8:BE18))</f>
        <v/>
      </c>
      <c r="BT18" s="533" t="str">
        <f>IF(BE18="","",+SUM($BH$8:BH18)/SUM($BE$8:BE18))</f>
        <v/>
      </c>
      <c r="BU18" s="533" t="str">
        <f>IF(BE18="","",+SUM($BI$8:BI18)/SUM($BE$8:BE18))</f>
        <v/>
      </c>
      <c r="BV18" s="533" t="str">
        <f>IF(BE18="","",+SUM($BJ$8:BJ18)/SUM($BE$8:BE18))</f>
        <v/>
      </c>
      <c r="BW18" s="534" t="str">
        <f>IF(BE18="","",+SUM($BK$8:BK18)/SUM($BE$8:BE18))</f>
        <v/>
      </c>
    </row>
    <row r="19" spans="1:75" ht="24" customHeight="1" x14ac:dyDescent="0.2">
      <c r="A19" s="486">
        <f t="shared" si="10"/>
        <v>43488</v>
      </c>
      <c r="B19" s="487">
        <f t="shared" si="11"/>
        <v>34</v>
      </c>
      <c r="C19" s="209"/>
      <c r="D19" s="443"/>
      <c r="E19" s="443"/>
      <c r="F19" s="443"/>
      <c r="G19" s="443"/>
      <c r="H19" s="507"/>
      <c r="I19" s="209"/>
      <c r="J19" s="443"/>
      <c r="K19" s="443"/>
      <c r="L19" s="443"/>
      <c r="M19" s="443"/>
      <c r="N19" s="507"/>
      <c r="O19" s="209"/>
      <c r="P19" s="443"/>
      <c r="Q19" s="443"/>
      <c r="R19" s="443"/>
      <c r="S19" s="443"/>
      <c r="T19" s="507"/>
      <c r="U19" s="209"/>
      <c r="V19" s="443"/>
      <c r="W19" s="443"/>
      <c r="X19" s="443"/>
      <c r="Y19" s="443"/>
      <c r="Z19" s="507"/>
      <c r="AA19" s="209"/>
      <c r="AB19" s="443"/>
      <c r="AC19" s="443"/>
      <c r="AD19" s="443"/>
      <c r="AE19" s="443"/>
      <c r="AF19" s="507"/>
      <c r="AG19" s="209"/>
      <c r="AH19" s="443"/>
      <c r="AI19" s="443"/>
      <c r="AJ19" s="443"/>
      <c r="AK19" s="443"/>
      <c r="AL19" s="507"/>
      <c r="AM19" s="209"/>
      <c r="AN19" s="443"/>
      <c r="AO19" s="443"/>
      <c r="AP19" s="443"/>
      <c r="AQ19" s="443"/>
      <c r="AR19" s="507"/>
      <c r="AS19" s="209"/>
      <c r="AT19" s="443"/>
      <c r="AU19" s="443"/>
      <c r="AV19" s="443"/>
      <c r="AW19" s="443"/>
      <c r="AX19" s="507"/>
      <c r="AY19" s="209"/>
      <c r="AZ19" s="443"/>
      <c r="BA19" s="443"/>
      <c r="BB19" s="443"/>
      <c r="BC19" s="443"/>
      <c r="BD19" s="507"/>
      <c r="BE19" s="513" t="str">
        <f t="shared" si="1"/>
        <v/>
      </c>
      <c r="BF19" s="516" t="str">
        <f t="shared" si="2"/>
        <v/>
      </c>
      <c r="BG19" s="516" t="str">
        <f t="shared" si="2"/>
        <v/>
      </c>
      <c r="BH19" s="516" t="str">
        <f t="shared" si="2"/>
        <v/>
      </c>
      <c r="BI19" s="516" t="str">
        <f t="shared" si="2"/>
        <v/>
      </c>
      <c r="BJ19" s="516" t="str">
        <f t="shared" si="2"/>
        <v/>
      </c>
      <c r="BK19" s="515" t="str">
        <f t="shared" si="8"/>
        <v/>
      </c>
      <c r="BL19" s="527" t="str">
        <f t="shared" si="3"/>
        <v/>
      </c>
      <c r="BM19" s="522" t="str">
        <f t="shared" si="4"/>
        <v/>
      </c>
      <c r="BN19" s="522" t="str">
        <f t="shared" si="5"/>
        <v/>
      </c>
      <c r="BO19" s="522" t="str">
        <f t="shared" si="6"/>
        <v/>
      </c>
      <c r="BP19" s="522" t="str">
        <f t="shared" si="9"/>
        <v/>
      </c>
      <c r="BQ19" s="523" t="str">
        <f t="shared" si="7"/>
        <v/>
      </c>
      <c r="BR19" s="532" t="str">
        <f>IF(BE19="","",+SUM($BF$8:BF19)/SUM($BE$8:BE19))</f>
        <v/>
      </c>
      <c r="BS19" s="533" t="str">
        <f>IF(BE19="","",+SUM($BG$8:BG19)/SUM($BE$8:BE19))</f>
        <v/>
      </c>
      <c r="BT19" s="533" t="str">
        <f>IF(BE19="","",+SUM($BH$8:BH19)/SUM($BE$8:BE19))</f>
        <v/>
      </c>
      <c r="BU19" s="533" t="str">
        <f>IF(BE19="","",+SUM($BI$8:BI19)/SUM($BE$8:BE19))</f>
        <v/>
      </c>
      <c r="BV19" s="533" t="str">
        <f>IF(BE19="","",+SUM($BJ$8:BJ19)/SUM($BE$8:BE19))</f>
        <v/>
      </c>
      <c r="BW19" s="534" t="str">
        <f>IF(BE19="","",+SUM($BK$8:BK19)/SUM($BE$8:BE19))</f>
        <v/>
      </c>
    </row>
    <row r="20" spans="1:75" ht="24" customHeight="1" x14ac:dyDescent="0.2">
      <c r="A20" s="486">
        <f t="shared" si="10"/>
        <v>43495</v>
      </c>
      <c r="B20" s="487">
        <f t="shared" si="11"/>
        <v>35</v>
      </c>
      <c r="C20" s="209"/>
      <c r="D20" s="443"/>
      <c r="E20" s="443"/>
      <c r="F20" s="443"/>
      <c r="G20" s="443"/>
      <c r="H20" s="507"/>
      <c r="I20" s="209"/>
      <c r="J20" s="443"/>
      <c r="K20" s="443"/>
      <c r="L20" s="443"/>
      <c r="M20" s="443"/>
      <c r="N20" s="507"/>
      <c r="O20" s="209"/>
      <c r="P20" s="443"/>
      <c r="Q20" s="443"/>
      <c r="R20" s="443"/>
      <c r="S20" s="443"/>
      <c r="T20" s="507"/>
      <c r="U20" s="209"/>
      <c r="V20" s="443"/>
      <c r="W20" s="443"/>
      <c r="X20" s="443"/>
      <c r="Y20" s="443"/>
      <c r="Z20" s="507"/>
      <c r="AA20" s="209"/>
      <c r="AB20" s="443"/>
      <c r="AC20" s="443"/>
      <c r="AD20" s="443"/>
      <c r="AE20" s="443"/>
      <c r="AF20" s="507"/>
      <c r="AG20" s="209"/>
      <c r="AH20" s="443"/>
      <c r="AI20" s="443"/>
      <c r="AJ20" s="443"/>
      <c r="AK20" s="443"/>
      <c r="AL20" s="507"/>
      <c r="AM20" s="209"/>
      <c r="AN20" s="443"/>
      <c r="AO20" s="443"/>
      <c r="AP20" s="443"/>
      <c r="AQ20" s="443"/>
      <c r="AR20" s="507"/>
      <c r="AS20" s="209"/>
      <c r="AT20" s="443"/>
      <c r="AU20" s="443"/>
      <c r="AV20" s="443"/>
      <c r="AW20" s="443"/>
      <c r="AX20" s="507"/>
      <c r="AY20" s="209"/>
      <c r="AZ20" s="443"/>
      <c r="BA20" s="443"/>
      <c r="BB20" s="443"/>
      <c r="BC20" s="443"/>
      <c r="BD20" s="507"/>
      <c r="BE20" s="513" t="str">
        <f t="shared" si="1"/>
        <v/>
      </c>
      <c r="BF20" s="516" t="str">
        <f t="shared" si="2"/>
        <v/>
      </c>
      <c r="BG20" s="516" t="str">
        <f t="shared" si="2"/>
        <v/>
      </c>
      <c r="BH20" s="516" t="str">
        <f t="shared" si="2"/>
        <v/>
      </c>
      <c r="BI20" s="516" t="str">
        <f t="shared" si="2"/>
        <v/>
      </c>
      <c r="BJ20" s="516" t="str">
        <f t="shared" si="2"/>
        <v/>
      </c>
      <c r="BK20" s="515" t="str">
        <f t="shared" si="8"/>
        <v/>
      </c>
      <c r="BL20" s="527" t="str">
        <f t="shared" si="3"/>
        <v/>
      </c>
      <c r="BM20" s="522" t="str">
        <f t="shared" si="4"/>
        <v/>
      </c>
      <c r="BN20" s="522" t="str">
        <f t="shared" si="5"/>
        <v/>
      </c>
      <c r="BO20" s="522" t="str">
        <f t="shared" si="6"/>
        <v/>
      </c>
      <c r="BP20" s="522" t="str">
        <f t="shared" si="9"/>
        <v/>
      </c>
      <c r="BQ20" s="523" t="str">
        <f t="shared" si="7"/>
        <v/>
      </c>
      <c r="BR20" s="532" t="str">
        <f>IF(BE20="","",+SUM($BF$8:BF20)/SUM($BE$8:BE20))</f>
        <v/>
      </c>
      <c r="BS20" s="533" t="str">
        <f>IF(BE20="","",+SUM($BG$8:BG20)/SUM($BE$8:BE20))</f>
        <v/>
      </c>
      <c r="BT20" s="533" t="str">
        <f>IF(BE20="","",+SUM($BH$8:BH20)/SUM($BE$8:BE20))</f>
        <v/>
      </c>
      <c r="BU20" s="533" t="str">
        <f>IF(BE20="","",+SUM($BI$8:BI20)/SUM($BE$8:BE20))</f>
        <v/>
      </c>
      <c r="BV20" s="533" t="str">
        <f>IF(BE20="","",+SUM($BJ$8:BJ20)/SUM($BE$8:BE20))</f>
        <v/>
      </c>
      <c r="BW20" s="534" t="str">
        <f>IF(BE20="","",+SUM($BK$8:BK20)/SUM($BE$8:BE20))</f>
        <v/>
      </c>
    </row>
    <row r="21" spans="1:75" ht="24" customHeight="1" x14ac:dyDescent="0.2">
      <c r="A21" s="486">
        <f t="shared" si="10"/>
        <v>43502</v>
      </c>
      <c r="B21" s="487">
        <f t="shared" si="11"/>
        <v>36</v>
      </c>
      <c r="C21" s="209"/>
      <c r="D21" s="443"/>
      <c r="E21" s="443"/>
      <c r="F21" s="443"/>
      <c r="G21" s="443"/>
      <c r="H21" s="507"/>
      <c r="I21" s="209"/>
      <c r="J21" s="443"/>
      <c r="K21" s="443"/>
      <c r="L21" s="443"/>
      <c r="M21" s="443"/>
      <c r="N21" s="507"/>
      <c r="O21" s="209"/>
      <c r="P21" s="443"/>
      <c r="Q21" s="443"/>
      <c r="R21" s="443"/>
      <c r="S21" s="443"/>
      <c r="T21" s="507"/>
      <c r="U21" s="209"/>
      <c r="V21" s="443"/>
      <c r="W21" s="443"/>
      <c r="X21" s="443"/>
      <c r="Y21" s="443"/>
      <c r="Z21" s="507"/>
      <c r="AA21" s="209"/>
      <c r="AB21" s="443"/>
      <c r="AC21" s="443"/>
      <c r="AD21" s="443"/>
      <c r="AE21" s="443"/>
      <c r="AF21" s="507"/>
      <c r="AG21" s="209"/>
      <c r="AH21" s="443"/>
      <c r="AI21" s="443"/>
      <c r="AJ21" s="443"/>
      <c r="AK21" s="443"/>
      <c r="AL21" s="507"/>
      <c r="AM21" s="209"/>
      <c r="AN21" s="443"/>
      <c r="AO21" s="443"/>
      <c r="AP21" s="443"/>
      <c r="AQ21" s="443"/>
      <c r="AR21" s="507"/>
      <c r="AS21" s="209"/>
      <c r="AT21" s="443"/>
      <c r="AU21" s="443"/>
      <c r="AV21" s="443"/>
      <c r="AW21" s="443"/>
      <c r="AX21" s="507"/>
      <c r="AY21" s="209"/>
      <c r="AZ21" s="443"/>
      <c r="BA21" s="443"/>
      <c r="BB21" s="443"/>
      <c r="BC21" s="443"/>
      <c r="BD21" s="507"/>
      <c r="BE21" s="513" t="str">
        <f t="shared" si="1"/>
        <v/>
      </c>
      <c r="BF21" s="516" t="str">
        <f t="shared" si="2"/>
        <v/>
      </c>
      <c r="BG21" s="516" t="str">
        <f t="shared" si="2"/>
        <v/>
      </c>
      <c r="BH21" s="516" t="str">
        <f t="shared" si="2"/>
        <v/>
      </c>
      <c r="BI21" s="516" t="str">
        <f t="shared" si="2"/>
        <v/>
      </c>
      <c r="BJ21" s="516" t="str">
        <f t="shared" si="2"/>
        <v/>
      </c>
      <c r="BK21" s="515" t="str">
        <f t="shared" si="8"/>
        <v/>
      </c>
      <c r="BL21" s="527" t="str">
        <f t="shared" si="3"/>
        <v/>
      </c>
      <c r="BM21" s="522" t="str">
        <f t="shared" si="4"/>
        <v/>
      </c>
      <c r="BN21" s="522" t="str">
        <f t="shared" si="5"/>
        <v/>
      </c>
      <c r="BO21" s="522" t="str">
        <f t="shared" si="6"/>
        <v/>
      </c>
      <c r="BP21" s="522" t="str">
        <f t="shared" si="9"/>
        <v/>
      </c>
      <c r="BQ21" s="523" t="str">
        <f t="shared" si="7"/>
        <v/>
      </c>
      <c r="BR21" s="532" t="str">
        <f>IF(BE21="","",+SUM($BF$8:BF21)/SUM($BE$8:BE21))</f>
        <v/>
      </c>
      <c r="BS21" s="533" t="str">
        <f>IF(BE21="","",+SUM($BG$8:BG21)/SUM($BE$8:BE21))</f>
        <v/>
      </c>
      <c r="BT21" s="533" t="str">
        <f>IF(BE21="","",+SUM($BH$8:BH21)/SUM($BE$8:BE21))</f>
        <v/>
      </c>
      <c r="BU21" s="533" t="str">
        <f>IF(BE21="","",+SUM($BI$8:BI21)/SUM($BE$8:BE21))</f>
        <v/>
      </c>
      <c r="BV21" s="533" t="str">
        <f>IF(BE21="","",+SUM($BJ$8:BJ21)/SUM($BE$8:BE21))</f>
        <v/>
      </c>
      <c r="BW21" s="534" t="str">
        <f>IF(BE21="","",+SUM($BK$8:BK21)/SUM($BE$8:BE21))</f>
        <v/>
      </c>
    </row>
    <row r="22" spans="1:75" ht="24" customHeight="1" x14ac:dyDescent="0.2">
      <c r="A22" s="486">
        <f t="shared" si="10"/>
        <v>43509</v>
      </c>
      <c r="B22" s="487">
        <f t="shared" si="11"/>
        <v>37</v>
      </c>
      <c r="C22" s="209"/>
      <c r="D22" s="443"/>
      <c r="E22" s="443"/>
      <c r="F22" s="443"/>
      <c r="G22" s="443"/>
      <c r="H22" s="507"/>
      <c r="I22" s="209"/>
      <c r="J22" s="443"/>
      <c r="K22" s="443"/>
      <c r="L22" s="443"/>
      <c r="M22" s="443"/>
      <c r="N22" s="507"/>
      <c r="O22" s="209"/>
      <c r="P22" s="443"/>
      <c r="Q22" s="443"/>
      <c r="R22" s="443"/>
      <c r="S22" s="443"/>
      <c r="T22" s="507"/>
      <c r="U22" s="209"/>
      <c r="V22" s="443"/>
      <c r="W22" s="443"/>
      <c r="X22" s="443"/>
      <c r="Y22" s="443"/>
      <c r="Z22" s="507"/>
      <c r="AA22" s="209"/>
      <c r="AB22" s="443"/>
      <c r="AC22" s="443"/>
      <c r="AD22" s="443"/>
      <c r="AE22" s="443"/>
      <c r="AF22" s="507"/>
      <c r="AG22" s="209"/>
      <c r="AH22" s="443"/>
      <c r="AI22" s="443"/>
      <c r="AJ22" s="443"/>
      <c r="AK22" s="443"/>
      <c r="AL22" s="507"/>
      <c r="AM22" s="209"/>
      <c r="AN22" s="443"/>
      <c r="AO22" s="443"/>
      <c r="AP22" s="443"/>
      <c r="AQ22" s="443"/>
      <c r="AR22" s="507"/>
      <c r="AS22" s="209"/>
      <c r="AT22" s="443"/>
      <c r="AU22" s="443"/>
      <c r="AV22" s="443"/>
      <c r="AW22" s="443"/>
      <c r="AX22" s="507"/>
      <c r="AY22" s="209"/>
      <c r="AZ22" s="443"/>
      <c r="BA22" s="443"/>
      <c r="BB22" s="443"/>
      <c r="BC22" s="443"/>
      <c r="BD22" s="507"/>
      <c r="BE22" s="513" t="str">
        <f t="shared" si="1"/>
        <v/>
      </c>
      <c r="BF22" s="516" t="str">
        <f t="shared" si="2"/>
        <v/>
      </c>
      <c r="BG22" s="516" t="str">
        <f t="shared" si="2"/>
        <v/>
      </c>
      <c r="BH22" s="516" t="str">
        <f t="shared" si="2"/>
        <v/>
      </c>
      <c r="BI22" s="516" t="str">
        <f t="shared" si="2"/>
        <v/>
      </c>
      <c r="BJ22" s="516" t="str">
        <f t="shared" si="2"/>
        <v/>
      </c>
      <c r="BK22" s="515" t="str">
        <f t="shared" si="8"/>
        <v/>
      </c>
      <c r="BL22" s="527" t="str">
        <f t="shared" si="3"/>
        <v/>
      </c>
      <c r="BM22" s="522" t="str">
        <f t="shared" si="4"/>
        <v/>
      </c>
      <c r="BN22" s="522" t="str">
        <f t="shared" si="5"/>
        <v/>
      </c>
      <c r="BO22" s="522" t="str">
        <f t="shared" si="6"/>
        <v/>
      </c>
      <c r="BP22" s="522" t="str">
        <f t="shared" si="9"/>
        <v/>
      </c>
      <c r="BQ22" s="523" t="str">
        <f t="shared" si="7"/>
        <v/>
      </c>
      <c r="BR22" s="532" t="str">
        <f>IF(BE22="","",+SUM($BF$8:BF22)/SUM($BE$8:BE22))</f>
        <v/>
      </c>
      <c r="BS22" s="533" t="str">
        <f>IF(BE22="","",+SUM($BG$8:BG22)/SUM($BE$8:BE22))</f>
        <v/>
      </c>
      <c r="BT22" s="533" t="str">
        <f>IF(BE22="","",+SUM($BH$8:BH22)/SUM($BE$8:BE22))</f>
        <v/>
      </c>
      <c r="BU22" s="533" t="str">
        <f>IF(BE22="","",+SUM($BI$8:BI22)/SUM($BE$8:BE22))</f>
        <v/>
      </c>
      <c r="BV22" s="533" t="str">
        <f>IF(BE22="","",+SUM($BJ$8:BJ22)/SUM($BE$8:BE22))</f>
        <v/>
      </c>
      <c r="BW22" s="534" t="str">
        <f>IF(BE22="","",+SUM($BK$8:BK22)/SUM($BE$8:BE22))</f>
        <v/>
      </c>
    </row>
    <row r="23" spans="1:75" ht="24" customHeight="1" x14ac:dyDescent="0.2">
      <c r="A23" s="486">
        <f t="shared" si="10"/>
        <v>43516</v>
      </c>
      <c r="B23" s="487">
        <f t="shared" si="11"/>
        <v>38</v>
      </c>
      <c r="C23" s="209"/>
      <c r="D23" s="443"/>
      <c r="E23" s="443"/>
      <c r="F23" s="443"/>
      <c r="G23" s="443"/>
      <c r="H23" s="507"/>
      <c r="I23" s="209"/>
      <c r="J23" s="443"/>
      <c r="K23" s="443"/>
      <c r="L23" s="443"/>
      <c r="M23" s="443"/>
      <c r="N23" s="507"/>
      <c r="O23" s="209"/>
      <c r="P23" s="443"/>
      <c r="Q23" s="443"/>
      <c r="R23" s="443"/>
      <c r="S23" s="443"/>
      <c r="T23" s="507"/>
      <c r="U23" s="209"/>
      <c r="V23" s="443"/>
      <c r="W23" s="443"/>
      <c r="X23" s="443"/>
      <c r="Y23" s="443"/>
      <c r="Z23" s="507"/>
      <c r="AA23" s="209"/>
      <c r="AB23" s="443"/>
      <c r="AC23" s="443"/>
      <c r="AD23" s="443"/>
      <c r="AE23" s="443"/>
      <c r="AF23" s="507"/>
      <c r="AG23" s="209"/>
      <c r="AH23" s="443"/>
      <c r="AI23" s="443"/>
      <c r="AJ23" s="443"/>
      <c r="AK23" s="443"/>
      <c r="AL23" s="507"/>
      <c r="AM23" s="209"/>
      <c r="AN23" s="443"/>
      <c r="AO23" s="443"/>
      <c r="AP23" s="443"/>
      <c r="AQ23" s="443"/>
      <c r="AR23" s="507"/>
      <c r="AS23" s="209"/>
      <c r="AT23" s="443"/>
      <c r="AU23" s="443"/>
      <c r="AV23" s="443"/>
      <c r="AW23" s="443"/>
      <c r="AX23" s="507"/>
      <c r="AY23" s="209"/>
      <c r="AZ23" s="443"/>
      <c r="BA23" s="443"/>
      <c r="BB23" s="443"/>
      <c r="BC23" s="443"/>
      <c r="BD23" s="507"/>
      <c r="BE23" s="513" t="str">
        <f t="shared" si="1"/>
        <v/>
      </c>
      <c r="BF23" s="516" t="str">
        <f t="shared" si="2"/>
        <v/>
      </c>
      <c r="BG23" s="516" t="str">
        <f t="shared" si="2"/>
        <v/>
      </c>
      <c r="BH23" s="516" t="str">
        <f t="shared" si="2"/>
        <v/>
      </c>
      <c r="BI23" s="516" t="str">
        <f t="shared" si="2"/>
        <v/>
      </c>
      <c r="BJ23" s="516" t="str">
        <f t="shared" si="2"/>
        <v/>
      </c>
      <c r="BK23" s="515" t="str">
        <f t="shared" si="8"/>
        <v/>
      </c>
      <c r="BL23" s="527" t="str">
        <f t="shared" si="3"/>
        <v/>
      </c>
      <c r="BM23" s="522" t="str">
        <f t="shared" si="4"/>
        <v/>
      </c>
      <c r="BN23" s="522" t="str">
        <f t="shared" si="5"/>
        <v/>
      </c>
      <c r="BO23" s="522" t="str">
        <f t="shared" si="6"/>
        <v/>
      </c>
      <c r="BP23" s="522" t="str">
        <f t="shared" si="9"/>
        <v/>
      </c>
      <c r="BQ23" s="523" t="str">
        <f t="shared" si="7"/>
        <v/>
      </c>
      <c r="BR23" s="532" t="str">
        <f>IF(BE23="","",+SUM($BF$8:BF23)/SUM($BE$8:BE23))</f>
        <v/>
      </c>
      <c r="BS23" s="533" t="str">
        <f>IF(BE23="","",+SUM($BG$8:BG23)/SUM($BE$8:BE23))</f>
        <v/>
      </c>
      <c r="BT23" s="533" t="str">
        <f>IF(BE23="","",+SUM($BH$8:BH23)/SUM($BE$8:BE23))</f>
        <v/>
      </c>
      <c r="BU23" s="533" t="str">
        <f>IF(BE23="","",+SUM($BI$8:BI23)/SUM($BE$8:BE23))</f>
        <v/>
      </c>
      <c r="BV23" s="533" t="str">
        <f>IF(BE23="","",+SUM($BJ$8:BJ23)/SUM($BE$8:BE23))</f>
        <v/>
      </c>
      <c r="BW23" s="534" t="str">
        <f>IF(BE23="","",+SUM($BK$8:BK23)/SUM($BE$8:BE23))</f>
        <v/>
      </c>
    </row>
    <row r="24" spans="1:75" ht="24" customHeight="1" x14ac:dyDescent="0.2">
      <c r="A24" s="486">
        <f t="shared" si="10"/>
        <v>43523</v>
      </c>
      <c r="B24" s="487">
        <f t="shared" si="11"/>
        <v>39</v>
      </c>
      <c r="C24" s="209"/>
      <c r="D24" s="443"/>
      <c r="E24" s="443"/>
      <c r="F24" s="443"/>
      <c r="G24" s="443"/>
      <c r="H24" s="507"/>
      <c r="I24" s="209"/>
      <c r="J24" s="443"/>
      <c r="K24" s="443"/>
      <c r="L24" s="443"/>
      <c r="M24" s="443"/>
      <c r="N24" s="507"/>
      <c r="O24" s="209"/>
      <c r="P24" s="443"/>
      <c r="Q24" s="443"/>
      <c r="R24" s="443"/>
      <c r="S24" s="443"/>
      <c r="T24" s="507"/>
      <c r="U24" s="209"/>
      <c r="V24" s="443"/>
      <c r="W24" s="443"/>
      <c r="X24" s="443"/>
      <c r="Y24" s="443"/>
      <c r="Z24" s="507"/>
      <c r="AA24" s="209"/>
      <c r="AB24" s="443"/>
      <c r="AC24" s="443"/>
      <c r="AD24" s="443"/>
      <c r="AE24" s="443"/>
      <c r="AF24" s="507"/>
      <c r="AG24" s="209"/>
      <c r="AH24" s="443"/>
      <c r="AI24" s="443"/>
      <c r="AJ24" s="443"/>
      <c r="AK24" s="443"/>
      <c r="AL24" s="507"/>
      <c r="AM24" s="209"/>
      <c r="AN24" s="443"/>
      <c r="AO24" s="443"/>
      <c r="AP24" s="443"/>
      <c r="AQ24" s="443"/>
      <c r="AR24" s="507"/>
      <c r="AS24" s="209"/>
      <c r="AT24" s="443"/>
      <c r="AU24" s="443"/>
      <c r="AV24" s="443"/>
      <c r="AW24" s="443"/>
      <c r="AX24" s="507"/>
      <c r="AY24" s="209"/>
      <c r="AZ24" s="443"/>
      <c r="BA24" s="443"/>
      <c r="BB24" s="443"/>
      <c r="BC24" s="443"/>
      <c r="BD24" s="507"/>
      <c r="BE24" s="513" t="str">
        <f t="shared" si="1"/>
        <v/>
      </c>
      <c r="BF24" s="516" t="str">
        <f t="shared" si="2"/>
        <v/>
      </c>
      <c r="BG24" s="516" t="str">
        <f t="shared" si="2"/>
        <v/>
      </c>
      <c r="BH24" s="516" t="str">
        <f t="shared" si="2"/>
        <v/>
      </c>
      <c r="BI24" s="516" t="str">
        <f t="shared" si="2"/>
        <v/>
      </c>
      <c r="BJ24" s="516" t="str">
        <f t="shared" si="2"/>
        <v/>
      </c>
      <c r="BK24" s="515" t="str">
        <f t="shared" si="8"/>
        <v/>
      </c>
      <c r="BL24" s="527" t="str">
        <f t="shared" si="3"/>
        <v/>
      </c>
      <c r="BM24" s="522" t="str">
        <f t="shared" si="4"/>
        <v/>
      </c>
      <c r="BN24" s="522" t="str">
        <f t="shared" si="5"/>
        <v/>
      </c>
      <c r="BO24" s="522" t="str">
        <f t="shared" si="6"/>
        <v/>
      </c>
      <c r="BP24" s="522" t="str">
        <f t="shared" si="9"/>
        <v/>
      </c>
      <c r="BQ24" s="523" t="str">
        <f t="shared" si="7"/>
        <v/>
      </c>
      <c r="BR24" s="532" t="str">
        <f>IF(BE24="","",+SUM($BF$8:BF24)/SUM($BE$8:BE24))</f>
        <v/>
      </c>
      <c r="BS24" s="533" t="str">
        <f>IF(BE24="","",+SUM($BG$8:BG24)/SUM($BE$8:BE24))</f>
        <v/>
      </c>
      <c r="BT24" s="533" t="str">
        <f>IF(BE24="","",+SUM($BH$8:BH24)/SUM($BE$8:BE24))</f>
        <v/>
      </c>
      <c r="BU24" s="533" t="str">
        <f>IF(BE24="","",+SUM($BI$8:BI24)/SUM($BE$8:BE24))</f>
        <v/>
      </c>
      <c r="BV24" s="533" t="str">
        <f>IF(BE24="","",+SUM($BJ$8:BJ24)/SUM($BE$8:BE24))</f>
        <v/>
      </c>
      <c r="BW24" s="534" t="str">
        <f>IF(BE24="","",+SUM($BK$8:BK24)/SUM($BE$8:BE24))</f>
        <v/>
      </c>
    </row>
    <row r="25" spans="1:75" ht="24" customHeight="1" x14ac:dyDescent="0.2">
      <c r="A25" s="486">
        <f>A24+7</f>
        <v>43530</v>
      </c>
      <c r="B25" s="487">
        <f t="shared" si="11"/>
        <v>40</v>
      </c>
      <c r="C25" s="209"/>
      <c r="D25" s="443"/>
      <c r="E25" s="443"/>
      <c r="F25" s="443"/>
      <c r="G25" s="443"/>
      <c r="H25" s="507"/>
      <c r="I25" s="209"/>
      <c r="J25" s="443"/>
      <c r="K25" s="443"/>
      <c r="L25" s="443"/>
      <c r="M25" s="443"/>
      <c r="N25" s="507"/>
      <c r="O25" s="209"/>
      <c r="P25" s="443"/>
      <c r="Q25" s="443"/>
      <c r="R25" s="443"/>
      <c r="S25" s="443"/>
      <c r="T25" s="507"/>
      <c r="U25" s="209"/>
      <c r="V25" s="443"/>
      <c r="W25" s="443"/>
      <c r="X25" s="443"/>
      <c r="Y25" s="443"/>
      <c r="Z25" s="507"/>
      <c r="AA25" s="209"/>
      <c r="AB25" s="443"/>
      <c r="AC25" s="443"/>
      <c r="AD25" s="443"/>
      <c r="AE25" s="443"/>
      <c r="AF25" s="507"/>
      <c r="AG25" s="209"/>
      <c r="AH25" s="443"/>
      <c r="AI25" s="443"/>
      <c r="AJ25" s="443"/>
      <c r="AK25" s="443"/>
      <c r="AL25" s="507"/>
      <c r="AM25" s="209"/>
      <c r="AN25" s="443"/>
      <c r="AO25" s="443"/>
      <c r="AP25" s="443"/>
      <c r="AQ25" s="443"/>
      <c r="AR25" s="507"/>
      <c r="AS25" s="209"/>
      <c r="AT25" s="443"/>
      <c r="AU25" s="443"/>
      <c r="AV25" s="443"/>
      <c r="AW25" s="443"/>
      <c r="AX25" s="507"/>
      <c r="AY25" s="209"/>
      <c r="AZ25" s="443"/>
      <c r="BA25" s="443"/>
      <c r="BB25" s="443"/>
      <c r="BC25" s="443"/>
      <c r="BD25" s="507"/>
      <c r="BE25" s="513" t="str">
        <f t="shared" si="1"/>
        <v/>
      </c>
      <c r="BF25" s="516" t="str">
        <f t="shared" si="2"/>
        <v/>
      </c>
      <c r="BG25" s="516" t="str">
        <f t="shared" si="2"/>
        <v/>
      </c>
      <c r="BH25" s="516" t="str">
        <f t="shared" si="2"/>
        <v/>
      </c>
      <c r="BI25" s="516" t="str">
        <f t="shared" si="2"/>
        <v/>
      </c>
      <c r="BJ25" s="516" t="str">
        <f t="shared" si="2"/>
        <v/>
      </c>
      <c r="BK25" s="515" t="str">
        <f t="shared" si="8"/>
        <v/>
      </c>
      <c r="BL25" s="527" t="str">
        <f t="shared" si="3"/>
        <v/>
      </c>
      <c r="BM25" s="522" t="str">
        <f t="shared" si="4"/>
        <v/>
      </c>
      <c r="BN25" s="522" t="str">
        <f t="shared" si="5"/>
        <v/>
      </c>
      <c r="BO25" s="522" t="str">
        <f t="shared" si="6"/>
        <v/>
      </c>
      <c r="BP25" s="522" t="str">
        <f t="shared" si="9"/>
        <v/>
      </c>
      <c r="BQ25" s="523" t="str">
        <f t="shared" si="7"/>
        <v/>
      </c>
      <c r="BR25" s="532" t="str">
        <f>IF(BE25="","",+SUM($BF$8:BF25)/SUM($BE$8:BE25))</f>
        <v/>
      </c>
      <c r="BS25" s="533" t="str">
        <f>IF(BE25="","",+SUM($BG$8:BG25)/SUM($BE$8:BE25))</f>
        <v/>
      </c>
      <c r="BT25" s="533" t="str">
        <f>IF(BE25="","",+SUM($BH$8:BH25)/SUM($BE$8:BE25))</f>
        <v/>
      </c>
      <c r="BU25" s="533" t="str">
        <f>IF(BE25="","",+SUM($BI$8:BI25)/SUM($BE$8:BE25))</f>
        <v/>
      </c>
      <c r="BV25" s="533" t="str">
        <f>IF(BE25="","",+SUM($BJ$8:BJ25)/SUM($BE$8:BE25))</f>
        <v/>
      </c>
      <c r="BW25" s="534" t="str">
        <f>IF(BE25="","",+SUM($BK$8:BK25)/SUM($BE$8:BE25))</f>
        <v/>
      </c>
    </row>
    <row r="26" spans="1:75" ht="24" customHeight="1" x14ac:dyDescent="0.2">
      <c r="A26" s="486">
        <f>A25+7</f>
        <v>43537</v>
      </c>
      <c r="B26" s="487">
        <f>+B25+1</f>
        <v>41</v>
      </c>
      <c r="C26" s="209"/>
      <c r="D26" s="443"/>
      <c r="E26" s="443"/>
      <c r="F26" s="443"/>
      <c r="G26" s="443"/>
      <c r="H26" s="507"/>
      <c r="I26" s="209"/>
      <c r="J26" s="443"/>
      <c r="K26" s="443"/>
      <c r="L26" s="443"/>
      <c r="M26" s="443"/>
      <c r="N26" s="507"/>
      <c r="O26" s="209"/>
      <c r="P26" s="443"/>
      <c r="Q26" s="443"/>
      <c r="R26" s="443"/>
      <c r="S26" s="443"/>
      <c r="T26" s="507"/>
      <c r="U26" s="209"/>
      <c r="V26" s="443"/>
      <c r="W26" s="443"/>
      <c r="X26" s="443"/>
      <c r="Y26" s="443"/>
      <c r="Z26" s="507"/>
      <c r="AA26" s="209"/>
      <c r="AB26" s="443"/>
      <c r="AC26" s="443"/>
      <c r="AD26" s="443"/>
      <c r="AE26" s="443"/>
      <c r="AF26" s="507"/>
      <c r="AG26" s="209"/>
      <c r="AH26" s="443"/>
      <c r="AI26" s="443"/>
      <c r="AJ26" s="443"/>
      <c r="AK26" s="443"/>
      <c r="AL26" s="507"/>
      <c r="AM26" s="209"/>
      <c r="AN26" s="443"/>
      <c r="AO26" s="443"/>
      <c r="AP26" s="443"/>
      <c r="AQ26" s="443"/>
      <c r="AR26" s="507"/>
      <c r="AS26" s="209"/>
      <c r="AT26" s="443"/>
      <c r="AU26" s="443"/>
      <c r="AV26" s="443"/>
      <c r="AW26" s="443"/>
      <c r="AX26" s="507"/>
      <c r="AY26" s="209"/>
      <c r="AZ26" s="443"/>
      <c r="BA26" s="443"/>
      <c r="BB26" s="443"/>
      <c r="BC26" s="443"/>
      <c r="BD26" s="507"/>
      <c r="BE26" s="513" t="str">
        <f t="shared" si="1"/>
        <v/>
      </c>
      <c r="BF26" s="516" t="str">
        <f t="shared" si="2"/>
        <v/>
      </c>
      <c r="BG26" s="516" t="str">
        <f t="shared" si="2"/>
        <v/>
      </c>
      <c r="BH26" s="516" t="str">
        <f t="shared" si="2"/>
        <v/>
      </c>
      <c r="BI26" s="516" t="str">
        <f t="shared" si="2"/>
        <v/>
      </c>
      <c r="BJ26" s="516" t="str">
        <f t="shared" si="2"/>
        <v/>
      </c>
      <c r="BK26" s="515" t="str">
        <f t="shared" si="8"/>
        <v/>
      </c>
      <c r="BL26" s="527" t="str">
        <f t="shared" si="3"/>
        <v/>
      </c>
      <c r="BM26" s="522" t="str">
        <f t="shared" si="4"/>
        <v/>
      </c>
      <c r="BN26" s="522" t="str">
        <f t="shared" si="5"/>
        <v/>
      </c>
      <c r="BO26" s="522" t="str">
        <f t="shared" si="6"/>
        <v/>
      </c>
      <c r="BP26" s="522" t="str">
        <f t="shared" si="9"/>
        <v/>
      </c>
      <c r="BQ26" s="523" t="str">
        <f t="shared" si="7"/>
        <v/>
      </c>
      <c r="BR26" s="532" t="str">
        <f>IF(BE26="","",+SUM($BF$8:BF26)/SUM($BE$8:BE26))</f>
        <v/>
      </c>
      <c r="BS26" s="533" t="str">
        <f>IF(BE26="","",+SUM($BG$8:BG26)/SUM($BE$8:BE26))</f>
        <v/>
      </c>
      <c r="BT26" s="533" t="str">
        <f>IF(BE26="","",+SUM($BH$8:BH26)/SUM($BE$8:BE26))</f>
        <v/>
      </c>
      <c r="BU26" s="533" t="str">
        <f>IF(BE26="","",+SUM($BI$8:BI26)/SUM($BE$8:BE26))</f>
        <v/>
      </c>
      <c r="BV26" s="533" t="str">
        <f>IF(BE26="","",+SUM($BJ$8:BJ26)/SUM($BE$8:BE26))</f>
        <v/>
      </c>
      <c r="BW26" s="534" t="str">
        <f>IF(BE26="","",+SUM($BK$8:BK26)/SUM($BE$8:BE26))</f>
        <v/>
      </c>
    </row>
    <row r="27" spans="1:75" ht="24" customHeight="1" x14ac:dyDescent="0.2">
      <c r="A27" s="486">
        <f>A26+7</f>
        <v>43544</v>
      </c>
      <c r="B27" s="487">
        <f>+B26+1</f>
        <v>42</v>
      </c>
      <c r="C27" s="209"/>
      <c r="D27" s="443"/>
      <c r="E27" s="443"/>
      <c r="F27" s="443"/>
      <c r="G27" s="443"/>
      <c r="H27" s="507"/>
      <c r="I27" s="209"/>
      <c r="J27" s="443"/>
      <c r="K27" s="443"/>
      <c r="L27" s="443"/>
      <c r="M27" s="443"/>
      <c r="N27" s="507"/>
      <c r="O27" s="209"/>
      <c r="P27" s="443"/>
      <c r="Q27" s="443"/>
      <c r="R27" s="443"/>
      <c r="S27" s="443"/>
      <c r="T27" s="507"/>
      <c r="U27" s="209"/>
      <c r="V27" s="443"/>
      <c r="W27" s="443"/>
      <c r="X27" s="443"/>
      <c r="Y27" s="443"/>
      <c r="Z27" s="507"/>
      <c r="AA27" s="209"/>
      <c r="AB27" s="443"/>
      <c r="AC27" s="443"/>
      <c r="AD27" s="443"/>
      <c r="AE27" s="443"/>
      <c r="AF27" s="507"/>
      <c r="AG27" s="209"/>
      <c r="AH27" s="443"/>
      <c r="AI27" s="443"/>
      <c r="AJ27" s="443"/>
      <c r="AK27" s="443"/>
      <c r="AL27" s="507"/>
      <c r="AM27" s="209"/>
      <c r="AN27" s="443"/>
      <c r="AO27" s="443"/>
      <c r="AP27" s="443"/>
      <c r="AQ27" s="443"/>
      <c r="AR27" s="507"/>
      <c r="AS27" s="209"/>
      <c r="AT27" s="443"/>
      <c r="AU27" s="443"/>
      <c r="AV27" s="443"/>
      <c r="AW27" s="443"/>
      <c r="AX27" s="507"/>
      <c r="AY27" s="209"/>
      <c r="AZ27" s="443"/>
      <c r="BA27" s="443"/>
      <c r="BB27" s="443"/>
      <c r="BC27" s="443"/>
      <c r="BD27" s="507"/>
      <c r="BE27" s="513" t="str">
        <f t="shared" si="1"/>
        <v/>
      </c>
      <c r="BF27" s="516" t="str">
        <f t="shared" si="2"/>
        <v/>
      </c>
      <c r="BG27" s="516" t="str">
        <f t="shared" si="2"/>
        <v/>
      </c>
      <c r="BH27" s="516" t="str">
        <f t="shared" si="2"/>
        <v/>
      </c>
      <c r="BI27" s="516" t="str">
        <f t="shared" si="2"/>
        <v/>
      </c>
      <c r="BJ27" s="516" t="str">
        <f t="shared" si="2"/>
        <v/>
      </c>
      <c r="BK27" s="515" t="str">
        <f t="shared" si="8"/>
        <v/>
      </c>
      <c r="BL27" s="527" t="str">
        <f t="shared" si="3"/>
        <v/>
      </c>
      <c r="BM27" s="522" t="str">
        <f t="shared" si="4"/>
        <v/>
      </c>
      <c r="BN27" s="522" t="str">
        <f t="shared" si="5"/>
        <v/>
      </c>
      <c r="BO27" s="522" t="str">
        <f t="shared" si="6"/>
        <v/>
      </c>
      <c r="BP27" s="522" t="str">
        <f t="shared" si="9"/>
        <v/>
      </c>
      <c r="BQ27" s="523" t="str">
        <f t="shared" si="7"/>
        <v/>
      </c>
      <c r="BR27" s="532" t="str">
        <f>IF(BE27="","",+SUM($BF$8:BF27)/SUM($BE$8:BE27))</f>
        <v/>
      </c>
      <c r="BS27" s="533" t="str">
        <f>IF(BE27="","",+SUM($BG$8:BG27)/SUM($BE$8:BE27))</f>
        <v/>
      </c>
      <c r="BT27" s="533" t="str">
        <f>IF(BE27="","",+SUM($BH$8:BH27)/SUM($BE$8:BE27))</f>
        <v/>
      </c>
      <c r="BU27" s="533" t="str">
        <f>IF(BE27="","",+SUM($BI$8:BI27)/SUM($BE$8:BE27))</f>
        <v/>
      </c>
      <c r="BV27" s="533" t="str">
        <f>IF(BE27="","",+SUM($BJ$8:BJ27)/SUM($BE$8:BE27))</f>
        <v/>
      </c>
      <c r="BW27" s="534" t="str">
        <f>IF(BE27="","",+SUM($BK$8:BK27)/SUM($BE$8:BE27))</f>
        <v/>
      </c>
    </row>
    <row r="28" spans="1:75" ht="24" customHeight="1" x14ac:dyDescent="0.2">
      <c r="A28" s="486">
        <f>A27+7</f>
        <v>43551</v>
      </c>
      <c r="B28" s="487">
        <f>+B27+1</f>
        <v>43</v>
      </c>
      <c r="C28" s="209"/>
      <c r="D28" s="443"/>
      <c r="E28" s="443"/>
      <c r="F28" s="443"/>
      <c r="G28" s="443"/>
      <c r="H28" s="507"/>
      <c r="I28" s="209"/>
      <c r="J28" s="443"/>
      <c r="K28" s="443"/>
      <c r="L28" s="443"/>
      <c r="M28" s="443"/>
      <c r="N28" s="507"/>
      <c r="O28" s="209"/>
      <c r="P28" s="443"/>
      <c r="Q28" s="443"/>
      <c r="R28" s="443"/>
      <c r="S28" s="443"/>
      <c r="T28" s="507"/>
      <c r="U28" s="209"/>
      <c r="V28" s="443"/>
      <c r="W28" s="443"/>
      <c r="X28" s="443"/>
      <c r="Y28" s="443"/>
      <c r="Z28" s="507"/>
      <c r="AA28" s="209"/>
      <c r="AB28" s="443"/>
      <c r="AC28" s="443"/>
      <c r="AD28" s="443"/>
      <c r="AE28" s="443"/>
      <c r="AF28" s="507"/>
      <c r="AG28" s="209"/>
      <c r="AH28" s="443"/>
      <c r="AI28" s="443"/>
      <c r="AJ28" s="443"/>
      <c r="AK28" s="443"/>
      <c r="AL28" s="507"/>
      <c r="AM28" s="209"/>
      <c r="AN28" s="443"/>
      <c r="AO28" s="443"/>
      <c r="AP28" s="443"/>
      <c r="AQ28" s="443"/>
      <c r="AR28" s="507"/>
      <c r="AS28" s="209"/>
      <c r="AT28" s="443"/>
      <c r="AU28" s="443"/>
      <c r="AV28" s="443"/>
      <c r="AW28" s="443"/>
      <c r="AX28" s="507"/>
      <c r="AY28" s="209"/>
      <c r="AZ28" s="443"/>
      <c r="BA28" s="443"/>
      <c r="BB28" s="443"/>
      <c r="BC28" s="443"/>
      <c r="BD28" s="507"/>
      <c r="BE28" s="513" t="str">
        <f t="shared" si="1"/>
        <v/>
      </c>
      <c r="BF28" s="516" t="str">
        <f t="shared" si="2"/>
        <v/>
      </c>
      <c r="BG28" s="516" t="str">
        <f t="shared" si="2"/>
        <v/>
      </c>
      <c r="BH28" s="516" t="str">
        <f t="shared" si="2"/>
        <v/>
      </c>
      <c r="BI28" s="516" t="str">
        <f t="shared" si="2"/>
        <v/>
      </c>
      <c r="BJ28" s="516" t="str">
        <f t="shared" si="2"/>
        <v/>
      </c>
      <c r="BK28" s="515" t="str">
        <f t="shared" si="8"/>
        <v/>
      </c>
      <c r="BL28" s="527" t="str">
        <f t="shared" si="3"/>
        <v/>
      </c>
      <c r="BM28" s="522" t="str">
        <f t="shared" si="4"/>
        <v/>
      </c>
      <c r="BN28" s="522" t="str">
        <f t="shared" si="5"/>
        <v/>
      </c>
      <c r="BO28" s="522" t="str">
        <f t="shared" si="6"/>
        <v/>
      </c>
      <c r="BP28" s="522" t="str">
        <f t="shared" si="9"/>
        <v/>
      </c>
      <c r="BQ28" s="523" t="str">
        <f t="shared" si="7"/>
        <v/>
      </c>
      <c r="BR28" s="532" t="str">
        <f>IF(BE28="","",+SUM($BF$8:BF28)/SUM($BE$8:BE28))</f>
        <v/>
      </c>
      <c r="BS28" s="533" t="str">
        <f>IF(BE28="","",+SUM($BG$8:BG28)/SUM($BE$8:BE28))</f>
        <v/>
      </c>
      <c r="BT28" s="533" t="str">
        <f>IF(BE28="","",+SUM($BH$8:BH28)/SUM($BE$8:BE28))</f>
        <v/>
      </c>
      <c r="BU28" s="533" t="str">
        <f>IF(BE28="","",+SUM($BI$8:BI28)/SUM($BE$8:BE28))</f>
        <v/>
      </c>
      <c r="BV28" s="533" t="str">
        <f>IF(BE28="","",+SUM($BJ$8:BJ28)/SUM($BE$8:BE28))</f>
        <v/>
      </c>
      <c r="BW28" s="534" t="str">
        <f>IF(BE28="","",+SUM($BK$8:BK28)/SUM($BE$8:BE28))</f>
        <v/>
      </c>
    </row>
    <row r="29" spans="1:75" ht="24" customHeight="1" x14ac:dyDescent="0.2">
      <c r="A29" s="486">
        <f>A28+7</f>
        <v>43558</v>
      </c>
      <c r="B29" s="487">
        <f>+B28+1</f>
        <v>44</v>
      </c>
      <c r="C29" s="209"/>
      <c r="D29" s="443"/>
      <c r="E29" s="443"/>
      <c r="F29" s="443"/>
      <c r="G29" s="443"/>
      <c r="H29" s="507"/>
      <c r="I29" s="209"/>
      <c r="J29" s="443"/>
      <c r="K29" s="443"/>
      <c r="L29" s="443"/>
      <c r="M29" s="443"/>
      <c r="N29" s="507"/>
      <c r="O29" s="209"/>
      <c r="P29" s="443"/>
      <c r="Q29" s="443"/>
      <c r="R29" s="443"/>
      <c r="S29" s="443"/>
      <c r="T29" s="507"/>
      <c r="U29" s="209"/>
      <c r="V29" s="443"/>
      <c r="W29" s="443"/>
      <c r="X29" s="443"/>
      <c r="Y29" s="443"/>
      <c r="Z29" s="507"/>
      <c r="AA29" s="209"/>
      <c r="AB29" s="443"/>
      <c r="AC29" s="443"/>
      <c r="AD29" s="443"/>
      <c r="AE29" s="443"/>
      <c r="AF29" s="507"/>
      <c r="AG29" s="209"/>
      <c r="AH29" s="443"/>
      <c r="AI29" s="443"/>
      <c r="AJ29" s="443"/>
      <c r="AK29" s="443"/>
      <c r="AL29" s="507"/>
      <c r="AM29" s="209"/>
      <c r="AN29" s="443"/>
      <c r="AO29" s="443"/>
      <c r="AP29" s="443"/>
      <c r="AQ29" s="443"/>
      <c r="AR29" s="507"/>
      <c r="AS29" s="209"/>
      <c r="AT29" s="443"/>
      <c r="AU29" s="443"/>
      <c r="AV29" s="443"/>
      <c r="AW29" s="443"/>
      <c r="AX29" s="507"/>
      <c r="AY29" s="209"/>
      <c r="AZ29" s="443"/>
      <c r="BA29" s="443"/>
      <c r="BB29" s="443"/>
      <c r="BC29" s="443"/>
      <c r="BD29" s="507"/>
      <c r="BE29" s="513" t="str">
        <f t="shared" si="1"/>
        <v/>
      </c>
      <c r="BF29" s="514" t="str">
        <f t="shared" si="2"/>
        <v/>
      </c>
      <c r="BG29" s="514" t="str">
        <f t="shared" si="2"/>
        <v/>
      </c>
      <c r="BH29" s="514" t="str">
        <f t="shared" si="2"/>
        <v/>
      </c>
      <c r="BI29" s="514" t="str">
        <f t="shared" si="2"/>
        <v/>
      </c>
      <c r="BJ29" s="514" t="str">
        <f t="shared" si="2"/>
        <v/>
      </c>
      <c r="BK29" s="515" t="str">
        <f t="shared" si="8"/>
        <v/>
      </c>
      <c r="BL29" s="527" t="str">
        <f t="shared" si="3"/>
        <v/>
      </c>
      <c r="BM29" s="522" t="str">
        <f t="shared" si="4"/>
        <v/>
      </c>
      <c r="BN29" s="522" t="str">
        <f t="shared" si="5"/>
        <v/>
      </c>
      <c r="BO29" s="522" t="str">
        <f t="shared" si="6"/>
        <v/>
      </c>
      <c r="BP29" s="522" t="str">
        <f t="shared" si="9"/>
        <v/>
      </c>
      <c r="BQ29" s="523" t="str">
        <f t="shared" si="7"/>
        <v/>
      </c>
      <c r="BR29" s="532" t="str">
        <f>IF(BE29="","",+SUM($BF$8:BF29)/SUM($BE$8:BE29))</f>
        <v/>
      </c>
      <c r="BS29" s="533" t="str">
        <f>IF(BE29="","",+SUM($BG$8:BG29)/SUM($BE$8:BE29))</f>
        <v/>
      </c>
      <c r="BT29" s="533" t="str">
        <f>IF(BE29="","",+SUM($BH$8:BH29)/SUM($BE$8:BE29))</f>
        <v/>
      </c>
      <c r="BU29" s="533" t="str">
        <f>IF(BE29="","",+SUM($BI$8:BI29)/SUM($BE$8:BE29))</f>
        <v/>
      </c>
      <c r="BV29" s="533" t="str">
        <f>IF(BE29="","",+SUM($BJ$8:BJ29)/SUM($BE$8:BE29))</f>
        <v/>
      </c>
      <c r="BW29" s="534" t="str">
        <f>IF(BE29="","",+SUM($BK$8:BK29)/SUM($BE$8:BE29))</f>
        <v/>
      </c>
    </row>
    <row r="30" spans="1:75" ht="24" customHeight="1" x14ac:dyDescent="0.2">
      <c r="A30" s="486">
        <f t="shared" ref="A30:A55" si="12">A29+7</f>
        <v>43565</v>
      </c>
      <c r="B30" s="487">
        <f t="shared" ref="B30:B55" si="13">+B29+1</f>
        <v>45</v>
      </c>
      <c r="C30" s="209"/>
      <c r="D30" s="443"/>
      <c r="E30" s="443"/>
      <c r="F30" s="443"/>
      <c r="G30" s="443"/>
      <c r="H30" s="507"/>
      <c r="I30" s="209"/>
      <c r="J30" s="443"/>
      <c r="K30" s="443"/>
      <c r="L30" s="443"/>
      <c r="M30" s="443"/>
      <c r="N30" s="507"/>
      <c r="O30" s="209"/>
      <c r="P30" s="443"/>
      <c r="Q30" s="443"/>
      <c r="R30" s="443"/>
      <c r="S30" s="443"/>
      <c r="T30" s="507"/>
      <c r="U30" s="209"/>
      <c r="V30" s="443"/>
      <c r="W30" s="443"/>
      <c r="X30" s="443"/>
      <c r="Y30" s="443"/>
      <c r="Z30" s="507"/>
      <c r="AA30" s="209"/>
      <c r="AB30" s="443"/>
      <c r="AC30" s="443"/>
      <c r="AD30" s="443"/>
      <c r="AE30" s="443"/>
      <c r="AF30" s="507"/>
      <c r="AG30" s="209"/>
      <c r="AH30" s="443"/>
      <c r="AI30" s="443"/>
      <c r="AJ30" s="443"/>
      <c r="AK30" s="443"/>
      <c r="AL30" s="507"/>
      <c r="AM30" s="209"/>
      <c r="AN30" s="443"/>
      <c r="AO30" s="443"/>
      <c r="AP30" s="443"/>
      <c r="AQ30" s="443"/>
      <c r="AR30" s="507"/>
      <c r="AS30" s="209"/>
      <c r="AT30" s="443"/>
      <c r="AU30" s="443"/>
      <c r="AV30" s="443"/>
      <c r="AW30" s="443"/>
      <c r="AX30" s="507"/>
      <c r="AY30" s="209"/>
      <c r="AZ30" s="443"/>
      <c r="BA30" s="443"/>
      <c r="BB30" s="443"/>
      <c r="BC30" s="443"/>
      <c r="BD30" s="507"/>
      <c r="BE30" s="513" t="str">
        <f t="shared" si="1"/>
        <v/>
      </c>
      <c r="BF30" s="514" t="str">
        <f t="shared" si="2"/>
        <v/>
      </c>
      <c r="BG30" s="514" t="str">
        <f t="shared" si="2"/>
        <v/>
      </c>
      <c r="BH30" s="514" t="str">
        <f t="shared" si="2"/>
        <v/>
      </c>
      <c r="BI30" s="514" t="str">
        <f t="shared" si="2"/>
        <v/>
      </c>
      <c r="BJ30" s="514" t="str">
        <f t="shared" si="2"/>
        <v/>
      </c>
      <c r="BK30" s="515" t="str">
        <f t="shared" si="8"/>
        <v/>
      </c>
      <c r="BL30" s="527" t="str">
        <f t="shared" si="3"/>
        <v/>
      </c>
      <c r="BM30" s="522" t="str">
        <f t="shared" si="4"/>
        <v/>
      </c>
      <c r="BN30" s="522" t="str">
        <f t="shared" si="5"/>
        <v/>
      </c>
      <c r="BO30" s="522" t="str">
        <f t="shared" si="6"/>
        <v/>
      </c>
      <c r="BP30" s="522" t="str">
        <f t="shared" si="9"/>
        <v/>
      </c>
      <c r="BQ30" s="523" t="str">
        <f t="shared" si="7"/>
        <v/>
      </c>
      <c r="BR30" s="532" t="str">
        <f>IF(BE30="","",+SUM($BF$8:BF30)/SUM($BE$8:BE30))</f>
        <v/>
      </c>
      <c r="BS30" s="533" t="str">
        <f>IF(BE30="","",+SUM($BG$8:BG30)/SUM($BE$8:BE30))</f>
        <v/>
      </c>
      <c r="BT30" s="533" t="str">
        <f>IF(BE30="","",+SUM($BH$8:BH30)/SUM($BE$8:BE30))</f>
        <v/>
      </c>
      <c r="BU30" s="533" t="str">
        <f>IF(BE30="","",+SUM($BI$8:BI30)/SUM($BE$8:BE30))</f>
        <v/>
      </c>
      <c r="BV30" s="533" t="str">
        <f>IF(BE30="","",+SUM($BJ$8:BJ30)/SUM($BE$8:BE30))</f>
        <v/>
      </c>
      <c r="BW30" s="534" t="str">
        <f>IF(BE30="","",+SUM($BK$8:BK30)/SUM($BE$8:BE30))</f>
        <v/>
      </c>
    </row>
    <row r="31" spans="1:75" ht="24" customHeight="1" x14ac:dyDescent="0.2">
      <c r="A31" s="486">
        <f t="shared" si="12"/>
        <v>43572</v>
      </c>
      <c r="B31" s="487">
        <f t="shared" si="13"/>
        <v>46</v>
      </c>
      <c r="C31" s="209"/>
      <c r="D31" s="443"/>
      <c r="E31" s="443"/>
      <c r="F31" s="443"/>
      <c r="G31" s="443"/>
      <c r="H31" s="507"/>
      <c r="I31" s="209"/>
      <c r="J31" s="443"/>
      <c r="K31" s="443"/>
      <c r="L31" s="443"/>
      <c r="M31" s="443"/>
      <c r="N31" s="507"/>
      <c r="O31" s="209"/>
      <c r="P31" s="443"/>
      <c r="Q31" s="443"/>
      <c r="R31" s="443"/>
      <c r="S31" s="443"/>
      <c r="T31" s="507"/>
      <c r="U31" s="209"/>
      <c r="V31" s="443"/>
      <c r="W31" s="443"/>
      <c r="X31" s="443"/>
      <c r="Y31" s="443"/>
      <c r="Z31" s="507"/>
      <c r="AA31" s="209"/>
      <c r="AB31" s="443"/>
      <c r="AC31" s="443"/>
      <c r="AD31" s="443"/>
      <c r="AE31" s="443"/>
      <c r="AF31" s="507"/>
      <c r="AG31" s="209"/>
      <c r="AH31" s="443"/>
      <c r="AI31" s="443"/>
      <c r="AJ31" s="443"/>
      <c r="AK31" s="443"/>
      <c r="AL31" s="507"/>
      <c r="AM31" s="209"/>
      <c r="AN31" s="443"/>
      <c r="AO31" s="443"/>
      <c r="AP31" s="443"/>
      <c r="AQ31" s="443"/>
      <c r="AR31" s="507"/>
      <c r="AS31" s="209"/>
      <c r="AT31" s="443"/>
      <c r="AU31" s="443"/>
      <c r="AV31" s="443"/>
      <c r="AW31" s="443"/>
      <c r="AX31" s="507"/>
      <c r="AY31" s="209"/>
      <c r="AZ31" s="443"/>
      <c r="BA31" s="443"/>
      <c r="BB31" s="443"/>
      <c r="BC31" s="443"/>
      <c r="BD31" s="507"/>
      <c r="BE31" s="513" t="str">
        <f t="shared" si="1"/>
        <v/>
      </c>
      <c r="BF31" s="514" t="str">
        <f t="shared" si="2"/>
        <v/>
      </c>
      <c r="BG31" s="514" t="str">
        <f t="shared" si="2"/>
        <v/>
      </c>
      <c r="BH31" s="514" t="str">
        <f t="shared" si="2"/>
        <v/>
      </c>
      <c r="BI31" s="514" t="str">
        <f t="shared" si="2"/>
        <v/>
      </c>
      <c r="BJ31" s="514" t="str">
        <f t="shared" si="2"/>
        <v/>
      </c>
      <c r="BK31" s="515" t="str">
        <f t="shared" si="8"/>
        <v/>
      </c>
      <c r="BL31" s="527" t="str">
        <f t="shared" si="3"/>
        <v/>
      </c>
      <c r="BM31" s="522" t="str">
        <f t="shared" si="4"/>
        <v/>
      </c>
      <c r="BN31" s="522" t="str">
        <f t="shared" si="5"/>
        <v/>
      </c>
      <c r="BO31" s="522" t="str">
        <f t="shared" si="6"/>
        <v/>
      </c>
      <c r="BP31" s="522" t="str">
        <f t="shared" si="9"/>
        <v/>
      </c>
      <c r="BQ31" s="523" t="str">
        <f t="shared" si="7"/>
        <v/>
      </c>
      <c r="BR31" s="532" t="str">
        <f>IF(BE31="","",+SUM($BF$8:BF31)/SUM($BE$8:BE31))</f>
        <v/>
      </c>
      <c r="BS31" s="533" t="str">
        <f>IF(BE31="","",+SUM($BG$8:BG31)/SUM($BE$8:BE31))</f>
        <v/>
      </c>
      <c r="BT31" s="533" t="str">
        <f>IF(BE31="","",+SUM($BH$8:BH31)/SUM($BE$8:BE31))</f>
        <v/>
      </c>
      <c r="BU31" s="533" t="str">
        <f>IF(BE31="","",+SUM($BI$8:BI31)/SUM($BE$8:BE31))</f>
        <v/>
      </c>
      <c r="BV31" s="533" t="str">
        <f>IF(BE31="","",+SUM($BJ$8:BJ31)/SUM($BE$8:BE31))</f>
        <v/>
      </c>
      <c r="BW31" s="534" t="str">
        <f>IF(BE31="","",+SUM($BK$8:BK31)/SUM($BE$8:BE31))</f>
        <v/>
      </c>
    </row>
    <row r="32" spans="1:75" ht="24" customHeight="1" x14ac:dyDescent="0.2">
      <c r="A32" s="453">
        <f t="shared" si="12"/>
        <v>43579</v>
      </c>
      <c r="B32" s="442">
        <f t="shared" si="13"/>
        <v>47</v>
      </c>
      <c r="C32" s="209"/>
      <c r="D32" s="443"/>
      <c r="E32" s="443"/>
      <c r="F32" s="443"/>
      <c r="G32" s="443"/>
      <c r="H32" s="507"/>
      <c r="I32" s="209"/>
      <c r="J32" s="443"/>
      <c r="K32" s="443"/>
      <c r="L32" s="443"/>
      <c r="M32" s="443"/>
      <c r="N32" s="507"/>
      <c r="O32" s="209"/>
      <c r="P32" s="443"/>
      <c r="Q32" s="443"/>
      <c r="R32" s="443"/>
      <c r="S32" s="443"/>
      <c r="T32" s="507"/>
      <c r="U32" s="209"/>
      <c r="V32" s="443"/>
      <c r="W32" s="443"/>
      <c r="X32" s="443"/>
      <c r="Y32" s="443"/>
      <c r="Z32" s="507"/>
      <c r="AA32" s="209"/>
      <c r="AB32" s="443"/>
      <c r="AC32" s="443"/>
      <c r="AD32" s="443"/>
      <c r="AE32" s="443"/>
      <c r="AF32" s="507"/>
      <c r="AG32" s="209"/>
      <c r="AH32" s="443"/>
      <c r="AI32" s="443"/>
      <c r="AJ32" s="443"/>
      <c r="AK32" s="443"/>
      <c r="AL32" s="507"/>
      <c r="AM32" s="209"/>
      <c r="AN32" s="443"/>
      <c r="AO32" s="443"/>
      <c r="AP32" s="443"/>
      <c r="AQ32" s="443"/>
      <c r="AR32" s="507"/>
      <c r="AS32" s="209"/>
      <c r="AT32" s="443"/>
      <c r="AU32" s="443"/>
      <c r="AV32" s="443"/>
      <c r="AW32" s="443"/>
      <c r="AX32" s="507"/>
      <c r="AY32" s="209"/>
      <c r="AZ32" s="443"/>
      <c r="BA32" s="443"/>
      <c r="BB32" s="443"/>
      <c r="BC32" s="443"/>
      <c r="BD32" s="507"/>
      <c r="BE32" s="513" t="str">
        <f t="shared" si="1"/>
        <v/>
      </c>
      <c r="BF32" s="514" t="str">
        <f t="shared" si="2"/>
        <v/>
      </c>
      <c r="BG32" s="514" t="str">
        <f t="shared" si="2"/>
        <v/>
      </c>
      <c r="BH32" s="514" t="str">
        <f t="shared" si="2"/>
        <v/>
      </c>
      <c r="BI32" s="514" t="str">
        <f t="shared" si="2"/>
        <v/>
      </c>
      <c r="BJ32" s="514" t="str">
        <f t="shared" si="2"/>
        <v/>
      </c>
      <c r="BK32" s="515" t="str">
        <f t="shared" si="8"/>
        <v/>
      </c>
      <c r="BL32" s="527" t="str">
        <f t="shared" si="3"/>
        <v/>
      </c>
      <c r="BM32" s="522" t="str">
        <f t="shared" si="4"/>
        <v/>
      </c>
      <c r="BN32" s="522" t="str">
        <f t="shared" si="5"/>
        <v/>
      </c>
      <c r="BO32" s="522" t="str">
        <f t="shared" si="6"/>
        <v/>
      </c>
      <c r="BP32" s="522" t="str">
        <f t="shared" si="9"/>
        <v/>
      </c>
      <c r="BQ32" s="523" t="str">
        <f t="shared" si="7"/>
        <v/>
      </c>
      <c r="BR32" s="532" t="str">
        <f>IF(BE32="","",+SUM($BF$8:BF32)/SUM($BE$8:BE32))</f>
        <v/>
      </c>
      <c r="BS32" s="533" t="str">
        <f>IF(BE32="","",+SUM($BG$8:BG32)/SUM($BE$8:BE32))</f>
        <v/>
      </c>
      <c r="BT32" s="533" t="str">
        <f>IF(BE32="","",+SUM($BH$8:BH32)/SUM($BE$8:BE32))</f>
        <v/>
      </c>
      <c r="BU32" s="533" t="str">
        <f>IF(BE32="","",+SUM($BI$8:BI32)/SUM($BE$8:BE32))</f>
        <v/>
      </c>
      <c r="BV32" s="533" t="str">
        <f>IF(BE32="","",+SUM($BJ$8:BJ32)/SUM($BE$8:BE32))</f>
        <v/>
      </c>
      <c r="BW32" s="534" t="str">
        <f>IF(BE32="","",+SUM($BK$8:BK32)/SUM($BE$8:BE32))</f>
        <v/>
      </c>
    </row>
    <row r="33" spans="1:75" ht="24" customHeight="1" x14ac:dyDescent="0.2">
      <c r="A33" s="453">
        <f t="shared" si="12"/>
        <v>43586</v>
      </c>
      <c r="B33" s="442">
        <f t="shared" si="13"/>
        <v>48</v>
      </c>
      <c r="C33" s="209"/>
      <c r="D33" s="443"/>
      <c r="E33" s="443"/>
      <c r="F33" s="443"/>
      <c r="G33" s="443"/>
      <c r="H33" s="507"/>
      <c r="I33" s="209"/>
      <c r="J33" s="443"/>
      <c r="K33" s="443"/>
      <c r="L33" s="443"/>
      <c r="M33" s="443"/>
      <c r="N33" s="507"/>
      <c r="O33" s="209"/>
      <c r="P33" s="443"/>
      <c r="Q33" s="443"/>
      <c r="R33" s="443"/>
      <c r="S33" s="443"/>
      <c r="T33" s="507"/>
      <c r="U33" s="209"/>
      <c r="V33" s="443"/>
      <c r="W33" s="443"/>
      <c r="X33" s="443"/>
      <c r="Y33" s="443"/>
      <c r="Z33" s="507"/>
      <c r="AA33" s="209"/>
      <c r="AB33" s="443"/>
      <c r="AC33" s="443"/>
      <c r="AD33" s="443"/>
      <c r="AE33" s="443"/>
      <c r="AF33" s="507"/>
      <c r="AG33" s="209"/>
      <c r="AH33" s="443"/>
      <c r="AI33" s="443"/>
      <c r="AJ33" s="443"/>
      <c r="AK33" s="443"/>
      <c r="AL33" s="507"/>
      <c r="AM33" s="209"/>
      <c r="AN33" s="443"/>
      <c r="AO33" s="443"/>
      <c r="AP33" s="443"/>
      <c r="AQ33" s="443"/>
      <c r="AR33" s="507"/>
      <c r="AS33" s="209"/>
      <c r="AT33" s="443"/>
      <c r="AU33" s="443"/>
      <c r="AV33" s="443"/>
      <c r="AW33" s="443"/>
      <c r="AX33" s="507"/>
      <c r="AY33" s="209"/>
      <c r="AZ33" s="443"/>
      <c r="BA33" s="443"/>
      <c r="BB33" s="443"/>
      <c r="BC33" s="443"/>
      <c r="BD33" s="507"/>
      <c r="BE33" s="513" t="str">
        <f t="shared" si="1"/>
        <v/>
      </c>
      <c r="BF33" s="514" t="str">
        <f t="shared" si="2"/>
        <v/>
      </c>
      <c r="BG33" s="514" t="str">
        <f t="shared" si="2"/>
        <v/>
      </c>
      <c r="BH33" s="514" t="str">
        <f t="shared" si="2"/>
        <v/>
      </c>
      <c r="BI33" s="514" t="str">
        <f t="shared" si="2"/>
        <v/>
      </c>
      <c r="BJ33" s="514" t="str">
        <f t="shared" si="2"/>
        <v/>
      </c>
      <c r="BK33" s="515" t="str">
        <f t="shared" si="8"/>
        <v/>
      </c>
      <c r="BL33" s="527" t="str">
        <f t="shared" si="3"/>
        <v/>
      </c>
      <c r="BM33" s="522" t="str">
        <f t="shared" si="4"/>
        <v/>
      </c>
      <c r="BN33" s="522" t="str">
        <f t="shared" si="5"/>
        <v/>
      </c>
      <c r="BO33" s="522" t="str">
        <f t="shared" si="6"/>
        <v/>
      </c>
      <c r="BP33" s="522" t="str">
        <f t="shared" si="9"/>
        <v/>
      </c>
      <c r="BQ33" s="523" t="str">
        <f t="shared" si="7"/>
        <v/>
      </c>
      <c r="BR33" s="532" t="str">
        <f>IF(BE33="","",+SUM($BF$8:BF33)/SUM($BE$8:BE33))</f>
        <v/>
      </c>
      <c r="BS33" s="533" t="str">
        <f>IF(BE33="","",+SUM($BG$8:BG33)/SUM($BE$8:BE33))</f>
        <v/>
      </c>
      <c r="BT33" s="533" t="str">
        <f>IF(BE33="","",+SUM($BH$8:BH33)/SUM($BE$8:BE33))</f>
        <v/>
      </c>
      <c r="BU33" s="533" t="str">
        <f>IF(BE33="","",+SUM($BI$8:BI33)/SUM($BE$8:BE33))</f>
        <v/>
      </c>
      <c r="BV33" s="533" t="str">
        <f>IF(BE33="","",+SUM($BJ$8:BJ33)/SUM($BE$8:BE33))</f>
        <v/>
      </c>
      <c r="BW33" s="534" t="str">
        <f>IF(BE33="","",+SUM($BK$8:BK33)/SUM($BE$8:BE33))</f>
        <v/>
      </c>
    </row>
    <row r="34" spans="1:75" ht="24" customHeight="1" x14ac:dyDescent="0.2">
      <c r="A34" s="453">
        <f t="shared" si="12"/>
        <v>43593</v>
      </c>
      <c r="B34" s="442">
        <f t="shared" si="13"/>
        <v>49</v>
      </c>
      <c r="C34" s="209"/>
      <c r="D34" s="443"/>
      <c r="E34" s="443"/>
      <c r="F34" s="443"/>
      <c r="G34" s="443"/>
      <c r="H34" s="507"/>
      <c r="I34" s="209"/>
      <c r="J34" s="443"/>
      <c r="K34" s="443"/>
      <c r="L34" s="443"/>
      <c r="M34" s="443"/>
      <c r="N34" s="507"/>
      <c r="O34" s="209"/>
      <c r="P34" s="443"/>
      <c r="Q34" s="443"/>
      <c r="R34" s="443"/>
      <c r="S34" s="443"/>
      <c r="T34" s="507"/>
      <c r="U34" s="209"/>
      <c r="V34" s="443"/>
      <c r="W34" s="443"/>
      <c r="X34" s="443"/>
      <c r="Y34" s="443"/>
      <c r="Z34" s="507"/>
      <c r="AA34" s="209"/>
      <c r="AB34" s="443"/>
      <c r="AC34" s="443"/>
      <c r="AD34" s="443"/>
      <c r="AE34" s="443"/>
      <c r="AF34" s="507"/>
      <c r="AG34" s="209"/>
      <c r="AH34" s="443"/>
      <c r="AI34" s="443"/>
      <c r="AJ34" s="443"/>
      <c r="AK34" s="443"/>
      <c r="AL34" s="507"/>
      <c r="AM34" s="209"/>
      <c r="AN34" s="443"/>
      <c r="AO34" s="443"/>
      <c r="AP34" s="443"/>
      <c r="AQ34" s="443"/>
      <c r="AR34" s="507"/>
      <c r="AS34" s="209"/>
      <c r="AT34" s="443"/>
      <c r="AU34" s="443"/>
      <c r="AV34" s="443"/>
      <c r="AW34" s="443"/>
      <c r="AX34" s="507"/>
      <c r="AY34" s="209"/>
      <c r="AZ34" s="443"/>
      <c r="BA34" s="443"/>
      <c r="BB34" s="443"/>
      <c r="BC34" s="443"/>
      <c r="BD34" s="507"/>
      <c r="BE34" s="513" t="str">
        <f t="shared" si="1"/>
        <v/>
      </c>
      <c r="BF34" s="514" t="str">
        <f t="shared" si="2"/>
        <v/>
      </c>
      <c r="BG34" s="514" t="str">
        <f t="shared" si="2"/>
        <v/>
      </c>
      <c r="BH34" s="514" t="str">
        <f t="shared" si="2"/>
        <v/>
      </c>
      <c r="BI34" s="514" t="str">
        <f t="shared" si="2"/>
        <v/>
      </c>
      <c r="BJ34" s="514" t="str">
        <f t="shared" si="2"/>
        <v/>
      </c>
      <c r="BK34" s="515" t="str">
        <f t="shared" si="8"/>
        <v/>
      </c>
      <c r="BL34" s="527" t="str">
        <f t="shared" si="3"/>
        <v/>
      </c>
      <c r="BM34" s="522" t="str">
        <f t="shared" si="4"/>
        <v/>
      </c>
      <c r="BN34" s="522" t="str">
        <f t="shared" si="5"/>
        <v/>
      </c>
      <c r="BO34" s="522" t="str">
        <f t="shared" si="6"/>
        <v/>
      </c>
      <c r="BP34" s="522" t="str">
        <f t="shared" si="9"/>
        <v/>
      </c>
      <c r="BQ34" s="523" t="str">
        <f t="shared" si="7"/>
        <v/>
      </c>
      <c r="BR34" s="532" t="str">
        <f>IF(BE34="","",+SUM($BF$8:BF34)/SUM($BE$8:BE34))</f>
        <v/>
      </c>
      <c r="BS34" s="533" t="str">
        <f>IF(BE34="","",+SUM($BG$8:BG34)/SUM($BE$8:BE34))</f>
        <v/>
      </c>
      <c r="BT34" s="533" t="str">
        <f>IF(BE34="","",+SUM($BH$8:BH34)/SUM($BE$8:BE34))</f>
        <v/>
      </c>
      <c r="BU34" s="533" t="str">
        <f>IF(BE34="","",+SUM($BI$8:BI34)/SUM($BE$8:BE34))</f>
        <v/>
      </c>
      <c r="BV34" s="533" t="str">
        <f>IF(BE34="","",+SUM($BJ$8:BJ34)/SUM($BE$8:BE34))</f>
        <v/>
      </c>
      <c r="BW34" s="534" t="str">
        <f>IF(BE34="","",+SUM($BK$8:BK34)/SUM($BE$8:BE34))</f>
        <v/>
      </c>
    </row>
    <row r="35" spans="1:75" ht="24" customHeight="1" x14ac:dyDescent="0.2">
      <c r="A35" s="453">
        <f t="shared" si="12"/>
        <v>43600</v>
      </c>
      <c r="B35" s="442">
        <f t="shared" si="13"/>
        <v>50</v>
      </c>
      <c r="C35" s="209"/>
      <c r="D35" s="443"/>
      <c r="E35" s="443"/>
      <c r="F35" s="443"/>
      <c r="G35" s="443"/>
      <c r="H35" s="507"/>
      <c r="I35" s="209"/>
      <c r="J35" s="443"/>
      <c r="K35" s="443"/>
      <c r="L35" s="443"/>
      <c r="M35" s="443"/>
      <c r="N35" s="507"/>
      <c r="O35" s="209"/>
      <c r="P35" s="443"/>
      <c r="Q35" s="443"/>
      <c r="R35" s="443"/>
      <c r="S35" s="443"/>
      <c r="T35" s="507"/>
      <c r="U35" s="209"/>
      <c r="V35" s="443"/>
      <c r="W35" s="443"/>
      <c r="X35" s="443"/>
      <c r="Y35" s="443"/>
      <c r="Z35" s="507"/>
      <c r="AA35" s="209"/>
      <c r="AB35" s="443"/>
      <c r="AC35" s="443"/>
      <c r="AD35" s="443"/>
      <c r="AE35" s="443"/>
      <c r="AF35" s="507"/>
      <c r="AG35" s="209"/>
      <c r="AH35" s="443"/>
      <c r="AI35" s="443"/>
      <c r="AJ35" s="443"/>
      <c r="AK35" s="443"/>
      <c r="AL35" s="507"/>
      <c r="AM35" s="209"/>
      <c r="AN35" s="443"/>
      <c r="AO35" s="443"/>
      <c r="AP35" s="443"/>
      <c r="AQ35" s="443"/>
      <c r="AR35" s="507"/>
      <c r="AS35" s="209"/>
      <c r="AT35" s="443"/>
      <c r="AU35" s="443"/>
      <c r="AV35" s="443"/>
      <c r="AW35" s="443"/>
      <c r="AX35" s="507"/>
      <c r="AY35" s="209"/>
      <c r="AZ35" s="443"/>
      <c r="BA35" s="443"/>
      <c r="BB35" s="443"/>
      <c r="BC35" s="443"/>
      <c r="BD35" s="507"/>
      <c r="BE35" s="513" t="str">
        <f t="shared" si="1"/>
        <v/>
      </c>
      <c r="BF35" s="514" t="str">
        <f t="shared" si="2"/>
        <v/>
      </c>
      <c r="BG35" s="514" t="str">
        <f t="shared" si="2"/>
        <v/>
      </c>
      <c r="BH35" s="514" t="str">
        <f t="shared" si="2"/>
        <v/>
      </c>
      <c r="BI35" s="514" t="str">
        <f t="shared" si="2"/>
        <v/>
      </c>
      <c r="BJ35" s="514" t="str">
        <f t="shared" si="2"/>
        <v/>
      </c>
      <c r="BK35" s="515" t="str">
        <f t="shared" si="8"/>
        <v/>
      </c>
      <c r="BL35" s="527" t="str">
        <f t="shared" si="3"/>
        <v/>
      </c>
      <c r="BM35" s="522" t="str">
        <f t="shared" si="4"/>
        <v/>
      </c>
      <c r="BN35" s="522" t="str">
        <f t="shared" si="5"/>
        <v/>
      </c>
      <c r="BO35" s="522" t="str">
        <f t="shared" si="6"/>
        <v/>
      </c>
      <c r="BP35" s="522" t="str">
        <f t="shared" si="9"/>
        <v/>
      </c>
      <c r="BQ35" s="523" t="str">
        <f t="shared" si="7"/>
        <v/>
      </c>
      <c r="BR35" s="532" t="str">
        <f>IF(BE35="","",+SUM($BF$8:BF35)/SUM($BE$8:BE35))</f>
        <v/>
      </c>
      <c r="BS35" s="533" t="str">
        <f>IF(BE35="","",+SUM($BG$8:BG35)/SUM($BE$8:BE35))</f>
        <v/>
      </c>
      <c r="BT35" s="533" t="str">
        <f>IF(BE35="","",+SUM($BH$8:BH35)/SUM($BE$8:BE35))</f>
        <v/>
      </c>
      <c r="BU35" s="533" t="str">
        <f>IF(BE35="","",+SUM($BI$8:BI35)/SUM($BE$8:BE35))</f>
        <v/>
      </c>
      <c r="BV35" s="533" t="str">
        <f>IF(BE35="","",+SUM($BJ$8:BJ35)/SUM($BE$8:BE35))</f>
        <v/>
      </c>
      <c r="BW35" s="534" t="str">
        <f>IF(BE35="","",+SUM($BK$8:BK35)/SUM($BE$8:BE35))</f>
        <v/>
      </c>
    </row>
    <row r="36" spans="1:75" ht="24" customHeight="1" x14ac:dyDescent="0.2">
      <c r="A36" s="453">
        <f t="shared" si="12"/>
        <v>43607</v>
      </c>
      <c r="B36" s="442">
        <f t="shared" si="13"/>
        <v>51</v>
      </c>
      <c r="C36" s="209"/>
      <c r="D36" s="443"/>
      <c r="E36" s="443"/>
      <c r="F36" s="443"/>
      <c r="G36" s="443"/>
      <c r="H36" s="507"/>
      <c r="I36" s="209"/>
      <c r="J36" s="443"/>
      <c r="K36" s="443"/>
      <c r="L36" s="443"/>
      <c r="M36" s="443"/>
      <c r="N36" s="507"/>
      <c r="O36" s="209"/>
      <c r="P36" s="443"/>
      <c r="Q36" s="443"/>
      <c r="R36" s="443"/>
      <c r="S36" s="443"/>
      <c r="T36" s="507"/>
      <c r="U36" s="209"/>
      <c r="V36" s="443"/>
      <c r="W36" s="443"/>
      <c r="X36" s="443"/>
      <c r="Y36" s="443"/>
      <c r="Z36" s="507"/>
      <c r="AA36" s="209"/>
      <c r="AB36" s="443"/>
      <c r="AC36" s="443"/>
      <c r="AD36" s="443"/>
      <c r="AE36" s="443"/>
      <c r="AF36" s="507"/>
      <c r="AG36" s="209"/>
      <c r="AH36" s="443"/>
      <c r="AI36" s="443"/>
      <c r="AJ36" s="443"/>
      <c r="AK36" s="443"/>
      <c r="AL36" s="507"/>
      <c r="AM36" s="209"/>
      <c r="AN36" s="443"/>
      <c r="AO36" s="443"/>
      <c r="AP36" s="443"/>
      <c r="AQ36" s="443"/>
      <c r="AR36" s="507"/>
      <c r="AS36" s="209"/>
      <c r="AT36" s="443"/>
      <c r="AU36" s="443"/>
      <c r="AV36" s="443"/>
      <c r="AW36" s="443"/>
      <c r="AX36" s="507"/>
      <c r="AY36" s="209"/>
      <c r="AZ36" s="443"/>
      <c r="BA36" s="443"/>
      <c r="BB36" s="443"/>
      <c r="BC36" s="443"/>
      <c r="BD36" s="507"/>
      <c r="BE36" s="513" t="str">
        <f t="shared" si="1"/>
        <v/>
      </c>
      <c r="BF36" s="514" t="str">
        <f t="shared" si="2"/>
        <v/>
      </c>
      <c r="BG36" s="514" t="str">
        <f t="shared" si="2"/>
        <v/>
      </c>
      <c r="BH36" s="514" t="str">
        <f t="shared" si="2"/>
        <v/>
      </c>
      <c r="BI36" s="514" t="str">
        <f t="shared" si="2"/>
        <v/>
      </c>
      <c r="BJ36" s="514" t="str">
        <f t="shared" si="2"/>
        <v/>
      </c>
      <c r="BK36" s="515" t="str">
        <f t="shared" si="8"/>
        <v/>
      </c>
      <c r="BL36" s="527" t="str">
        <f t="shared" si="3"/>
        <v/>
      </c>
      <c r="BM36" s="522" t="str">
        <f t="shared" si="4"/>
        <v/>
      </c>
      <c r="BN36" s="522" t="str">
        <f t="shared" si="5"/>
        <v/>
      </c>
      <c r="BO36" s="522" t="str">
        <f t="shared" si="6"/>
        <v/>
      </c>
      <c r="BP36" s="522" t="str">
        <f t="shared" si="9"/>
        <v/>
      </c>
      <c r="BQ36" s="523" t="str">
        <f t="shared" si="7"/>
        <v/>
      </c>
      <c r="BR36" s="532" t="str">
        <f>IF(BE36="","",+SUM($BF$8:BF36)/SUM($BE$8:BE36))</f>
        <v/>
      </c>
      <c r="BS36" s="533" t="str">
        <f>IF(BE36="","",+SUM($BG$8:BG36)/SUM($BE$8:BE36))</f>
        <v/>
      </c>
      <c r="BT36" s="533" t="str">
        <f>IF(BE36="","",+SUM($BH$8:BH36)/SUM($BE$8:BE36))</f>
        <v/>
      </c>
      <c r="BU36" s="533" t="str">
        <f>IF(BE36="","",+SUM($BI$8:BI36)/SUM($BE$8:BE36))</f>
        <v/>
      </c>
      <c r="BV36" s="533" t="str">
        <f>IF(BE36="","",+SUM($BJ$8:BJ36)/SUM($BE$8:BE36))</f>
        <v/>
      </c>
      <c r="BW36" s="534" t="str">
        <f>IF(BE36="","",+SUM($BK$8:BK36)/SUM($BE$8:BE36))</f>
        <v/>
      </c>
    </row>
    <row r="37" spans="1:75" ht="24" customHeight="1" x14ac:dyDescent="0.2">
      <c r="A37" s="453">
        <f t="shared" si="12"/>
        <v>43614</v>
      </c>
      <c r="B37" s="442">
        <f t="shared" si="13"/>
        <v>52</v>
      </c>
      <c r="C37" s="209"/>
      <c r="D37" s="443"/>
      <c r="E37" s="443"/>
      <c r="F37" s="443"/>
      <c r="G37" s="443"/>
      <c r="H37" s="507"/>
      <c r="I37" s="209"/>
      <c r="J37" s="443"/>
      <c r="K37" s="443"/>
      <c r="L37" s="443"/>
      <c r="M37" s="443"/>
      <c r="N37" s="507"/>
      <c r="O37" s="209"/>
      <c r="P37" s="443"/>
      <c r="Q37" s="443"/>
      <c r="R37" s="443"/>
      <c r="S37" s="443"/>
      <c r="T37" s="507"/>
      <c r="U37" s="209"/>
      <c r="V37" s="443"/>
      <c r="W37" s="443"/>
      <c r="X37" s="443"/>
      <c r="Y37" s="443"/>
      <c r="Z37" s="507"/>
      <c r="AA37" s="209"/>
      <c r="AB37" s="443"/>
      <c r="AC37" s="443"/>
      <c r="AD37" s="443"/>
      <c r="AE37" s="443"/>
      <c r="AF37" s="507"/>
      <c r="AG37" s="209"/>
      <c r="AH37" s="443"/>
      <c r="AI37" s="443"/>
      <c r="AJ37" s="443"/>
      <c r="AK37" s="443"/>
      <c r="AL37" s="507"/>
      <c r="AM37" s="209"/>
      <c r="AN37" s="443"/>
      <c r="AO37" s="443"/>
      <c r="AP37" s="443"/>
      <c r="AQ37" s="443"/>
      <c r="AR37" s="507"/>
      <c r="AS37" s="209"/>
      <c r="AT37" s="443"/>
      <c r="AU37" s="443"/>
      <c r="AV37" s="443"/>
      <c r="AW37" s="443"/>
      <c r="AX37" s="507"/>
      <c r="AY37" s="209"/>
      <c r="AZ37" s="443"/>
      <c r="BA37" s="443"/>
      <c r="BB37" s="443"/>
      <c r="BC37" s="443"/>
      <c r="BD37" s="507"/>
      <c r="BE37" s="513" t="str">
        <f t="shared" si="1"/>
        <v/>
      </c>
      <c r="BF37" s="514" t="str">
        <f t="shared" si="2"/>
        <v/>
      </c>
      <c r="BG37" s="514" t="str">
        <f t="shared" si="2"/>
        <v/>
      </c>
      <c r="BH37" s="514" t="str">
        <f t="shared" si="2"/>
        <v/>
      </c>
      <c r="BI37" s="514" t="str">
        <f t="shared" si="2"/>
        <v/>
      </c>
      <c r="BJ37" s="514" t="str">
        <f t="shared" si="2"/>
        <v/>
      </c>
      <c r="BK37" s="515" t="str">
        <f t="shared" si="8"/>
        <v/>
      </c>
      <c r="BL37" s="527" t="str">
        <f t="shared" si="3"/>
        <v/>
      </c>
      <c r="BM37" s="522" t="str">
        <f t="shared" si="4"/>
        <v/>
      </c>
      <c r="BN37" s="522" t="str">
        <f t="shared" si="5"/>
        <v/>
      </c>
      <c r="BO37" s="522" t="str">
        <f t="shared" si="6"/>
        <v/>
      </c>
      <c r="BP37" s="522" t="str">
        <f t="shared" si="9"/>
        <v/>
      </c>
      <c r="BQ37" s="523" t="str">
        <f t="shared" si="7"/>
        <v/>
      </c>
      <c r="BR37" s="532" t="str">
        <f>IF(BE37="","",+SUM($BF$8:BF37)/SUM($BE$8:BE37))</f>
        <v/>
      </c>
      <c r="BS37" s="533" t="str">
        <f>IF(BE37="","",+SUM($BG$8:BG37)/SUM($BE$8:BE37))</f>
        <v/>
      </c>
      <c r="BT37" s="533" t="str">
        <f>IF(BE37="","",+SUM($BH$8:BH37)/SUM($BE$8:BE37))</f>
        <v/>
      </c>
      <c r="BU37" s="533" t="str">
        <f>IF(BE37="","",+SUM($BI$8:BI37)/SUM($BE$8:BE37))</f>
        <v/>
      </c>
      <c r="BV37" s="533" t="str">
        <f>IF(BE37="","",+SUM($BJ$8:BJ37)/SUM($BE$8:BE37))</f>
        <v/>
      </c>
      <c r="BW37" s="534" t="str">
        <f>IF(BE37="","",+SUM($BK$8:BK37)/SUM($BE$8:BE37))</f>
        <v/>
      </c>
    </row>
    <row r="38" spans="1:75" ht="24" customHeight="1" x14ac:dyDescent="0.2">
      <c r="A38" s="453">
        <f t="shared" si="12"/>
        <v>43621</v>
      </c>
      <c r="B38" s="442">
        <f t="shared" si="13"/>
        <v>53</v>
      </c>
      <c r="C38" s="209"/>
      <c r="D38" s="443"/>
      <c r="E38" s="443"/>
      <c r="F38" s="443"/>
      <c r="G38" s="443"/>
      <c r="H38" s="507"/>
      <c r="I38" s="209"/>
      <c r="J38" s="443"/>
      <c r="K38" s="443"/>
      <c r="L38" s="443"/>
      <c r="M38" s="443"/>
      <c r="N38" s="507"/>
      <c r="O38" s="209"/>
      <c r="P38" s="443"/>
      <c r="Q38" s="443"/>
      <c r="R38" s="443"/>
      <c r="S38" s="443"/>
      <c r="T38" s="507"/>
      <c r="U38" s="209"/>
      <c r="V38" s="443"/>
      <c r="W38" s="443"/>
      <c r="X38" s="443"/>
      <c r="Y38" s="443"/>
      <c r="Z38" s="507"/>
      <c r="AA38" s="209"/>
      <c r="AB38" s="443"/>
      <c r="AC38" s="443"/>
      <c r="AD38" s="443"/>
      <c r="AE38" s="443"/>
      <c r="AF38" s="507"/>
      <c r="AG38" s="209"/>
      <c r="AH38" s="443"/>
      <c r="AI38" s="443"/>
      <c r="AJ38" s="443"/>
      <c r="AK38" s="443"/>
      <c r="AL38" s="507"/>
      <c r="AM38" s="209"/>
      <c r="AN38" s="443"/>
      <c r="AO38" s="443"/>
      <c r="AP38" s="443"/>
      <c r="AQ38" s="443"/>
      <c r="AR38" s="507"/>
      <c r="AS38" s="209"/>
      <c r="AT38" s="443"/>
      <c r="AU38" s="443"/>
      <c r="AV38" s="443"/>
      <c r="AW38" s="443"/>
      <c r="AX38" s="507"/>
      <c r="AY38" s="209"/>
      <c r="AZ38" s="443"/>
      <c r="BA38" s="443"/>
      <c r="BB38" s="443"/>
      <c r="BC38" s="443"/>
      <c r="BD38" s="507"/>
      <c r="BE38" s="513" t="str">
        <f t="shared" si="1"/>
        <v/>
      </c>
      <c r="BF38" s="514" t="str">
        <f t="shared" si="2"/>
        <v/>
      </c>
      <c r="BG38" s="514" t="str">
        <f t="shared" si="2"/>
        <v/>
      </c>
      <c r="BH38" s="514" t="str">
        <f t="shared" si="2"/>
        <v/>
      </c>
      <c r="BI38" s="514" t="str">
        <f t="shared" si="2"/>
        <v/>
      </c>
      <c r="BJ38" s="514" t="str">
        <f t="shared" si="2"/>
        <v/>
      </c>
      <c r="BK38" s="515" t="str">
        <f t="shared" si="8"/>
        <v/>
      </c>
      <c r="BL38" s="527" t="str">
        <f t="shared" si="3"/>
        <v/>
      </c>
      <c r="BM38" s="522" t="str">
        <f t="shared" si="4"/>
        <v/>
      </c>
      <c r="BN38" s="522" t="str">
        <f t="shared" si="5"/>
        <v/>
      </c>
      <c r="BO38" s="522" t="str">
        <f t="shared" si="6"/>
        <v/>
      </c>
      <c r="BP38" s="522" t="str">
        <f t="shared" si="9"/>
        <v/>
      </c>
      <c r="BQ38" s="523" t="str">
        <f t="shared" si="7"/>
        <v/>
      </c>
      <c r="BR38" s="532" t="str">
        <f>IF(BE38="","",+SUM($BF$8:BF38)/SUM($BE$8:BE38))</f>
        <v/>
      </c>
      <c r="BS38" s="533" t="str">
        <f>IF(BE38="","",+SUM($BG$8:BG38)/SUM($BE$8:BE38))</f>
        <v/>
      </c>
      <c r="BT38" s="533" t="str">
        <f>IF(BE38="","",+SUM($BH$8:BH38)/SUM($BE$8:BE38))</f>
        <v/>
      </c>
      <c r="BU38" s="533" t="str">
        <f>IF(BE38="","",+SUM($BI$8:BI38)/SUM($BE$8:BE38))</f>
        <v/>
      </c>
      <c r="BV38" s="533" t="str">
        <f>IF(BE38="","",+SUM($BJ$8:BJ38)/SUM($BE$8:BE38))</f>
        <v/>
      </c>
      <c r="BW38" s="534" t="str">
        <f>IF(BE38="","",+SUM($BK$8:BK38)/SUM($BE$8:BE38))</f>
        <v/>
      </c>
    </row>
    <row r="39" spans="1:75" ht="24" customHeight="1" x14ac:dyDescent="0.2">
      <c r="A39" s="453">
        <f t="shared" si="12"/>
        <v>43628</v>
      </c>
      <c r="B39" s="442">
        <f t="shared" si="13"/>
        <v>54</v>
      </c>
      <c r="C39" s="209"/>
      <c r="D39" s="443"/>
      <c r="E39" s="443"/>
      <c r="F39" s="443"/>
      <c r="G39" s="443"/>
      <c r="H39" s="507"/>
      <c r="I39" s="209"/>
      <c r="J39" s="443"/>
      <c r="K39" s="443"/>
      <c r="L39" s="443"/>
      <c r="M39" s="443"/>
      <c r="N39" s="507"/>
      <c r="O39" s="209"/>
      <c r="P39" s="443"/>
      <c r="Q39" s="443"/>
      <c r="R39" s="443"/>
      <c r="S39" s="443"/>
      <c r="T39" s="507"/>
      <c r="U39" s="209"/>
      <c r="V39" s="443"/>
      <c r="W39" s="443"/>
      <c r="X39" s="443"/>
      <c r="Y39" s="443"/>
      <c r="Z39" s="507"/>
      <c r="AA39" s="209"/>
      <c r="AB39" s="443"/>
      <c r="AC39" s="443"/>
      <c r="AD39" s="443"/>
      <c r="AE39" s="443"/>
      <c r="AF39" s="507"/>
      <c r="AG39" s="209"/>
      <c r="AH39" s="443"/>
      <c r="AI39" s="443"/>
      <c r="AJ39" s="443"/>
      <c r="AK39" s="443"/>
      <c r="AL39" s="507"/>
      <c r="AM39" s="209"/>
      <c r="AN39" s="443"/>
      <c r="AO39" s="443"/>
      <c r="AP39" s="443"/>
      <c r="AQ39" s="443"/>
      <c r="AR39" s="507"/>
      <c r="AS39" s="209"/>
      <c r="AT39" s="443"/>
      <c r="AU39" s="443"/>
      <c r="AV39" s="443"/>
      <c r="AW39" s="443"/>
      <c r="AX39" s="507"/>
      <c r="AY39" s="209"/>
      <c r="AZ39" s="443"/>
      <c r="BA39" s="443"/>
      <c r="BB39" s="443"/>
      <c r="BC39" s="443"/>
      <c r="BD39" s="507"/>
      <c r="BE39" s="513" t="str">
        <f t="shared" si="1"/>
        <v/>
      </c>
      <c r="BF39" s="514" t="str">
        <f t="shared" si="2"/>
        <v/>
      </c>
      <c r="BG39" s="514" t="str">
        <f t="shared" si="2"/>
        <v/>
      </c>
      <c r="BH39" s="514" t="str">
        <f t="shared" si="2"/>
        <v/>
      </c>
      <c r="BI39" s="514" t="str">
        <f t="shared" si="2"/>
        <v/>
      </c>
      <c r="BJ39" s="514" t="str">
        <f t="shared" si="2"/>
        <v/>
      </c>
      <c r="BK39" s="515" t="str">
        <f t="shared" si="8"/>
        <v/>
      </c>
      <c r="BL39" s="527" t="str">
        <f t="shared" si="3"/>
        <v/>
      </c>
      <c r="BM39" s="522" t="str">
        <f t="shared" si="4"/>
        <v/>
      </c>
      <c r="BN39" s="522" t="str">
        <f t="shared" si="5"/>
        <v/>
      </c>
      <c r="BO39" s="522" t="str">
        <f t="shared" si="6"/>
        <v/>
      </c>
      <c r="BP39" s="522" t="str">
        <f t="shared" si="9"/>
        <v/>
      </c>
      <c r="BQ39" s="523" t="str">
        <f t="shared" si="7"/>
        <v/>
      </c>
      <c r="BR39" s="532" t="str">
        <f>IF(BE39="","",+SUM($BF$8:BF39)/SUM($BE$8:BE39))</f>
        <v/>
      </c>
      <c r="BS39" s="533" t="str">
        <f>IF(BE39="","",+SUM($BG$8:BG39)/SUM($BE$8:BE39))</f>
        <v/>
      </c>
      <c r="BT39" s="533" t="str">
        <f>IF(BE39="","",+SUM($BH$8:BH39)/SUM($BE$8:BE39))</f>
        <v/>
      </c>
      <c r="BU39" s="533" t="str">
        <f>IF(BE39="","",+SUM($BI$8:BI39)/SUM($BE$8:BE39))</f>
        <v/>
      </c>
      <c r="BV39" s="533" t="str">
        <f>IF(BE39="","",+SUM($BJ$8:BJ39)/SUM($BE$8:BE39))</f>
        <v/>
      </c>
      <c r="BW39" s="534" t="str">
        <f>IF(BE39="","",+SUM($BK$8:BK39)/SUM($BE$8:BE39))</f>
        <v/>
      </c>
    </row>
    <row r="40" spans="1:75" ht="24" customHeight="1" x14ac:dyDescent="0.2">
      <c r="A40" s="453">
        <f t="shared" si="12"/>
        <v>43635</v>
      </c>
      <c r="B40" s="442">
        <f t="shared" si="13"/>
        <v>55</v>
      </c>
      <c r="C40" s="209"/>
      <c r="D40" s="443"/>
      <c r="E40" s="443"/>
      <c r="F40" s="443"/>
      <c r="G40" s="443"/>
      <c r="H40" s="507"/>
      <c r="I40" s="209"/>
      <c r="J40" s="443"/>
      <c r="K40" s="443"/>
      <c r="L40" s="443"/>
      <c r="M40" s="443"/>
      <c r="N40" s="507"/>
      <c r="O40" s="209"/>
      <c r="P40" s="443"/>
      <c r="Q40" s="443"/>
      <c r="R40" s="443"/>
      <c r="S40" s="443"/>
      <c r="T40" s="507"/>
      <c r="U40" s="209"/>
      <c r="V40" s="443"/>
      <c r="W40" s="443"/>
      <c r="X40" s="443"/>
      <c r="Y40" s="443"/>
      <c r="Z40" s="507"/>
      <c r="AA40" s="209"/>
      <c r="AB40" s="443"/>
      <c r="AC40" s="443"/>
      <c r="AD40" s="443"/>
      <c r="AE40" s="443"/>
      <c r="AF40" s="507"/>
      <c r="AG40" s="209"/>
      <c r="AH40" s="443"/>
      <c r="AI40" s="443"/>
      <c r="AJ40" s="443"/>
      <c r="AK40" s="443"/>
      <c r="AL40" s="507"/>
      <c r="AM40" s="209"/>
      <c r="AN40" s="443"/>
      <c r="AO40" s="443"/>
      <c r="AP40" s="443"/>
      <c r="AQ40" s="443"/>
      <c r="AR40" s="507"/>
      <c r="AS40" s="209"/>
      <c r="AT40" s="443"/>
      <c r="AU40" s="443"/>
      <c r="AV40" s="443"/>
      <c r="AW40" s="443"/>
      <c r="AX40" s="507"/>
      <c r="AY40" s="209"/>
      <c r="AZ40" s="443"/>
      <c r="BA40" s="443"/>
      <c r="BB40" s="443"/>
      <c r="BC40" s="443"/>
      <c r="BD40" s="507"/>
      <c r="BE40" s="513" t="str">
        <f t="shared" si="1"/>
        <v/>
      </c>
      <c r="BF40" s="514" t="str">
        <f t="shared" si="2"/>
        <v/>
      </c>
      <c r="BG40" s="514" t="str">
        <f t="shared" si="2"/>
        <v/>
      </c>
      <c r="BH40" s="514" t="str">
        <f t="shared" si="2"/>
        <v/>
      </c>
      <c r="BI40" s="514" t="str">
        <f t="shared" si="2"/>
        <v/>
      </c>
      <c r="BJ40" s="514" t="str">
        <f t="shared" si="2"/>
        <v/>
      </c>
      <c r="BK40" s="515" t="str">
        <f t="shared" si="8"/>
        <v/>
      </c>
      <c r="BL40" s="527" t="str">
        <f t="shared" si="3"/>
        <v/>
      </c>
      <c r="BM40" s="522" t="str">
        <f t="shared" si="4"/>
        <v/>
      </c>
      <c r="BN40" s="522" t="str">
        <f t="shared" si="5"/>
        <v/>
      </c>
      <c r="BO40" s="522" t="str">
        <f t="shared" si="6"/>
        <v/>
      </c>
      <c r="BP40" s="522" t="str">
        <f t="shared" si="9"/>
        <v/>
      </c>
      <c r="BQ40" s="523" t="str">
        <f t="shared" si="7"/>
        <v/>
      </c>
      <c r="BR40" s="532" t="str">
        <f>IF(BE40="","",+SUM($BF$8:BF40)/SUM($BE$8:BE40))</f>
        <v/>
      </c>
      <c r="BS40" s="533" t="str">
        <f>IF(BE40="","",+SUM($BG$8:BG40)/SUM($BE$8:BE40))</f>
        <v/>
      </c>
      <c r="BT40" s="533" t="str">
        <f>IF(BE40="","",+SUM($BH$8:BH40)/SUM($BE$8:BE40))</f>
        <v/>
      </c>
      <c r="BU40" s="533" t="str">
        <f>IF(BE40="","",+SUM($BI$8:BI40)/SUM($BE$8:BE40))</f>
        <v/>
      </c>
      <c r="BV40" s="533" t="str">
        <f>IF(BE40="","",+SUM($BJ$8:BJ40)/SUM($BE$8:BE40))</f>
        <v/>
      </c>
      <c r="BW40" s="534" t="str">
        <f>IF(BE40="","",+SUM($BK$8:BK40)/SUM($BE$8:BE40))</f>
        <v/>
      </c>
    </row>
    <row r="41" spans="1:75" ht="24" customHeight="1" x14ac:dyDescent="0.2">
      <c r="A41" s="453">
        <f t="shared" si="12"/>
        <v>43642</v>
      </c>
      <c r="B41" s="442">
        <f t="shared" si="13"/>
        <v>56</v>
      </c>
      <c r="C41" s="209"/>
      <c r="D41" s="443"/>
      <c r="E41" s="443"/>
      <c r="F41" s="443"/>
      <c r="G41" s="443"/>
      <c r="H41" s="507"/>
      <c r="I41" s="209"/>
      <c r="J41" s="443"/>
      <c r="K41" s="443"/>
      <c r="L41" s="443"/>
      <c r="M41" s="443"/>
      <c r="N41" s="507"/>
      <c r="O41" s="209"/>
      <c r="P41" s="443"/>
      <c r="Q41" s="443"/>
      <c r="R41" s="443"/>
      <c r="S41" s="443"/>
      <c r="T41" s="507"/>
      <c r="U41" s="209"/>
      <c r="V41" s="443"/>
      <c r="W41" s="443"/>
      <c r="X41" s="443"/>
      <c r="Y41" s="443"/>
      <c r="Z41" s="507"/>
      <c r="AA41" s="209"/>
      <c r="AB41" s="443"/>
      <c r="AC41" s="443"/>
      <c r="AD41" s="443"/>
      <c r="AE41" s="443"/>
      <c r="AF41" s="507"/>
      <c r="AG41" s="209"/>
      <c r="AH41" s="443"/>
      <c r="AI41" s="443"/>
      <c r="AJ41" s="443"/>
      <c r="AK41" s="443"/>
      <c r="AL41" s="507"/>
      <c r="AM41" s="209"/>
      <c r="AN41" s="443"/>
      <c r="AO41" s="443"/>
      <c r="AP41" s="443"/>
      <c r="AQ41" s="443"/>
      <c r="AR41" s="507"/>
      <c r="AS41" s="209"/>
      <c r="AT41" s="443"/>
      <c r="AU41" s="443"/>
      <c r="AV41" s="443"/>
      <c r="AW41" s="443"/>
      <c r="AX41" s="507"/>
      <c r="AY41" s="209"/>
      <c r="AZ41" s="443"/>
      <c r="BA41" s="443"/>
      <c r="BB41" s="443"/>
      <c r="BC41" s="443"/>
      <c r="BD41" s="507"/>
      <c r="BE41" s="513" t="str">
        <f t="shared" si="1"/>
        <v/>
      </c>
      <c r="BF41" s="514" t="str">
        <f t="shared" si="2"/>
        <v/>
      </c>
      <c r="BG41" s="514" t="str">
        <f t="shared" si="2"/>
        <v/>
      </c>
      <c r="BH41" s="514" t="str">
        <f t="shared" si="2"/>
        <v/>
      </c>
      <c r="BI41" s="514" t="str">
        <f t="shared" si="2"/>
        <v/>
      </c>
      <c r="BJ41" s="514" t="str">
        <f t="shared" si="2"/>
        <v/>
      </c>
      <c r="BK41" s="515" t="str">
        <f t="shared" si="8"/>
        <v/>
      </c>
      <c r="BL41" s="527" t="str">
        <f t="shared" si="3"/>
        <v/>
      </c>
      <c r="BM41" s="522" t="str">
        <f t="shared" si="4"/>
        <v/>
      </c>
      <c r="BN41" s="522" t="str">
        <f t="shared" si="5"/>
        <v/>
      </c>
      <c r="BO41" s="522" t="str">
        <f t="shared" si="6"/>
        <v/>
      </c>
      <c r="BP41" s="522" t="str">
        <f t="shared" si="9"/>
        <v/>
      </c>
      <c r="BQ41" s="523" t="str">
        <f t="shared" si="7"/>
        <v/>
      </c>
      <c r="BR41" s="532" t="str">
        <f>IF(BE41="","",+SUM($BF$8:BF41)/SUM($BE$8:BE41))</f>
        <v/>
      </c>
      <c r="BS41" s="533" t="str">
        <f>IF(BE41="","",+SUM($BG$8:BG41)/SUM($BE$8:BE41))</f>
        <v/>
      </c>
      <c r="BT41" s="533" t="str">
        <f>IF(BE41="","",+SUM($BH$8:BH41)/SUM($BE$8:BE41))</f>
        <v/>
      </c>
      <c r="BU41" s="533" t="str">
        <f>IF(BE41="","",+SUM($BI$8:BI41)/SUM($BE$8:BE41))</f>
        <v/>
      </c>
      <c r="BV41" s="533" t="str">
        <f>IF(BE41="","",+SUM($BJ$8:BJ41)/SUM($BE$8:BE41))</f>
        <v/>
      </c>
      <c r="BW41" s="534" t="str">
        <f>IF(BE41="","",+SUM($BK$8:BK41)/SUM($BE$8:BE41))</f>
        <v/>
      </c>
    </row>
    <row r="42" spans="1:75" ht="24" customHeight="1" x14ac:dyDescent="0.2">
      <c r="A42" s="453">
        <f t="shared" si="12"/>
        <v>43649</v>
      </c>
      <c r="B42" s="442">
        <f t="shared" si="13"/>
        <v>57</v>
      </c>
      <c r="C42" s="209"/>
      <c r="D42" s="443"/>
      <c r="E42" s="443"/>
      <c r="F42" s="443"/>
      <c r="G42" s="443"/>
      <c r="H42" s="507"/>
      <c r="I42" s="209"/>
      <c r="J42" s="443"/>
      <c r="K42" s="443"/>
      <c r="L42" s="443"/>
      <c r="M42" s="443"/>
      <c r="N42" s="507"/>
      <c r="O42" s="209"/>
      <c r="P42" s="443"/>
      <c r="Q42" s="443"/>
      <c r="R42" s="443"/>
      <c r="S42" s="443"/>
      <c r="T42" s="507"/>
      <c r="U42" s="209"/>
      <c r="V42" s="443"/>
      <c r="W42" s="443"/>
      <c r="X42" s="443"/>
      <c r="Y42" s="443"/>
      <c r="Z42" s="507"/>
      <c r="AA42" s="209"/>
      <c r="AB42" s="443"/>
      <c r="AC42" s="443"/>
      <c r="AD42" s="443"/>
      <c r="AE42" s="443"/>
      <c r="AF42" s="507"/>
      <c r="AG42" s="209"/>
      <c r="AH42" s="443"/>
      <c r="AI42" s="443"/>
      <c r="AJ42" s="443"/>
      <c r="AK42" s="443"/>
      <c r="AL42" s="507"/>
      <c r="AM42" s="209"/>
      <c r="AN42" s="443"/>
      <c r="AO42" s="443"/>
      <c r="AP42" s="443"/>
      <c r="AQ42" s="443"/>
      <c r="AR42" s="507"/>
      <c r="AS42" s="209"/>
      <c r="AT42" s="443"/>
      <c r="AU42" s="443"/>
      <c r="AV42" s="443"/>
      <c r="AW42" s="443"/>
      <c r="AX42" s="507"/>
      <c r="AY42" s="209"/>
      <c r="AZ42" s="443"/>
      <c r="BA42" s="443"/>
      <c r="BB42" s="443"/>
      <c r="BC42" s="443"/>
      <c r="BD42" s="507"/>
      <c r="BE42" s="513" t="str">
        <f t="shared" si="1"/>
        <v/>
      </c>
      <c r="BF42" s="514" t="str">
        <f t="shared" si="2"/>
        <v/>
      </c>
      <c r="BG42" s="514" t="str">
        <f t="shared" si="2"/>
        <v/>
      </c>
      <c r="BH42" s="514" t="str">
        <f t="shared" si="2"/>
        <v/>
      </c>
      <c r="BI42" s="514" t="str">
        <f t="shared" si="2"/>
        <v/>
      </c>
      <c r="BJ42" s="514" t="str">
        <f t="shared" si="2"/>
        <v/>
      </c>
      <c r="BK42" s="515" t="str">
        <f t="shared" si="8"/>
        <v/>
      </c>
      <c r="BL42" s="527" t="str">
        <f t="shared" si="3"/>
        <v/>
      </c>
      <c r="BM42" s="522" t="str">
        <f t="shared" si="4"/>
        <v/>
      </c>
      <c r="BN42" s="522" t="str">
        <f t="shared" si="5"/>
        <v/>
      </c>
      <c r="BO42" s="522" t="str">
        <f t="shared" si="6"/>
        <v/>
      </c>
      <c r="BP42" s="522" t="str">
        <f t="shared" si="9"/>
        <v/>
      </c>
      <c r="BQ42" s="523" t="str">
        <f t="shared" si="7"/>
        <v/>
      </c>
      <c r="BR42" s="532" t="str">
        <f>IF(BE42="","",+SUM($BF$8:BF42)/SUM($BE$8:BE42))</f>
        <v/>
      </c>
      <c r="BS42" s="533" t="str">
        <f>IF(BE42="","",+SUM($BG$8:BG42)/SUM($BE$8:BE42))</f>
        <v/>
      </c>
      <c r="BT42" s="533" t="str">
        <f>IF(BE42="","",+SUM($BH$8:BH42)/SUM($BE$8:BE42))</f>
        <v/>
      </c>
      <c r="BU42" s="533" t="str">
        <f>IF(BE42="","",+SUM($BI$8:BI42)/SUM($BE$8:BE42))</f>
        <v/>
      </c>
      <c r="BV42" s="533" t="str">
        <f>IF(BE42="","",+SUM($BJ$8:BJ42)/SUM($BE$8:BE42))</f>
        <v/>
      </c>
      <c r="BW42" s="534" t="str">
        <f>IF(BE42="","",+SUM($BK$8:BK42)/SUM($BE$8:BE42))</f>
        <v/>
      </c>
    </row>
    <row r="43" spans="1:75" ht="24" customHeight="1" x14ac:dyDescent="0.2">
      <c r="A43" s="453">
        <f t="shared" si="12"/>
        <v>43656</v>
      </c>
      <c r="B43" s="442">
        <f t="shared" si="13"/>
        <v>58</v>
      </c>
      <c r="C43" s="209"/>
      <c r="D43" s="443"/>
      <c r="E43" s="443"/>
      <c r="F43" s="443"/>
      <c r="G43" s="443"/>
      <c r="H43" s="507"/>
      <c r="I43" s="209"/>
      <c r="J43" s="443"/>
      <c r="K43" s="443"/>
      <c r="L43" s="443"/>
      <c r="M43" s="443"/>
      <c r="N43" s="507"/>
      <c r="O43" s="209"/>
      <c r="P43" s="443"/>
      <c r="Q43" s="443"/>
      <c r="R43" s="443"/>
      <c r="S43" s="443"/>
      <c r="T43" s="507"/>
      <c r="U43" s="209"/>
      <c r="V43" s="443"/>
      <c r="W43" s="443"/>
      <c r="X43" s="443"/>
      <c r="Y43" s="443"/>
      <c r="Z43" s="507"/>
      <c r="AA43" s="209"/>
      <c r="AB43" s="443"/>
      <c r="AC43" s="443"/>
      <c r="AD43" s="443"/>
      <c r="AE43" s="443"/>
      <c r="AF43" s="507"/>
      <c r="AG43" s="209"/>
      <c r="AH43" s="443"/>
      <c r="AI43" s="443"/>
      <c r="AJ43" s="443"/>
      <c r="AK43" s="443"/>
      <c r="AL43" s="507"/>
      <c r="AM43" s="209"/>
      <c r="AN43" s="443"/>
      <c r="AO43" s="443"/>
      <c r="AP43" s="443"/>
      <c r="AQ43" s="443"/>
      <c r="AR43" s="507"/>
      <c r="AS43" s="209"/>
      <c r="AT43" s="443"/>
      <c r="AU43" s="443"/>
      <c r="AV43" s="443"/>
      <c r="AW43" s="443"/>
      <c r="AX43" s="507"/>
      <c r="AY43" s="209"/>
      <c r="AZ43" s="443"/>
      <c r="BA43" s="443"/>
      <c r="BB43" s="443"/>
      <c r="BC43" s="443"/>
      <c r="BD43" s="507"/>
      <c r="BE43" s="513" t="str">
        <f t="shared" si="1"/>
        <v/>
      </c>
      <c r="BF43" s="514" t="str">
        <f t="shared" si="2"/>
        <v/>
      </c>
      <c r="BG43" s="514" t="str">
        <f t="shared" si="2"/>
        <v/>
      </c>
      <c r="BH43" s="514" t="str">
        <f t="shared" si="2"/>
        <v/>
      </c>
      <c r="BI43" s="514" t="str">
        <f t="shared" si="2"/>
        <v/>
      </c>
      <c r="BJ43" s="514" t="str">
        <f t="shared" si="2"/>
        <v/>
      </c>
      <c r="BK43" s="515" t="str">
        <f t="shared" si="8"/>
        <v/>
      </c>
      <c r="BL43" s="527" t="str">
        <f t="shared" si="3"/>
        <v/>
      </c>
      <c r="BM43" s="522" t="str">
        <f t="shared" si="4"/>
        <v/>
      </c>
      <c r="BN43" s="522" t="str">
        <f t="shared" si="5"/>
        <v/>
      </c>
      <c r="BO43" s="522" t="str">
        <f t="shared" si="6"/>
        <v/>
      </c>
      <c r="BP43" s="522" t="str">
        <f t="shared" si="9"/>
        <v/>
      </c>
      <c r="BQ43" s="523" t="str">
        <f t="shared" si="7"/>
        <v/>
      </c>
      <c r="BR43" s="532" t="str">
        <f>IF(BE43="","",+SUM($BF$8:BF43)/SUM($BE$8:BE43))</f>
        <v/>
      </c>
      <c r="BS43" s="533" t="str">
        <f>IF(BE43="","",+SUM($BG$8:BG43)/SUM($BE$8:BE43))</f>
        <v/>
      </c>
      <c r="BT43" s="533" t="str">
        <f>IF(BE43="","",+SUM($BH$8:BH43)/SUM($BE$8:BE43))</f>
        <v/>
      </c>
      <c r="BU43" s="533" t="str">
        <f>IF(BE43="","",+SUM($BI$8:BI43)/SUM($BE$8:BE43))</f>
        <v/>
      </c>
      <c r="BV43" s="533" t="str">
        <f>IF(BE43="","",+SUM($BJ$8:BJ43)/SUM($BE$8:BE43))</f>
        <v/>
      </c>
      <c r="BW43" s="534" t="str">
        <f>IF(BE43="","",+SUM($BK$8:BK43)/SUM($BE$8:BE43))</f>
        <v/>
      </c>
    </row>
    <row r="44" spans="1:75" ht="24" customHeight="1" x14ac:dyDescent="0.2">
      <c r="A44" s="453">
        <f t="shared" si="12"/>
        <v>43663</v>
      </c>
      <c r="B44" s="442">
        <f t="shared" si="13"/>
        <v>59</v>
      </c>
      <c r="C44" s="209"/>
      <c r="D44" s="443"/>
      <c r="E44" s="443"/>
      <c r="F44" s="443"/>
      <c r="G44" s="443"/>
      <c r="H44" s="507"/>
      <c r="I44" s="209"/>
      <c r="J44" s="443"/>
      <c r="K44" s="443"/>
      <c r="L44" s="443"/>
      <c r="M44" s="443"/>
      <c r="N44" s="507"/>
      <c r="O44" s="209"/>
      <c r="P44" s="443"/>
      <c r="Q44" s="443"/>
      <c r="R44" s="443"/>
      <c r="S44" s="443"/>
      <c r="T44" s="507"/>
      <c r="U44" s="209"/>
      <c r="V44" s="443"/>
      <c r="W44" s="443"/>
      <c r="X44" s="443"/>
      <c r="Y44" s="443"/>
      <c r="Z44" s="507"/>
      <c r="AA44" s="209"/>
      <c r="AB44" s="443"/>
      <c r="AC44" s="443"/>
      <c r="AD44" s="443"/>
      <c r="AE44" s="443"/>
      <c r="AF44" s="507"/>
      <c r="AG44" s="209"/>
      <c r="AH44" s="443"/>
      <c r="AI44" s="443"/>
      <c r="AJ44" s="443"/>
      <c r="AK44" s="443"/>
      <c r="AL44" s="507"/>
      <c r="AM44" s="209"/>
      <c r="AN44" s="443"/>
      <c r="AO44" s="443"/>
      <c r="AP44" s="443"/>
      <c r="AQ44" s="443"/>
      <c r="AR44" s="507"/>
      <c r="AS44" s="209"/>
      <c r="AT44" s="443"/>
      <c r="AU44" s="443"/>
      <c r="AV44" s="443"/>
      <c r="AW44" s="443"/>
      <c r="AX44" s="507"/>
      <c r="AY44" s="209"/>
      <c r="AZ44" s="443"/>
      <c r="BA44" s="443"/>
      <c r="BB44" s="443"/>
      <c r="BC44" s="443"/>
      <c r="BD44" s="507"/>
      <c r="BE44" s="513" t="str">
        <f t="shared" si="1"/>
        <v/>
      </c>
      <c r="BF44" s="514" t="str">
        <f t="shared" si="2"/>
        <v/>
      </c>
      <c r="BG44" s="514" t="str">
        <f t="shared" si="2"/>
        <v/>
      </c>
      <c r="BH44" s="514" t="str">
        <f t="shared" si="2"/>
        <v/>
      </c>
      <c r="BI44" s="514" t="str">
        <f t="shared" si="2"/>
        <v/>
      </c>
      <c r="BJ44" s="514" t="str">
        <f t="shared" si="2"/>
        <v/>
      </c>
      <c r="BK44" s="515" t="str">
        <f t="shared" si="8"/>
        <v/>
      </c>
      <c r="BL44" s="527" t="str">
        <f t="shared" si="3"/>
        <v/>
      </c>
      <c r="BM44" s="522" t="str">
        <f t="shared" si="4"/>
        <v/>
      </c>
      <c r="BN44" s="522" t="str">
        <f t="shared" si="5"/>
        <v/>
      </c>
      <c r="BO44" s="522" t="str">
        <f t="shared" si="6"/>
        <v/>
      </c>
      <c r="BP44" s="522" t="str">
        <f t="shared" si="9"/>
        <v/>
      </c>
      <c r="BQ44" s="523" t="str">
        <f t="shared" si="7"/>
        <v/>
      </c>
      <c r="BR44" s="532" t="str">
        <f>IF(BE44="","",+SUM($BF$8:BF44)/SUM($BE$8:BE44))</f>
        <v/>
      </c>
      <c r="BS44" s="533" t="str">
        <f>IF(BE44="","",+SUM($BG$8:BG44)/SUM($BE$8:BE44))</f>
        <v/>
      </c>
      <c r="BT44" s="533" t="str">
        <f>IF(BE44="","",+SUM($BH$8:BH44)/SUM($BE$8:BE44))</f>
        <v/>
      </c>
      <c r="BU44" s="533" t="str">
        <f>IF(BE44="","",+SUM($BI$8:BI44)/SUM($BE$8:BE44))</f>
        <v/>
      </c>
      <c r="BV44" s="533" t="str">
        <f>IF(BE44="","",+SUM($BJ$8:BJ44)/SUM($BE$8:BE44))</f>
        <v/>
      </c>
      <c r="BW44" s="534" t="str">
        <f>IF(BE44="","",+SUM($BK$8:BK44)/SUM($BE$8:BE44))</f>
        <v/>
      </c>
    </row>
    <row r="45" spans="1:75" ht="24" customHeight="1" x14ac:dyDescent="0.2">
      <c r="A45" s="453">
        <f t="shared" si="12"/>
        <v>43670</v>
      </c>
      <c r="B45" s="442">
        <f t="shared" si="13"/>
        <v>60</v>
      </c>
      <c r="C45" s="209"/>
      <c r="D45" s="443"/>
      <c r="E45" s="443"/>
      <c r="F45" s="443"/>
      <c r="G45" s="443"/>
      <c r="H45" s="507"/>
      <c r="I45" s="209"/>
      <c r="J45" s="443"/>
      <c r="K45" s="443"/>
      <c r="L45" s="443"/>
      <c r="M45" s="443"/>
      <c r="N45" s="507"/>
      <c r="O45" s="209"/>
      <c r="P45" s="443"/>
      <c r="Q45" s="443"/>
      <c r="R45" s="443"/>
      <c r="S45" s="443"/>
      <c r="T45" s="507"/>
      <c r="U45" s="209"/>
      <c r="V45" s="443"/>
      <c r="W45" s="443"/>
      <c r="X45" s="443"/>
      <c r="Y45" s="443"/>
      <c r="Z45" s="507"/>
      <c r="AA45" s="209"/>
      <c r="AB45" s="443"/>
      <c r="AC45" s="443"/>
      <c r="AD45" s="443"/>
      <c r="AE45" s="443"/>
      <c r="AF45" s="507"/>
      <c r="AG45" s="209"/>
      <c r="AH45" s="443"/>
      <c r="AI45" s="443"/>
      <c r="AJ45" s="443"/>
      <c r="AK45" s="443"/>
      <c r="AL45" s="507"/>
      <c r="AM45" s="209"/>
      <c r="AN45" s="443"/>
      <c r="AO45" s="443"/>
      <c r="AP45" s="443"/>
      <c r="AQ45" s="443"/>
      <c r="AR45" s="507"/>
      <c r="AS45" s="209"/>
      <c r="AT45" s="443"/>
      <c r="AU45" s="443"/>
      <c r="AV45" s="443"/>
      <c r="AW45" s="443"/>
      <c r="AX45" s="507"/>
      <c r="AY45" s="209"/>
      <c r="AZ45" s="443"/>
      <c r="BA45" s="443"/>
      <c r="BB45" s="443"/>
      <c r="BC45" s="443"/>
      <c r="BD45" s="507"/>
      <c r="BE45" s="513" t="str">
        <f t="shared" si="1"/>
        <v/>
      </c>
      <c r="BF45" s="514" t="str">
        <f t="shared" si="2"/>
        <v/>
      </c>
      <c r="BG45" s="514" t="str">
        <f t="shared" si="2"/>
        <v/>
      </c>
      <c r="BH45" s="514" t="str">
        <f t="shared" si="2"/>
        <v/>
      </c>
      <c r="BI45" s="514" t="str">
        <f t="shared" si="2"/>
        <v/>
      </c>
      <c r="BJ45" s="514" t="str">
        <f t="shared" si="2"/>
        <v/>
      </c>
      <c r="BK45" s="515" t="str">
        <f t="shared" si="8"/>
        <v/>
      </c>
      <c r="BL45" s="527" t="str">
        <f t="shared" si="3"/>
        <v/>
      </c>
      <c r="BM45" s="522" t="str">
        <f t="shared" si="4"/>
        <v/>
      </c>
      <c r="BN45" s="522" t="str">
        <f t="shared" si="5"/>
        <v/>
      </c>
      <c r="BO45" s="522" t="str">
        <f t="shared" si="6"/>
        <v/>
      </c>
      <c r="BP45" s="522" t="str">
        <f t="shared" si="9"/>
        <v/>
      </c>
      <c r="BQ45" s="523" t="str">
        <f t="shared" si="7"/>
        <v/>
      </c>
      <c r="BR45" s="532" t="str">
        <f>IF(BE45="","",+SUM($BF$8:BF45)/SUM($BE$8:BE45))</f>
        <v/>
      </c>
      <c r="BS45" s="533" t="str">
        <f>IF(BE45="","",+SUM($BG$8:BG45)/SUM($BE$8:BE45))</f>
        <v/>
      </c>
      <c r="BT45" s="533" t="str">
        <f>IF(BE45="","",+SUM($BH$8:BH45)/SUM($BE$8:BE45))</f>
        <v/>
      </c>
      <c r="BU45" s="533" t="str">
        <f>IF(BE45="","",+SUM($BI$8:BI45)/SUM($BE$8:BE45))</f>
        <v/>
      </c>
      <c r="BV45" s="533" t="str">
        <f>IF(BE45="","",+SUM($BJ$8:BJ45)/SUM($BE$8:BE45))</f>
        <v/>
      </c>
      <c r="BW45" s="534" t="str">
        <f>IF(BE45="","",+SUM($BK$8:BK45)/SUM($BE$8:BE45))</f>
        <v/>
      </c>
    </row>
    <row r="46" spans="1:75" ht="24" customHeight="1" x14ac:dyDescent="0.2">
      <c r="A46" s="453">
        <f t="shared" si="12"/>
        <v>43677</v>
      </c>
      <c r="B46" s="442">
        <f t="shared" si="13"/>
        <v>61</v>
      </c>
      <c r="C46" s="209"/>
      <c r="D46" s="443"/>
      <c r="E46" s="443"/>
      <c r="F46" s="443"/>
      <c r="G46" s="443"/>
      <c r="H46" s="507"/>
      <c r="I46" s="209"/>
      <c r="J46" s="443"/>
      <c r="K46" s="443"/>
      <c r="L46" s="443"/>
      <c r="M46" s="443"/>
      <c r="N46" s="507"/>
      <c r="O46" s="209"/>
      <c r="P46" s="443"/>
      <c r="Q46" s="443"/>
      <c r="R46" s="443"/>
      <c r="S46" s="443"/>
      <c r="T46" s="507"/>
      <c r="U46" s="209"/>
      <c r="V46" s="443"/>
      <c r="W46" s="443"/>
      <c r="X46" s="443"/>
      <c r="Y46" s="443"/>
      <c r="Z46" s="507"/>
      <c r="AA46" s="209"/>
      <c r="AB46" s="443"/>
      <c r="AC46" s="443"/>
      <c r="AD46" s="443"/>
      <c r="AE46" s="443"/>
      <c r="AF46" s="507"/>
      <c r="AG46" s="209"/>
      <c r="AH46" s="443"/>
      <c r="AI46" s="443"/>
      <c r="AJ46" s="443"/>
      <c r="AK46" s="443"/>
      <c r="AL46" s="507"/>
      <c r="AM46" s="209"/>
      <c r="AN46" s="443"/>
      <c r="AO46" s="443"/>
      <c r="AP46" s="443"/>
      <c r="AQ46" s="443"/>
      <c r="AR46" s="507"/>
      <c r="AS46" s="209"/>
      <c r="AT46" s="443"/>
      <c r="AU46" s="443"/>
      <c r="AV46" s="443"/>
      <c r="AW46" s="443"/>
      <c r="AX46" s="507"/>
      <c r="AY46" s="209"/>
      <c r="AZ46" s="443"/>
      <c r="BA46" s="443"/>
      <c r="BB46" s="443"/>
      <c r="BC46" s="443"/>
      <c r="BD46" s="507"/>
      <c r="BE46" s="513" t="str">
        <f t="shared" si="1"/>
        <v/>
      </c>
      <c r="BF46" s="514" t="str">
        <f t="shared" si="2"/>
        <v/>
      </c>
      <c r="BG46" s="514" t="str">
        <f t="shared" si="2"/>
        <v/>
      </c>
      <c r="BH46" s="514" t="str">
        <f t="shared" si="2"/>
        <v/>
      </c>
      <c r="BI46" s="514" t="str">
        <f t="shared" si="2"/>
        <v/>
      </c>
      <c r="BJ46" s="514" t="str">
        <f t="shared" si="2"/>
        <v/>
      </c>
      <c r="BK46" s="515" t="str">
        <f t="shared" si="8"/>
        <v/>
      </c>
      <c r="BL46" s="527" t="str">
        <f t="shared" si="3"/>
        <v/>
      </c>
      <c r="BM46" s="522" t="str">
        <f t="shared" si="4"/>
        <v/>
      </c>
      <c r="BN46" s="522" t="str">
        <f t="shared" si="5"/>
        <v/>
      </c>
      <c r="BO46" s="522" t="str">
        <f t="shared" si="6"/>
        <v/>
      </c>
      <c r="BP46" s="522" t="str">
        <f t="shared" si="9"/>
        <v/>
      </c>
      <c r="BQ46" s="523" t="str">
        <f t="shared" si="7"/>
        <v/>
      </c>
      <c r="BR46" s="532" t="str">
        <f>IF(BE46="","",+SUM($BF$8:BF46)/SUM($BE$8:BE46))</f>
        <v/>
      </c>
      <c r="BS46" s="533" t="str">
        <f>IF(BE46="","",+SUM($BG$8:BG46)/SUM($BE$8:BE46))</f>
        <v/>
      </c>
      <c r="BT46" s="533" t="str">
        <f>IF(BE46="","",+SUM($BH$8:BH46)/SUM($BE$8:BE46))</f>
        <v/>
      </c>
      <c r="BU46" s="533" t="str">
        <f>IF(BE46="","",+SUM($BI$8:BI46)/SUM($BE$8:BE46))</f>
        <v/>
      </c>
      <c r="BV46" s="533" t="str">
        <f>IF(BE46="","",+SUM($BJ$8:BJ46)/SUM($BE$8:BE46))</f>
        <v/>
      </c>
      <c r="BW46" s="534" t="str">
        <f>IF(BE46="","",+SUM($BK$8:BK46)/SUM($BE$8:BE46))</f>
        <v/>
      </c>
    </row>
    <row r="47" spans="1:75" ht="24" customHeight="1" x14ac:dyDescent="0.2">
      <c r="A47" s="453">
        <f t="shared" si="12"/>
        <v>43684</v>
      </c>
      <c r="B47" s="442">
        <f t="shared" si="13"/>
        <v>62</v>
      </c>
      <c r="C47" s="209"/>
      <c r="D47" s="443"/>
      <c r="E47" s="443"/>
      <c r="F47" s="443"/>
      <c r="G47" s="443"/>
      <c r="H47" s="507"/>
      <c r="I47" s="209"/>
      <c r="J47" s="443"/>
      <c r="K47" s="443"/>
      <c r="L47" s="443"/>
      <c r="M47" s="443"/>
      <c r="N47" s="507"/>
      <c r="O47" s="209"/>
      <c r="P47" s="443"/>
      <c r="Q47" s="443"/>
      <c r="R47" s="443"/>
      <c r="S47" s="443"/>
      <c r="T47" s="507"/>
      <c r="U47" s="209"/>
      <c r="V47" s="443"/>
      <c r="W47" s="443"/>
      <c r="X47" s="443"/>
      <c r="Y47" s="443"/>
      <c r="Z47" s="507"/>
      <c r="AA47" s="209"/>
      <c r="AB47" s="443"/>
      <c r="AC47" s="443"/>
      <c r="AD47" s="443"/>
      <c r="AE47" s="443"/>
      <c r="AF47" s="507"/>
      <c r="AG47" s="209"/>
      <c r="AH47" s="443"/>
      <c r="AI47" s="443"/>
      <c r="AJ47" s="443"/>
      <c r="AK47" s="443"/>
      <c r="AL47" s="507"/>
      <c r="AM47" s="209"/>
      <c r="AN47" s="443"/>
      <c r="AO47" s="443"/>
      <c r="AP47" s="443"/>
      <c r="AQ47" s="443"/>
      <c r="AR47" s="507"/>
      <c r="AS47" s="209"/>
      <c r="AT47" s="443"/>
      <c r="AU47" s="443"/>
      <c r="AV47" s="443"/>
      <c r="AW47" s="443"/>
      <c r="AX47" s="507"/>
      <c r="AY47" s="209"/>
      <c r="AZ47" s="443"/>
      <c r="BA47" s="443"/>
      <c r="BB47" s="443"/>
      <c r="BC47" s="443"/>
      <c r="BD47" s="507"/>
      <c r="BE47" s="513" t="str">
        <f t="shared" si="1"/>
        <v/>
      </c>
      <c r="BF47" s="514" t="str">
        <f t="shared" si="2"/>
        <v/>
      </c>
      <c r="BG47" s="514" t="str">
        <f t="shared" si="2"/>
        <v/>
      </c>
      <c r="BH47" s="514" t="str">
        <f t="shared" si="2"/>
        <v/>
      </c>
      <c r="BI47" s="514" t="str">
        <f t="shared" si="2"/>
        <v/>
      </c>
      <c r="BJ47" s="514" t="str">
        <f t="shared" si="2"/>
        <v/>
      </c>
      <c r="BK47" s="515" t="str">
        <f t="shared" si="8"/>
        <v/>
      </c>
      <c r="BL47" s="527" t="str">
        <f t="shared" si="3"/>
        <v/>
      </c>
      <c r="BM47" s="522" t="str">
        <f t="shared" si="4"/>
        <v/>
      </c>
      <c r="BN47" s="522" t="str">
        <f t="shared" si="5"/>
        <v/>
      </c>
      <c r="BO47" s="522" t="str">
        <f t="shared" si="6"/>
        <v/>
      </c>
      <c r="BP47" s="522" t="str">
        <f t="shared" si="9"/>
        <v/>
      </c>
      <c r="BQ47" s="523" t="str">
        <f t="shared" si="7"/>
        <v/>
      </c>
      <c r="BR47" s="532" t="str">
        <f>IF(BE47="","",+SUM($BF$8:BF47)/SUM($BE$8:BE47))</f>
        <v/>
      </c>
      <c r="BS47" s="533" t="str">
        <f>IF(BE47="","",+SUM($BG$8:BG47)/SUM($BE$8:BE47))</f>
        <v/>
      </c>
      <c r="BT47" s="533" t="str">
        <f>IF(BE47="","",+SUM($BH$8:BH47)/SUM($BE$8:BE47))</f>
        <v/>
      </c>
      <c r="BU47" s="533" t="str">
        <f>IF(BE47="","",+SUM($BI$8:BI47)/SUM($BE$8:BE47))</f>
        <v/>
      </c>
      <c r="BV47" s="533" t="str">
        <f>IF(BE47="","",+SUM($BJ$8:BJ47)/SUM($BE$8:BE47))</f>
        <v/>
      </c>
      <c r="BW47" s="534" t="str">
        <f>IF(BE47="","",+SUM($BK$8:BK47)/SUM($BE$8:BE47))</f>
        <v/>
      </c>
    </row>
    <row r="48" spans="1:75" ht="24" customHeight="1" x14ac:dyDescent="0.2">
      <c r="A48" s="453">
        <f t="shared" si="12"/>
        <v>43691</v>
      </c>
      <c r="B48" s="442">
        <f t="shared" si="13"/>
        <v>63</v>
      </c>
      <c r="C48" s="209"/>
      <c r="D48" s="443"/>
      <c r="E48" s="443"/>
      <c r="F48" s="443"/>
      <c r="G48" s="443"/>
      <c r="H48" s="507"/>
      <c r="I48" s="209"/>
      <c r="J48" s="443"/>
      <c r="K48" s="443"/>
      <c r="L48" s="443"/>
      <c r="M48" s="443"/>
      <c r="N48" s="507"/>
      <c r="O48" s="209"/>
      <c r="P48" s="443"/>
      <c r="Q48" s="443"/>
      <c r="R48" s="443"/>
      <c r="S48" s="443"/>
      <c r="T48" s="507"/>
      <c r="U48" s="209"/>
      <c r="V48" s="443"/>
      <c r="W48" s="443"/>
      <c r="X48" s="443"/>
      <c r="Y48" s="443"/>
      <c r="Z48" s="507"/>
      <c r="AA48" s="209"/>
      <c r="AB48" s="443"/>
      <c r="AC48" s="443"/>
      <c r="AD48" s="443"/>
      <c r="AE48" s="443"/>
      <c r="AF48" s="507"/>
      <c r="AG48" s="209"/>
      <c r="AH48" s="443"/>
      <c r="AI48" s="443"/>
      <c r="AJ48" s="443"/>
      <c r="AK48" s="443"/>
      <c r="AL48" s="507"/>
      <c r="AM48" s="209"/>
      <c r="AN48" s="443"/>
      <c r="AO48" s="443"/>
      <c r="AP48" s="443"/>
      <c r="AQ48" s="443"/>
      <c r="AR48" s="507"/>
      <c r="AS48" s="209"/>
      <c r="AT48" s="443"/>
      <c r="AU48" s="443"/>
      <c r="AV48" s="443"/>
      <c r="AW48" s="443"/>
      <c r="AX48" s="507"/>
      <c r="AY48" s="209"/>
      <c r="AZ48" s="443"/>
      <c r="BA48" s="443"/>
      <c r="BB48" s="443"/>
      <c r="BC48" s="443"/>
      <c r="BD48" s="507"/>
      <c r="BE48" s="513" t="str">
        <f t="shared" si="1"/>
        <v/>
      </c>
      <c r="BF48" s="514" t="str">
        <f t="shared" si="2"/>
        <v/>
      </c>
      <c r="BG48" s="514" t="str">
        <f t="shared" si="2"/>
        <v/>
      </c>
      <c r="BH48" s="514" t="str">
        <f t="shared" si="2"/>
        <v/>
      </c>
      <c r="BI48" s="514" t="str">
        <f t="shared" si="2"/>
        <v/>
      </c>
      <c r="BJ48" s="514" t="str">
        <f t="shared" si="2"/>
        <v/>
      </c>
      <c r="BK48" s="515" t="str">
        <f t="shared" si="8"/>
        <v/>
      </c>
      <c r="BL48" s="527" t="str">
        <f t="shared" si="3"/>
        <v/>
      </c>
      <c r="BM48" s="522" t="str">
        <f t="shared" si="4"/>
        <v/>
      </c>
      <c r="BN48" s="522" t="str">
        <f t="shared" si="5"/>
        <v/>
      </c>
      <c r="BO48" s="522" t="str">
        <f t="shared" si="6"/>
        <v/>
      </c>
      <c r="BP48" s="522" t="str">
        <f t="shared" si="9"/>
        <v/>
      </c>
      <c r="BQ48" s="523" t="str">
        <f t="shared" si="7"/>
        <v/>
      </c>
      <c r="BR48" s="532" t="str">
        <f>IF(BE48="","",+SUM($BF$8:BF48)/SUM($BE$8:BE48))</f>
        <v/>
      </c>
      <c r="BS48" s="533" t="str">
        <f>IF(BE48="","",+SUM($BG$8:BG48)/SUM($BE$8:BE48))</f>
        <v/>
      </c>
      <c r="BT48" s="533" t="str">
        <f>IF(BE48="","",+SUM($BH$8:BH48)/SUM($BE$8:BE48))</f>
        <v/>
      </c>
      <c r="BU48" s="533" t="str">
        <f>IF(BE48="","",+SUM($BI$8:BI48)/SUM($BE$8:BE48))</f>
        <v/>
      </c>
      <c r="BV48" s="533" t="str">
        <f>IF(BE48="","",+SUM($BJ$8:BJ48)/SUM($BE$8:BE48))</f>
        <v/>
      </c>
      <c r="BW48" s="534" t="str">
        <f>IF(BE48="","",+SUM($BK$8:BK48)/SUM($BE$8:BE48))</f>
        <v/>
      </c>
    </row>
    <row r="49" spans="1:75" ht="24" customHeight="1" x14ac:dyDescent="0.2">
      <c r="A49" s="453">
        <f t="shared" si="12"/>
        <v>43698</v>
      </c>
      <c r="B49" s="442">
        <f t="shared" si="13"/>
        <v>64</v>
      </c>
      <c r="C49" s="209"/>
      <c r="D49" s="443"/>
      <c r="E49" s="443"/>
      <c r="F49" s="443"/>
      <c r="G49" s="443"/>
      <c r="H49" s="507"/>
      <c r="I49" s="209"/>
      <c r="J49" s="443"/>
      <c r="K49" s="443"/>
      <c r="L49" s="443"/>
      <c r="M49" s="443"/>
      <c r="N49" s="507"/>
      <c r="O49" s="209"/>
      <c r="P49" s="443"/>
      <c r="Q49" s="443"/>
      <c r="R49" s="443"/>
      <c r="S49" s="443"/>
      <c r="T49" s="507"/>
      <c r="U49" s="209"/>
      <c r="V49" s="443"/>
      <c r="W49" s="443"/>
      <c r="X49" s="443"/>
      <c r="Y49" s="443"/>
      <c r="Z49" s="507"/>
      <c r="AA49" s="209"/>
      <c r="AB49" s="443"/>
      <c r="AC49" s="443"/>
      <c r="AD49" s="443"/>
      <c r="AE49" s="443"/>
      <c r="AF49" s="507"/>
      <c r="AG49" s="209"/>
      <c r="AH49" s="443"/>
      <c r="AI49" s="443"/>
      <c r="AJ49" s="443"/>
      <c r="AK49" s="443"/>
      <c r="AL49" s="507"/>
      <c r="AM49" s="209"/>
      <c r="AN49" s="443"/>
      <c r="AO49" s="443"/>
      <c r="AP49" s="443"/>
      <c r="AQ49" s="443"/>
      <c r="AR49" s="507"/>
      <c r="AS49" s="209"/>
      <c r="AT49" s="443"/>
      <c r="AU49" s="443"/>
      <c r="AV49" s="443"/>
      <c r="AW49" s="443"/>
      <c r="AX49" s="507"/>
      <c r="AY49" s="209"/>
      <c r="AZ49" s="443"/>
      <c r="BA49" s="443"/>
      <c r="BB49" s="443"/>
      <c r="BC49" s="443"/>
      <c r="BD49" s="507"/>
      <c r="BE49" s="513" t="str">
        <f t="shared" si="1"/>
        <v/>
      </c>
      <c r="BF49" s="514" t="str">
        <f t="shared" si="2"/>
        <v/>
      </c>
      <c r="BG49" s="514" t="str">
        <f t="shared" si="2"/>
        <v/>
      </c>
      <c r="BH49" s="514" t="str">
        <f t="shared" si="2"/>
        <v/>
      </c>
      <c r="BI49" s="514" t="str">
        <f t="shared" si="2"/>
        <v/>
      </c>
      <c r="BJ49" s="514" t="str">
        <f t="shared" si="2"/>
        <v/>
      </c>
      <c r="BK49" s="515" t="str">
        <f t="shared" si="8"/>
        <v/>
      </c>
      <c r="BL49" s="527" t="str">
        <f t="shared" si="3"/>
        <v/>
      </c>
      <c r="BM49" s="522" t="str">
        <f t="shared" si="4"/>
        <v/>
      </c>
      <c r="BN49" s="522" t="str">
        <f t="shared" si="5"/>
        <v/>
      </c>
      <c r="BO49" s="522" t="str">
        <f t="shared" si="6"/>
        <v/>
      </c>
      <c r="BP49" s="522" t="str">
        <f t="shared" si="9"/>
        <v/>
      </c>
      <c r="BQ49" s="523" t="str">
        <f t="shared" si="7"/>
        <v/>
      </c>
      <c r="BR49" s="532" t="str">
        <f>IF(BE49="","",+SUM($BF$8:BF49)/SUM($BE$8:BE49))</f>
        <v/>
      </c>
      <c r="BS49" s="533" t="str">
        <f>IF(BE49="","",+SUM($BG$8:BG49)/SUM($BE$8:BE49))</f>
        <v/>
      </c>
      <c r="BT49" s="533" t="str">
        <f>IF(BE49="","",+SUM($BH$8:BH49)/SUM($BE$8:BE49))</f>
        <v/>
      </c>
      <c r="BU49" s="533" t="str">
        <f>IF(BE49="","",+SUM($BI$8:BI49)/SUM($BE$8:BE49))</f>
        <v/>
      </c>
      <c r="BV49" s="533" t="str">
        <f>IF(BE49="","",+SUM($BJ$8:BJ49)/SUM($BE$8:BE49))</f>
        <v/>
      </c>
      <c r="BW49" s="534" t="str">
        <f>IF(BE49="","",+SUM($BK$8:BK49)/SUM($BE$8:BE49))</f>
        <v/>
      </c>
    </row>
    <row r="50" spans="1:75" ht="24" customHeight="1" x14ac:dyDescent="0.2">
      <c r="A50" s="453">
        <f t="shared" si="12"/>
        <v>43705</v>
      </c>
      <c r="B50" s="442">
        <f t="shared" si="13"/>
        <v>65</v>
      </c>
      <c r="C50" s="209"/>
      <c r="D50" s="443"/>
      <c r="E50" s="443"/>
      <c r="F50" s="443"/>
      <c r="G50" s="443"/>
      <c r="H50" s="507"/>
      <c r="I50" s="209"/>
      <c r="J50" s="443"/>
      <c r="K50" s="443"/>
      <c r="L50" s="443"/>
      <c r="M50" s="443"/>
      <c r="N50" s="507"/>
      <c r="O50" s="209"/>
      <c r="P50" s="443"/>
      <c r="Q50" s="443"/>
      <c r="R50" s="443"/>
      <c r="S50" s="443"/>
      <c r="T50" s="507"/>
      <c r="U50" s="209"/>
      <c r="V50" s="443"/>
      <c r="W50" s="443"/>
      <c r="X50" s="443"/>
      <c r="Y50" s="443"/>
      <c r="Z50" s="507"/>
      <c r="AA50" s="209"/>
      <c r="AB50" s="443"/>
      <c r="AC50" s="443"/>
      <c r="AD50" s="443"/>
      <c r="AE50" s="443"/>
      <c r="AF50" s="507"/>
      <c r="AG50" s="209"/>
      <c r="AH50" s="443"/>
      <c r="AI50" s="443"/>
      <c r="AJ50" s="443"/>
      <c r="AK50" s="443"/>
      <c r="AL50" s="507"/>
      <c r="AM50" s="209"/>
      <c r="AN50" s="443"/>
      <c r="AO50" s="443"/>
      <c r="AP50" s="443"/>
      <c r="AQ50" s="443"/>
      <c r="AR50" s="507"/>
      <c r="AS50" s="209"/>
      <c r="AT50" s="443"/>
      <c r="AU50" s="443"/>
      <c r="AV50" s="443"/>
      <c r="AW50" s="443"/>
      <c r="AX50" s="507"/>
      <c r="AY50" s="209"/>
      <c r="AZ50" s="443"/>
      <c r="BA50" s="443"/>
      <c r="BB50" s="443"/>
      <c r="BC50" s="443"/>
      <c r="BD50" s="507"/>
      <c r="BE50" s="513" t="str">
        <f t="shared" si="1"/>
        <v/>
      </c>
      <c r="BF50" s="514" t="str">
        <f t="shared" si="2"/>
        <v/>
      </c>
      <c r="BG50" s="514" t="str">
        <f t="shared" si="2"/>
        <v/>
      </c>
      <c r="BH50" s="514" t="str">
        <f t="shared" si="2"/>
        <v/>
      </c>
      <c r="BI50" s="514" t="str">
        <f t="shared" si="2"/>
        <v/>
      </c>
      <c r="BJ50" s="514" t="str">
        <f t="shared" si="2"/>
        <v/>
      </c>
      <c r="BK50" s="515" t="str">
        <f t="shared" si="8"/>
        <v/>
      </c>
      <c r="BL50" s="527" t="str">
        <f t="shared" si="3"/>
        <v/>
      </c>
      <c r="BM50" s="522" t="str">
        <f t="shared" si="4"/>
        <v/>
      </c>
      <c r="BN50" s="522" t="str">
        <f t="shared" si="5"/>
        <v/>
      </c>
      <c r="BO50" s="522" t="str">
        <f t="shared" si="6"/>
        <v/>
      </c>
      <c r="BP50" s="522" t="str">
        <f t="shared" si="9"/>
        <v/>
      </c>
      <c r="BQ50" s="523" t="str">
        <f t="shared" si="7"/>
        <v/>
      </c>
      <c r="BR50" s="532" t="str">
        <f>IF(BE50="","",+SUM($BF$8:BF50)/SUM($BE$8:BE50))</f>
        <v/>
      </c>
      <c r="BS50" s="533" t="str">
        <f>IF(BE50="","",+SUM($BG$8:BG50)/SUM($BE$8:BE50))</f>
        <v/>
      </c>
      <c r="BT50" s="533" t="str">
        <f>IF(BE50="","",+SUM($BH$8:BH50)/SUM($BE$8:BE50))</f>
        <v/>
      </c>
      <c r="BU50" s="533" t="str">
        <f>IF(BE50="","",+SUM($BI$8:BI50)/SUM($BE$8:BE50))</f>
        <v/>
      </c>
      <c r="BV50" s="533" t="str">
        <f>IF(BE50="","",+SUM($BJ$8:BJ50)/SUM($BE$8:BE50))</f>
        <v/>
      </c>
      <c r="BW50" s="534" t="str">
        <f>IF(BE50="","",+SUM($BK$8:BK50)/SUM($BE$8:BE50))</f>
        <v/>
      </c>
    </row>
    <row r="51" spans="1:75" ht="24" customHeight="1" x14ac:dyDescent="0.2">
      <c r="A51" s="453">
        <f t="shared" si="12"/>
        <v>43712</v>
      </c>
      <c r="B51" s="442">
        <f t="shared" si="13"/>
        <v>66</v>
      </c>
      <c r="C51" s="209"/>
      <c r="D51" s="443"/>
      <c r="E51" s="443"/>
      <c r="F51" s="443"/>
      <c r="G51" s="443"/>
      <c r="H51" s="507"/>
      <c r="I51" s="209"/>
      <c r="J51" s="443"/>
      <c r="K51" s="443"/>
      <c r="L51" s="443"/>
      <c r="M51" s="443"/>
      <c r="N51" s="507"/>
      <c r="O51" s="209"/>
      <c r="P51" s="443"/>
      <c r="Q51" s="443"/>
      <c r="R51" s="443"/>
      <c r="S51" s="443"/>
      <c r="T51" s="507"/>
      <c r="U51" s="209"/>
      <c r="V51" s="443"/>
      <c r="W51" s="443"/>
      <c r="X51" s="443"/>
      <c r="Y51" s="443"/>
      <c r="Z51" s="507"/>
      <c r="AA51" s="209"/>
      <c r="AB51" s="443"/>
      <c r="AC51" s="443"/>
      <c r="AD51" s="443"/>
      <c r="AE51" s="443"/>
      <c r="AF51" s="507"/>
      <c r="AG51" s="209"/>
      <c r="AH51" s="443"/>
      <c r="AI51" s="443"/>
      <c r="AJ51" s="443"/>
      <c r="AK51" s="443"/>
      <c r="AL51" s="507"/>
      <c r="AM51" s="209"/>
      <c r="AN51" s="443"/>
      <c r="AO51" s="443"/>
      <c r="AP51" s="443"/>
      <c r="AQ51" s="443"/>
      <c r="AR51" s="507"/>
      <c r="AS51" s="209"/>
      <c r="AT51" s="443"/>
      <c r="AU51" s="443"/>
      <c r="AV51" s="443"/>
      <c r="AW51" s="443"/>
      <c r="AX51" s="507"/>
      <c r="AY51" s="209"/>
      <c r="AZ51" s="443"/>
      <c r="BA51" s="443"/>
      <c r="BB51" s="443"/>
      <c r="BC51" s="443"/>
      <c r="BD51" s="507"/>
      <c r="BE51" s="513" t="str">
        <f t="shared" si="1"/>
        <v/>
      </c>
      <c r="BF51" s="514" t="str">
        <f t="shared" si="2"/>
        <v/>
      </c>
      <c r="BG51" s="514" t="str">
        <f t="shared" si="2"/>
        <v/>
      </c>
      <c r="BH51" s="514" t="str">
        <f t="shared" si="2"/>
        <v/>
      </c>
      <c r="BI51" s="514" t="str">
        <f t="shared" si="2"/>
        <v/>
      </c>
      <c r="BJ51" s="514" t="str">
        <f t="shared" si="2"/>
        <v/>
      </c>
      <c r="BK51" s="515" t="str">
        <f t="shared" si="8"/>
        <v/>
      </c>
      <c r="BL51" s="527" t="str">
        <f t="shared" si="3"/>
        <v/>
      </c>
      <c r="BM51" s="522" t="str">
        <f t="shared" si="4"/>
        <v/>
      </c>
      <c r="BN51" s="522" t="str">
        <f t="shared" si="5"/>
        <v/>
      </c>
      <c r="BO51" s="522" t="str">
        <f t="shared" si="6"/>
        <v/>
      </c>
      <c r="BP51" s="522" t="str">
        <f t="shared" si="9"/>
        <v/>
      </c>
      <c r="BQ51" s="523" t="str">
        <f t="shared" si="7"/>
        <v/>
      </c>
      <c r="BR51" s="532" t="str">
        <f>IF(BE51="","",+SUM($BF$8:BF51)/SUM($BE$8:BE51))</f>
        <v/>
      </c>
      <c r="BS51" s="533" t="str">
        <f>IF(BE51="","",+SUM($BG$8:BG51)/SUM($BE$8:BE51))</f>
        <v/>
      </c>
      <c r="BT51" s="533" t="str">
        <f>IF(BE51="","",+SUM($BH$8:BH51)/SUM($BE$8:BE51))</f>
        <v/>
      </c>
      <c r="BU51" s="533" t="str">
        <f>IF(BE51="","",+SUM($BI$8:BI51)/SUM($BE$8:BE51))</f>
        <v/>
      </c>
      <c r="BV51" s="533" t="str">
        <f>IF(BE51="","",+SUM($BJ$8:BJ51)/SUM($BE$8:BE51))</f>
        <v/>
      </c>
      <c r="BW51" s="534" t="str">
        <f>IF(BE51="","",+SUM($BK$8:BK51)/SUM($BE$8:BE51))</f>
        <v/>
      </c>
    </row>
    <row r="52" spans="1:75" ht="24" customHeight="1" x14ac:dyDescent="0.2">
      <c r="A52" s="453">
        <f t="shared" si="12"/>
        <v>43719</v>
      </c>
      <c r="B52" s="442">
        <f t="shared" si="13"/>
        <v>67</v>
      </c>
      <c r="C52" s="209"/>
      <c r="D52" s="443"/>
      <c r="E52" s="443"/>
      <c r="F52" s="443"/>
      <c r="G52" s="443"/>
      <c r="H52" s="507"/>
      <c r="I52" s="209"/>
      <c r="J52" s="443"/>
      <c r="K52" s="443"/>
      <c r="L52" s="443"/>
      <c r="M52" s="443"/>
      <c r="N52" s="507"/>
      <c r="O52" s="209"/>
      <c r="P52" s="443"/>
      <c r="Q52" s="443"/>
      <c r="R52" s="443"/>
      <c r="S52" s="443"/>
      <c r="T52" s="507"/>
      <c r="U52" s="209"/>
      <c r="V52" s="443"/>
      <c r="W52" s="443"/>
      <c r="X52" s="443"/>
      <c r="Y52" s="443"/>
      <c r="Z52" s="507"/>
      <c r="AA52" s="209"/>
      <c r="AB52" s="443"/>
      <c r="AC52" s="443"/>
      <c r="AD52" s="443"/>
      <c r="AE52" s="443"/>
      <c r="AF52" s="507"/>
      <c r="AG52" s="209"/>
      <c r="AH52" s="443"/>
      <c r="AI52" s="443"/>
      <c r="AJ52" s="443"/>
      <c r="AK52" s="443"/>
      <c r="AL52" s="507"/>
      <c r="AM52" s="209"/>
      <c r="AN52" s="443"/>
      <c r="AO52" s="443"/>
      <c r="AP52" s="443"/>
      <c r="AQ52" s="443"/>
      <c r="AR52" s="507"/>
      <c r="AS52" s="209"/>
      <c r="AT52" s="443"/>
      <c r="AU52" s="443"/>
      <c r="AV52" s="443"/>
      <c r="AW52" s="443"/>
      <c r="AX52" s="507"/>
      <c r="AY52" s="209"/>
      <c r="AZ52" s="443"/>
      <c r="BA52" s="443"/>
      <c r="BB52" s="443"/>
      <c r="BC52" s="443"/>
      <c r="BD52" s="507"/>
      <c r="BE52" s="513" t="str">
        <f t="shared" si="1"/>
        <v/>
      </c>
      <c r="BF52" s="514" t="str">
        <f t="shared" si="2"/>
        <v/>
      </c>
      <c r="BG52" s="514" t="str">
        <f t="shared" si="2"/>
        <v/>
      </c>
      <c r="BH52" s="514" t="str">
        <f t="shared" si="2"/>
        <v/>
      </c>
      <c r="BI52" s="514" t="str">
        <f t="shared" si="2"/>
        <v/>
      </c>
      <c r="BJ52" s="514" t="str">
        <f t="shared" si="2"/>
        <v/>
      </c>
      <c r="BK52" s="515" t="str">
        <f t="shared" si="8"/>
        <v/>
      </c>
      <c r="BL52" s="527" t="str">
        <f t="shared" si="3"/>
        <v/>
      </c>
      <c r="BM52" s="522" t="str">
        <f t="shared" si="4"/>
        <v/>
      </c>
      <c r="BN52" s="522" t="str">
        <f t="shared" si="5"/>
        <v/>
      </c>
      <c r="BO52" s="522" t="str">
        <f t="shared" si="6"/>
        <v/>
      </c>
      <c r="BP52" s="522" t="str">
        <f t="shared" si="9"/>
        <v/>
      </c>
      <c r="BQ52" s="523" t="str">
        <f t="shared" si="7"/>
        <v/>
      </c>
      <c r="BR52" s="532" t="str">
        <f>IF(BE52="","",+SUM($BF$8:BF52)/SUM($BE$8:BE52))</f>
        <v/>
      </c>
      <c r="BS52" s="533" t="str">
        <f>IF(BE52="","",+SUM($BG$8:BG52)/SUM($BE$8:BE52))</f>
        <v/>
      </c>
      <c r="BT52" s="533" t="str">
        <f>IF(BE52="","",+SUM($BH$8:BH52)/SUM($BE$8:BE52))</f>
        <v/>
      </c>
      <c r="BU52" s="533" t="str">
        <f>IF(BE52="","",+SUM($BI$8:BI52)/SUM($BE$8:BE52))</f>
        <v/>
      </c>
      <c r="BV52" s="533" t="str">
        <f>IF(BE52="","",+SUM($BJ$8:BJ52)/SUM($BE$8:BE52))</f>
        <v/>
      </c>
      <c r="BW52" s="534" t="str">
        <f>IF(BE52="","",+SUM($BK$8:BK52)/SUM($BE$8:BE52))</f>
        <v/>
      </c>
    </row>
    <row r="53" spans="1:75" ht="24" customHeight="1" x14ac:dyDescent="0.2">
      <c r="A53" s="453">
        <f t="shared" si="12"/>
        <v>43726</v>
      </c>
      <c r="B53" s="442">
        <f t="shared" si="13"/>
        <v>68</v>
      </c>
      <c r="C53" s="209"/>
      <c r="D53" s="443"/>
      <c r="E53" s="443"/>
      <c r="F53" s="443"/>
      <c r="G53" s="443"/>
      <c r="H53" s="507"/>
      <c r="I53" s="209"/>
      <c r="J53" s="443"/>
      <c r="K53" s="443"/>
      <c r="L53" s="443"/>
      <c r="M53" s="443"/>
      <c r="N53" s="507"/>
      <c r="O53" s="209"/>
      <c r="P53" s="443"/>
      <c r="Q53" s="443"/>
      <c r="R53" s="443"/>
      <c r="S53" s="443"/>
      <c r="T53" s="507"/>
      <c r="U53" s="209"/>
      <c r="V53" s="443"/>
      <c r="W53" s="443"/>
      <c r="X53" s="443"/>
      <c r="Y53" s="443"/>
      <c r="Z53" s="507"/>
      <c r="AA53" s="209"/>
      <c r="AB53" s="443"/>
      <c r="AC53" s="443"/>
      <c r="AD53" s="443"/>
      <c r="AE53" s="443"/>
      <c r="AF53" s="507"/>
      <c r="AG53" s="209"/>
      <c r="AH53" s="443"/>
      <c r="AI53" s="443"/>
      <c r="AJ53" s="443"/>
      <c r="AK53" s="443"/>
      <c r="AL53" s="507"/>
      <c r="AM53" s="209"/>
      <c r="AN53" s="443"/>
      <c r="AO53" s="443"/>
      <c r="AP53" s="443"/>
      <c r="AQ53" s="443"/>
      <c r="AR53" s="507"/>
      <c r="AS53" s="209"/>
      <c r="AT53" s="443"/>
      <c r="AU53" s="443"/>
      <c r="AV53" s="443"/>
      <c r="AW53" s="443"/>
      <c r="AX53" s="507"/>
      <c r="AY53" s="209"/>
      <c r="AZ53" s="443"/>
      <c r="BA53" s="443"/>
      <c r="BB53" s="443"/>
      <c r="BC53" s="443"/>
      <c r="BD53" s="507"/>
      <c r="BE53" s="513" t="str">
        <f t="shared" si="1"/>
        <v/>
      </c>
      <c r="BF53" s="514" t="str">
        <f t="shared" si="2"/>
        <v/>
      </c>
      <c r="BG53" s="514" t="str">
        <f t="shared" si="2"/>
        <v/>
      </c>
      <c r="BH53" s="514" t="str">
        <f t="shared" si="2"/>
        <v/>
      </c>
      <c r="BI53" s="514" t="str">
        <f t="shared" si="2"/>
        <v/>
      </c>
      <c r="BJ53" s="514" t="str">
        <f t="shared" si="2"/>
        <v/>
      </c>
      <c r="BK53" s="515" t="str">
        <f t="shared" si="8"/>
        <v/>
      </c>
      <c r="BL53" s="527" t="str">
        <f t="shared" si="3"/>
        <v/>
      </c>
      <c r="BM53" s="522" t="str">
        <f t="shared" si="4"/>
        <v/>
      </c>
      <c r="BN53" s="522" t="str">
        <f t="shared" si="5"/>
        <v/>
      </c>
      <c r="BO53" s="522" t="str">
        <f t="shared" si="6"/>
        <v/>
      </c>
      <c r="BP53" s="522" t="str">
        <f t="shared" si="9"/>
        <v/>
      </c>
      <c r="BQ53" s="523" t="str">
        <f t="shared" si="7"/>
        <v/>
      </c>
      <c r="BR53" s="532" t="str">
        <f>IF(BE53="","",+SUM($BF$8:BF53)/SUM($BE$8:BE53))</f>
        <v/>
      </c>
      <c r="BS53" s="533" t="str">
        <f>IF(BE53="","",+SUM($BG$8:BG53)/SUM($BE$8:BE53))</f>
        <v/>
      </c>
      <c r="BT53" s="533" t="str">
        <f>IF(BE53="","",+SUM($BH$8:BH53)/SUM($BE$8:BE53))</f>
        <v/>
      </c>
      <c r="BU53" s="533" t="str">
        <f>IF(BE53="","",+SUM($BI$8:BI53)/SUM($BE$8:BE53))</f>
        <v/>
      </c>
      <c r="BV53" s="533" t="str">
        <f>IF(BE53="","",+SUM($BJ$8:BJ53)/SUM($BE$8:BE53))</f>
        <v/>
      </c>
      <c r="BW53" s="534" t="str">
        <f>IF(BE53="","",+SUM($BK$8:BK53)/SUM($BE$8:BE53))</f>
        <v/>
      </c>
    </row>
    <row r="54" spans="1:75" ht="24" customHeight="1" x14ac:dyDescent="0.2">
      <c r="A54" s="453">
        <f t="shared" si="12"/>
        <v>43733</v>
      </c>
      <c r="B54" s="442">
        <f t="shared" si="13"/>
        <v>69</v>
      </c>
      <c r="C54" s="209"/>
      <c r="D54" s="443"/>
      <c r="E54" s="443"/>
      <c r="F54" s="443"/>
      <c r="G54" s="443"/>
      <c r="H54" s="507"/>
      <c r="I54" s="209"/>
      <c r="J54" s="443"/>
      <c r="K54" s="443"/>
      <c r="L54" s="443"/>
      <c r="M54" s="443"/>
      <c r="N54" s="507"/>
      <c r="O54" s="209"/>
      <c r="P54" s="443"/>
      <c r="Q54" s="443"/>
      <c r="R54" s="443"/>
      <c r="S54" s="443"/>
      <c r="T54" s="507"/>
      <c r="U54" s="209"/>
      <c r="V54" s="443"/>
      <c r="W54" s="443"/>
      <c r="X54" s="443"/>
      <c r="Y54" s="443"/>
      <c r="Z54" s="507"/>
      <c r="AA54" s="209"/>
      <c r="AB54" s="443"/>
      <c r="AC54" s="443"/>
      <c r="AD54" s="443"/>
      <c r="AE54" s="443"/>
      <c r="AF54" s="507"/>
      <c r="AG54" s="209"/>
      <c r="AH54" s="443"/>
      <c r="AI54" s="443"/>
      <c r="AJ54" s="443"/>
      <c r="AK54" s="443"/>
      <c r="AL54" s="507"/>
      <c r="AM54" s="209"/>
      <c r="AN54" s="443"/>
      <c r="AO54" s="443"/>
      <c r="AP54" s="443"/>
      <c r="AQ54" s="443"/>
      <c r="AR54" s="507"/>
      <c r="AS54" s="209"/>
      <c r="AT54" s="443"/>
      <c r="AU54" s="443"/>
      <c r="AV54" s="443"/>
      <c r="AW54" s="443"/>
      <c r="AX54" s="507"/>
      <c r="AY54" s="209"/>
      <c r="AZ54" s="443"/>
      <c r="BA54" s="443"/>
      <c r="BB54" s="443"/>
      <c r="BC54" s="443"/>
      <c r="BD54" s="507"/>
      <c r="BE54" s="513" t="str">
        <f t="shared" si="1"/>
        <v/>
      </c>
      <c r="BF54" s="514" t="str">
        <f t="shared" si="2"/>
        <v/>
      </c>
      <c r="BG54" s="514" t="str">
        <f t="shared" si="2"/>
        <v/>
      </c>
      <c r="BH54" s="514" t="str">
        <f t="shared" si="2"/>
        <v/>
      </c>
      <c r="BI54" s="514" t="str">
        <f t="shared" si="2"/>
        <v/>
      </c>
      <c r="BJ54" s="514" t="str">
        <f t="shared" si="2"/>
        <v/>
      </c>
      <c r="BK54" s="515" t="str">
        <f t="shared" si="8"/>
        <v/>
      </c>
      <c r="BL54" s="527" t="str">
        <f t="shared" si="3"/>
        <v/>
      </c>
      <c r="BM54" s="522" t="str">
        <f t="shared" si="4"/>
        <v/>
      </c>
      <c r="BN54" s="522" t="str">
        <f t="shared" si="5"/>
        <v/>
      </c>
      <c r="BO54" s="522" t="str">
        <f t="shared" si="6"/>
        <v/>
      </c>
      <c r="BP54" s="522" t="str">
        <f t="shared" si="9"/>
        <v/>
      </c>
      <c r="BQ54" s="523" t="str">
        <f t="shared" si="7"/>
        <v/>
      </c>
      <c r="BR54" s="532" t="str">
        <f>IF(BE54="","",+SUM($BF$8:BF54)/SUM($BE$8:BE54))</f>
        <v/>
      </c>
      <c r="BS54" s="533" t="str">
        <f>IF(BE54="","",+SUM($BG$8:BG54)/SUM($BE$8:BE54))</f>
        <v/>
      </c>
      <c r="BT54" s="533" t="str">
        <f>IF(BE54="","",+SUM($BH$8:BH54)/SUM($BE$8:BE54))</f>
        <v/>
      </c>
      <c r="BU54" s="533" t="str">
        <f>IF(BE54="","",+SUM($BI$8:BI54)/SUM($BE$8:BE54))</f>
        <v/>
      </c>
      <c r="BV54" s="533" t="str">
        <f>IF(BE54="","",+SUM($BJ$8:BJ54)/SUM($BE$8:BE54))</f>
        <v/>
      </c>
      <c r="BW54" s="534" t="str">
        <f>IF(BE54="","",+SUM($BK$8:BK54)/SUM($BE$8:BE54))</f>
        <v/>
      </c>
    </row>
    <row r="55" spans="1:75" ht="24" customHeight="1" thickBot="1" x14ac:dyDescent="0.25">
      <c r="A55" s="454">
        <f t="shared" si="12"/>
        <v>43740</v>
      </c>
      <c r="B55" s="445">
        <f t="shared" si="13"/>
        <v>70</v>
      </c>
      <c r="C55" s="211"/>
      <c r="D55" s="446"/>
      <c r="E55" s="446"/>
      <c r="F55" s="446"/>
      <c r="G55" s="446"/>
      <c r="H55" s="508"/>
      <c r="I55" s="211"/>
      <c r="J55" s="446"/>
      <c r="K55" s="446"/>
      <c r="L55" s="446"/>
      <c r="M55" s="446"/>
      <c r="N55" s="508"/>
      <c r="O55" s="211"/>
      <c r="P55" s="446"/>
      <c r="Q55" s="446"/>
      <c r="R55" s="446"/>
      <c r="S55" s="446"/>
      <c r="T55" s="508"/>
      <c r="U55" s="211"/>
      <c r="V55" s="446"/>
      <c r="W55" s="446"/>
      <c r="X55" s="446"/>
      <c r="Y55" s="446"/>
      <c r="Z55" s="508"/>
      <c r="AA55" s="211"/>
      <c r="AB55" s="446"/>
      <c r="AC55" s="446"/>
      <c r="AD55" s="446"/>
      <c r="AE55" s="446"/>
      <c r="AF55" s="508"/>
      <c r="AG55" s="211"/>
      <c r="AH55" s="446"/>
      <c r="AI55" s="446"/>
      <c r="AJ55" s="446"/>
      <c r="AK55" s="446"/>
      <c r="AL55" s="508"/>
      <c r="AM55" s="211"/>
      <c r="AN55" s="446"/>
      <c r="AO55" s="446"/>
      <c r="AP55" s="446"/>
      <c r="AQ55" s="446"/>
      <c r="AR55" s="508"/>
      <c r="AS55" s="211"/>
      <c r="AT55" s="446"/>
      <c r="AU55" s="446"/>
      <c r="AV55" s="446"/>
      <c r="AW55" s="446"/>
      <c r="AX55" s="508"/>
      <c r="AY55" s="211"/>
      <c r="AZ55" s="446"/>
      <c r="BA55" s="446"/>
      <c r="BB55" s="446"/>
      <c r="BC55" s="446"/>
      <c r="BD55" s="508"/>
      <c r="BE55" s="517" t="str">
        <f t="shared" si="1"/>
        <v/>
      </c>
      <c r="BF55" s="518" t="str">
        <f t="shared" si="2"/>
        <v/>
      </c>
      <c r="BG55" s="518" t="str">
        <f t="shared" si="2"/>
        <v/>
      </c>
      <c r="BH55" s="518" t="str">
        <f t="shared" si="2"/>
        <v/>
      </c>
      <c r="BI55" s="518" t="str">
        <f t="shared" si="2"/>
        <v/>
      </c>
      <c r="BJ55" s="518" t="str">
        <f t="shared" si="2"/>
        <v/>
      </c>
      <c r="BK55" s="519" t="str">
        <f t="shared" si="8"/>
        <v/>
      </c>
      <c r="BL55" s="528"/>
      <c r="BM55" s="524"/>
      <c r="BN55" s="524"/>
      <c r="BO55" s="524"/>
      <c r="BP55" s="524"/>
      <c r="BQ55" s="525"/>
      <c r="BR55" s="535" t="str">
        <f>IF(BE55="","",+SUM($BF$8:BF55)/SUM($BE$8:BE55))</f>
        <v/>
      </c>
      <c r="BS55" s="536" t="str">
        <f>IF(BE55="","",+SUM($BG$8:BG55)/SUM($BE$8:BE55))</f>
        <v/>
      </c>
      <c r="BT55" s="536" t="str">
        <f>IF(BE55="","",+SUM($BH$8:BH55)/SUM($BE$8:BE55))</f>
        <v/>
      </c>
      <c r="BU55" s="536" t="str">
        <f>IF(BE55="","",+SUM($BI$8:BI55)/SUM($BE$8:BE55))</f>
        <v/>
      </c>
      <c r="BV55" s="536" t="str">
        <f>IF(BE55="","",+SUM($BJ$8:BJ55)/SUM($BE$8:BE55))</f>
        <v/>
      </c>
      <c r="BW55" s="537" t="str">
        <f>IF(BE55="","",+SUM($BK$8:BK55)/SUM($BE$8:BE55))</f>
        <v/>
      </c>
    </row>
    <row r="56" spans="1:75" ht="13.5" thickTop="1" x14ac:dyDescent="0.2">
      <c r="I56" s="483"/>
      <c r="J56" s="483"/>
      <c r="K56" s="483"/>
      <c r="L56" s="483"/>
      <c r="M56" s="483"/>
      <c r="N56" s="483"/>
      <c r="O56" s="483"/>
      <c r="P56" s="483"/>
      <c r="Q56" s="483"/>
      <c r="R56" s="483"/>
      <c r="S56" s="483"/>
      <c r="T56" s="483"/>
    </row>
    <row r="57" spans="1:75" x14ac:dyDescent="0.2">
      <c r="I57" s="483"/>
      <c r="J57" s="483"/>
      <c r="K57" s="483"/>
      <c r="L57" s="483"/>
      <c r="M57" s="483"/>
      <c r="N57" s="483"/>
      <c r="O57" s="483"/>
      <c r="P57" s="483"/>
      <c r="Q57" s="483"/>
      <c r="R57" s="483"/>
      <c r="S57" s="483"/>
      <c r="T57" s="483"/>
    </row>
    <row r="58" spans="1:75" x14ac:dyDescent="0.2">
      <c r="I58" s="483"/>
      <c r="J58" s="483"/>
      <c r="K58" s="483"/>
      <c r="L58" s="483"/>
      <c r="M58" s="483"/>
      <c r="N58" s="483"/>
      <c r="O58" s="483"/>
      <c r="P58" s="483"/>
      <c r="Q58" s="483"/>
      <c r="R58" s="483"/>
      <c r="S58" s="483"/>
      <c r="T58" s="483"/>
    </row>
    <row r="59" spans="1:75" x14ac:dyDescent="0.2">
      <c r="I59" s="483"/>
      <c r="J59" s="483"/>
      <c r="K59" s="483"/>
      <c r="L59" s="483"/>
      <c r="M59" s="483"/>
      <c r="N59" s="483"/>
      <c r="O59" s="483"/>
      <c r="P59" s="483"/>
      <c r="Q59" s="483"/>
      <c r="R59" s="483"/>
      <c r="S59" s="483"/>
      <c r="T59" s="483"/>
    </row>
    <row r="60" spans="1:75" x14ac:dyDescent="0.2">
      <c r="I60" s="483"/>
      <c r="J60" s="483"/>
      <c r="K60" s="483"/>
      <c r="L60" s="483"/>
      <c r="M60" s="483"/>
      <c r="N60" s="483"/>
      <c r="O60" s="483"/>
      <c r="P60" s="483"/>
      <c r="Q60" s="483"/>
      <c r="R60" s="483"/>
      <c r="S60" s="483"/>
      <c r="T60" s="483"/>
    </row>
    <row r="61" spans="1:75" x14ac:dyDescent="0.2">
      <c r="I61" s="483"/>
      <c r="J61" s="483"/>
      <c r="K61" s="483"/>
      <c r="L61" s="483"/>
      <c r="M61" s="483"/>
      <c r="N61" s="483"/>
      <c r="O61" s="483"/>
      <c r="P61" s="483"/>
      <c r="Q61" s="483"/>
      <c r="R61" s="483"/>
      <c r="S61" s="483"/>
      <c r="T61" s="483"/>
    </row>
    <row r="62" spans="1:75" x14ac:dyDescent="0.2">
      <c r="I62" s="483"/>
      <c r="J62" s="483"/>
      <c r="K62" s="483"/>
      <c r="L62" s="483"/>
      <c r="M62" s="483"/>
      <c r="N62" s="483"/>
      <c r="O62" s="483"/>
      <c r="P62" s="483"/>
      <c r="Q62" s="483"/>
      <c r="R62" s="483"/>
      <c r="S62" s="483"/>
      <c r="T62" s="483"/>
    </row>
    <row r="63" spans="1:75" x14ac:dyDescent="0.2">
      <c r="I63" s="483"/>
      <c r="J63" s="483"/>
      <c r="K63" s="483"/>
      <c r="L63" s="483"/>
      <c r="M63" s="483"/>
      <c r="N63" s="483"/>
      <c r="O63" s="483"/>
      <c r="P63" s="483"/>
      <c r="Q63" s="483"/>
      <c r="R63" s="483"/>
      <c r="S63" s="483"/>
      <c r="T63" s="483"/>
    </row>
    <row r="64" spans="1:75" x14ac:dyDescent="0.2">
      <c r="I64" s="483"/>
      <c r="J64" s="483"/>
      <c r="K64" s="483"/>
      <c r="L64" s="483"/>
      <c r="M64" s="483"/>
      <c r="N64" s="483"/>
      <c r="O64" s="483"/>
      <c r="P64" s="483"/>
      <c r="Q64" s="483"/>
      <c r="R64" s="483"/>
      <c r="S64" s="483"/>
      <c r="T64" s="483"/>
    </row>
    <row r="65" spans="9:20" x14ac:dyDescent="0.2">
      <c r="I65" s="483"/>
      <c r="J65" s="483"/>
      <c r="K65" s="483"/>
      <c r="L65" s="483"/>
      <c r="M65" s="483"/>
      <c r="N65" s="483"/>
      <c r="O65" s="483"/>
      <c r="P65" s="483"/>
      <c r="Q65" s="483"/>
      <c r="R65" s="483"/>
      <c r="S65" s="483"/>
      <c r="T65" s="483"/>
    </row>
    <row r="66" spans="9:20" x14ac:dyDescent="0.2">
      <c r="I66" s="483"/>
      <c r="J66" s="483"/>
      <c r="K66" s="483"/>
      <c r="L66" s="483"/>
      <c r="M66" s="483"/>
      <c r="N66" s="483"/>
      <c r="O66" s="483"/>
      <c r="P66" s="483"/>
      <c r="Q66" s="483"/>
      <c r="R66" s="483"/>
      <c r="S66" s="483"/>
      <c r="T66" s="483"/>
    </row>
    <row r="67" spans="9:20" x14ac:dyDescent="0.2">
      <c r="I67" s="483"/>
      <c r="J67" s="483"/>
      <c r="K67" s="483"/>
      <c r="L67" s="483"/>
      <c r="M67" s="483"/>
      <c r="N67" s="483"/>
      <c r="O67" s="483"/>
      <c r="P67" s="483"/>
      <c r="Q67" s="483"/>
      <c r="R67" s="483"/>
      <c r="S67" s="483"/>
      <c r="T67" s="483"/>
    </row>
    <row r="68" spans="9:20" x14ac:dyDescent="0.2">
      <c r="I68" s="483"/>
      <c r="J68" s="483"/>
      <c r="K68" s="483"/>
      <c r="L68" s="483"/>
      <c r="M68" s="483"/>
      <c r="N68" s="483"/>
      <c r="O68" s="483"/>
      <c r="P68" s="483"/>
      <c r="Q68" s="483"/>
      <c r="R68" s="483"/>
      <c r="S68" s="483"/>
      <c r="T68" s="483"/>
    </row>
    <row r="69" spans="9:20" x14ac:dyDescent="0.2">
      <c r="I69" s="483"/>
      <c r="J69" s="483"/>
      <c r="K69" s="483"/>
      <c r="L69" s="483"/>
      <c r="M69" s="483"/>
      <c r="N69" s="483"/>
      <c r="O69" s="483"/>
      <c r="P69" s="483"/>
      <c r="Q69" s="483"/>
      <c r="R69" s="483"/>
      <c r="S69" s="483"/>
      <c r="T69" s="483"/>
    </row>
    <row r="70" spans="9:20" x14ac:dyDescent="0.2">
      <c r="I70" s="483"/>
      <c r="J70" s="483"/>
      <c r="K70" s="483"/>
      <c r="L70" s="483"/>
      <c r="M70" s="483"/>
      <c r="N70" s="483"/>
      <c r="O70" s="483"/>
      <c r="P70" s="483"/>
      <c r="Q70" s="483"/>
      <c r="R70" s="483"/>
      <c r="S70" s="483"/>
      <c r="T70" s="483"/>
    </row>
    <row r="71" spans="9:20" x14ac:dyDescent="0.2">
      <c r="I71" s="483"/>
      <c r="J71" s="483"/>
      <c r="K71" s="483"/>
      <c r="L71" s="483"/>
      <c r="M71" s="483"/>
      <c r="N71" s="483"/>
      <c r="O71" s="483"/>
      <c r="P71" s="483"/>
      <c r="Q71" s="483"/>
      <c r="R71" s="483"/>
      <c r="S71" s="483"/>
      <c r="T71" s="483"/>
    </row>
    <row r="72" spans="9:20" x14ac:dyDescent="0.2">
      <c r="I72" s="483"/>
      <c r="J72" s="483"/>
      <c r="K72" s="483"/>
      <c r="L72" s="483"/>
      <c r="M72" s="483"/>
      <c r="N72" s="483"/>
      <c r="O72" s="483"/>
      <c r="P72" s="483"/>
      <c r="Q72" s="483"/>
      <c r="R72" s="483"/>
      <c r="S72" s="483"/>
      <c r="T72" s="483"/>
    </row>
    <row r="73" spans="9:20" x14ac:dyDescent="0.2">
      <c r="I73" s="483"/>
      <c r="J73" s="483"/>
      <c r="K73" s="483"/>
      <c r="L73" s="483"/>
      <c r="M73" s="483"/>
      <c r="N73" s="483"/>
      <c r="O73" s="483"/>
      <c r="P73" s="483"/>
      <c r="Q73" s="483"/>
      <c r="R73" s="483"/>
      <c r="S73" s="483"/>
      <c r="T73" s="483"/>
    </row>
  </sheetData>
  <mergeCells count="40">
    <mergeCell ref="C4:T4"/>
    <mergeCell ref="R5:T5"/>
    <mergeCell ref="BR5:BW5"/>
    <mergeCell ref="BR6:BW6"/>
    <mergeCell ref="AM5:AO5"/>
    <mergeCell ref="AP5:AR5"/>
    <mergeCell ref="AM6:AR6"/>
    <mergeCell ref="BE5:BK5"/>
    <mergeCell ref="BE6:BK6"/>
    <mergeCell ref="BB5:BD5"/>
    <mergeCell ref="AS5:AU5"/>
    <mergeCell ref="AY5:BA5"/>
    <mergeCell ref="BL5:BQ5"/>
    <mergeCell ref="BL6:BQ6"/>
    <mergeCell ref="O6:T6"/>
    <mergeCell ref="C6:H6"/>
    <mergeCell ref="AY6:BD6"/>
    <mergeCell ref="AV5:AX5"/>
    <mergeCell ref="AS6:AX6"/>
    <mergeCell ref="U6:Z6"/>
    <mergeCell ref="AJ5:AL5"/>
    <mergeCell ref="V1:X1"/>
    <mergeCell ref="V2:X2"/>
    <mergeCell ref="AG6:AL6"/>
    <mergeCell ref="AA5:AC5"/>
    <mergeCell ref="AG5:AI5"/>
    <mergeCell ref="AD5:AF5"/>
    <mergeCell ref="U4:AF4"/>
    <mergeCell ref="AA6:AF6"/>
    <mergeCell ref="X5:Z5"/>
    <mergeCell ref="AD2:AE2"/>
    <mergeCell ref="V3:X3"/>
    <mergeCell ref="AD3:AE3"/>
    <mergeCell ref="U5:W5"/>
    <mergeCell ref="O5:Q5"/>
    <mergeCell ref="I6:N6"/>
    <mergeCell ref="C5:E5"/>
    <mergeCell ref="F5:H5"/>
    <mergeCell ref="I5:K5"/>
    <mergeCell ref="L5:N5"/>
  </mergeCells>
  <phoneticPr fontId="17" type="noConversion"/>
  <pageMargins left="0.75" right="0.75" top="1" bottom="1" header="0" footer="0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CN77"/>
  <sheetViews>
    <sheetView zoomScale="75" workbookViewId="0">
      <selection activeCell="G12" sqref="G12"/>
    </sheetView>
  </sheetViews>
  <sheetFormatPr baseColWidth="10" defaultColWidth="9.140625" defaultRowHeight="12.75" x14ac:dyDescent="0.2"/>
  <cols>
    <col min="1" max="1" width="13" customWidth="1"/>
    <col min="2" max="2" width="6.42578125" style="1" customWidth="1"/>
    <col min="3" max="3" width="7.7109375" customWidth="1"/>
    <col min="4" max="4" width="8.28515625" customWidth="1"/>
    <col min="5" max="5" width="7.42578125" customWidth="1"/>
    <col min="6" max="6" width="6.140625" customWidth="1"/>
    <col min="7" max="7" width="6.7109375" customWidth="1"/>
    <col min="8" max="8" width="7.85546875" customWidth="1"/>
    <col min="9" max="9" width="7" customWidth="1"/>
    <col min="10" max="10" width="6.140625" customWidth="1"/>
    <col min="11" max="11" width="6.7109375" customWidth="1"/>
    <col min="12" max="12" width="6.140625" customWidth="1"/>
    <col min="13" max="13" width="6.7109375" customWidth="1"/>
    <col min="14" max="92" width="6.140625" customWidth="1"/>
  </cols>
  <sheetData>
    <row r="1" spans="1:92" ht="24.95" customHeight="1" x14ac:dyDescent="0.25">
      <c r="A1" s="20" t="s">
        <v>125</v>
      </c>
      <c r="B1" s="415"/>
      <c r="C1" s="416"/>
      <c r="D1" s="416"/>
      <c r="E1" s="22" t="str">
        <f>IF(LOT!$B$3="","",LOT!$B$3)</f>
        <v>CASAP-BLIDA</v>
      </c>
      <c r="F1" s="22"/>
      <c r="G1" s="22"/>
      <c r="H1" s="22"/>
      <c r="I1" s="416"/>
      <c r="J1" s="416"/>
      <c r="K1" s="416"/>
      <c r="L1" s="416"/>
      <c r="M1" s="416"/>
      <c r="N1" s="22"/>
      <c r="O1" s="416"/>
      <c r="P1" s="24" t="s">
        <v>142</v>
      </c>
      <c r="Q1" s="418"/>
      <c r="R1" s="416"/>
      <c r="S1" s="418"/>
      <c r="T1" s="418"/>
      <c r="U1" s="418"/>
      <c r="V1" s="616">
        <f>IF(LOT!$B$4="","",LOT!$B$4)</f>
        <v>43250</v>
      </c>
      <c r="W1" s="616"/>
      <c r="X1" s="616"/>
      <c r="Y1" s="419"/>
      <c r="Z1" s="419"/>
      <c r="AA1" s="419"/>
      <c r="AB1" s="419"/>
      <c r="AC1" s="419"/>
      <c r="AD1" s="419"/>
      <c r="AE1" s="419"/>
      <c r="AF1" s="419"/>
      <c r="AG1" s="419"/>
      <c r="AH1" s="419"/>
      <c r="AI1" s="419"/>
      <c r="AJ1" s="419"/>
      <c r="AK1" s="419"/>
      <c r="AL1" s="419"/>
      <c r="AM1" s="419"/>
      <c r="AN1" s="419"/>
      <c r="AO1" s="419"/>
      <c r="AP1" s="419"/>
      <c r="AQ1" s="419"/>
      <c r="AR1" s="419"/>
      <c r="AS1" s="419"/>
      <c r="AT1" s="419"/>
      <c r="AU1" s="419"/>
      <c r="AV1" s="419"/>
      <c r="AW1" s="419"/>
      <c r="AX1" s="419"/>
      <c r="AY1" s="419"/>
      <c r="AZ1" s="419"/>
      <c r="BA1" s="419"/>
      <c r="BB1" s="419"/>
      <c r="BC1" s="419"/>
      <c r="BD1" s="419"/>
      <c r="BE1" s="419"/>
      <c r="BF1" s="419"/>
      <c r="BG1" s="419"/>
      <c r="BH1" s="419"/>
      <c r="BI1" s="419"/>
      <c r="BJ1" s="419"/>
      <c r="BK1" s="419"/>
      <c r="BL1" s="419"/>
      <c r="BM1" s="419"/>
      <c r="BN1" s="419"/>
      <c r="BO1" s="419"/>
      <c r="BP1" s="419"/>
      <c r="BQ1" s="419"/>
      <c r="BR1" s="419"/>
      <c r="BS1" s="419"/>
      <c r="BT1" s="419"/>
      <c r="BU1" s="419"/>
      <c r="BV1" s="419"/>
      <c r="BW1" s="419"/>
      <c r="BX1" s="419"/>
      <c r="BY1" s="419"/>
      <c r="BZ1" s="419"/>
      <c r="CA1" s="419"/>
      <c r="CB1" s="419"/>
      <c r="CC1" s="419"/>
      <c r="CD1" s="419"/>
      <c r="CE1" s="419"/>
      <c r="CF1" s="419"/>
      <c r="CG1" s="419"/>
      <c r="CH1" s="419"/>
      <c r="CI1" s="419"/>
      <c r="CJ1" s="419"/>
      <c r="CK1" s="419"/>
      <c r="CL1" s="419"/>
      <c r="CM1" s="419"/>
      <c r="CN1" s="419"/>
    </row>
    <row r="2" spans="1:92" ht="24.95" customHeight="1" x14ac:dyDescent="0.25">
      <c r="A2" s="24" t="s">
        <v>74</v>
      </c>
      <c r="B2" s="415"/>
      <c r="C2" s="416"/>
      <c r="D2" s="416"/>
      <c r="E2" s="22" t="str">
        <f>IF(LOT!$B$7="","",LOT!$B$7)</f>
        <v>AIN OUSSERA-ALGERIE</v>
      </c>
      <c r="F2" s="22"/>
      <c r="G2" s="22"/>
      <c r="H2" s="22"/>
      <c r="I2" s="416"/>
      <c r="J2" s="416"/>
      <c r="K2" s="416"/>
      <c r="L2" s="416"/>
      <c r="M2" s="416"/>
      <c r="N2" s="22"/>
      <c r="O2" s="416"/>
      <c r="P2" s="24" t="s">
        <v>143</v>
      </c>
      <c r="Q2" s="418"/>
      <c r="R2" s="416"/>
      <c r="S2" s="418"/>
      <c r="T2" s="418"/>
      <c r="U2" s="418"/>
      <c r="V2" s="617">
        <f>IF(LOT!$B$5="","",LOT!$B$5)</f>
        <v>7872</v>
      </c>
      <c r="W2" s="617"/>
      <c r="X2" s="617"/>
      <c r="Y2" s="35" t="s">
        <v>154</v>
      </c>
      <c r="Z2" s="448"/>
      <c r="AA2" s="416"/>
      <c r="AB2" s="416"/>
      <c r="AC2" s="416"/>
      <c r="AD2" s="659">
        <f>'Prod-Rec'!O2</f>
        <v>7695</v>
      </c>
      <c r="AE2" s="659"/>
      <c r="AF2" s="461"/>
      <c r="AG2" s="416"/>
      <c r="AH2" s="416"/>
      <c r="AI2" s="416"/>
      <c r="AJ2" s="416"/>
      <c r="AK2" s="416"/>
      <c r="AL2" s="416"/>
      <c r="AM2" s="416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BA2" s="416"/>
      <c r="BB2" s="416"/>
      <c r="BC2" s="416"/>
      <c r="BD2" s="416"/>
      <c r="BE2" s="416"/>
      <c r="BF2" s="416"/>
      <c r="BG2" s="416"/>
      <c r="BH2" s="416"/>
      <c r="BI2" s="416"/>
      <c r="BJ2" s="416"/>
      <c r="BK2" s="416"/>
      <c r="BL2" s="416"/>
      <c r="BM2" s="416"/>
      <c r="BN2" s="416"/>
      <c r="BO2" s="416"/>
      <c r="BP2" s="416"/>
      <c r="BQ2" s="416"/>
      <c r="BR2" s="416"/>
      <c r="BS2" s="416"/>
      <c r="BT2" s="416"/>
      <c r="BU2" s="416"/>
      <c r="BV2" s="416"/>
      <c r="BW2" s="416"/>
      <c r="BX2" s="416"/>
      <c r="BY2" s="416"/>
      <c r="BZ2" s="416"/>
      <c r="CA2" s="416"/>
      <c r="CB2" s="416"/>
      <c r="CC2" s="416"/>
      <c r="CD2" s="416"/>
      <c r="CE2" s="416"/>
      <c r="CF2" s="416"/>
      <c r="CG2" s="416"/>
      <c r="CH2" s="416"/>
      <c r="CI2" s="416"/>
      <c r="CJ2" s="416"/>
      <c r="CK2" s="416"/>
      <c r="CL2" s="416"/>
      <c r="CM2" s="416"/>
      <c r="CN2" s="416"/>
    </row>
    <row r="3" spans="1:92" ht="24.95" customHeight="1" thickBot="1" x14ac:dyDescent="0.3">
      <c r="A3" s="24" t="s">
        <v>73</v>
      </c>
      <c r="B3" s="415"/>
      <c r="C3" s="416"/>
      <c r="D3" s="416"/>
      <c r="E3" s="22" t="str">
        <f>IF(LOT!$B$8="","",LOT!$B$8)</f>
        <v/>
      </c>
      <c r="F3" s="22"/>
      <c r="G3" s="22"/>
      <c r="H3" s="22"/>
      <c r="I3" s="416"/>
      <c r="J3" s="416"/>
      <c r="K3" s="416"/>
      <c r="L3" s="416"/>
      <c r="M3" s="416"/>
      <c r="N3" s="22"/>
      <c r="O3" s="416"/>
      <c r="P3" s="24" t="s">
        <v>144</v>
      </c>
      <c r="Q3" s="418"/>
      <c r="R3" s="416"/>
      <c r="S3" s="418"/>
      <c r="T3" s="418"/>
      <c r="U3" s="418"/>
      <c r="V3" s="617">
        <f>IF(LOT!$B$6="","",LOT!$B$6)</f>
        <v>1200</v>
      </c>
      <c r="W3" s="617"/>
      <c r="X3" s="617"/>
      <c r="Y3" s="35" t="s">
        <v>137</v>
      </c>
      <c r="Z3" s="448"/>
      <c r="AA3" s="416"/>
      <c r="AB3" s="416"/>
      <c r="AC3" s="416"/>
      <c r="AD3" s="659">
        <f>'Prod-Rec'!O3</f>
        <v>1156</v>
      </c>
      <c r="AE3" s="659"/>
      <c r="AF3" s="461"/>
      <c r="AG3" s="416"/>
      <c r="AH3" s="416"/>
      <c r="AI3" s="416"/>
      <c r="AJ3" s="416"/>
      <c r="AK3" s="416"/>
      <c r="AL3" s="416"/>
      <c r="AM3" s="416"/>
      <c r="AN3" s="416"/>
      <c r="AO3" s="416"/>
      <c r="AP3" s="416"/>
      <c r="AQ3" s="416"/>
      <c r="AR3" s="416"/>
      <c r="AS3" s="416"/>
      <c r="AT3" s="416"/>
      <c r="AU3" s="416"/>
      <c r="AV3" s="416"/>
      <c r="AW3" s="416"/>
      <c r="AX3" s="416"/>
      <c r="AY3" s="416"/>
      <c r="AZ3" s="416"/>
      <c r="BA3" s="416"/>
      <c r="BB3" s="416"/>
      <c r="BC3" s="416"/>
      <c r="BD3" s="416"/>
      <c r="BE3" s="416"/>
      <c r="BF3" s="416"/>
      <c r="BG3" s="416"/>
      <c r="BH3" s="416"/>
      <c r="BI3" s="416"/>
      <c r="BJ3" s="416"/>
      <c r="BK3" s="416"/>
      <c r="BL3" s="416"/>
      <c r="BM3" s="416"/>
      <c r="BN3" s="416"/>
      <c r="BO3" s="416"/>
      <c r="BP3" s="416"/>
      <c r="BQ3" s="416"/>
      <c r="BR3" s="416"/>
      <c r="BS3" s="416"/>
      <c r="BT3" s="416"/>
      <c r="BU3" s="416"/>
      <c r="BV3" s="416"/>
      <c r="BW3" s="416"/>
      <c r="BX3" s="416"/>
      <c r="BY3" s="416"/>
      <c r="BZ3" s="416"/>
      <c r="CA3" s="416"/>
      <c r="CB3" s="416"/>
      <c r="CC3" s="416"/>
      <c r="CD3" s="416"/>
      <c r="CE3" s="416"/>
      <c r="CF3" s="416"/>
      <c r="CG3" s="416"/>
      <c r="CH3" s="416"/>
      <c r="CI3" s="416"/>
      <c r="CJ3" s="416"/>
      <c r="CK3" s="416"/>
      <c r="CL3" s="416"/>
      <c r="CM3" s="416"/>
      <c r="CN3" s="416"/>
    </row>
    <row r="4" spans="1:92" ht="15" customHeight="1" thickTop="1" thickBot="1" x14ac:dyDescent="0.3">
      <c r="A4" s="44"/>
      <c r="B4" s="423"/>
      <c r="C4" s="674" t="s">
        <v>2</v>
      </c>
      <c r="D4" s="675"/>
      <c r="E4" s="676"/>
      <c r="F4" s="424"/>
      <c r="G4" s="424"/>
      <c r="H4" s="449"/>
      <c r="I4" s="424"/>
      <c r="J4" s="424"/>
      <c r="K4" s="424"/>
      <c r="L4" s="424"/>
      <c r="M4" s="424"/>
      <c r="N4" s="449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spans="1:92" ht="24.95" customHeight="1" thickTop="1" x14ac:dyDescent="0.2">
      <c r="A5" s="44"/>
      <c r="B5" s="423"/>
      <c r="C5" s="668" t="s">
        <v>170</v>
      </c>
      <c r="D5" s="669"/>
      <c r="E5" s="669"/>
      <c r="F5" s="669"/>
      <c r="G5" s="669"/>
      <c r="H5" s="669"/>
      <c r="I5" s="670">
        <v>1</v>
      </c>
      <c r="J5" s="670"/>
      <c r="K5" s="670"/>
      <c r="L5" s="671"/>
      <c r="M5" s="668" t="s">
        <v>170</v>
      </c>
      <c r="N5" s="669"/>
      <c r="O5" s="669"/>
      <c r="P5" s="669"/>
      <c r="Q5" s="669"/>
      <c r="R5" s="669"/>
      <c r="S5" s="670">
        <v>2</v>
      </c>
      <c r="T5" s="670"/>
      <c r="U5" s="670"/>
      <c r="V5" s="671"/>
      <c r="W5" s="668" t="s">
        <v>170</v>
      </c>
      <c r="X5" s="669"/>
      <c r="Y5" s="669"/>
      <c r="Z5" s="669"/>
      <c r="AA5" s="669"/>
      <c r="AB5" s="669"/>
      <c r="AC5" s="670">
        <v>3</v>
      </c>
      <c r="AD5" s="670"/>
      <c r="AE5" s="670"/>
      <c r="AF5" s="671"/>
      <c r="AG5" s="668" t="s">
        <v>170</v>
      </c>
      <c r="AH5" s="669"/>
      <c r="AI5" s="669"/>
      <c r="AJ5" s="669"/>
      <c r="AK5" s="669"/>
      <c r="AL5" s="669"/>
      <c r="AM5" s="670">
        <v>4</v>
      </c>
      <c r="AN5" s="670"/>
      <c r="AO5" s="670"/>
      <c r="AP5" s="671"/>
      <c r="AQ5" s="668" t="s">
        <v>170</v>
      </c>
      <c r="AR5" s="669"/>
      <c r="AS5" s="669"/>
      <c r="AT5" s="669"/>
      <c r="AU5" s="669"/>
      <c r="AV5" s="669"/>
      <c r="AW5" s="670">
        <v>5</v>
      </c>
      <c r="AX5" s="670"/>
      <c r="AY5" s="670"/>
      <c r="AZ5" s="671"/>
      <c r="BA5" s="668" t="s">
        <v>170</v>
      </c>
      <c r="BB5" s="669"/>
      <c r="BC5" s="669"/>
      <c r="BD5" s="669"/>
      <c r="BE5" s="669"/>
      <c r="BF5" s="669"/>
      <c r="BG5" s="670">
        <v>6</v>
      </c>
      <c r="BH5" s="670"/>
      <c r="BI5" s="670"/>
      <c r="BJ5" s="671"/>
      <c r="BK5" s="668" t="s">
        <v>170</v>
      </c>
      <c r="BL5" s="669"/>
      <c r="BM5" s="669"/>
      <c r="BN5" s="669"/>
      <c r="BO5" s="669"/>
      <c r="BP5" s="669"/>
      <c r="BQ5" s="670">
        <v>7</v>
      </c>
      <c r="BR5" s="670"/>
      <c r="BS5" s="670"/>
      <c r="BT5" s="671"/>
      <c r="BU5" s="668" t="s">
        <v>170</v>
      </c>
      <c r="BV5" s="669"/>
      <c r="BW5" s="669"/>
      <c r="BX5" s="669"/>
      <c r="BY5" s="669"/>
      <c r="BZ5" s="669"/>
      <c r="CA5" s="670">
        <v>8</v>
      </c>
      <c r="CB5" s="670"/>
      <c r="CC5" s="670"/>
      <c r="CD5" s="671"/>
      <c r="CE5" s="668" t="s">
        <v>170</v>
      </c>
      <c r="CF5" s="669"/>
      <c r="CG5" s="669"/>
      <c r="CH5" s="669"/>
      <c r="CI5" s="669"/>
      <c r="CJ5" s="669"/>
      <c r="CK5" s="670">
        <v>9</v>
      </c>
      <c r="CL5" s="670"/>
      <c r="CM5" s="670"/>
      <c r="CN5" s="671"/>
    </row>
    <row r="6" spans="1:92" ht="24.95" customHeight="1" thickBot="1" x14ac:dyDescent="0.25">
      <c r="A6" s="427"/>
      <c r="B6" s="428"/>
      <c r="C6" s="672" t="s">
        <v>166</v>
      </c>
      <c r="D6" s="655"/>
      <c r="E6" s="655" t="s">
        <v>158</v>
      </c>
      <c r="F6" s="655"/>
      <c r="G6" s="655" t="s">
        <v>167</v>
      </c>
      <c r="H6" s="655"/>
      <c r="I6" s="655" t="s">
        <v>168</v>
      </c>
      <c r="J6" s="655"/>
      <c r="K6" s="655" t="s">
        <v>161</v>
      </c>
      <c r="L6" s="673"/>
      <c r="M6" s="672" t="s">
        <v>166</v>
      </c>
      <c r="N6" s="655"/>
      <c r="O6" s="655" t="s">
        <v>158</v>
      </c>
      <c r="P6" s="655"/>
      <c r="Q6" s="655" t="s">
        <v>167</v>
      </c>
      <c r="R6" s="655"/>
      <c r="S6" s="655" t="s">
        <v>168</v>
      </c>
      <c r="T6" s="655"/>
      <c r="U6" s="655" t="s">
        <v>161</v>
      </c>
      <c r="V6" s="673"/>
      <c r="W6" s="672" t="s">
        <v>166</v>
      </c>
      <c r="X6" s="655"/>
      <c r="Y6" s="655" t="s">
        <v>158</v>
      </c>
      <c r="Z6" s="655"/>
      <c r="AA6" s="655" t="s">
        <v>167</v>
      </c>
      <c r="AB6" s="655"/>
      <c r="AC6" s="655" t="s">
        <v>168</v>
      </c>
      <c r="AD6" s="655"/>
      <c r="AE6" s="655" t="s">
        <v>161</v>
      </c>
      <c r="AF6" s="673"/>
      <c r="AG6" s="672" t="s">
        <v>166</v>
      </c>
      <c r="AH6" s="655"/>
      <c r="AI6" s="655" t="s">
        <v>158</v>
      </c>
      <c r="AJ6" s="655"/>
      <c r="AK6" s="655" t="s">
        <v>167</v>
      </c>
      <c r="AL6" s="655"/>
      <c r="AM6" s="655" t="s">
        <v>168</v>
      </c>
      <c r="AN6" s="655"/>
      <c r="AO6" s="655" t="s">
        <v>161</v>
      </c>
      <c r="AP6" s="673"/>
      <c r="AQ6" s="672" t="s">
        <v>166</v>
      </c>
      <c r="AR6" s="655"/>
      <c r="AS6" s="655" t="s">
        <v>158</v>
      </c>
      <c r="AT6" s="655"/>
      <c r="AU6" s="655" t="s">
        <v>167</v>
      </c>
      <c r="AV6" s="655"/>
      <c r="AW6" s="655" t="s">
        <v>168</v>
      </c>
      <c r="AX6" s="655"/>
      <c r="AY6" s="655" t="s">
        <v>161</v>
      </c>
      <c r="AZ6" s="673"/>
      <c r="BA6" s="672" t="s">
        <v>166</v>
      </c>
      <c r="BB6" s="655"/>
      <c r="BC6" s="655" t="s">
        <v>158</v>
      </c>
      <c r="BD6" s="655"/>
      <c r="BE6" s="655" t="s">
        <v>167</v>
      </c>
      <c r="BF6" s="655"/>
      <c r="BG6" s="655" t="s">
        <v>168</v>
      </c>
      <c r="BH6" s="655"/>
      <c r="BI6" s="655" t="s">
        <v>161</v>
      </c>
      <c r="BJ6" s="673"/>
      <c r="BK6" s="672" t="s">
        <v>166</v>
      </c>
      <c r="BL6" s="655"/>
      <c r="BM6" s="655" t="s">
        <v>158</v>
      </c>
      <c r="BN6" s="655"/>
      <c r="BO6" s="655" t="s">
        <v>167</v>
      </c>
      <c r="BP6" s="655"/>
      <c r="BQ6" s="655" t="s">
        <v>168</v>
      </c>
      <c r="BR6" s="655"/>
      <c r="BS6" s="655" t="s">
        <v>161</v>
      </c>
      <c r="BT6" s="673"/>
      <c r="BU6" s="672" t="s">
        <v>166</v>
      </c>
      <c r="BV6" s="655"/>
      <c r="BW6" s="655" t="s">
        <v>158</v>
      </c>
      <c r="BX6" s="655"/>
      <c r="BY6" s="655" t="s">
        <v>167</v>
      </c>
      <c r="BZ6" s="655"/>
      <c r="CA6" s="655" t="s">
        <v>168</v>
      </c>
      <c r="CB6" s="655"/>
      <c r="CC6" s="655" t="s">
        <v>161</v>
      </c>
      <c r="CD6" s="673"/>
      <c r="CE6" s="672" t="s">
        <v>166</v>
      </c>
      <c r="CF6" s="655"/>
      <c r="CG6" s="655" t="s">
        <v>158</v>
      </c>
      <c r="CH6" s="655"/>
      <c r="CI6" s="655" t="s">
        <v>167</v>
      </c>
      <c r="CJ6" s="655"/>
      <c r="CK6" s="655" t="s">
        <v>168</v>
      </c>
      <c r="CL6" s="655"/>
      <c r="CM6" s="655" t="s">
        <v>161</v>
      </c>
      <c r="CN6" s="673"/>
    </row>
    <row r="7" spans="1:92" ht="24.95" customHeight="1" thickTop="1" thickBot="1" x14ac:dyDescent="0.25">
      <c r="A7" s="53" t="s">
        <v>80</v>
      </c>
      <c r="B7" s="39" t="s">
        <v>79</v>
      </c>
      <c r="C7" s="497" t="s">
        <v>0</v>
      </c>
      <c r="D7" s="462" t="s">
        <v>169</v>
      </c>
      <c r="E7" s="463" t="s">
        <v>0</v>
      </c>
      <c r="F7" s="462" t="s">
        <v>169</v>
      </c>
      <c r="G7" s="463" t="s">
        <v>0</v>
      </c>
      <c r="H7" s="462" t="s">
        <v>169</v>
      </c>
      <c r="I7" s="463" t="s">
        <v>0</v>
      </c>
      <c r="J7" s="462" t="s">
        <v>169</v>
      </c>
      <c r="K7" s="463" t="s">
        <v>0</v>
      </c>
      <c r="L7" s="462" t="s">
        <v>169</v>
      </c>
      <c r="M7" s="497" t="s">
        <v>0</v>
      </c>
      <c r="N7" s="462" t="s">
        <v>169</v>
      </c>
      <c r="O7" s="463" t="s">
        <v>0</v>
      </c>
      <c r="P7" s="462" t="s">
        <v>169</v>
      </c>
      <c r="Q7" s="463" t="s">
        <v>0</v>
      </c>
      <c r="R7" s="462" t="s">
        <v>169</v>
      </c>
      <c r="S7" s="463" t="s">
        <v>0</v>
      </c>
      <c r="T7" s="462" t="s">
        <v>169</v>
      </c>
      <c r="U7" s="463" t="s">
        <v>0</v>
      </c>
      <c r="V7" s="462" t="s">
        <v>169</v>
      </c>
      <c r="W7" s="497" t="s">
        <v>0</v>
      </c>
      <c r="X7" s="462" t="s">
        <v>169</v>
      </c>
      <c r="Y7" s="463" t="s">
        <v>0</v>
      </c>
      <c r="Z7" s="462" t="s">
        <v>169</v>
      </c>
      <c r="AA7" s="463" t="s">
        <v>0</v>
      </c>
      <c r="AB7" s="462" t="s">
        <v>169</v>
      </c>
      <c r="AC7" s="463" t="s">
        <v>0</v>
      </c>
      <c r="AD7" s="462" t="s">
        <v>169</v>
      </c>
      <c r="AE7" s="463" t="s">
        <v>0</v>
      </c>
      <c r="AF7" s="462" t="s">
        <v>169</v>
      </c>
      <c r="AG7" s="497" t="s">
        <v>0</v>
      </c>
      <c r="AH7" s="462" t="s">
        <v>169</v>
      </c>
      <c r="AI7" s="463" t="s">
        <v>0</v>
      </c>
      <c r="AJ7" s="462" t="s">
        <v>169</v>
      </c>
      <c r="AK7" s="463" t="s">
        <v>0</v>
      </c>
      <c r="AL7" s="462" t="s">
        <v>169</v>
      </c>
      <c r="AM7" s="463" t="s">
        <v>0</v>
      </c>
      <c r="AN7" s="462" t="s">
        <v>169</v>
      </c>
      <c r="AO7" s="463" t="s">
        <v>0</v>
      </c>
      <c r="AP7" s="462" t="s">
        <v>169</v>
      </c>
      <c r="AQ7" s="497" t="s">
        <v>0</v>
      </c>
      <c r="AR7" s="462" t="s">
        <v>169</v>
      </c>
      <c r="AS7" s="463" t="s">
        <v>0</v>
      </c>
      <c r="AT7" s="462" t="s">
        <v>169</v>
      </c>
      <c r="AU7" s="463" t="s">
        <v>0</v>
      </c>
      <c r="AV7" s="462" t="s">
        <v>169</v>
      </c>
      <c r="AW7" s="463" t="s">
        <v>0</v>
      </c>
      <c r="AX7" s="462" t="s">
        <v>169</v>
      </c>
      <c r="AY7" s="463" t="s">
        <v>0</v>
      </c>
      <c r="AZ7" s="462" t="s">
        <v>169</v>
      </c>
      <c r="BA7" s="497" t="s">
        <v>0</v>
      </c>
      <c r="BB7" s="462" t="s">
        <v>169</v>
      </c>
      <c r="BC7" s="463" t="s">
        <v>0</v>
      </c>
      <c r="BD7" s="462" t="s">
        <v>169</v>
      </c>
      <c r="BE7" s="463" t="s">
        <v>0</v>
      </c>
      <c r="BF7" s="462" t="s">
        <v>169</v>
      </c>
      <c r="BG7" s="463" t="s">
        <v>0</v>
      </c>
      <c r="BH7" s="462" t="s">
        <v>169</v>
      </c>
      <c r="BI7" s="463" t="s">
        <v>0</v>
      </c>
      <c r="BJ7" s="462" t="s">
        <v>169</v>
      </c>
      <c r="BK7" s="497" t="s">
        <v>0</v>
      </c>
      <c r="BL7" s="462" t="s">
        <v>169</v>
      </c>
      <c r="BM7" s="463" t="s">
        <v>0</v>
      </c>
      <c r="BN7" s="462" t="s">
        <v>169</v>
      </c>
      <c r="BO7" s="463" t="s">
        <v>0</v>
      </c>
      <c r="BP7" s="462" t="s">
        <v>169</v>
      </c>
      <c r="BQ7" s="463" t="s">
        <v>0</v>
      </c>
      <c r="BR7" s="462" t="s">
        <v>169</v>
      </c>
      <c r="BS7" s="463" t="s">
        <v>0</v>
      </c>
      <c r="BT7" s="462" t="s">
        <v>169</v>
      </c>
      <c r="BU7" s="497" t="s">
        <v>0</v>
      </c>
      <c r="BV7" s="462" t="s">
        <v>169</v>
      </c>
      <c r="BW7" s="463" t="s">
        <v>0</v>
      </c>
      <c r="BX7" s="462" t="s">
        <v>169</v>
      </c>
      <c r="BY7" s="463" t="s">
        <v>0</v>
      </c>
      <c r="BZ7" s="462" t="s">
        <v>169</v>
      </c>
      <c r="CA7" s="463" t="s">
        <v>0</v>
      </c>
      <c r="CB7" s="462" t="s">
        <v>169</v>
      </c>
      <c r="CC7" s="463" t="s">
        <v>0</v>
      </c>
      <c r="CD7" s="462" t="s">
        <v>169</v>
      </c>
      <c r="CE7" s="497" t="s">
        <v>0</v>
      </c>
      <c r="CF7" s="462" t="s">
        <v>169</v>
      </c>
      <c r="CG7" s="463" t="s">
        <v>0</v>
      </c>
      <c r="CH7" s="462" t="s">
        <v>169</v>
      </c>
      <c r="CI7" s="463" t="s">
        <v>0</v>
      </c>
      <c r="CJ7" s="462" t="s">
        <v>169</v>
      </c>
      <c r="CK7" s="463" t="s">
        <v>0</v>
      </c>
      <c r="CL7" s="462" t="s">
        <v>169</v>
      </c>
      <c r="CM7" s="463" t="s">
        <v>0</v>
      </c>
      <c r="CN7" s="462" t="s">
        <v>169</v>
      </c>
    </row>
    <row r="8" spans="1:92" ht="24" customHeight="1" thickBot="1" x14ac:dyDescent="0.25">
      <c r="A8" s="452">
        <f>+V1+126+35</f>
        <v>43411</v>
      </c>
      <c r="B8" s="464">
        <v>23</v>
      </c>
      <c r="C8" s="501" t="str">
        <f>IF('Pon-Bat'!D8="","",+'Pon-Bat'!D8/'Pon-Bat'!C8)</f>
        <v/>
      </c>
      <c r="D8" s="502" t="str">
        <f>+C8</f>
        <v/>
      </c>
      <c r="E8" s="499" t="str">
        <f>IF('Pon-Bat'!E8="","",+'Pon-Bat'!E8/'Pon-Bat'!C8)</f>
        <v/>
      </c>
      <c r="F8" s="502" t="str">
        <f>+E8</f>
        <v/>
      </c>
      <c r="G8" s="499" t="str">
        <f>IF('Pon-Bat'!F8="","",+'Pon-Bat'!F8/'Pon-Bat'!C8)</f>
        <v/>
      </c>
      <c r="H8" s="502" t="str">
        <f>+G8</f>
        <v/>
      </c>
      <c r="I8" s="499" t="str">
        <f>IF('Pon-Bat'!G8="","",+'Pon-Bat'!G8/'Pon-Bat'!C8)</f>
        <v/>
      </c>
      <c r="J8" s="502" t="str">
        <f>+I8</f>
        <v/>
      </c>
      <c r="K8" s="499" t="str">
        <f>IF('Pon-Bat'!H8="","",+'Pon-Bat'!H8/'Pon-Bat'!C8)</f>
        <v/>
      </c>
      <c r="L8" s="495" t="str">
        <f>+K8</f>
        <v/>
      </c>
      <c r="M8" s="501" t="str">
        <f>IF('Pon-Bat'!J8="","",+'Pon-Bat'!J8/'Pon-Bat'!I8)</f>
        <v/>
      </c>
      <c r="N8" s="502" t="str">
        <f>+I8</f>
        <v/>
      </c>
      <c r="O8" s="499" t="str">
        <f>IF('Pon-Bat'!K8="","",+'Pon-Bat'!K8/'Pon-Bat'!I8)</f>
        <v/>
      </c>
      <c r="P8" s="502" t="str">
        <f>+O8</f>
        <v/>
      </c>
      <c r="Q8" s="499" t="str">
        <f>IF('Pon-Bat'!L8="","",+'Pon-Bat'!L8/'Pon-Bat'!I8)</f>
        <v/>
      </c>
      <c r="R8" s="502" t="str">
        <f>+Q8</f>
        <v/>
      </c>
      <c r="S8" s="499" t="str">
        <f>IF('Pon-Bat'!M8="","",+'Pon-Bat'!M8/'Pon-Bat'!I8)</f>
        <v/>
      </c>
      <c r="T8" s="502" t="str">
        <f>+S8</f>
        <v/>
      </c>
      <c r="U8" s="499" t="str">
        <f>IF('Pon-Bat'!N8="","",+'Pon-Bat'!N8/'Pon-Bat'!I8)</f>
        <v/>
      </c>
      <c r="V8" s="495" t="str">
        <f>+U8</f>
        <v/>
      </c>
      <c r="W8" s="501" t="str">
        <f>IF('Pon-Bat'!P8="","",+'Pon-Bat'!P8/'Pon-Bat'!O8)</f>
        <v/>
      </c>
      <c r="X8" s="502" t="str">
        <f>+W8</f>
        <v/>
      </c>
      <c r="Y8" s="499" t="str">
        <f>IF('Pon-Bat'!Q8="","",+'Pon-Bat'!Q8/'Pon-Bat'!O8)</f>
        <v/>
      </c>
      <c r="Z8" s="502" t="str">
        <f>+Y8</f>
        <v/>
      </c>
      <c r="AA8" s="499" t="str">
        <f>IF('Pon-Bat'!R8="","",+'Pon-Bat'!R8/'Pon-Bat'!O8)</f>
        <v/>
      </c>
      <c r="AB8" s="502" t="str">
        <f>+AA8</f>
        <v/>
      </c>
      <c r="AC8" s="499" t="str">
        <f>IF('Pon-Bat'!S8="","",+'Pon-Bat'!S8/'Pon-Bat'!O8)</f>
        <v/>
      </c>
      <c r="AD8" s="502" t="str">
        <f>+AC8</f>
        <v/>
      </c>
      <c r="AE8" s="499" t="str">
        <f>IF('Pon-Bat'!T8="","",+'Pon-Bat'!T8/'Pon-Bat'!O8)</f>
        <v/>
      </c>
      <c r="AF8" s="495" t="str">
        <f>+AE8</f>
        <v/>
      </c>
      <c r="AG8" s="501" t="str">
        <f>IF('Pon-Bat'!V8="","",+'Pon-Bat'!V8/'Pon-Bat'!U8)</f>
        <v/>
      </c>
      <c r="AH8" s="502" t="str">
        <f>+AG8</f>
        <v/>
      </c>
      <c r="AI8" s="499" t="str">
        <f>IF('Pon-Bat'!W8="","",+'Pon-Bat'!W8/'Pon-Bat'!U8)</f>
        <v/>
      </c>
      <c r="AJ8" s="502" t="str">
        <f>+AI8</f>
        <v/>
      </c>
      <c r="AK8" s="499" t="str">
        <f>IF('Pon-Bat'!X8="","",+'Pon-Bat'!X8/'Pon-Bat'!U8)</f>
        <v/>
      </c>
      <c r="AL8" s="502" t="str">
        <f>+AK8</f>
        <v/>
      </c>
      <c r="AM8" s="499" t="str">
        <f>IF('Pon-Bat'!Y8="","",+'Pon-Bat'!Y8/'Pon-Bat'!U8)</f>
        <v/>
      </c>
      <c r="AN8" s="502" t="str">
        <f>+AM8</f>
        <v/>
      </c>
      <c r="AO8" s="499" t="str">
        <f>IF('Pon-Bat'!Z8="","",+'Pon-Bat'!Z8/'Pon-Bat'!U8)</f>
        <v/>
      </c>
      <c r="AP8" s="495" t="str">
        <f>+AO8</f>
        <v/>
      </c>
      <c r="AQ8" s="501" t="str">
        <f>IF('Pon-Bat'!AB8="","",+'Pon-Bat'!AB8/'Pon-Bat'!AA8)</f>
        <v/>
      </c>
      <c r="AR8" s="502" t="str">
        <f>+AQ8</f>
        <v/>
      </c>
      <c r="AS8" s="499" t="str">
        <f>IF('Pon-Bat'!AC8="","",+'Pon-Bat'!AC8/'Pon-Bat'!AA8)</f>
        <v/>
      </c>
      <c r="AT8" s="502" t="str">
        <f>+AS8</f>
        <v/>
      </c>
      <c r="AU8" s="499" t="str">
        <f>IF('Pon-Bat'!AD8="","",+'Pon-Bat'!AD8/'Pon-Bat'!AA8)</f>
        <v/>
      </c>
      <c r="AV8" s="502" t="str">
        <f>+AU8</f>
        <v/>
      </c>
      <c r="AW8" s="499" t="str">
        <f>IF('Pon-Bat'!AE8="","",+'Pon-Bat'!AE8/'Pon-Bat'!AA8)</f>
        <v/>
      </c>
      <c r="AX8" s="502" t="str">
        <f>+AW8</f>
        <v/>
      </c>
      <c r="AY8" s="499" t="str">
        <f>IF('Pon-Bat'!AF8="","",+'Pon-Bat'!AF8/'Pon-Bat'!AA8)</f>
        <v/>
      </c>
      <c r="AZ8" s="495" t="str">
        <f>+AY8</f>
        <v/>
      </c>
      <c r="BA8" s="501" t="str">
        <f>IF('Pon-Bat'!AH8="","",+'Pon-Bat'!AH8/'Pon-Bat'!AG8)</f>
        <v/>
      </c>
      <c r="BB8" s="502" t="str">
        <f>+BA8</f>
        <v/>
      </c>
      <c r="BC8" s="499" t="str">
        <f>IF('Pon-Bat'!AI8="","",+'Pon-Bat'!AI8/'Pon-Bat'!AG8)</f>
        <v/>
      </c>
      <c r="BD8" s="502" t="str">
        <f>+BC8</f>
        <v/>
      </c>
      <c r="BE8" s="499" t="str">
        <f>IF('Pon-Bat'!AJ8="","",+'Pon-Bat'!AJ8/'Pon-Bat'!AG8)</f>
        <v/>
      </c>
      <c r="BF8" s="502" t="str">
        <f>+BE8</f>
        <v/>
      </c>
      <c r="BG8" s="499" t="str">
        <f>IF('Pon-Bat'!AK8="","",+'Pon-Bat'!AK8/'Pon-Bat'!AG8)</f>
        <v/>
      </c>
      <c r="BH8" s="502" t="str">
        <f>+BG8</f>
        <v/>
      </c>
      <c r="BI8" s="499" t="str">
        <f>IF('Pon-Bat'!AL8="","",+'Pon-Bat'!AL8/'Pon-Bat'!AG8)</f>
        <v/>
      </c>
      <c r="BJ8" s="495" t="str">
        <f>+BI8</f>
        <v/>
      </c>
      <c r="BK8" s="501" t="str">
        <f>IF('Pon-Bat'!AN8="","",+'Pon-Bat'!AN8/'Pon-Bat'!AM8)</f>
        <v/>
      </c>
      <c r="BL8" s="502" t="str">
        <f>+BK8</f>
        <v/>
      </c>
      <c r="BM8" s="499" t="str">
        <f>IF('Pon-Bat'!AO8="","",+'Pon-Bat'!AO8/'Pon-Bat'!AM8)</f>
        <v/>
      </c>
      <c r="BN8" s="502" t="str">
        <f>+BM8</f>
        <v/>
      </c>
      <c r="BO8" s="499" t="str">
        <f>IF('Pon-Bat'!AP8="","",+'Pon-Bat'!AP8/'Pon-Bat'!AM8)</f>
        <v/>
      </c>
      <c r="BP8" s="502" t="str">
        <f>+BO8</f>
        <v/>
      </c>
      <c r="BQ8" s="499" t="str">
        <f>IF('Pon-Bat'!AQ8="","",+'Pon-Bat'!AQ8/'Pon-Bat'!AM8)</f>
        <v/>
      </c>
      <c r="BR8" s="502" t="str">
        <f>+BQ8</f>
        <v/>
      </c>
      <c r="BS8" s="499" t="str">
        <f>IF('Pon-Bat'!AR8="","",+'Pon-Bat'!AR8/'Pon-Bat'!AM8)</f>
        <v/>
      </c>
      <c r="BT8" s="495" t="str">
        <f>+BS8</f>
        <v/>
      </c>
      <c r="BU8" s="501" t="str">
        <f>IF('Pon-Bat'!AT8="","",+'Pon-Bat'!AT8/'Pon-Bat'!AS8)</f>
        <v/>
      </c>
      <c r="BV8" s="502" t="str">
        <f>+BU8</f>
        <v/>
      </c>
      <c r="BW8" s="499" t="str">
        <f>IF('Pon-Bat'!AU8="","",+'Pon-Bat'!AU8/'Pon-Bat'!AS8)</f>
        <v/>
      </c>
      <c r="BX8" s="502" t="str">
        <f>+BW8</f>
        <v/>
      </c>
      <c r="BY8" s="499" t="str">
        <f>IF('Pon-Bat'!AV8="","",+'Pon-Bat'!AV8/'Pon-Bat'!AS8)</f>
        <v/>
      </c>
      <c r="BZ8" s="502" t="str">
        <f>+BY8</f>
        <v/>
      </c>
      <c r="CA8" s="499" t="str">
        <f>IF('Pon-Bat'!AW8="","",+'Pon-Bat'!AW8/'Pon-Bat'!AS8)</f>
        <v/>
      </c>
      <c r="CB8" s="502" t="str">
        <f>+CA8</f>
        <v/>
      </c>
      <c r="CC8" s="499" t="str">
        <f>IF('Pon-Bat'!AX8="","",+'Pon-Bat'!AX8/'Pon-Bat'!AS8)</f>
        <v/>
      </c>
      <c r="CD8" s="495" t="str">
        <f>+CC8</f>
        <v/>
      </c>
      <c r="CE8" s="501" t="str">
        <f>IF('Pon-Bat'!AZ8="","",+'Pon-Bat'!AZ8/'Pon-Bat'!AY8)</f>
        <v/>
      </c>
      <c r="CF8" s="502" t="str">
        <f>+CE8</f>
        <v/>
      </c>
      <c r="CG8" s="499" t="str">
        <f>IF('Pon-Bat'!BA8="","",+'Pon-Bat'!BA8/'Pon-Bat'!AY8)</f>
        <v/>
      </c>
      <c r="CH8" s="502" t="str">
        <f>+CG8</f>
        <v/>
      </c>
      <c r="CI8" s="499" t="str">
        <f>IF('Pon-Bat'!BB8="","",+'Pon-Bat'!BB8/'Pon-Bat'!AY8)</f>
        <v/>
      </c>
      <c r="CJ8" s="502" t="str">
        <f>+CI8</f>
        <v/>
      </c>
      <c r="CK8" s="499" t="str">
        <f>IF('Pon-Bat'!BC8="","",+'Pon-Bat'!BC8/'Pon-Bat'!AY8)</f>
        <v/>
      </c>
      <c r="CL8" s="502" t="str">
        <f>+CK8</f>
        <v/>
      </c>
      <c r="CM8" s="499" t="str">
        <f>IF('Pon-Bat'!BD8="","",+'Pon-Bat'!BD8/'Pon-Bat'!AY8)</f>
        <v/>
      </c>
      <c r="CN8" s="495" t="str">
        <f>+CM8</f>
        <v/>
      </c>
    </row>
    <row r="9" spans="1:92" ht="24" customHeight="1" thickBot="1" x14ac:dyDescent="0.25">
      <c r="A9" s="453">
        <f>A8+7</f>
        <v>43418</v>
      </c>
      <c r="B9" s="465">
        <f>+B8+1</f>
        <v>24</v>
      </c>
      <c r="C9" s="503" t="str">
        <f>IF('Pon-Bat'!D9="","",+'Pon-Bat'!D9/'Pon-Bat'!C9)</f>
        <v/>
      </c>
      <c r="D9" s="504" t="str">
        <f>IF('Pon-Bat'!D9="","",+(SUM('Pon-Bat'!$D$8:D9)/SUM('Pon-Bat'!$C$8:C9)))</f>
        <v/>
      </c>
      <c r="E9" s="494" t="str">
        <f>IF('Pon-Bat'!E9="","",+'Pon-Bat'!E9/'Pon-Bat'!C9)</f>
        <v/>
      </c>
      <c r="F9" s="504" t="str">
        <f>IF('Pon-Bat'!E9="","",+(SUM('Pon-Bat'!$E$8:E9)/SUM('Pon-Bat'!$C$8:C9)))</f>
        <v/>
      </c>
      <c r="G9" s="494" t="str">
        <f>IF('Pon-Bat'!F9="","",+'Pon-Bat'!F9/'Pon-Bat'!C9)</f>
        <v/>
      </c>
      <c r="H9" s="504" t="str">
        <f>IF('Pon-Bat'!F9="","",+(SUM('Pon-Bat'!$F$8:F9)/SUM('Pon-Bat'!$C$8:C9)))</f>
        <v/>
      </c>
      <c r="I9" s="494" t="str">
        <f>IF('Pon-Bat'!G9="","",+'Pon-Bat'!G9/'Pon-Bat'!C9)</f>
        <v/>
      </c>
      <c r="J9" s="504" t="str">
        <f>IF('Pon-Bat'!G9="","",+(SUM('Pon-Bat'!$G$8:G9)/SUM('Pon-Bat'!$C$8:C9)))</f>
        <v/>
      </c>
      <c r="K9" s="494" t="str">
        <f>IF('Pon-Bat'!H9="","",+'Pon-Bat'!H9/'Pon-Bat'!C9)</f>
        <v/>
      </c>
      <c r="L9" s="496" t="str">
        <f>IF('Pon-Bat'!H9="","",+(SUM('Pon-Bat'!$H$8:H9)/SUM('Pon-Bat'!$C$8:C9)))</f>
        <v/>
      </c>
      <c r="M9" s="503" t="str">
        <f>IF('Pon-Bat'!J9="","",+'Pon-Bat'!J9/'Pon-Bat'!I9)</f>
        <v/>
      </c>
      <c r="N9" s="504" t="str">
        <f>IF('Pon-Bat'!J9="","",+(SUM('Pon-Bat'!$J$8:J9)/SUM('Pon-Bat'!$I$8:I9)))</f>
        <v/>
      </c>
      <c r="O9" s="494" t="str">
        <f>IF('Pon-Bat'!K9="","",+'Pon-Bat'!K9/'Pon-Bat'!I9)</f>
        <v/>
      </c>
      <c r="P9" s="504" t="str">
        <f>IF('Pon-Bat'!K9="","",+(SUM('Pon-Bat'!$K$8:K9)/SUM('Pon-Bat'!$I$8:I9)))</f>
        <v/>
      </c>
      <c r="Q9" s="494" t="str">
        <f>IF('Pon-Bat'!L9="","",+'Pon-Bat'!L9/'Pon-Bat'!I9)</f>
        <v/>
      </c>
      <c r="R9" s="504" t="str">
        <f>IF('Pon-Bat'!L9="","",+(SUM('Pon-Bat'!$L$8:L9)/SUM('Pon-Bat'!$I$8:I9)))</f>
        <v/>
      </c>
      <c r="S9" s="494" t="str">
        <f>IF('Pon-Bat'!M9="","",+'Pon-Bat'!M9/'Pon-Bat'!I9)</f>
        <v/>
      </c>
      <c r="T9" s="504" t="str">
        <f>IF('Pon-Bat'!M9="","",+(SUM('Pon-Bat'!$M$8:M9)/SUM('Pon-Bat'!$I$8:I9)))</f>
        <v/>
      </c>
      <c r="U9" s="494" t="str">
        <f>IF('Pon-Bat'!N9="","",+'Pon-Bat'!N9/'Pon-Bat'!I9)</f>
        <v/>
      </c>
      <c r="V9" s="496" t="str">
        <f>IF('Pon-Bat'!N9="","",+(SUM('Pon-Bat'!$N$8:N9)/SUM('Pon-Bat'!$I$8:I9)))</f>
        <v/>
      </c>
      <c r="W9" s="503" t="str">
        <f>IF('Pon-Bat'!P9="","",+'Pon-Bat'!P9/'Pon-Bat'!O9)</f>
        <v/>
      </c>
      <c r="X9" s="504" t="str">
        <f>IF('Pon-Bat'!P9="","",+(SUM('Pon-Bat'!$P$8:P9)/SUM('Pon-Bat'!$O$8:O9)))</f>
        <v/>
      </c>
      <c r="Y9" s="494" t="str">
        <f>IF('Pon-Bat'!Q9="","",+'Pon-Bat'!Q9/'Pon-Bat'!O9)</f>
        <v/>
      </c>
      <c r="Z9" s="504" t="str">
        <f>IF('Pon-Bat'!Q9="","",+(SUM('Pon-Bat'!$Q$8:Q9)/SUM('Pon-Bat'!$O$8:O9)))</f>
        <v/>
      </c>
      <c r="AA9" s="494" t="str">
        <f>IF('Pon-Bat'!R9="","",+'Pon-Bat'!R9/'Pon-Bat'!O9)</f>
        <v/>
      </c>
      <c r="AB9" s="504" t="str">
        <f>IF('Pon-Bat'!R9="","",+(SUM('Pon-Bat'!$R$8:R9)/SUM('Pon-Bat'!$O$8:O9)))</f>
        <v/>
      </c>
      <c r="AC9" s="494" t="str">
        <f>IF('Pon-Bat'!S9="","",+'Pon-Bat'!S9/'Pon-Bat'!O9)</f>
        <v/>
      </c>
      <c r="AD9" s="504" t="str">
        <f>IF('Pon-Bat'!S9="","",+(SUM('Pon-Bat'!$S$8:S9)/SUM('Pon-Bat'!$O$8:O9)))</f>
        <v/>
      </c>
      <c r="AE9" s="494" t="str">
        <f>IF('Pon-Bat'!T9="","",+'Pon-Bat'!T9/'Pon-Bat'!O9)</f>
        <v/>
      </c>
      <c r="AF9" s="496" t="str">
        <f>IF('Pon-Bat'!T9="","",+(SUM('Pon-Bat'!$T$8:T9)/SUM('Pon-Bat'!$O$8:O9)))</f>
        <v/>
      </c>
      <c r="AG9" s="503" t="str">
        <f>IF('Pon-Bat'!V9="","",+'Pon-Bat'!V9/'Pon-Bat'!U9)</f>
        <v/>
      </c>
      <c r="AH9" s="504" t="str">
        <f>IF('Pon-Bat'!V9="","",+(SUM('Pon-Bat'!$V$8:V9)/SUM('Pon-Bat'!$U$8:U9)))</f>
        <v/>
      </c>
      <c r="AI9" s="494" t="str">
        <f>IF('Pon-Bat'!W9="","",+'Pon-Bat'!W9/'Pon-Bat'!U9)</f>
        <v/>
      </c>
      <c r="AJ9" s="504" t="str">
        <f>IF('Pon-Bat'!W9="","",+(SUM('Pon-Bat'!$W$8:W9)/SUM('Pon-Bat'!$U$8:U9)))</f>
        <v/>
      </c>
      <c r="AK9" s="494" t="str">
        <f>IF('Pon-Bat'!X9="","",+'Pon-Bat'!X9/'Pon-Bat'!U9)</f>
        <v/>
      </c>
      <c r="AL9" s="504" t="str">
        <f>IF('Pon-Bat'!X9="","",+(SUM('Pon-Bat'!$X$8:X9)/SUM('Pon-Bat'!$U$8:U9)))</f>
        <v/>
      </c>
      <c r="AM9" s="494" t="str">
        <f>IF('Pon-Bat'!Y9="","",+'Pon-Bat'!Y9/'Pon-Bat'!U9)</f>
        <v/>
      </c>
      <c r="AN9" s="504" t="str">
        <f>IF('Pon-Bat'!Y9="","",+(SUM('Pon-Bat'!$Y$8:Y9)/SUM('Pon-Bat'!$U$8:U9)))</f>
        <v/>
      </c>
      <c r="AO9" s="494" t="str">
        <f>IF('Pon-Bat'!Z9="","",+'Pon-Bat'!Z9/'Pon-Bat'!U9)</f>
        <v/>
      </c>
      <c r="AP9" s="496" t="str">
        <f>IF('Pon-Bat'!Z9="","",+(SUM('Pon-Bat'!$Z$8:Z9)/SUM('Pon-Bat'!$U$8:U9)))</f>
        <v/>
      </c>
      <c r="AQ9" s="503" t="str">
        <f>IF('Pon-Bat'!AB9="","",+'Pon-Bat'!AB9/'Pon-Bat'!AA9)</f>
        <v/>
      </c>
      <c r="AR9" s="504" t="str">
        <f>IF('Pon-Bat'!AB9="","",+(SUM('Pon-Bat'!$AB$8:AB9)/SUM('Pon-Bat'!$AA$8:AA9)))</f>
        <v/>
      </c>
      <c r="AS9" s="494" t="str">
        <f>IF('Pon-Bat'!AC9="","",+'Pon-Bat'!AC9/'Pon-Bat'!AA9)</f>
        <v/>
      </c>
      <c r="AT9" s="504" t="str">
        <f>IF('Pon-Bat'!AC9="","",+(SUM('Pon-Bat'!$AC$8:AC9)/SUM('Pon-Bat'!$AA$8:AA9)))</f>
        <v/>
      </c>
      <c r="AU9" s="494" t="str">
        <f>IF('Pon-Bat'!AD9="","",+'Pon-Bat'!AD9/'Pon-Bat'!AA9)</f>
        <v/>
      </c>
      <c r="AV9" s="504" t="str">
        <f>IF('Pon-Bat'!AD9="","",+(SUM('Pon-Bat'!$AD$8:AD9)/SUM('Pon-Bat'!$AA$8:AA9)))</f>
        <v/>
      </c>
      <c r="AW9" s="494" t="str">
        <f>IF('Pon-Bat'!AE9="","",+'Pon-Bat'!AE9/'Pon-Bat'!AA9)</f>
        <v/>
      </c>
      <c r="AX9" s="504" t="str">
        <f>IF('Pon-Bat'!AE9="","",+(SUM('Pon-Bat'!$AE$8:AE9)/SUM('Pon-Bat'!$AA$8:AA9)))</f>
        <v/>
      </c>
      <c r="AY9" s="494" t="str">
        <f>IF('Pon-Bat'!AF9="","",+'Pon-Bat'!AF9/'Pon-Bat'!AA9)</f>
        <v/>
      </c>
      <c r="AZ9" s="496" t="str">
        <f>IF('Pon-Bat'!AF9="","",+(SUM('Pon-Bat'!$AF$8:AF9)/SUM('Pon-Bat'!$AA$8:AA9)))</f>
        <v/>
      </c>
      <c r="BA9" s="503" t="str">
        <f>IF('Pon-Bat'!AH9="","",+'Pon-Bat'!AH9/'Pon-Bat'!AG9)</f>
        <v/>
      </c>
      <c r="BB9" s="504" t="str">
        <f>IF('Pon-Bat'!AH9="","",+(SUM('Pon-Bat'!$AH$8:AH9)/SUM('Pon-Bat'!$AG$8:AG9)))</f>
        <v/>
      </c>
      <c r="BC9" s="494" t="str">
        <f>IF('Pon-Bat'!AI9="","",+'Pon-Bat'!AI9/'Pon-Bat'!AG9)</f>
        <v/>
      </c>
      <c r="BD9" s="504" t="str">
        <f>IF('Pon-Bat'!AI9="","",+(SUM('Pon-Bat'!$AI$8:AI9)/SUM('Pon-Bat'!$AG$8:AG9)))</f>
        <v/>
      </c>
      <c r="BE9" s="494" t="str">
        <f>IF('Pon-Bat'!AJ9="","",+'Pon-Bat'!AJ9/'Pon-Bat'!AG9)</f>
        <v/>
      </c>
      <c r="BF9" s="504" t="str">
        <f>IF('Pon-Bat'!AJ9="","",+(SUM('Pon-Bat'!$AJ$8:AJ9)/SUM('Pon-Bat'!$AG$8:AG9)))</f>
        <v/>
      </c>
      <c r="BG9" s="494" t="str">
        <f>IF('Pon-Bat'!AK9="","",+'Pon-Bat'!AK9/'Pon-Bat'!AG9)</f>
        <v/>
      </c>
      <c r="BH9" s="504" t="str">
        <f>IF('Pon-Bat'!AK9="","",+(SUM('Pon-Bat'!$AK$8:AK9)/SUM('Pon-Bat'!$AG$8:AG9)))</f>
        <v/>
      </c>
      <c r="BI9" s="494" t="str">
        <f>IF('Pon-Bat'!AL9="","",+'Pon-Bat'!AL9/'Pon-Bat'!AG9)</f>
        <v/>
      </c>
      <c r="BJ9" s="496" t="str">
        <f>IF('Pon-Bat'!AL9="","",+(SUM('Pon-Bat'!$AL$8:AL9)/SUM('Pon-Bat'!$AG$8:AG9)))</f>
        <v/>
      </c>
      <c r="BK9" s="501" t="str">
        <f>IF('Pon-Bat'!AN9="","",+'Pon-Bat'!AN9/'Pon-Bat'!AM9)</f>
        <v/>
      </c>
      <c r="BL9" s="504" t="str">
        <f>IF('Pon-Bat'!AN9="","",+(SUM('Pon-Bat'!$AN$8:AN9)/SUM('Pon-Bat'!$AM$8:AM9)))</f>
        <v/>
      </c>
      <c r="BM9" s="499" t="str">
        <f>IF('Pon-Bat'!AO9="","",+'Pon-Bat'!AO9/'Pon-Bat'!AM9)</f>
        <v/>
      </c>
      <c r="BN9" s="504" t="str">
        <f>IF('Pon-Bat'!AO9="","",+(SUM('Pon-Bat'!$AO$8:AO9)/SUM('Pon-Bat'!$AM$8:AM9)))</f>
        <v/>
      </c>
      <c r="BO9" s="499" t="str">
        <f>IF('Pon-Bat'!AP9="","",+'Pon-Bat'!AP9/'Pon-Bat'!AM9)</f>
        <v/>
      </c>
      <c r="BP9" s="504" t="str">
        <f>IF('Pon-Bat'!AP9="","",+(SUM('Pon-Bat'!$AP$8:AP9)/SUM('Pon-Bat'!$AM$8:AM9)))</f>
        <v/>
      </c>
      <c r="BQ9" s="499" t="str">
        <f>IF('Pon-Bat'!AQ9="","",+'Pon-Bat'!AQ9/'Pon-Bat'!AM9)</f>
        <v/>
      </c>
      <c r="BR9" s="504" t="str">
        <f>IF('Pon-Bat'!AQ9="","",+(SUM('Pon-Bat'!$AQ$8:AQ9)/SUM('Pon-Bat'!$AM$8:AM9)))</f>
        <v/>
      </c>
      <c r="BS9" s="499" t="str">
        <f>IF('Pon-Bat'!AR9="","",+'Pon-Bat'!AR9/'Pon-Bat'!AM9)</f>
        <v/>
      </c>
      <c r="BT9" s="496" t="str">
        <f>IF('Pon-Bat'!AR9="","",+(SUM('Pon-Bat'!$AR$8:AR9)/SUM('Pon-Bat'!$AM$8:AM9)))</f>
        <v/>
      </c>
      <c r="BU9" s="501" t="str">
        <f>IF('Pon-Bat'!AT9="","",+'Pon-Bat'!AT9/'Pon-Bat'!AS9)</f>
        <v/>
      </c>
      <c r="BV9" s="504" t="str">
        <f>IF('Pon-Bat'!AT9="","",+(SUM('Pon-Bat'!$AT$8:AT9)/SUM('Pon-Bat'!$AS$8:AS9)))</f>
        <v/>
      </c>
      <c r="BW9" s="499" t="str">
        <f>IF('Pon-Bat'!AU9="","",+'Pon-Bat'!AU9/'Pon-Bat'!AS9)</f>
        <v/>
      </c>
      <c r="BX9" s="504" t="str">
        <f>IF('Pon-Bat'!AU9="","",+(SUM('Pon-Bat'!$AU$8:AU9)/SUM('Pon-Bat'!$AS$8:AS9)))</f>
        <v/>
      </c>
      <c r="BY9" s="499" t="str">
        <f>IF('Pon-Bat'!AV9="","",+'Pon-Bat'!AV9/'Pon-Bat'!AS9)</f>
        <v/>
      </c>
      <c r="BZ9" s="504" t="str">
        <f>IF('Pon-Bat'!AV9="","",+(SUM('Pon-Bat'!$AV$8:AV9)/SUM('Pon-Bat'!$AS$8:AS9)))</f>
        <v/>
      </c>
      <c r="CA9" s="499" t="str">
        <f>IF('Pon-Bat'!AW9="","",+'Pon-Bat'!AW9/'Pon-Bat'!AS9)</f>
        <v/>
      </c>
      <c r="CB9" s="504" t="str">
        <f>IF('Pon-Bat'!AW9="","",+(SUM('Pon-Bat'!$AW$8:AW9)/SUM('Pon-Bat'!$AS$8:AS9)))</f>
        <v/>
      </c>
      <c r="CC9" s="499" t="str">
        <f>IF('Pon-Bat'!AX9="","",+'Pon-Bat'!AX9/'Pon-Bat'!AS9)</f>
        <v/>
      </c>
      <c r="CD9" s="496" t="str">
        <f>IF('Pon-Bat'!AX9="","",+(SUM('Pon-Bat'!$AX$8:AX9)/SUM('Pon-Bat'!$AS$8:AS9)))</f>
        <v/>
      </c>
      <c r="CE9" s="503" t="str">
        <f>IF('Pon-Bat'!AZ9="","",+'Pon-Bat'!AZ9/'Pon-Bat'!AY9)</f>
        <v/>
      </c>
      <c r="CF9" s="504" t="str">
        <f>IF('Pon-Bat'!AZ9="","",+(SUM('Pon-Bat'!$AZ$8:AZ9)/SUM('Pon-Bat'!$AY$8:AY9)))</f>
        <v/>
      </c>
      <c r="CG9" s="494" t="str">
        <f>IF('Pon-Bat'!BA9="","",+'Pon-Bat'!BA9/'Pon-Bat'!AY9)</f>
        <v/>
      </c>
      <c r="CH9" s="504" t="str">
        <f>IF('Pon-Bat'!BA9="","",+(SUM('Pon-Bat'!$BA$8:BA9)/SUM('Pon-Bat'!$AY$8:AY9)))</f>
        <v/>
      </c>
      <c r="CI9" s="499" t="str">
        <f>IF('Pon-Bat'!BB9="","",+'Pon-Bat'!BB9/'Pon-Bat'!AY9)</f>
        <v/>
      </c>
      <c r="CJ9" s="504" t="str">
        <f>IF('Pon-Bat'!BB9="","",+(SUM('Pon-Bat'!$BB$8:BB9)/SUM('Pon-Bat'!$AY$8:AY9)))</f>
        <v/>
      </c>
      <c r="CK9" s="494" t="str">
        <f>IF('Pon-Bat'!BC9="","",+'Pon-Bat'!BC9/'Pon-Bat'!AY9)</f>
        <v/>
      </c>
      <c r="CL9" s="504" t="str">
        <f>IF('Pon-Bat'!BC9="","",+(SUM('Pon-Bat'!$BC$8:BC9)/SUM('Pon-Bat'!$AY$8:AY9)))</f>
        <v/>
      </c>
      <c r="CM9" s="494" t="str">
        <f>IF('Pon-Bat'!BD9="","",+'Pon-Bat'!BD9/'Pon-Bat'!AY9)</f>
        <v/>
      </c>
      <c r="CN9" s="496" t="str">
        <f>IF('Pon-Bat'!BD9="","",+(SUM('Pon-Bat'!$BD$8:BD9)/SUM('Pon-Bat'!$AY$8:AY9)))</f>
        <v/>
      </c>
    </row>
    <row r="10" spans="1:92" ht="24" customHeight="1" thickBot="1" x14ac:dyDescent="0.25">
      <c r="A10" s="453">
        <f>A9+7</f>
        <v>43425</v>
      </c>
      <c r="B10" s="465">
        <f>+B9+1</f>
        <v>25</v>
      </c>
      <c r="C10" s="503" t="str">
        <f>IF('Pon-Bat'!D10="","",+'Pon-Bat'!D10/'Pon-Bat'!C10)</f>
        <v/>
      </c>
      <c r="D10" s="504" t="str">
        <f>IF('Pon-Bat'!D10="","",+(SUM('Pon-Bat'!$D$8:D10)/SUM('Pon-Bat'!$C$8:C10)))</f>
        <v/>
      </c>
      <c r="E10" s="494" t="str">
        <f>IF('Pon-Bat'!E10="","",+'Pon-Bat'!E10/'Pon-Bat'!C10)</f>
        <v/>
      </c>
      <c r="F10" s="504" t="str">
        <f>IF('Pon-Bat'!E10="","",+(SUM('Pon-Bat'!$E$8:E10)/SUM('Pon-Bat'!$C$8:C10)))</f>
        <v/>
      </c>
      <c r="G10" s="494" t="str">
        <f>IF('Pon-Bat'!F10="","",+'Pon-Bat'!F10/'Pon-Bat'!C10)</f>
        <v/>
      </c>
      <c r="H10" s="504" t="str">
        <f>IF('Pon-Bat'!F10="","",+(SUM('Pon-Bat'!$F$8:F10)/SUM('Pon-Bat'!$C$8:C10)))</f>
        <v/>
      </c>
      <c r="I10" s="494" t="str">
        <f>IF('Pon-Bat'!G10="","",+'Pon-Bat'!G10/'Pon-Bat'!C10)</f>
        <v/>
      </c>
      <c r="J10" s="504" t="str">
        <f>IF('Pon-Bat'!G10="","",+(SUM('Pon-Bat'!$G$8:G10)/SUM('Pon-Bat'!$C$8:C10)))</f>
        <v/>
      </c>
      <c r="K10" s="494" t="str">
        <f>IF('Pon-Bat'!H10="","",+'Pon-Bat'!H10/'Pon-Bat'!C10)</f>
        <v/>
      </c>
      <c r="L10" s="496" t="str">
        <f>IF('Pon-Bat'!H10="","",+(SUM('Pon-Bat'!$H$8:H10)/SUM('Pon-Bat'!$C$8:C10)))</f>
        <v/>
      </c>
      <c r="M10" s="503" t="str">
        <f>IF('Pon-Bat'!J10="","",+'Pon-Bat'!J10/'Pon-Bat'!I10)</f>
        <v/>
      </c>
      <c r="N10" s="504" t="str">
        <f>IF('Pon-Bat'!J10="","",+(SUM('Pon-Bat'!$J$8:J10)/SUM('Pon-Bat'!$I$8:I10)))</f>
        <v/>
      </c>
      <c r="O10" s="494" t="str">
        <f>IF('Pon-Bat'!K10="","",+'Pon-Bat'!K10/'Pon-Bat'!I10)</f>
        <v/>
      </c>
      <c r="P10" s="504" t="str">
        <f>IF('Pon-Bat'!K10="","",+(SUM('Pon-Bat'!$K$8:K10)/SUM('Pon-Bat'!$I$8:I10)))</f>
        <v/>
      </c>
      <c r="Q10" s="494" t="str">
        <f>IF('Pon-Bat'!L10="","",+'Pon-Bat'!L10/'Pon-Bat'!I10)</f>
        <v/>
      </c>
      <c r="R10" s="504" t="str">
        <f>IF('Pon-Bat'!L10="","",+(SUM('Pon-Bat'!$L$8:L10)/SUM('Pon-Bat'!$I$8:I10)))</f>
        <v/>
      </c>
      <c r="S10" s="494" t="str">
        <f>IF('Pon-Bat'!M10="","",+'Pon-Bat'!M10/'Pon-Bat'!I10)</f>
        <v/>
      </c>
      <c r="T10" s="504" t="str">
        <f>IF('Pon-Bat'!M10="","",+(SUM('Pon-Bat'!$M$8:M10)/SUM('Pon-Bat'!$I$8:I10)))</f>
        <v/>
      </c>
      <c r="U10" s="494" t="str">
        <f>IF('Pon-Bat'!N10="","",+'Pon-Bat'!N10/'Pon-Bat'!I10)</f>
        <v/>
      </c>
      <c r="V10" s="496" t="str">
        <f>IF('Pon-Bat'!N10="","",+(SUM('Pon-Bat'!$N$8:N10)/SUM('Pon-Bat'!$I$8:I10)))</f>
        <v/>
      </c>
      <c r="W10" s="503" t="str">
        <f>IF('Pon-Bat'!P10="","",+'Pon-Bat'!P10/'Pon-Bat'!O10)</f>
        <v/>
      </c>
      <c r="X10" s="504" t="str">
        <f>IF('Pon-Bat'!P10="","",+(SUM('Pon-Bat'!$P$8:P10)/SUM('Pon-Bat'!$O$8:O10)))</f>
        <v/>
      </c>
      <c r="Y10" s="494" t="str">
        <f>IF('Pon-Bat'!Q10="","",+'Pon-Bat'!Q10/'Pon-Bat'!O10)</f>
        <v/>
      </c>
      <c r="Z10" s="504" t="str">
        <f>IF('Pon-Bat'!Q10="","",+(SUM('Pon-Bat'!$Q$8:Q10)/SUM('Pon-Bat'!$O$8:O10)))</f>
        <v/>
      </c>
      <c r="AA10" s="494" t="str">
        <f>IF('Pon-Bat'!R10="","",+'Pon-Bat'!R10/'Pon-Bat'!O10)</f>
        <v/>
      </c>
      <c r="AB10" s="504" t="str">
        <f>IF('Pon-Bat'!R10="","",+(SUM('Pon-Bat'!$R$8:R10)/SUM('Pon-Bat'!$O$8:O10)))</f>
        <v/>
      </c>
      <c r="AC10" s="494" t="str">
        <f>IF('Pon-Bat'!S10="","",+'Pon-Bat'!S10/'Pon-Bat'!O10)</f>
        <v/>
      </c>
      <c r="AD10" s="504" t="str">
        <f>IF('Pon-Bat'!S10="","",+(SUM('Pon-Bat'!$S$8:S10)/SUM('Pon-Bat'!$O$8:O10)))</f>
        <v/>
      </c>
      <c r="AE10" s="494" t="str">
        <f>IF('Pon-Bat'!T10="","",+'Pon-Bat'!T10/'Pon-Bat'!O10)</f>
        <v/>
      </c>
      <c r="AF10" s="496" t="str">
        <f>IF('Pon-Bat'!T10="","",+(SUM('Pon-Bat'!$T$8:T10)/SUM('Pon-Bat'!$O$8:O10)))</f>
        <v/>
      </c>
      <c r="AG10" s="503" t="str">
        <f>IF('Pon-Bat'!V10="","",+'Pon-Bat'!V10/'Pon-Bat'!U10)</f>
        <v/>
      </c>
      <c r="AH10" s="504" t="str">
        <f>IF('Pon-Bat'!V10="","",+(SUM('Pon-Bat'!$V$8:V10)/SUM('Pon-Bat'!$U$8:U10)))</f>
        <v/>
      </c>
      <c r="AI10" s="494" t="str">
        <f>IF('Pon-Bat'!W10="","",+'Pon-Bat'!W10/'Pon-Bat'!U10)</f>
        <v/>
      </c>
      <c r="AJ10" s="504" t="str">
        <f>IF('Pon-Bat'!W10="","",+(SUM('Pon-Bat'!$W$8:W10)/SUM('Pon-Bat'!$U$8:U10)))</f>
        <v/>
      </c>
      <c r="AK10" s="494" t="str">
        <f>IF('Pon-Bat'!X10="","",+'Pon-Bat'!X10/'Pon-Bat'!U10)</f>
        <v/>
      </c>
      <c r="AL10" s="504" t="str">
        <f>IF('Pon-Bat'!X10="","",+(SUM('Pon-Bat'!$X$8:X10)/SUM('Pon-Bat'!$U$8:U10)))</f>
        <v/>
      </c>
      <c r="AM10" s="494" t="str">
        <f>IF('Pon-Bat'!Y10="","",+'Pon-Bat'!Y10/'Pon-Bat'!U10)</f>
        <v/>
      </c>
      <c r="AN10" s="504" t="str">
        <f>IF('Pon-Bat'!Y10="","",+(SUM('Pon-Bat'!$Y$8:Y10)/SUM('Pon-Bat'!$U$8:U10)))</f>
        <v/>
      </c>
      <c r="AO10" s="494" t="str">
        <f>IF('Pon-Bat'!Z10="","",+'Pon-Bat'!Z10/'Pon-Bat'!U10)</f>
        <v/>
      </c>
      <c r="AP10" s="496" t="str">
        <f>IF('Pon-Bat'!Z10="","",+(SUM('Pon-Bat'!$Z$8:Z10)/SUM('Pon-Bat'!$U$8:U10)))</f>
        <v/>
      </c>
      <c r="AQ10" s="503" t="str">
        <f>IF('Pon-Bat'!AB10="","",+'Pon-Bat'!AB10/'Pon-Bat'!AA10)</f>
        <v/>
      </c>
      <c r="AR10" s="504" t="str">
        <f>IF('Pon-Bat'!AB10="","",+(SUM('Pon-Bat'!$AB$8:AB10)/SUM('Pon-Bat'!$AA$8:AA10)))</f>
        <v/>
      </c>
      <c r="AS10" s="494" t="str">
        <f>IF('Pon-Bat'!AC10="","",+'Pon-Bat'!AC10/'Pon-Bat'!AA10)</f>
        <v/>
      </c>
      <c r="AT10" s="504" t="str">
        <f>IF('Pon-Bat'!AC10="","",+(SUM('Pon-Bat'!$AC$8:AC10)/SUM('Pon-Bat'!$AA$8:AA10)))</f>
        <v/>
      </c>
      <c r="AU10" s="494" t="str">
        <f>IF('Pon-Bat'!AD10="","",+'Pon-Bat'!AD10/'Pon-Bat'!AA10)</f>
        <v/>
      </c>
      <c r="AV10" s="504" t="str">
        <f>IF('Pon-Bat'!AD10="","",+(SUM('Pon-Bat'!$AD$8:AD10)/SUM('Pon-Bat'!$AA$8:AA10)))</f>
        <v/>
      </c>
      <c r="AW10" s="494" t="str">
        <f>IF('Pon-Bat'!AE10="","",+'Pon-Bat'!AE10/'Pon-Bat'!AA10)</f>
        <v/>
      </c>
      <c r="AX10" s="504" t="str">
        <f>IF('Pon-Bat'!AE10="","",+(SUM('Pon-Bat'!$AE$8:AE10)/SUM('Pon-Bat'!$AA$8:AA10)))</f>
        <v/>
      </c>
      <c r="AY10" s="494" t="str">
        <f>IF('Pon-Bat'!AF10="","",+'Pon-Bat'!AF10/'Pon-Bat'!AA10)</f>
        <v/>
      </c>
      <c r="AZ10" s="496" t="str">
        <f>IF('Pon-Bat'!AF10="","",+(SUM('Pon-Bat'!$AF$8:AF10)/SUM('Pon-Bat'!$AA$8:AA10)))</f>
        <v/>
      </c>
      <c r="BA10" s="503" t="str">
        <f>IF('Pon-Bat'!AH10="","",+'Pon-Bat'!AH10/'Pon-Bat'!AG10)</f>
        <v/>
      </c>
      <c r="BB10" s="504" t="str">
        <f>IF('Pon-Bat'!AH10="","",+(SUM('Pon-Bat'!$AH$8:AH10)/SUM('Pon-Bat'!$AG$8:AG10)))</f>
        <v/>
      </c>
      <c r="BC10" s="494" t="str">
        <f>IF('Pon-Bat'!AI10="","",+'Pon-Bat'!AI10/'Pon-Bat'!AG10)</f>
        <v/>
      </c>
      <c r="BD10" s="504" t="str">
        <f>IF('Pon-Bat'!AI10="","",+(SUM('Pon-Bat'!$AI$8:AI10)/SUM('Pon-Bat'!$AG$8:AG10)))</f>
        <v/>
      </c>
      <c r="BE10" s="494" t="str">
        <f>IF('Pon-Bat'!AJ10="","",+'Pon-Bat'!AJ10/'Pon-Bat'!AG10)</f>
        <v/>
      </c>
      <c r="BF10" s="504" t="str">
        <f>IF('Pon-Bat'!AJ10="","",+(SUM('Pon-Bat'!$AJ$8:AJ10)/SUM('Pon-Bat'!$AG$8:AG10)))</f>
        <v/>
      </c>
      <c r="BG10" s="494" t="str">
        <f>IF('Pon-Bat'!AK10="","",+'Pon-Bat'!AK10/'Pon-Bat'!AG10)</f>
        <v/>
      </c>
      <c r="BH10" s="504" t="str">
        <f>IF('Pon-Bat'!AK10="","",+(SUM('Pon-Bat'!$AK$8:AK10)/SUM('Pon-Bat'!$AG$8:AG10)))</f>
        <v/>
      </c>
      <c r="BI10" s="494" t="str">
        <f>IF('Pon-Bat'!AL10="","",+'Pon-Bat'!AL10/'Pon-Bat'!AG10)</f>
        <v/>
      </c>
      <c r="BJ10" s="496" t="str">
        <f>IF('Pon-Bat'!AL10="","",+(SUM('Pon-Bat'!$AL$8:AL10)/SUM('Pon-Bat'!$AG$8:AG10)))</f>
        <v/>
      </c>
      <c r="BK10" s="501" t="str">
        <f>IF('Pon-Bat'!AN10="","",+'Pon-Bat'!AN10/'Pon-Bat'!AM10)</f>
        <v/>
      </c>
      <c r="BL10" s="504" t="str">
        <f>IF('Pon-Bat'!AN10="","",+(SUM('Pon-Bat'!$AN$8:AN10)/SUM('Pon-Bat'!$AM$8:AM10)))</f>
        <v/>
      </c>
      <c r="BM10" s="499" t="str">
        <f>IF('Pon-Bat'!AO10="","",+'Pon-Bat'!AO10/'Pon-Bat'!AM10)</f>
        <v/>
      </c>
      <c r="BN10" s="504" t="str">
        <f>IF('Pon-Bat'!AO10="","",+(SUM('Pon-Bat'!$AO$8:AO10)/SUM('Pon-Bat'!$AM$8:AM10)))</f>
        <v/>
      </c>
      <c r="BO10" s="499" t="str">
        <f>IF('Pon-Bat'!AP10="","",+'Pon-Bat'!AP10/'Pon-Bat'!AM10)</f>
        <v/>
      </c>
      <c r="BP10" s="504" t="str">
        <f>IF('Pon-Bat'!AP10="","",+(SUM('Pon-Bat'!$AP$8:AP10)/SUM('Pon-Bat'!$AM$8:AM10)))</f>
        <v/>
      </c>
      <c r="BQ10" s="499" t="str">
        <f>IF('Pon-Bat'!AQ10="","",+'Pon-Bat'!AQ10/'Pon-Bat'!AM10)</f>
        <v/>
      </c>
      <c r="BR10" s="504" t="str">
        <f>IF('Pon-Bat'!AQ10="","",+(SUM('Pon-Bat'!$AQ$8:AQ10)/SUM('Pon-Bat'!$AM$8:AM10)))</f>
        <v/>
      </c>
      <c r="BS10" s="499" t="str">
        <f>IF('Pon-Bat'!AR10="","",+'Pon-Bat'!AR10/'Pon-Bat'!AM10)</f>
        <v/>
      </c>
      <c r="BT10" s="496" t="str">
        <f>IF('Pon-Bat'!AR10="","",+(SUM('Pon-Bat'!$AR$8:AR10)/SUM('Pon-Bat'!$AM$8:AM10)))</f>
        <v/>
      </c>
      <c r="BU10" s="501" t="str">
        <f>IF('Pon-Bat'!AT10="","",+'Pon-Bat'!AT10/'Pon-Bat'!AS10)</f>
        <v/>
      </c>
      <c r="BV10" s="504" t="str">
        <f>IF('Pon-Bat'!AT10="","",+(SUM('Pon-Bat'!$AT$8:AT10)/SUM('Pon-Bat'!$AS$8:AS10)))</f>
        <v/>
      </c>
      <c r="BW10" s="499" t="str">
        <f>IF('Pon-Bat'!AU10="","",+'Pon-Bat'!AU10/'Pon-Bat'!AS10)</f>
        <v/>
      </c>
      <c r="BX10" s="504" t="str">
        <f>IF('Pon-Bat'!AU10="","",+(SUM('Pon-Bat'!$AU$8:AU10)/SUM('Pon-Bat'!$AS$8:AS10)))</f>
        <v/>
      </c>
      <c r="BY10" s="499" t="str">
        <f>IF('Pon-Bat'!AV10="","",+'Pon-Bat'!AV10/'Pon-Bat'!AS10)</f>
        <v/>
      </c>
      <c r="BZ10" s="504" t="str">
        <f>IF('Pon-Bat'!AV10="","",+(SUM('Pon-Bat'!$AV$8:AV10)/SUM('Pon-Bat'!$AS$8:AS10)))</f>
        <v/>
      </c>
      <c r="CA10" s="499" t="str">
        <f>IF('Pon-Bat'!AW10="","",+'Pon-Bat'!AW10/'Pon-Bat'!AS10)</f>
        <v/>
      </c>
      <c r="CB10" s="504" t="str">
        <f>IF('Pon-Bat'!AW10="","",+(SUM('Pon-Bat'!$AW$8:AW10)/SUM('Pon-Bat'!$AS$8:AS10)))</f>
        <v/>
      </c>
      <c r="CC10" s="499" t="str">
        <f>IF('Pon-Bat'!AX10="","",+'Pon-Bat'!AX10/'Pon-Bat'!AS10)</f>
        <v/>
      </c>
      <c r="CD10" s="496" t="str">
        <f>IF('Pon-Bat'!AX10="","",+(SUM('Pon-Bat'!$AX$8:AX10)/SUM('Pon-Bat'!$AS$8:AS10)))</f>
        <v/>
      </c>
      <c r="CE10" s="503" t="str">
        <f>IF('Pon-Bat'!AZ10="","",+'Pon-Bat'!AZ10/'Pon-Bat'!AY10)</f>
        <v/>
      </c>
      <c r="CF10" s="504" t="str">
        <f>IF('Pon-Bat'!AZ10="","",+(SUM('Pon-Bat'!$AZ$8:AZ10)/SUM('Pon-Bat'!$AY$8:AY10)))</f>
        <v/>
      </c>
      <c r="CG10" s="494" t="str">
        <f>IF('Pon-Bat'!BA10="","",+'Pon-Bat'!BA10/'Pon-Bat'!AY10)</f>
        <v/>
      </c>
      <c r="CH10" s="504" t="str">
        <f>IF('Pon-Bat'!BA10="","",+(SUM('Pon-Bat'!$BA$8:BA10)/SUM('Pon-Bat'!$AY$8:AY10)))</f>
        <v/>
      </c>
      <c r="CI10" s="499" t="str">
        <f>IF('Pon-Bat'!BB10="","",+'Pon-Bat'!BB10/'Pon-Bat'!AY10)</f>
        <v/>
      </c>
      <c r="CJ10" s="504" t="str">
        <f>IF('Pon-Bat'!BB10="","",+(SUM('Pon-Bat'!$BB$8:BB10)/SUM('Pon-Bat'!$AY$8:AY10)))</f>
        <v/>
      </c>
      <c r="CK10" s="494" t="str">
        <f>IF('Pon-Bat'!BC10="","",+'Pon-Bat'!BC10/'Pon-Bat'!AY10)</f>
        <v/>
      </c>
      <c r="CL10" s="504" t="str">
        <f>IF('Pon-Bat'!BC10="","",+(SUM('Pon-Bat'!$BC$8:BC10)/SUM('Pon-Bat'!$AY$8:AY10)))</f>
        <v/>
      </c>
      <c r="CM10" s="494" t="str">
        <f>IF('Pon-Bat'!BD10="","",+'Pon-Bat'!BD10/'Pon-Bat'!AY10)</f>
        <v/>
      </c>
      <c r="CN10" s="496" t="str">
        <f>IF('Pon-Bat'!BD10="","",+(SUM('Pon-Bat'!$BD$8:BD10)/SUM('Pon-Bat'!$AY$8:AY10)))</f>
        <v/>
      </c>
    </row>
    <row r="11" spans="1:92" ht="24" customHeight="1" thickBot="1" x14ac:dyDescent="0.25">
      <c r="A11" s="453">
        <f t="shared" ref="A11:A24" si="0">A10+7</f>
        <v>43432</v>
      </c>
      <c r="B11" s="465">
        <f t="shared" ref="B11:B25" si="1">+B10+1</f>
        <v>26</v>
      </c>
      <c r="C11" s="503" t="str">
        <f>IF('Pon-Bat'!D11="","",+'Pon-Bat'!D11/'Pon-Bat'!C11)</f>
        <v/>
      </c>
      <c r="D11" s="504" t="str">
        <f>IF('Pon-Bat'!D11="","",+(SUM('Pon-Bat'!$D$8:D11)/SUM('Pon-Bat'!$C$8:C11)))</f>
        <v/>
      </c>
      <c r="E11" s="494" t="str">
        <f>IF('Pon-Bat'!E11="","",+'Pon-Bat'!E11/'Pon-Bat'!C11)</f>
        <v/>
      </c>
      <c r="F11" s="504" t="str">
        <f>IF('Pon-Bat'!E11="","",+(SUM('Pon-Bat'!$E$8:E11)/SUM('Pon-Bat'!$C$8:C11)))</f>
        <v/>
      </c>
      <c r="G11" s="494" t="str">
        <f>IF('Pon-Bat'!F11="","",+'Pon-Bat'!F11/'Pon-Bat'!C11)</f>
        <v/>
      </c>
      <c r="H11" s="504" t="str">
        <f>IF('Pon-Bat'!F11="","",+(SUM('Pon-Bat'!$F$8:F11)/SUM('Pon-Bat'!$C$8:C11)))</f>
        <v/>
      </c>
      <c r="I11" s="494" t="str">
        <f>IF('Pon-Bat'!G11="","",+'Pon-Bat'!G11/'Pon-Bat'!C11)</f>
        <v/>
      </c>
      <c r="J11" s="504" t="str">
        <f>IF('Pon-Bat'!G11="","",+(SUM('Pon-Bat'!$G$8:G11)/SUM('Pon-Bat'!$C$8:C11)))</f>
        <v/>
      </c>
      <c r="K11" s="494" t="str">
        <f>IF('Pon-Bat'!H11="","",+'Pon-Bat'!H11/'Pon-Bat'!C11)</f>
        <v/>
      </c>
      <c r="L11" s="496" t="str">
        <f>IF('Pon-Bat'!H11="","",+(SUM('Pon-Bat'!$H$8:H11)/SUM('Pon-Bat'!$C$8:C11)))</f>
        <v/>
      </c>
      <c r="M11" s="503" t="str">
        <f>IF('Pon-Bat'!J11="","",+'Pon-Bat'!J11/'Pon-Bat'!I11)</f>
        <v/>
      </c>
      <c r="N11" s="504" t="str">
        <f>IF('Pon-Bat'!J11="","",+(SUM('Pon-Bat'!$J$8:J11)/SUM('Pon-Bat'!$I$8:I11)))</f>
        <v/>
      </c>
      <c r="O11" s="494" t="str">
        <f>IF('Pon-Bat'!K11="","",+'Pon-Bat'!K11/'Pon-Bat'!I11)</f>
        <v/>
      </c>
      <c r="P11" s="504" t="str">
        <f>IF('Pon-Bat'!K11="","",+(SUM('Pon-Bat'!$K$8:K11)/SUM('Pon-Bat'!$I$8:I11)))</f>
        <v/>
      </c>
      <c r="Q11" s="494" t="str">
        <f>IF('Pon-Bat'!L11="","",+'Pon-Bat'!L11/'Pon-Bat'!I11)</f>
        <v/>
      </c>
      <c r="R11" s="504" t="str">
        <f>IF('Pon-Bat'!L11="","",+(SUM('Pon-Bat'!$L$8:L11)/SUM('Pon-Bat'!$I$8:I11)))</f>
        <v/>
      </c>
      <c r="S11" s="494" t="str">
        <f>IF('Pon-Bat'!M11="","",+'Pon-Bat'!M11/'Pon-Bat'!I11)</f>
        <v/>
      </c>
      <c r="T11" s="504" t="str">
        <f>IF('Pon-Bat'!M11="","",+(SUM('Pon-Bat'!$M$8:M11)/SUM('Pon-Bat'!$I$8:I11)))</f>
        <v/>
      </c>
      <c r="U11" s="494" t="str">
        <f>IF('Pon-Bat'!N11="","",+'Pon-Bat'!N11/'Pon-Bat'!I11)</f>
        <v/>
      </c>
      <c r="V11" s="496" t="str">
        <f>IF('Pon-Bat'!N11="","",+(SUM('Pon-Bat'!$N$8:N11)/SUM('Pon-Bat'!$I$8:I11)))</f>
        <v/>
      </c>
      <c r="W11" s="503" t="str">
        <f>IF('Pon-Bat'!P11="","",+'Pon-Bat'!P11/'Pon-Bat'!O11)</f>
        <v/>
      </c>
      <c r="X11" s="504" t="str">
        <f>IF('Pon-Bat'!P11="","",+(SUM('Pon-Bat'!$P$8:P11)/SUM('Pon-Bat'!$O$8:O11)))</f>
        <v/>
      </c>
      <c r="Y11" s="494" t="str">
        <f>IF('Pon-Bat'!Q11="","",+'Pon-Bat'!Q11/'Pon-Bat'!O11)</f>
        <v/>
      </c>
      <c r="Z11" s="504" t="str">
        <f>IF('Pon-Bat'!Q11="","",+(SUM('Pon-Bat'!$Q$8:Q11)/SUM('Pon-Bat'!$O$8:O11)))</f>
        <v/>
      </c>
      <c r="AA11" s="494" t="str">
        <f>IF('Pon-Bat'!R11="","",+'Pon-Bat'!R11/'Pon-Bat'!O11)</f>
        <v/>
      </c>
      <c r="AB11" s="504" t="str">
        <f>IF('Pon-Bat'!R11="","",+(SUM('Pon-Bat'!$R$8:R11)/SUM('Pon-Bat'!$O$8:O11)))</f>
        <v/>
      </c>
      <c r="AC11" s="494" t="str">
        <f>IF('Pon-Bat'!S11="","",+'Pon-Bat'!S11/'Pon-Bat'!O11)</f>
        <v/>
      </c>
      <c r="AD11" s="504" t="str">
        <f>IF('Pon-Bat'!S11="","",+(SUM('Pon-Bat'!$S$8:S11)/SUM('Pon-Bat'!$O$8:O11)))</f>
        <v/>
      </c>
      <c r="AE11" s="494" t="str">
        <f>IF('Pon-Bat'!T11="","",+'Pon-Bat'!T11/'Pon-Bat'!O11)</f>
        <v/>
      </c>
      <c r="AF11" s="496" t="str">
        <f>IF('Pon-Bat'!T11="","",+(SUM('Pon-Bat'!$T$8:T11)/SUM('Pon-Bat'!$O$8:O11)))</f>
        <v/>
      </c>
      <c r="AG11" s="503" t="str">
        <f>IF('Pon-Bat'!V11="","",+'Pon-Bat'!V11/'Pon-Bat'!U11)</f>
        <v/>
      </c>
      <c r="AH11" s="504" t="str">
        <f>IF('Pon-Bat'!V11="","",+(SUM('Pon-Bat'!$V$8:V11)/SUM('Pon-Bat'!$U$8:U11)))</f>
        <v/>
      </c>
      <c r="AI11" s="494" t="str">
        <f>IF('Pon-Bat'!W11="","",+'Pon-Bat'!W11/'Pon-Bat'!U11)</f>
        <v/>
      </c>
      <c r="AJ11" s="504" t="str">
        <f>IF('Pon-Bat'!W11="","",+(SUM('Pon-Bat'!$W$8:W11)/SUM('Pon-Bat'!$U$8:U11)))</f>
        <v/>
      </c>
      <c r="AK11" s="494" t="str">
        <f>IF('Pon-Bat'!X11="","",+'Pon-Bat'!X11/'Pon-Bat'!U11)</f>
        <v/>
      </c>
      <c r="AL11" s="504" t="str">
        <f>IF('Pon-Bat'!X11="","",+(SUM('Pon-Bat'!$X$8:X11)/SUM('Pon-Bat'!$U$8:U11)))</f>
        <v/>
      </c>
      <c r="AM11" s="494" t="str">
        <f>IF('Pon-Bat'!Y11="","",+'Pon-Bat'!Y11/'Pon-Bat'!U11)</f>
        <v/>
      </c>
      <c r="AN11" s="504" t="str">
        <f>IF('Pon-Bat'!Y11="","",+(SUM('Pon-Bat'!$Y$8:Y11)/SUM('Pon-Bat'!$U$8:U11)))</f>
        <v/>
      </c>
      <c r="AO11" s="494" t="str">
        <f>IF('Pon-Bat'!Z11="","",+'Pon-Bat'!Z11/'Pon-Bat'!U11)</f>
        <v/>
      </c>
      <c r="AP11" s="496" t="str">
        <f>IF('Pon-Bat'!Z11="","",+(SUM('Pon-Bat'!$Z$8:Z11)/SUM('Pon-Bat'!$U$8:U11)))</f>
        <v/>
      </c>
      <c r="AQ11" s="503" t="str">
        <f>IF('Pon-Bat'!AB11="","",+'Pon-Bat'!AB11/'Pon-Bat'!AA11)</f>
        <v/>
      </c>
      <c r="AR11" s="504" t="str">
        <f>IF('Pon-Bat'!AB11="","",+(SUM('Pon-Bat'!$AB$8:AB11)/SUM('Pon-Bat'!$AA$8:AA11)))</f>
        <v/>
      </c>
      <c r="AS11" s="494" t="str">
        <f>IF('Pon-Bat'!AC11="","",+'Pon-Bat'!AC11/'Pon-Bat'!AA11)</f>
        <v/>
      </c>
      <c r="AT11" s="504" t="str">
        <f>IF('Pon-Bat'!AC11="","",+(SUM('Pon-Bat'!$AC$8:AC11)/SUM('Pon-Bat'!$AA$8:AA11)))</f>
        <v/>
      </c>
      <c r="AU11" s="494" t="str">
        <f>IF('Pon-Bat'!AD11="","",+'Pon-Bat'!AD11/'Pon-Bat'!AA11)</f>
        <v/>
      </c>
      <c r="AV11" s="504" t="str">
        <f>IF('Pon-Bat'!AD11="","",+(SUM('Pon-Bat'!$AD$8:AD11)/SUM('Pon-Bat'!$AA$8:AA11)))</f>
        <v/>
      </c>
      <c r="AW11" s="494" t="str">
        <f>IF('Pon-Bat'!AE11="","",+'Pon-Bat'!AE11/'Pon-Bat'!AA11)</f>
        <v/>
      </c>
      <c r="AX11" s="504" t="str">
        <f>IF('Pon-Bat'!AE11="","",+(SUM('Pon-Bat'!$AE$8:AE11)/SUM('Pon-Bat'!$AA$8:AA11)))</f>
        <v/>
      </c>
      <c r="AY11" s="494" t="str">
        <f>IF('Pon-Bat'!AF11="","",+'Pon-Bat'!AF11/'Pon-Bat'!AA11)</f>
        <v/>
      </c>
      <c r="AZ11" s="496" t="str">
        <f>IF('Pon-Bat'!AF11="","",+(SUM('Pon-Bat'!$AF$8:AF11)/SUM('Pon-Bat'!$AA$8:AA11)))</f>
        <v/>
      </c>
      <c r="BA11" s="503" t="str">
        <f>IF('Pon-Bat'!AH11="","",+'Pon-Bat'!AH11/'Pon-Bat'!AG11)</f>
        <v/>
      </c>
      <c r="BB11" s="504" t="str">
        <f>IF('Pon-Bat'!AH11="","",+(SUM('Pon-Bat'!$AH$8:AH11)/SUM('Pon-Bat'!$AG$8:AG11)))</f>
        <v/>
      </c>
      <c r="BC11" s="494" t="str">
        <f>IF('Pon-Bat'!AI11="","",+'Pon-Bat'!AI11/'Pon-Bat'!AG11)</f>
        <v/>
      </c>
      <c r="BD11" s="504" t="str">
        <f>IF('Pon-Bat'!AI11="","",+(SUM('Pon-Bat'!$AI$8:AI11)/SUM('Pon-Bat'!$AG$8:AG11)))</f>
        <v/>
      </c>
      <c r="BE11" s="494" t="str">
        <f>IF('Pon-Bat'!AJ11="","",+'Pon-Bat'!AJ11/'Pon-Bat'!AG11)</f>
        <v/>
      </c>
      <c r="BF11" s="504" t="str">
        <f>IF('Pon-Bat'!AJ11="","",+(SUM('Pon-Bat'!$AJ$8:AJ11)/SUM('Pon-Bat'!$AG$8:AG11)))</f>
        <v/>
      </c>
      <c r="BG11" s="494" t="str">
        <f>IF('Pon-Bat'!AK11="","",+'Pon-Bat'!AK11/'Pon-Bat'!AG11)</f>
        <v/>
      </c>
      <c r="BH11" s="504" t="str">
        <f>IF('Pon-Bat'!AK11="","",+(SUM('Pon-Bat'!$AK$8:AK11)/SUM('Pon-Bat'!$AG$8:AG11)))</f>
        <v/>
      </c>
      <c r="BI11" s="494" t="str">
        <f>IF('Pon-Bat'!AL11="","",+'Pon-Bat'!AL11/'Pon-Bat'!AG11)</f>
        <v/>
      </c>
      <c r="BJ11" s="496" t="str">
        <f>IF('Pon-Bat'!AL11="","",+(SUM('Pon-Bat'!$AL$8:AL11)/SUM('Pon-Bat'!$AG$8:AG11)))</f>
        <v/>
      </c>
      <c r="BK11" s="501" t="str">
        <f>IF('Pon-Bat'!AN11="","",+'Pon-Bat'!AN11/'Pon-Bat'!AM11)</f>
        <v/>
      </c>
      <c r="BL11" s="504" t="str">
        <f>IF('Pon-Bat'!AN11="","",+(SUM('Pon-Bat'!$AN$8:AN11)/SUM('Pon-Bat'!$AM$8:AM11)))</f>
        <v/>
      </c>
      <c r="BM11" s="499" t="str">
        <f>IF('Pon-Bat'!AO11="","",+'Pon-Bat'!AO11/'Pon-Bat'!AM11)</f>
        <v/>
      </c>
      <c r="BN11" s="504" t="str">
        <f>IF('Pon-Bat'!AO11="","",+(SUM('Pon-Bat'!$AO$8:AO11)/SUM('Pon-Bat'!$AM$8:AM11)))</f>
        <v/>
      </c>
      <c r="BO11" s="499" t="str">
        <f>IF('Pon-Bat'!AP11="","",+'Pon-Bat'!AP11/'Pon-Bat'!AM11)</f>
        <v/>
      </c>
      <c r="BP11" s="504" t="str">
        <f>IF('Pon-Bat'!AP11="","",+(SUM('Pon-Bat'!$AP$8:AP11)/SUM('Pon-Bat'!$AM$8:AM11)))</f>
        <v/>
      </c>
      <c r="BQ11" s="499" t="str">
        <f>IF('Pon-Bat'!AQ11="","",+'Pon-Bat'!AQ11/'Pon-Bat'!AM11)</f>
        <v/>
      </c>
      <c r="BR11" s="504" t="str">
        <f>IF('Pon-Bat'!AQ11="","",+(SUM('Pon-Bat'!$AQ$8:AQ11)/SUM('Pon-Bat'!$AM$8:AM11)))</f>
        <v/>
      </c>
      <c r="BS11" s="499" t="str">
        <f>IF('Pon-Bat'!AR11="","",+'Pon-Bat'!AR11/'Pon-Bat'!AM11)</f>
        <v/>
      </c>
      <c r="BT11" s="496" t="str">
        <f>IF('Pon-Bat'!AR11="","",+(SUM('Pon-Bat'!$AR$8:AR11)/SUM('Pon-Bat'!$AM$8:AM11)))</f>
        <v/>
      </c>
      <c r="BU11" s="501" t="str">
        <f>IF('Pon-Bat'!AT11="","",+'Pon-Bat'!AT11/'Pon-Bat'!AS11)</f>
        <v/>
      </c>
      <c r="BV11" s="504" t="str">
        <f>IF('Pon-Bat'!AT11="","",+(SUM('Pon-Bat'!$AT$8:AT11)/SUM('Pon-Bat'!$AS$8:AS11)))</f>
        <v/>
      </c>
      <c r="BW11" s="499" t="str">
        <f>IF('Pon-Bat'!AU11="","",+'Pon-Bat'!AU11/'Pon-Bat'!AS11)</f>
        <v/>
      </c>
      <c r="BX11" s="504" t="str">
        <f>IF('Pon-Bat'!AU11="","",+(SUM('Pon-Bat'!$AU$8:AU11)/SUM('Pon-Bat'!$AS$8:AS11)))</f>
        <v/>
      </c>
      <c r="BY11" s="499" t="str">
        <f>IF('Pon-Bat'!AV11="","",+'Pon-Bat'!AV11/'Pon-Bat'!AS11)</f>
        <v/>
      </c>
      <c r="BZ11" s="504" t="str">
        <f>IF('Pon-Bat'!AV11="","",+(SUM('Pon-Bat'!$AV$8:AV11)/SUM('Pon-Bat'!$AS$8:AS11)))</f>
        <v/>
      </c>
      <c r="CA11" s="499" t="str">
        <f>IF('Pon-Bat'!AW11="","",+'Pon-Bat'!AW11/'Pon-Bat'!AS11)</f>
        <v/>
      </c>
      <c r="CB11" s="504" t="str">
        <f>IF('Pon-Bat'!AW11="","",+(SUM('Pon-Bat'!$AW$8:AW11)/SUM('Pon-Bat'!$AS$8:AS11)))</f>
        <v/>
      </c>
      <c r="CC11" s="499" t="str">
        <f>IF('Pon-Bat'!AX11="","",+'Pon-Bat'!AX11/'Pon-Bat'!AS11)</f>
        <v/>
      </c>
      <c r="CD11" s="496" t="str">
        <f>IF('Pon-Bat'!AX11="","",+(SUM('Pon-Bat'!$AX$8:AX11)/SUM('Pon-Bat'!$AS$8:AS11)))</f>
        <v/>
      </c>
      <c r="CE11" s="503" t="str">
        <f>IF('Pon-Bat'!AZ11="","",+'Pon-Bat'!AZ11/'Pon-Bat'!AY11)</f>
        <v/>
      </c>
      <c r="CF11" s="504" t="str">
        <f>IF('Pon-Bat'!AZ11="","",+(SUM('Pon-Bat'!$AZ$8:AZ11)/SUM('Pon-Bat'!$AY$8:AY11)))</f>
        <v/>
      </c>
      <c r="CG11" s="494" t="str">
        <f>IF('Pon-Bat'!BA11="","",+'Pon-Bat'!BA11/'Pon-Bat'!AY11)</f>
        <v/>
      </c>
      <c r="CH11" s="504" t="str">
        <f>IF('Pon-Bat'!BA11="","",+(SUM('Pon-Bat'!$BA$8:BA11)/SUM('Pon-Bat'!$AY$8:AY11)))</f>
        <v/>
      </c>
      <c r="CI11" s="499" t="str">
        <f>IF('Pon-Bat'!BB11="","",+'Pon-Bat'!BB11/'Pon-Bat'!AY11)</f>
        <v/>
      </c>
      <c r="CJ11" s="504" t="str">
        <f>IF('Pon-Bat'!BB11="","",+(SUM('Pon-Bat'!$BB$8:BB11)/SUM('Pon-Bat'!$AY$8:AY11)))</f>
        <v/>
      </c>
      <c r="CK11" s="494" t="str">
        <f>IF('Pon-Bat'!BC11="","",+'Pon-Bat'!BC11/'Pon-Bat'!AY11)</f>
        <v/>
      </c>
      <c r="CL11" s="504" t="str">
        <f>IF('Pon-Bat'!BC11="","",+(SUM('Pon-Bat'!$BC$8:BC11)/SUM('Pon-Bat'!$AY$8:AY11)))</f>
        <v/>
      </c>
      <c r="CM11" s="494" t="str">
        <f>IF('Pon-Bat'!BD11="","",+'Pon-Bat'!BD11/'Pon-Bat'!AY11)</f>
        <v/>
      </c>
      <c r="CN11" s="496" t="str">
        <f>IF('Pon-Bat'!BD11="","",+(SUM('Pon-Bat'!$BD$8:BD11)/SUM('Pon-Bat'!$AY$8:AY11)))</f>
        <v/>
      </c>
    </row>
    <row r="12" spans="1:92" ht="20.100000000000001" customHeight="1" thickBot="1" x14ac:dyDescent="0.25">
      <c r="A12" s="453">
        <f t="shared" si="0"/>
        <v>43439</v>
      </c>
      <c r="B12" s="465">
        <f t="shared" si="1"/>
        <v>27</v>
      </c>
      <c r="C12" s="503" t="str">
        <f>IF('Pon-Bat'!D12="","",+'Pon-Bat'!D12/'Pon-Bat'!C12)</f>
        <v/>
      </c>
      <c r="D12" s="504" t="str">
        <f>IF('Pon-Bat'!D12="","",+(SUM('Pon-Bat'!$D$8:D12)/SUM('Pon-Bat'!$C$8:C12)))</f>
        <v/>
      </c>
      <c r="E12" s="494" t="str">
        <f>IF('Pon-Bat'!E12="","",+'Pon-Bat'!E12/'Pon-Bat'!C12)</f>
        <v/>
      </c>
      <c r="F12" s="504" t="str">
        <f>IF('Pon-Bat'!E12="","",+(SUM('Pon-Bat'!$E$8:E12)/SUM('Pon-Bat'!$C$8:C12)))</f>
        <v/>
      </c>
      <c r="G12" s="494" t="str">
        <f>IF('Pon-Bat'!F12="","",+'Pon-Bat'!F12/'Pon-Bat'!C12)</f>
        <v/>
      </c>
      <c r="H12" s="504" t="str">
        <f>IF('Pon-Bat'!F12="","",+(SUM('Pon-Bat'!$F$8:F12)/SUM('Pon-Bat'!$C$8:C12)))</f>
        <v/>
      </c>
      <c r="I12" s="494" t="str">
        <f>IF('Pon-Bat'!G12="","",+'Pon-Bat'!G12/'Pon-Bat'!C12)</f>
        <v/>
      </c>
      <c r="J12" s="504" t="str">
        <f>IF('Pon-Bat'!G12="","",+(SUM('Pon-Bat'!$G$8:G12)/SUM('Pon-Bat'!$C$8:C12)))</f>
        <v/>
      </c>
      <c r="K12" s="494" t="str">
        <f>IF('Pon-Bat'!H12="","",+'Pon-Bat'!H12/'Pon-Bat'!C12)</f>
        <v/>
      </c>
      <c r="L12" s="496" t="str">
        <f>IF('Pon-Bat'!H12="","",+(SUM('Pon-Bat'!$H$8:H12)/SUM('Pon-Bat'!$C$8:C12)))</f>
        <v/>
      </c>
      <c r="M12" s="503" t="str">
        <f>IF('Pon-Bat'!J12="","",+'Pon-Bat'!J12/'Pon-Bat'!I12)</f>
        <v/>
      </c>
      <c r="N12" s="504" t="str">
        <f>IF('Pon-Bat'!J12="","",+(SUM('Pon-Bat'!$J$8:J12)/SUM('Pon-Bat'!$I$8:I12)))</f>
        <v/>
      </c>
      <c r="O12" s="494" t="str">
        <f>IF('Pon-Bat'!K12="","",+'Pon-Bat'!K12/'Pon-Bat'!I12)</f>
        <v/>
      </c>
      <c r="P12" s="504" t="str">
        <f>IF('Pon-Bat'!K12="","",+(SUM('Pon-Bat'!$K$8:K12)/SUM('Pon-Bat'!$I$8:I12)))</f>
        <v/>
      </c>
      <c r="Q12" s="494" t="str">
        <f>IF('Pon-Bat'!L12="","",+'Pon-Bat'!L12/'Pon-Bat'!I12)</f>
        <v/>
      </c>
      <c r="R12" s="504" t="str">
        <f>IF('Pon-Bat'!L12="","",+(SUM('Pon-Bat'!$L$8:L12)/SUM('Pon-Bat'!$I$8:I12)))</f>
        <v/>
      </c>
      <c r="S12" s="494" t="str">
        <f>IF('Pon-Bat'!M12="","",+'Pon-Bat'!M12/'Pon-Bat'!I12)</f>
        <v/>
      </c>
      <c r="T12" s="504" t="str">
        <f>IF('Pon-Bat'!M12="","",+(SUM('Pon-Bat'!$M$8:M12)/SUM('Pon-Bat'!$I$8:I12)))</f>
        <v/>
      </c>
      <c r="U12" s="494" t="str">
        <f>IF('Pon-Bat'!N12="","",+'Pon-Bat'!N12/'Pon-Bat'!I12)</f>
        <v/>
      </c>
      <c r="V12" s="496" t="str">
        <f>IF('Pon-Bat'!N12="","",+(SUM('Pon-Bat'!$N$8:N12)/SUM('Pon-Bat'!$I$8:I12)))</f>
        <v/>
      </c>
      <c r="W12" s="503" t="str">
        <f>IF('Pon-Bat'!P12="","",+'Pon-Bat'!P12/'Pon-Bat'!O12)</f>
        <v/>
      </c>
      <c r="X12" s="504" t="str">
        <f>IF('Pon-Bat'!P12="","",+(SUM('Pon-Bat'!$P$8:P12)/SUM('Pon-Bat'!$O$8:O12)))</f>
        <v/>
      </c>
      <c r="Y12" s="494" t="str">
        <f>IF('Pon-Bat'!Q12="","",+'Pon-Bat'!Q12/'Pon-Bat'!O12)</f>
        <v/>
      </c>
      <c r="Z12" s="504" t="str">
        <f>IF('Pon-Bat'!Q12="","",+(SUM('Pon-Bat'!$Q$8:Q12)/SUM('Pon-Bat'!$O$8:O12)))</f>
        <v/>
      </c>
      <c r="AA12" s="494" t="str">
        <f>IF('Pon-Bat'!R12="","",+'Pon-Bat'!R12/'Pon-Bat'!O12)</f>
        <v/>
      </c>
      <c r="AB12" s="504" t="str">
        <f>IF('Pon-Bat'!R12="","",+(SUM('Pon-Bat'!$R$8:R12)/SUM('Pon-Bat'!$O$8:O12)))</f>
        <v/>
      </c>
      <c r="AC12" s="494" t="str">
        <f>IF('Pon-Bat'!S12="","",+'Pon-Bat'!S12/'Pon-Bat'!O12)</f>
        <v/>
      </c>
      <c r="AD12" s="504" t="str">
        <f>IF('Pon-Bat'!S12="","",+(SUM('Pon-Bat'!$S$8:S12)/SUM('Pon-Bat'!$O$8:O12)))</f>
        <v/>
      </c>
      <c r="AE12" s="494" t="str">
        <f>IF('Pon-Bat'!T12="","",+'Pon-Bat'!T12/'Pon-Bat'!O12)</f>
        <v/>
      </c>
      <c r="AF12" s="496" t="str">
        <f>IF('Pon-Bat'!T12="","",+(SUM('Pon-Bat'!$T$8:T12)/SUM('Pon-Bat'!$O$8:O12)))</f>
        <v/>
      </c>
      <c r="AG12" s="503" t="str">
        <f>IF('Pon-Bat'!V12="","",+'Pon-Bat'!V12/'Pon-Bat'!U12)</f>
        <v/>
      </c>
      <c r="AH12" s="504" t="str">
        <f>IF('Pon-Bat'!V12="","",+(SUM('Pon-Bat'!$V$8:V12)/SUM('Pon-Bat'!$U$8:U12)))</f>
        <v/>
      </c>
      <c r="AI12" s="494" t="str">
        <f>IF('Pon-Bat'!W12="","",+'Pon-Bat'!W12/'Pon-Bat'!U12)</f>
        <v/>
      </c>
      <c r="AJ12" s="504" t="str">
        <f>IF('Pon-Bat'!W12="","",+(SUM('Pon-Bat'!$W$8:W12)/SUM('Pon-Bat'!$U$8:U12)))</f>
        <v/>
      </c>
      <c r="AK12" s="494" t="str">
        <f>IF('Pon-Bat'!X12="","",+'Pon-Bat'!X12/'Pon-Bat'!U12)</f>
        <v/>
      </c>
      <c r="AL12" s="504" t="str">
        <f>IF('Pon-Bat'!X12="","",+(SUM('Pon-Bat'!$X$8:X12)/SUM('Pon-Bat'!$U$8:U12)))</f>
        <v/>
      </c>
      <c r="AM12" s="494" t="str">
        <f>IF('Pon-Bat'!Y12="","",+'Pon-Bat'!Y12/'Pon-Bat'!U12)</f>
        <v/>
      </c>
      <c r="AN12" s="504" t="str">
        <f>IF('Pon-Bat'!Y12="","",+(SUM('Pon-Bat'!$Y$8:Y12)/SUM('Pon-Bat'!$U$8:U12)))</f>
        <v/>
      </c>
      <c r="AO12" s="494" t="str">
        <f>IF('Pon-Bat'!Z12="","",+'Pon-Bat'!Z12/'Pon-Bat'!U12)</f>
        <v/>
      </c>
      <c r="AP12" s="496" t="str">
        <f>IF('Pon-Bat'!Z12="","",+(SUM('Pon-Bat'!$Z$8:Z12)/SUM('Pon-Bat'!$U$8:U12)))</f>
        <v/>
      </c>
      <c r="AQ12" s="503" t="str">
        <f>IF('Pon-Bat'!AB12="","",+'Pon-Bat'!AB12/'Pon-Bat'!AA12)</f>
        <v/>
      </c>
      <c r="AR12" s="504" t="str">
        <f>IF('Pon-Bat'!AB12="","",+(SUM('Pon-Bat'!$AB$8:AB12)/SUM('Pon-Bat'!$AA$8:AA12)))</f>
        <v/>
      </c>
      <c r="AS12" s="494" t="str">
        <f>IF('Pon-Bat'!AC12="","",+'Pon-Bat'!AC12/'Pon-Bat'!AA12)</f>
        <v/>
      </c>
      <c r="AT12" s="504" t="str">
        <f>IF('Pon-Bat'!AC12="","",+(SUM('Pon-Bat'!$AC$8:AC12)/SUM('Pon-Bat'!$AA$8:AA12)))</f>
        <v/>
      </c>
      <c r="AU12" s="494" t="str">
        <f>IF('Pon-Bat'!AD12="","",+'Pon-Bat'!AD12/'Pon-Bat'!AA12)</f>
        <v/>
      </c>
      <c r="AV12" s="504" t="str">
        <f>IF('Pon-Bat'!AD12="","",+(SUM('Pon-Bat'!$AD$8:AD12)/SUM('Pon-Bat'!$AA$8:AA12)))</f>
        <v/>
      </c>
      <c r="AW12" s="494" t="str">
        <f>IF('Pon-Bat'!AE12="","",+'Pon-Bat'!AE12/'Pon-Bat'!AA12)</f>
        <v/>
      </c>
      <c r="AX12" s="504" t="str">
        <f>IF('Pon-Bat'!AE12="","",+(SUM('Pon-Bat'!$AE$8:AE12)/SUM('Pon-Bat'!$AA$8:AA12)))</f>
        <v/>
      </c>
      <c r="AY12" s="494" t="str">
        <f>IF('Pon-Bat'!AF12="","",+'Pon-Bat'!AF12/'Pon-Bat'!AA12)</f>
        <v/>
      </c>
      <c r="AZ12" s="496" t="str">
        <f>IF('Pon-Bat'!AF12="","",+(SUM('Pon-Bat'!$AF$8:AF12)/SUM('Pon-Bat'!$AA$8:AA12)))</f>
        <v/>
      </c>
      <c r="BA12" s="503" t="str">
        <f>IF('Pon-Bat'!AH12="","",+'Pon-Bat'!AH12/'Pon-Bat'!AG12)</f>
        <v/>
      </c>
      <c r="BB12" s="504" t="str">
        <f>IF('Pon-Bat'!AH12="","",+(SUM('Pon-Bat'!$AH$8:AH12)/SUM('Pon-Bat'!$AG$8:AG12)))</f>
        <v/>
      </c>
      <c r="BC12" s="494" t="str">
        <f>IF('Pon-Bat'!AI12="","",+'Pon-Bat'!AI12/'Pon-Bat'!AG12)</f>
        <v/>
      </c>
      <c r="BD12" s="504" t="str">
        <f>IF('Pon-Bat'!AI12="","",+(SUM('Pon-Bat'!$AI$8:AI12)/SUM('Pon-Bat'!$AG$8:AG12)))</f>
        <v/>
      </c>
      <c r="BE12" s="494" t="str">
        <f>IF('Pon-Bat'!AJ12="","",+'Pon-Bat'!AJ12/'Pon-Bat'!AG12)</f>
        <v/>
      </c>
      <c r="BF12" s="504" t="str">
        <f>IF('Pon-Bat'!AJ12="","",+(SUM('Pon-Bat'!$AJ$8:AJ12)/SUM('Pon-Bat'!$AG$8:AG12)))</f>
        <v/>
      </c>
      <c r="BG12" s="494" t="str">
        <f>IF('Pon-Bat'!AK12="","",+'Pon-Bat'!AK12/'Pon-Bat'!AG12)</f>
        <v/>
      </c>
      <c r="BH12" s="504" t="str">
        <f>IF('Pon-Bat'!AK12="","",+(SUM('Pon-Bat'!$AK$8:AK12)/SUM('Pon-Bat'!$AG$8:AG12)))</f>
        <v/>
      </c>
      <c r="BI12" s="494" t="str">
        <f>IF('Pon-Bat'!AL12="","",+'Pon-Bat'!AL12/'Pon-Bat'!AG12)</f>
        <v/>
      </c>
      <c r="BJ12" s="496" t="str">
        <f>IF('Pon-Bat'!AL12="","",+(SUM('Pon-Bat'!$AL$8:AL12)/SUM('Pon-Bat'!$AG$8:AG12)))</f>
        <v/>
      </c>
      <c r="BK12" s="501" t="str">
        <f>IF('Pon-Bat'!AN12="","",+'Pon-Bat'!AN12/'Pon-Bat'!AM12)</f>
        <v/>
      </c>
      <c r="BL12" s="504" t="str">
        <f>IF('Pon-Bat'!AN12="","",+(SUM('Pon-Bat'!$AN$8:AN12)/SUM('Pon-Bat'!$AM$8:AM12)))</f>
        <v/>
      </c>
      <c r="BM12" s="499" t="str">
        <f>IF('Pon-Bat'!AO12="","",+'Pon-Bat'!AO12/'Pon-Bat'!AM12)</f>
        <v/>
      </c>
      <c r="BN12" s="504" t="str">
        <f>IF('Pon-Bat'!AO12="","",+(SUM('Pon-Bat'!$AO$8:AO12)/SUM('Pon-Bat'!$AM$8:AM12)))</f>
        <v/>
      </c>
      <c r="BO12" s="499" t="str">
        <f>IF('Pon-Bat'!AP12="","",+'Pon-Bat'!AP12/'Pon-Bat'!AM12)</f>
        <v/>
      </c>
      <c r="BP12" s="504" t="str">
        <f>IF('Pon-Bat'!AP12="","",+(SUM('Pon-Bat'!$AP$8:AP12)/SUM('Pon-Bat'!$AM$8:AM12)))</f>
        <v/>
      </c>
      <c r="BQ12" s="499" t="str">
        <f>IF('Pon-Bat'!AQ12="","",+'Pon-Bat'!AQ12/'Pon-Bat'!AM12)</f>
        <v/>
      </c>
      <c r="BR12" s="504" t="str">
        <f>IF('Pon-Bat'!AQ12="","",+(SUM('Pon-Bat'!$AQ$8:AQ12)/SUM('Pon-Bat'!$AM$8:AM12)))</f>
        <v/>
      </c>
      <c r="BS12" s="499" t="str">
        <f>IF('Pon-Bat'!AR12="","",+'Pon-Bat'!AR12/'Pon-Bat'!AM12)</f>
        <v/>
      </c>
      <c r="BT12" s="496" t="str">
        <f>IF('Pon-Bat'!AR12="","",+(SUM('Pon-Bat'!$AR$8:AR12)/SUM('Pon-Bat'!$AM$8:AM12)))</f>
        <v/>
      </c>
      <c r="BU12" s="501" t="str">
        <f>IF('Pon-Bat'!AT12="","",+'Pon-Bat'!AT12/'Pon-Bat'!AS12)</f>
        <v/>
      </c>
      <c r="BV12" s="504" t="str">
        <f>IF('Pon-Bat'!AT12="","",+(SUM('Pon-Bat'!$AT$8:AT12)/SUM('Pon-Bat'!$AS$8:AS12)))</f>
        <v/>
      </c>
      <c r="BW12" s="499" t="str">
        <f>IF('Pon-Bat'!AU12="","",+'Pon-Bat'!AU12/'Pon-Bat'!AS12)</f>
        <v/>
      </c>
      <c r="BX12" s="504" t="str">
        <f>IF('Pon-Bat'!AU12="","",+(SUM('Pon-Bat'!$AU$8:AU12)/SUM('Pon-Bat'!$AS$8:AS12)))</f>
        <v/>
      </c>
      <c r="BY12" s="499" t="str">
        <f>IF('Pon-Bat'!AV12="","",+'Pon-Bat'!AV12/'Pon-Bat'!AS12)</f>
        <v/>
      </c>
      <c r="BZ12" s="504" t="str">
        <f>IF('Pon-Bat'!AV12="","",+(SUM('Pon-Bat'!$AV$8:AV12)/SUM('Pon-Bat'!$AS$8:AS12)))</f>
        <v/>
      </c>
      <c r="CA12" s="499" t="str">
        <f>IF('Pon-Bat'!AW12="","",+'Pon-Bat'!AW12/'Pon-Bat'!AS12)</f>
        <v/>
      </c>
      <c r="CB12" s="504" t="str">
        <f>IF('Pon-Bat'!AW12="","",+(SUM('Pon-Bat'!$AW$8:AW12)/SUM('Pon-Bat'!$AS$8:AS12)))</f>
        <v/>
      </c>
      <c r="CC12" s="499" t="str">
        <f>IF('Pon-Bat'!AX12="","",+'Pon-Bat'!AX12/'Pon-Bat'!AS12)</f>
        <v/>
      </c>
      <c r="CD12" s="496" t="str">
        <f>IF('Pon-Bat'!AX12="","",+(SUM('Pon-Bat'!$AX$8:AX12)/SUM('Pon-Bat'!$AS$8:AS12)))</f>
        <v/>
      </c>
      <c r="CE12" s="503" t="str">
        <f>IF('Pon-Bat'!AZ12="","",+'Pon-Bat'!AZ12/'Pon-Bat'!AY12)</f>
        <v/>
      </c>
      <c r="CF12" s="504" t="str">
        <f>IF('Pon-Bat'!AZ12="","",+(SUM('Pon-Bat'!$AZ$8:AZ12)/SUM('Pon-Bat'!$AY$8:AY12)))</f>
        <v/>
      </c>
      <c r="CG12" s="494" t="str">
        <f>IF('Pon-Bat'!BA12="","",+'Pon-Bat'!BA12/'Pon-Bat'!AY12)</f>
        <v/>
      </c>
      <c r="CH12" s="504" t="str">
        <f>IF('Pon-Bat'!BA12="","",+(SUM('Pon-Bat'!$BA$8:BA12)/SUM('Pon-Bat'!$AY$8:AY12)))</f>
        <v/>
      </c>
      <c r="CI12" s="499" t="str">
        <f>IF('Pon-Bat'!BB12="","",+'Pon-Bat'!BB12/'Pon-Bat'!AY12)</f>
        <v/>
      </c>
      <c r="CJ12" s="504" t="str">
        <f>IF('Pon-Bat'!BB12="","",+(SUM('Pon-Bat'!$BB$8:BB12)/SUM('Pon-Bat'!$AY$8:AY12)))</f>
        <v/>
      </c>
      <c r="CK12" s="494" t="str">
        <f>IF('Pon-Bat'!BC12="","",+'Pon-Bat'!BC12/'Pon-Bat'!AY12)</f>
        <v/>
      </c>
      <c r="CL12" s="504" t="str">
        <f>IF('Pon-Bat'!BC12="","",+(SUM('Pon-Bat'!$BC$8:BC12)/SUM('Pon-Bat'!$AY$8:AY12)))</f>
        <v/>
      </c>
      <c r="CM12" s="494" t="str">
        <f>IF('Pon-Bat'!BD12="","",+'Pon-Bat'!BD12/'Pon-Bat'!AY12)</f>
        <v/>
      </c>
      <c r="CN12" s="496" t="str">
        <f>IF('Pon-Bat'!BD12="","",+(SUM('Pon-Bat'!$BD$8:BD12)/SUM('Pon-Bat'!$AY$8:AY12)))</f>
        <v/>
      </c>
    </row>
    <row r="13" spans="1:92" ht="24" customHeight="1" thickBot="1" x14ac:dyDescent="0.25">
      <c r="A13" s="453">
        <f t="shared" si="0"/>
        <v>43446</v>
      </c>
      <c r="B13" s="465">
        <f t="shared" si="1"/>
        <v>28</v>
      </c>
      <c r="C13" s="503" t="str">
        <f>IF('Pon-Bat'!D13="","",+'Pon-Bat'!D13/'Pon-Bat'!C13)</f>
        <v/>
      </c>
      <c r="D13" s="504" t="str">
        <f>IF('Pon-Bat'!D13="","",+(SUM('Pon-Bat'!$D$8:D13)/SUM('Pon-Bat'!$C$8:C13)))</f>
        <v/>
      </c>
      <c r="E13" s="494" t="str">
        <f>IF('Pon-Bat'!E13="","",+'Pon-Bat'!E13/'Pon-Bat'!C13)</f>
        <v/>
      </c>
      <c r="F13" s="504" t="str">
        <f>IF('Pon-Bat'!E13="","",+(SUM('Pon-Bat'!$E$8:E13)/SUM('Pon-Bat'!$C$8:C13)))</f>
        <v/>
      </c>
      <c r="G13" s="494" t="str">
        <f>IF('Pon-Bat'!F13="","",+'Pon-Bat'!F13/'Pon-Bat'!C13)</f>
        <v/>
      </c>
      <c r="H13" s="504" t="str">
        <f>IF('Pon-Bat'!F13="","",+(SUM('Pon-Bat'!$F$8:F13)/SUM('Pon-Bat'!$C$8:C13)))</f>
        <v/>
      </c>
      <c r="I13" s="494" t="str">
        <f>IF('Pon-Bat'!G13="","",+'Pon-Bat'!G13/'Pon-Bat'!C13)</f>
        <v/>
      </c>
      <c r="J13" s="504" t="str">
        <f>IF('Pon-Bat'!G13="","",+(SUM('Pon-Bat'!$G$8:G13)/SUM('Pon-Bat'!$C$8:C13)))</f>
        <v/>
      </c>
      <c r="K13" s="494" t="str">
        <f>IF('Pon-Bat'!H13="","",+'Pon-Bat'!H13/'Pon-Bat'!C13)</f>
        <v/>
      </c>
      <c r="L13" s="496" t="str">
        <f>IF('Pon-Bat'!H13="","",+(SUM('Pon-Bat'!$H$8:H13)/SUM('Pon-Bat'!$C$8:C13)))</f>
        <v/>
      </c>
      <c r="M13" s="503" t="str">
        <f>IF('Pon-Bat'!J13="","",+'Pon-Bat'!J13/'Pon-Bat'!I13)</f>
        <v/>
      </c>
      <c r="N13" s="504" t="str">
        <f>IF('Pon-Bat'!J13="","",+(SUM('Pon-Bat'!$J$8:J13)/SUM('Pon-Bat'!$I$8:I13)))</f>
        <v/>
      </c>
      <c r="O13" s="494" t="str">
        <f>IF('Pon-Bat'!K13="","",+'Pon-Bat'!K13/'Pon-Bat'!I13)</f>
        <v/>
      </c>
      <c r="P13" s="504" t="str">
        <f>IF('Pon-Bat'!K13="","",+(SUM('Pon-Bat'!$K$8:K13)/SUM('Pon-Bat'!$I$8:I13)))</f>
        <v/>
      </c>
      <c r="Q13" s="494" t="str">
        <f>IF('Pon-Bat'!L13="","",+'Pon-Bat'!L13/'Pon-Bat'!I13)</f>
        <v/>
      </c>
      <c r="R13" s="504" t="str">
        <f>IF('Pon-Bat'!L13="","",+(SUM('Pon-Bat'!$L$8:L13)/SUM('Pon-Bat'!$I$8:I13)))</f>
        <v/>
      </c>
      <c r="S13" s="494" t="str">
        <f>IF('Pon-Bat'!M13="","",+'Pon-Bat'!M13/'Pon-Bat'!I13)</f>
        <v/>
      </c>
      <c r="T13" s="504" t="str">
        <f>IF('Pon-Bat'!M13="","",+(SUM('Pon-Bat'!$M$8:M13)/SUM('Pon-Bat'!$I$8:I13)))</f>
        <v/>
      </c>
      <c r="U13" s="494" t="str">
        <f>IF('Pon-Bat'!N13="","",+'Pon-Bat'!N13/'Pon-Bat'!I13)</f>
        <v/>
      </c>
      <c r="V13" s="496" t="str">
        <f>IF('Pon-Bat'!N13="","",+(SUM('Pon-Bat'!$N$8:N13)/SUM('Pon-Bat'!$I$8:I13)))</f>
        <v/>
      </c>
      <c r="W13" s="503" t="str">
        <f>IF('Pon-Bat'!P13="","",+'Pon-Bat'!P13/'Pon-Bat'!O13)</f>
        <v/>
      </c>
      <c r="X13" s="504" t="str">
        <f>IF('Pon-Bat'!P13="","",+(SUM('Pon-Bat'!$P$8:P13)/SUM('Pon-Bat'!$O$8:O13)))</f>
        <v/>
      </c>
      <c r="Y13" s="494" t="str">
        <f>IF('Pon-Bat'!Q13="","",+'Pon-Bat'!Q13/'Pon-Bat'!O13)</f>
        <v/>
      </c>
      <c r="Z13" s="504" t="str">
        <f>IF('Pon-Bat'!Q13="","",+(SUM('Pon-Bat'!$Q$8:Q13)/SUM('Pon-Bat'!$O$8:O13)))</f>
        <v/>
      </c>
      <c r="AA13" s="494" t="str">
        <f>IF('Pon-Bat'!R13="","",+'Pon-Bat'!R13/'Pon-Bat'!O13)</f>
        <v/>
      </c>
      <c r="AB13" s="504" t="str">
        <f>IF('Pon-Bat'!R13="","",+(SUM('Pon-Bat'!$R$8:R13)/SUM('Pon-Bat'!$O$8:O13)))</f>
        <v/>
      </c>
      <c r="AC13" s="494" t="str">
        <f>IF('Pon-Bat'!S13="","",+'Pon-Bat'!S13/'Pon-Bat'!O13)</f>
        <v/>
      </c>
      <c r="AD13" s="504" t="str">
        <f>IF('Pon-Bat'!S13="","",+(SUM('Pon-Bat'!$S$8:S13)/SUM('Pon-Bat'!$O$8:O13)))</f>
        <v/>
      </c>
      <c r="AE13" s="494" t="str">
        <f>IF('Pon-Bat'!T13="","",+'Pon-Bat'!T13/'Pon-Bat'!O13)</f>
        <v/>
      </c>
      <c r="AF13" s="496" t="str">
        <f>IF('Pon-Bat'!T13="","",+(SUM('Pon-Bat'!$T$8:T13)/SUM('Pon-Bat'!$O$8:O13)))</f>
        <v/>
      </c>
      <c r="AG13" s="503" t="str">
        <f>IF('Pon-Bat'!V13="","",+'Pon-Bat'!V13/'Pon-Bat'!U13)</f>
        <v/>
      </c>
      <c r="AH13" s="504" t="str">
        <f>IF('Pon-Bat'!V13="","",+(SUM('Pon-Bat'!$V$8:V13)/SUM('Pon-Bat'!$U$8:U13)))</f>
        <v/>
      </c>
      <c r="AI13" s="494" t="str">
        <f>IF('Pon-Bat'!W13="","",+'Pon-Bat'!W13/'Pon-Bat'!U13)</f>
        <v/>
      </c>
      <c r="AJ13" s="504" t="str">
        <f>IF('Pon-Bat'!W13="","",+(SUM('Pon-Bat'!$W$8:W13)/SUM('Pon-Bat'!$U$8:U13)))</f>
        <v/>
      </c>
      <c r="AK13" s="494" t="str">
        <f>IF('Pon-Bat'!X13="","",+'Pon-Bat'!X13/'Pon-Bat'!U13)</f>
        <v/>
      </c>
      <c r="AL13" s="504" t="str">
        <f>IF('Pon-Bat'!X13="","",+(SUM('Pon-Bat'!$X$8:X13)/SUM('Pon-Bat'!$U$8:U13)))</f>
        <v/>
      </c>
      <c r="AM13" s="494" t="str">
        <f>IF('Pon-Bat'!Y13="","",+'Pon-Bat'!Y13/'Pon-Bat'!U13)</f>
        <v/>
      </c>
      <c r="AN13" s="504" t="str">
        <f>IF('Pon-Bat'!Y13="","",+(SUM('Pon-Bat'!$Y$8:Y13)/SUM('Pon-Bat'!$U$8:U13)))</f>
        <v/>
      </c>
      <c r="AO13" s="494" t="str">
        <f>IF('Pon-Bat'!Z13="","",+'Pon-Bat'!Z13/'Pon-Bat'!U13)</f>
        <v/>
      </c>
      <c r="AP13" s="496" t="str">
        <f>IF('Pon-Bat'!Z13="","",+(SUM('Pon-Bat'!$Z$8:Z13)/SUM('Pon-Bat'!$U$8:U13)))</f>
        <v/>
      </c>
      <c r="AQ13" s="503" t="str">
        <f>IF('Pon-Bat'!AB13="","",+'Pon-Bat'!AB13/'Pon-Bat'!AA13)</f>
        <v/>
      </c>
      <c r="AR13" s="504" t="str">
        <f>IF('Pon-Bat'!AB13="","",+(SUM('Pon-Bat'!$AB$8:AB13)/SUM('Pon-Bat'!$AA$8:AA13)))</f>
        <v/>
      </c>
      <c r="AS13" s="494" t="str">
        <f>IF('Pon-Bat'!AC13="","",+'Pon-Bat'!AC13/'Pon-Bat'!AA13)</f>
        <v/>
      </c>
      <c r="AT13" s="504" t="str">
        <f>IF('Pon-Bat'!AC13="","",+(SUM('Pon-Bat'!$AC$8:AC13)/SUM('Pon-Bat'!$AA$8:AA13)))</f>
        <v/>
      </c>
      <c r="AU13" s="494" t="str">
        <f>IF('Pon-Bat'!AD13="","",+'Pon-Bat'!AD13/'Pon-Bat'!AA13)</f>
        <v/>
      </c>
      <c r="AV13" s="504" t="str">
        <f>IF('Pon-Bat'!AD13="","",+(SUM('Pon-Bat'!$AD$8:AD13)/SUM('Pon-Bat'!$AA$8:AA13)))</f>
        <v/>
      </c>
      <c r="AW13" s="494" t="str">
        <f>IF('Pon-Bat'!AE13="","",+'Pon-Bat'!AE13/'Pon-Bat'!AA13)</f>
        <v/>
      </c>
      <c r="AX13" s="504" t="str">
        <f>IF('Pon-Bat'!AE13="","",+(SUM('Pon-Bat'!$AE$8:AE13)/SUM('Pon-Bat'!$AA$8:AA13)))</f>
        <v/>
      </c>
      <c r="AY13" s="494" t="str">
        <f>IF('Pon-Bat'!AF13="","",+'Pon-Bat'!AF13/'Pon-Bat'!AA13)</f>
        <v/>
      </c>
      <c r="AZ13" s="496" t="str">
        <f>IF('Pon-Bat'!AF13="","",+(SUM('Pon-Bat'!$AF$8:AF13)/SUM('Pon-Bat'!$AA$8:AA13)))</f>
        <v/>
      </c>
      <c r="BA13" s="503" t="str">
        <f>IF('Pon-Bat'!AH13="","",+'Pon-Bat'!AH13/'Pon-Bat'!AG13)</f>
        <v/>
      </c>
      <c r="BB13" s="504" t="str">
        <f>IF('Pon-Bat'!AH13="","",+(SUM('Pon-Bat'!$AH$8:AH13)/SUM('Pon-Bat'!$AG$8:AG13)))</f>
        <v/>
      </c>
      <c r="BC13" s="494" t="str">
        <f>IF('Pon-Bat'!AI13="","",+'Pon-Bat'!AI13/'Pon-Bat'!AG13)</f>
        <v/>
      </c>
      <c r="BD13" s="504" t="str">
        <f>IF('Pon-Bat'!AI13="","",+(SUM('Pon-Bat'!$AI$8:AI13)/SUM('Pon-Bat'!$AG$8:AG13)))</f>
        <v/>
      </c>
      <c r="BE13" s="494" t="str">
        <f>IF('Pon-Bat'!AJ13="","",+'Pon-Bat'!AJ13/'Pon-Bat'!AG13)</f>
        <v/>
      </c>
      <c r="BF13" s="504" t="str">
        <f>IF('Pon-Bat'!AJ13="","",+(SUM('Pon-Bat'!$AJ$8:AJ13)/SUM('Pon-Bat'!$AG$8:AG13)))</f>
        <v/>
      </c>
      <c r="BG13" s="494" t="str">
        <f>IF('Pon-Bat'!AK13="","",+'Pon-Bat'!AK13/'Pon-Bat'!AG13)</f>
        <v/>
      </c>
      <c r="BH13" s="504" t="str">
        <f>IF('Pon-Bat'!AK13="","",+(SUM('Pon-Bat'!$AK$8:AK13)/SUM('Pon-Bat'!$AG$8:AG13)))</f>
        <v/>
      </c>
      <c r="BI13" s="494" t="str">
        <f>IF('Pon-Bat'!AL13="","",+'Pon-Bat'!AL13/'Pon-Bat'!AG13)</f>
        <v/>
      </c>
      <c r="BJ13" s="496" t="str">
        <f>IF('Pon-Bat'!AL13="","",+(SUM('Pon-Bat'!$AL$8:AL13)/SUM('Pon-Bat'!$AG$8:AG13)))</f>
        <v/>
      </c>
      <c r="BK13" s="501" t="str">
        <f>IF('Pon-Bat'!AN13="","",+'Pon-Bat'!AN13/'Pon-Bat'!AM13)</f>
        <v/>
      </c>
      <c r="BL13" s="504" t="str">
        <f>IF('Pon-Bat'!AN13="","",+(SUM('Pon-Bat'!$AN$8:AN13)/SUM('Pon-Bat'!$AM$8:AM13)))</f>
        <v/>
      </c>
      <c r="BM13" s="499" t="str">
        <f>IF('Pon-Bat'!AO13="","",+'Pon-Bat'!AO13/'Pon-Bat'!AM13)</f>
        <v/>
      </c>
      <c r="BN13" s="504" t="str">
        <f>IF('Pon-Bat'!AO13="","",+(SUM('Pon-Bat'!$AO$8:AO13)/SUM('Pon-Bat'!$AM$8:AM13)))</f>
        <v/>
      </c>
      <c r="BO13" s="499" t="str">
        <f>IF('Pon-Bat'!AP13="","",+'Pon-Bat'!AP13/'Pon-Bat'!AM13)</f>
        <v/>
      </c>
      <c r="BP13" s="504" t="str">
        <f>IF('Pon-Bat'!AP13="","",+(SUM('Pon-Bat'!$AP$8:AP13)/SUM('Pon-Bat'!$AM$8:AM13)))</f>
        <v/>
      </c>
      <c r="BQ13" s="499" t="str">
        <f>IF('Pon-Bat'!AQ13="","",+'Pon-Bat'!AQ13/'Pon-Bat'!AM13)</f>
        <v/>
      </c>
      <c r="BR13" s="504" t="str">
        <f>IF('Pon-Bat'!AQ13="","",+(SUM('Pon-Bat'!$AQ$8:AQ13)/SUM('Pon-Bat'!$AM$8:AM13)))</f>
        <v/>
      </c>
      <c r="BS13" s="499" t="str">
        <f>IF('Pon-Bat'!AR13="","",+'Pon-Bat'!AR13/'Pon-Bat'!AM13)</f>
        <v/>
      </c>
      <c r="BT13" s="496" t="str">
        <f>IF('Pon-Bat'!AR13="","",+(SUM('Pon-Bat'!$AR$8:AR13)/SUM('Pon-Bat'!$AM$8:AM13)))</f>
        <v/>
      </c>
      <c r="BU13" s="501" t="str">
        <f>IF('Pon-Bat'!AT13="","",+'Pon-Bat'!AT13/'Pon-Bat'!AS13)</f>
        <v/>
      </c>
      <c r="BV13" s="504" t="str">
        <f>IF('Pon-Bat'!AT13="","",+(SUM('Pon-Bat'!$AT$8:AT13)/SUM('Pon-Bat'!$AS$8:AS13)))</f>
        <v/>
      </c>
      <c r="BW13" s="499" t="str">
        <f>IF('Pon-Bat'!AU13="","",+'Pon-Bat'!AU13/'Pon-Bat'!AS13)</f>
        <v/>
      </c>
      <c r="BX13" s="504" t="str">
        <f>IF('Pon-Bat'!AU13="","",+(SUM('Pon-Bat'!$AU$8:AU13)/SUM('Pon-Bat'!$AS$8:AS13)))</f>
        <v/>
      </c>
      <c r="BY13" s="499" t="str">
        <f>IF('Pon-Bat'!AV13="","",+'Pon-Bat'!AV13/'Pon-Bat'!AS13)</f>
        <v/>
      </c>
      <c r="BZ13" s="504" t="str">
        <f>IF('Pon-Bat'!AV13="","",+(SUM('Pon-Bat'!$AV$8:AV13)/SUM('Pon-Bat'!$AS$8:AS13)))</f>
        <v/>
      </c>
      <c r="CA13" s="499" t="str">
        <f>IF('Pon-Bat'!AW13="","",+'Pon-Bat'!AW13/'Pon-Bat'!AS13)</f>
        <v/>
      </c>
      <c r="CB13" s="504" t="str">
        <f>IF('Pon-Bat'!AW13="","",+(SUM('Pon-Bat'!$AW$8:AW13)/SUM('Pon-Bat'!$AS$8:AS13)))</f>
        <v/>
      </c>
      <c r="CC13" s="499" t="str">
        <f>IF('Pon-Bat'!AX13="","",+'Pon-Bat'!AX13/'Pon-Bat'!AS13)</f>
        <v/>
      </c>
      <c r="CD13" s="496" t="str">
        <f>IF('Pon-Bat'!AX13="","",+(SUM('Pon-Bat'!$AX$8:AX13)/SUM('Pon-Bat'!$AS$8:AS13)))</f>
        <v/>
      </c>
      <c r="CE13" s="503" t="str">
        <f>IF('Pon-Bat'!AZ13="","",+'Pon-Bat'!AZ13/'Pon-Bat'!AY13)</f>
        <v/>
      </c>
      <c r="CF13" s="504" t="str">
        <f>IF('Pon-Bat'!AZ13="","",+(SUM('Pon-Bat'!$AZ$8:AZ13)/SUM('Pon-Bat'!$AY$8:AY13)))</f>
        <v/>
      </c>
      <c r="CG13" s="494" t="str">
        <f>IF('Pon-Bat'!BA13="","",+'Pon-Bat'!BA13/'Pon-Bat'!AY13)</f>
        <v/>
      </c>
      <c r="CH13" s="504" t="str">
        <f>IF('Pon-Bat'!BA13="","",+(SUM('Pon-Bat'!$BA$8:BA13)/SUM('Pon-Bat'!$AY$8:AY13)))</f>
        <v/>
      </c>
      <c r="CI13" s="499" t="str">
        <f>IF('Pon-Bat'!BB13="","",+'Pon-Bat'!BB13/'Pon-Bat'!AY13)</f>
        <v/>
      </c>
      <c r="CJ13" s="504" t="str">
        <f>IF('Pon-Bat'!BB13="","",+(SUM('Pon-Bat'!$BB$8:BB13)/SUM('Pon-Bat'!$AY$8:AY13)))</f>
        <v/>
      </c>
      <c r="CK13" s="494" t="str">
        <f>IF('Pon-Bat'!BC13="","",+'Pon-Bat'!BC13/'Pon-Bat'!AY13)</f>
        <v/>
      </c>
      <c r="CL13" s="504" t="str">
        <f>IF('Pon-Bat'!BC13="","",+(SUM('Pon-Bat'!$BC$8:BC13)/SUM('Pon-Bat'!$AY$8:AY13)))</f>
        <v/>
      </c>
      <c r="CM13" s="494" t="str">
        <f>IF('Pon-Bat'!BD13="","",+'Pon-Bat'!BD13/'Pon-Bat'!AY13)</f>
        <v/>
      </c>
      <c r="CN13" s="496" t="str">
        <f>IF('Pon-Bat'!BD13="","",+(SUM('Pon-Bat'!$BD$8:BD13)/SUM('Pon-Bat'!$AY$8:AY13)))</f>
        <v/>
      </c>
    </row>
    <row r="14" spans="1:92" ht="24" customHeight="1" thickBot="1" x14ac:dyDescent="0.25">
      <c r="A14" s="453">
        <f t="shared" si="0"/>
        <v>43453</v>
      </c>
      <c r="B14" s="465">
        <f t="shared" si="1"/>
        <v>29</v>
      </c>
      <c r="C14" s="503" t="str">
        <f>IF('Pon-Bat'!D14="","",+'Pon-Bat'!D14/'Pon-Bat'!C14)</f>
        <v/>
      </c>
      <c r="D14" s="504" t="str">
        <f>IF('Pon-Bat'!D14="","",+(SUM('Pon-Bat'!$D$8:D14)/SUM('Pon-Bat'!$C$8:C14)))</f>
        <v/>
      </c>
      <c r="E14" s="494" t="str">
        <f>IF('Pon-Bat'!E14="","",+'Pon-Bat'!E14/'Pon-Bat'!C14)</f>
        <v/>
      </c>
      <c r="F14" s="504" t="str">
        <f>IF('Pon-Bat'!E14="","",+(SUM('Pon-Bat'!$E$8:E14)/SUM('Pon-Bat'!$C$8:C14)))</f>
        <v/>
      </c>
      <c r="G14" s="494" t="str">
        <f>IF('Pon-Bat'!F14="","",+'Pon-Bat'!F14/'Pon-Bat'!C14)</f>
        <v/>
      </c>
      <c r="H14" s="504" t="str">
        <f>IF('Pon-Bat'!F14="","",+(SUM('Pon-Bat'!$F$8:F14)/SUM('Pon-Bat'!$C$8:C14)))</f>
        <v/>
      </c>
      <c r="I14" s="494" t="str">
        <f>IF('Pon-Bat'!G14="","",+'Pon-Bat'!G14/'Pon-Bat'!C14)</f>
        <v/>
      </c>
      <c r="J14" s="504" t="str">
        <f>IF('Pon-Bat'!G14="","",+(SUM('Pon-Bat'!$G$8:G14)/SUM('Pon-Bat'!$C$8:C14)))</f>
        <v/>
      </c>
      <c r="K14" s="494" t="str">
        <f>IF('Pon-Bat'!H14="","",+'Pon-Bat'!H14/'Pon-Bat'!C14)</f>
        <v/>
      </c>
      <c r="L14" s="496" t="str">
        <f>IF('Pon-Bat'!H14="","",+(SUM('Pon-Bat'!$H$8:H14)/SUM('Pon-Bat'!$C$8:C14)))</f>
        <v/>
      </c>
      <c r="M14" s="503" t="str">
        <f>IF('Pon-Bat'!J14="","",+'Pon-Bat'!J14/'Pon-Bat'!I14)</f>
        <v/>
      </c>
      <c r="N14" s="504" t="str">
        <f>IF('Pon-Bat'!J14="","",+(SUM('Pon-Bat'!$J$8:J14)/SUM('Pon-Bat'!$I$8:I14)))</f>
        <v/>
      </c>
      <c r="O14" s="494" t="str">
        <f>IF('Pon-Bat'!K14="","",+'Pon-Bat'!K14/'Pon-Bat'!I14)</f>
        <v/>
      </c>
      <c r="P14" s="504" t="str">
        <f>IF('Pon-Bat'!K14="","",+(SUM('Pon-Bat'!$K$8:K14)/SUM('Pon-Bat'!$I$8:I14)))</f>
        <v/>
      </c>
      <c r="Q14" s="494" t="str">
        <f>IF('Pon-Bat'!L14="","",+'Pon-Bat'!L14/'Pon-Bat'!I14)</f>
        <v/>
      </c>
      <c r="R14" s="504" t="str">
        <f>IF('Pon-Bat'!L14="","",+(SUM('Pon-Bat'!$L$8:L14)/SUM('Pon-Bat'!$I$8:I14)))</f>
        <v/>
      </c>
      <c r="S14" s="494" t="str">
        <f>IF('Pon-Bat'!M14="","",+'Pon-Bat'!M14/'Pon-Bat'!I14)</f>
        <v/>
      </c>
      <c r="T14" s="504" t="str">
        <f>IF('Pon-Bat'!M14="","",+(SUM('Pon-Bat'!$M$8:M14)/SUM('Pon-Bat'!$I$8:I14)))</f>
        <v/>
      </c>
      <c r="U14" s="494" t="str">
        <f>IF('Pon-Bat'!N14="","",+'Pon-Bat'!N14/'Pon-Bat'!I14)</f>
        <v/>
      </c>
      <c r="V14" s="496" t="str">
        <f>IF('Pon-Bat'!N14="","",+(SUM('Pon-Bat'!$N$8:N14)/SUM('Pon-Bat'!$I$8:I14)))</f>
        <v/>
      </c>
      <c r="W14" s="503" t="str">
        <f>IF('Pon-Bat'!P14="","",+'Pon-Bat'!P14/'Pon-Bat'!O14)</f>
        <v/>
      </c>
      <c r="X14" s="504" t="str">
        <f>IF('Pon-Bat'!P14="","",+(SUM('Pon-Bat'!$P$8:P14)/SUM('Pon-Bat'!$O$8:O14)))</f>
        <v/>
      </c>
      <c r="Y14" s="494" t="str">
        <f>IF('Pon-Bat'!Q14="","",+'Pon-Bat'!Q14/'Pon-Bat'!O14)</f>
        <v/>
      </c>
      <c r="Z14" s="504" t="str">
        <f>IF('Pon-Bat'!Q14="","",+(SUM('Pon-Bat'!$Q$8:Q14)/SUM('Pon-Bat'!$O$8:O14)))</f>
        <v/>
      </c>
      <c r="AA14" s="494" t="str">
        <f>IF('Pon-Bat'!R14="","",+'Pon-Bat'!R14/'Pon-Bat'!O14)</f>
        <v/>
      </c>
      <c r="AB14" s="504" t="str">
        <f>IF('Pon-Bat'!R14="","",+(SUM('Pon-Bat'!$R$8:R14)/SUM('Pon-Bat'!$O$8:O14)))</f>
        <v/>
      </c>
      <c r="AC14" s="494" t="str">
        <f>IF('Pon-Bat'!S14="","",+'Pon-Bat'!S14/'Pon-Bat'!O14)</f>
        <v/>
      </c>
      <c r="AD14" s="504" t="str">
        <f>IF('Pon-Bat'!S14="","",+(SUM('Pon-Bat'!$S$8:S14)/SUM('Pon-Bat'!$O$8:O14)))</f>
        <v/>
      </c>
      <c r="AE14" s="494" t="str">
        <f>IF('Pon-Bat'!T14="","",+'Pon-Bat'!T14/'Pon-Bat'!O14)</f>
        <v/>
      </c>
      <c r="AF14" s="496" t="str">
        <f>IF('Pon-Bat'!T14="","",+(SUM('Pon-Bat'!$T$8:T14)/SUM('Pon-Bat'!$O$8:O14)))</f>
        <v/>
      </c>
      <c r="AG14" s="503" t="str">
        <f>IF('Pon-Bat'!V14="","",+'Pon-Bat'!V14/'Pon-Bat'!U14)</f>
        <v/>
      </c>
      <c r="AH14" s="504" t="str">
        <f>IF('Pon-Bat'!V14="","",+(SUM('Pon-Bat'!$V$8:V14)/SUM('Pon-Bat'!$U$8:U14)))</f>
        <v/>
      </c>
      <c r="AI14" s="494" t="str">
        <f>IF('Pon-Bat'!W14="","",+'Pon-Bat'!W14/'Pon-Bat'!U14)</f>
        <v/>
      </c>
      <c r="AJ14" s="504" t="str">
        <f>IF('Pon-Bat'!W14="","",+(SUM('Pon-Bat'!$W$8:W14)/SUM('Pon-Bat'!$U$8:U14)))</f>
        <v/>
      </c>
      <c r="AK14" s="494" t="str">
        <f>IF('Pon-Bat'!X14="","",+'Pon-Bat'!X14/'Pon-Bat'!U14)</f>
        <v/>
      </c>
      <c r="AL14" s="504" t="str">
        <f>IF('Pon-Bat'!X14="","",+(SUM('Pon-Bat'!$X$8:X14)/SUM('Pon-Bat'!$U$8:U14)))</f>
        <v/>
      </c>
      <c r="AM14" s="494" t="str">
        <f>IF('Pon-Bat'!Y14="","",+'Pon-Bat'!Y14/'Pon-Bat'!U14)</f>
        <v/>
      </c>
      <c r="AN14" s="504" t="str">
        <f>IF('Pon-Bat'!Y14="","",+(SUM('Pon-Bat'!$Y$8:Y14)/SUM('Pon-Bat'!$U$8:U14)))</f>
        <v/>
      </c>
      <c r="AO14" s="494" t="str">
        <f>IF('Pon-Bat'!Z14="","",+'Pon-Bat'!Z14/'Pon-Bat'!U14)</f>
        <v/>
      </c>
      <c r="AP14" s="496" t="str">
        <f>IF('Pon-Bat'!Z14="","",+(SUM('Pon-Bat'!$Z$8:Z14)/SUM('Pon-Bat'!$U$8:U14)))</f>
        <v/>
      </c>
      <c r="AQ14" s="503" t="str">
        <f>IF('Pon-Bat'!AB14="","",+'Pon-Bat'!AB14/'Pon-Bat'!AA14)</f>
        <v/>
      </c>
      <c r="AR14" s="504" t="str">
        <f>IF('Pon-Bat'!AB14="","",+(SUM('Pon-Bat'!$AB$8:AB14)/SUM('Pon-Bat'!$AA$8:AA14)))</f>
        <v/>
      </c>
      <c r="AS14" s="494" t="str">
        <f>IF('Pon-Bat'!AC14="","",+'Pon-Bat'!AC14/'Pon-Bat'!AA14)</f>
        <v/>
      </c>
      <c r="AT14" s="504" t="str">
        <f>IF('Pon-Bat'!AC14="","",+(SUM('Pon-Bat'!$AC$8:AC14)/SUM('Pon-Bat'!$AA$8:AA14)))</f>
        <v/>
      </c>
      <c r="AU14" s="494" t="str">
        <f>IF('Pon-Bat'!AD14="","",+'Pon-Bat'!AD14/'Pon-Bat'!AA14)</f>
        <v/>
      </c>
      <c r="AV14" s="504" t="str">
        <f>IF('Pon-Bat'!AD14="","",+(SUM('Pon-Bat'!$AD$8:AD14)/SUM('Pon-Bat'!$AA$8:AA14)))</f>
        <v/>
      </c>
      <c r="AW14" s="494" t="str">
        <f>IF('Pon-Bat'!AE14="","",+'Pon-Bat'!AE14/'Pon-Bat'!AA14)</f>
        <v/>
      </c>
      <c r="AX14" s="504" t="str">
        <f>IF('Pon-Bat'!AE14="","",+(SUM('Pon-Bat'!$AE$8:AE14)/SUM('Pon-Bat'!$AA$8:AA14)))</f>
        <v/>
      </c>
      <c r="AY14" s="494" t="str">
        <f>IF('Pon-Bat'!AF14="","",+'Pon-Bat'!AF14/'Pon-Bat'!AA14)</f>
        <v/>
      </c>
      <c r="AZ14" s="496" t="str">
        <f>IF('Pon-Bat'!AF14="","",+(SUM('Pon-Bat'!$AF$8:AF14)/SUM('Pon-Bat'!$AA$8:AA14)))</f>
        <v/>
      </c>
      <c r="BA14" s="503" t="str">
        <f>IF('Pon-Bat'!AH14="","",+'Pon-Bat'!AH14/'Pon-Bat'!AG14)</f>
        <v/>
      </c>
      <c r="BB14" s="504" t="str">
        <f>IF('Pon-Bat'!AH14="","",+(SUM('Pon-Bat'!$AH$8:AH14)/SUM('Pon-Bat'!$AG$8:AG14)))</f>
        <v/>
      </c>
      <c r="BC14" s="494" t="str">
        <f>IF('Pon-Bat'!AI14="","",+'Pon-Bat'!AI14/'Pon-Bat'!AG14)</f>
        <v/>
      </c>
      <c r="BD14" s="504" t="str">
        <f>IF('Pon-Bat'!AI14="","",+(SUM('Pon-Bat'!$AI$8:AI14)/SUM('Pon-Bat'!$AG$8:AG14)))</f>
        <v/>
      </c>
      <c r="BE14" s="494" t="str">
        <f>IF('Pon-Bat'!AJ14="","",+'Pon-Bat'!AJ14/'Pon-Bat'!AG14)</f>
        <v/>
      </c>
      <c r="BF14" s="504" t="str">
        <f>IF('Pon-Bat'!AJ14="","",+(SUM('Pon-Bat'!$AJ$8:AJ14)/SUM('Pon-Bat'!$AG$8:AG14)))</f>
        <v/>
      </c>
      <c r="BG14" s="494" t="str">
        <f>IF('Pon-Bat'!AK14="","",+'Pon-Bat'!AK14/'Pon-Bat'!AG14)</f>
        <v/>
      </c>
      <c r="BH14" s="504" t="str">
        <f>IF('Pon-Bat'!AK14="","",+(SUM('Pon-Bat'!$AK$8:AK14)/SUM('Pon-Bat'!$AG$8:AG14)))</f>
        <v/>
      </c>
      <c r="BI14" s="494" t="str">
        <f>IF('Pon-Bat'!AL14="","",+'Pon-Bat'!AL14/'Pon-Bat'!AG14)</f>
        <v/>
      </c>
      <c r="BJ14" s="496" t="str">
        <f>IF('Pon-Bat'!AL14="","",+(SUM('Pon-Bat'!$AL$8:AL14)/SUM('Pon-Bat'!$AG$8:AG14)))</f>
        <v/>
      </c>
      <c r="BK14" s="501" t="str">
        <f>IF('Pon-Bat'!AN14="","",+'Pon-Bat'!AN14/'Pon-Bat'!AM14)</f>
        <v/>
      </c>
      <c r="BL14" s="504" t="str">
        <f>IF('Pon-Bat'!AN14="","",+(SUM('Pon-Bat'!$AN$8:AN14)/SUM('Pon-Bat'!$AM$8:AM14)))</f>
        <v/>
      </c>
      <c r="BM14" s="499" t="str">
        <f>IF('Pon-Bat'!AO14="","",+'Pon-Bat'!AO14/'Pon-Bat'!AM14)</f>
        <v/>
      </c>
      <c r="BN14" s="504" t="str">
        <f>IF('Pon-Bat'!AO14="","",+(SUM('Pon-Bat'!$AO$8:AO14)/SUM('Pon-Bat'!$AM$8:AM14)))</f>
        <v/>
      </c>
      <c r="BO14" s="499" t="str">
        <f>IF('Pon-Bat'!AP14="","",+'Pon-Bat'!AP14/'Pon-Bat'!AM14)</f>
        <v/>
      </c>
      <c r="BP14" s="504" t="str">
        <f>IF('Pon-Bat'!AP14="","",+(SUM('Pon-Bat'!$AP$8:AP14)/SUM('Pon-Bat'!$AM$8:AM14)))</f>
        <v/>
      </c>
      <c r="BQ14" s="499" t="str">
        <f>IF('Pon-Bat'!AQ14="","",+'Pon-Bat'!AQ14/'Pon-Bat'!AM14)</f>
        <v/>
      </c>
      <c r="BR14" s="504" t="str">
        <f>IF('Pon-Bat'!AQ14="","",+(SUM('Pon-Bat'!$AQ$8:AQ14)/SUM('Pon-Bat'!$AM$8:AM14)))</f>
        <v/>
      </c>
      <c r="BS14" s="499" t="str">
        <f>IF('Pon-Bat'!AR14="","",+'Pon-Bat'!AR14/'Pon-Bat'!AM14)</f>
        <v/>
      </c>
      <c r="BT14" s="496" t="str">
        <f>IF('Pon-Bat'!AR14="","",+(SUM('Pon-Bat'!$AR$8:AR14)/SUM('Pon-Bat'!$AM$8:AM14)))</f>
        <v/>
      </c>
      <c r="BU14" s="501" t="str">
        <f>IF('Pon-Bat'!AT14="","",+'Pon-Bat'!AT14/'Pon-Bat'!AS14)</f>
        <v/>
      </c>
      <c r="BV14" s="504" t="str">
        <f>IF('Pon-Bat'!AT14="","",+(SUM('Pon-Bat'!$AT$8:AT14)/SUM('Pon-Bat'!$AS$8:AS14)))</f>
        <v/>
      </c>
      <c r="BW14" s="499" t="str">
        <f>IF('Pon-Bat'!AU14="","",+'Pon-Bat'!AU14/'Pon-Bat'!AS14)</f>
        <v/>
      </c>
      <c r="BX14" s="504" t="str">
        <f>IF('Pon-Bat'!AU14="","",+(SUM('Pon-Bat'!$AU$8:AU14)/SUM('Pon-Bat'!$AS$8:AS14)))</f>
        <v/>
      </c>
      <c r="BY14" s="499" t="str">
        <f>IF('Pon-Bat'!AV14="","",+'Pon-Bat'!AV14/'Pon-Bat'!AS14)</f>
        <v/>
      </c>
      <c r="BZ14" s="504" t="str">
        <f>IF('Pon-Bat'!AV14="","",+(SUM('Pon-Bat'!$AV$8:AV14)/SUM('Pon-Bat'!$AS$8:AS14)))</f>
        <v/>
      </c>
      <c r="CA14" s="499" t="str">
        <f>IF('Pon-Bat'!AW14="","",+'Pon-Bat'!AW14/'Pon-Bat'!AS14)</f>
        <v/>
      </c>
      <c r="CB14" s="504" t="str">
        <f>IF('Pon-Bat'!AW14="","",+(SUM('Pon-Bat'!$AW$8:AW14)/SUM('Pon-Bat'!$AS$8:AS14)))</f>
        <v/>
      </c>
      <c r="CC14" s="499" t="str">
        <f>IF('Pon-Bat'!AX14="","",+'Pon-Bat'!AX14/'Pon-Bat'!AS14)</f>
        <v/>
      </c>
      <c r="CD14" s="496" t="str">
        <f>IF('Pon-Bat'!AX14="","",+(SUM('Pon-Bat'!$AX$8:AX14)/SUM('Pon-Bat'!$AS$8:AS14)))</f>
        <v/>
      </c>
      <c r="CE14" s="503" t="str">
        <f>IF('Pon-Bat'!AZ14="","",+'Pon-Bat'!AZ14/'Pon-Bat'!AY14)</f>
        <v/>
      </c>
      <c r="CF14" s="504" t="str">
        <f>IF('Pon-Bat'!AZ14="","",+(SUM('Pon-Bat'!$AZ$8:AZ14)/SUM('Pon-Bat'!$AY$8:AY14)))</f>
        <v/>
      </c>
      <c r="CG14" s="494" t="str">
        <f>IF('Pon-Bat'!BA14="","",+'Pon-Bat'!BA14/'Pon-Bat'!AY14)</f>
        <v/>
      </c>
      <c r="CH14" s="504" t="str">
        <f>IF('Pon-Bat'!BA14="","",+(SUM('Pon-Bat'!$BA$8:BA14)/SUM('Pon-Bat'!$AY$8:AY14)))</f>
        <v/>
      </c>
      <c r="CI14" s="499" t="str">
        <f>IF('Pon-Bat'!BB14="","",+'Pon-Bat'!BB14/'Pon-Bat'!AY14)</f>
        <v/>
      </c>
      <c r="CJ14" s="504" t="str">
        <f>IF('Pon-Bat'!BB14="","",+(SUM('Pon-Bat'!$BB$8:BB14)/SUM('Pon-Bat'!$AY$8:AY14)))</f>
        <v/>
      </c>
      <c r="CK14" s="494" t="str">
        <f>IF('Pon-Bat'!BC14="","",+'Pon-Bat'!BC14/'Pon-Bat'!AY14)</f>
        <v/>
      </c>
      <c r="CL14" s="504" t="str">
        <f>IF('Pon-Bat'!BC14="","",+(SUM('Pon-Bat'!$BC$8:BC14)/SUM('Pon-Bat'!$AY$8:AY14)))</f>
        <v/>
      </c>
      <c r="CM14" s="494" t="str">
        <f>IF('Pon-Bat'!BD14="","",+'Pon-Bat'!BD14/'Pon-Bat'!AY14)</f>
        <v/>
      </c>
      <c r="CN14" s="496" t="str">
        <f>IF('Pon-Bat'!BD14="","",+(SUM('Pon-Bat'!$BD$8:BD14)/SUM('Pon-Bat'!$AY$8:AY14)))</f>
        <v/>
      </c>
    </row>
    <row r="15" spans="1:92" ht="24" customHeight="1" thickBot="1" x14ac:dyDescent="0.25">
      <c r="A15" s="453">
        <f t="shared" si="0"/>
        <v>43460</v>
      </c>
      <c r="B15" s="465">
        <f t="shared" si="1"/>
        <v>30</v>
      </c>
      <c r="C15" s="503" t="str">
        <f>IF('Pon-Bat'!D15="","",+'Pon-Bat'!D15/'Pon-Bat'!C15)</f>
        <v/>
      </c>
      <c r="D15" s="504" t="str">
        <f>IF('Pon-Bat'!D15="","",+(SUM('Pon-Bat'!$D$8:D15)/SUM('Pon-Bat'!$C$8:C15)))</f>
        <v/>
      </c>
      <c r="E15" s="494" t="str">
        <f>IF('Pon-Bat'!E15="","",+'Pon-Bat'!E15/'Pon-Bat'!C15)</f>
        <v/>
      </c>
      <c r="F15" s="504" t="str">
        <f>IF('Pon-Bat'!E15="","",+(SUM('Pon-Bat'!$E$8:E15)/SUM('Pon-Bat'!$C$8:C15)))</f>
        <v/>
      </c>
      <c r="G15" s="494" t="str">
        <f>IF('Pon-Bat'!F15="","",+'Pon-Bat'!F15/'Pon-Bat'!C15)</f>
        <v/>
      </c>
      <c r="H15" s="504" t="str">
        <f>IF('Pon-Bat'!F15="","",+(SUM('Pon-Bat'!$F$8:F15)/SUM('Pon-Bat'!$C$8:C15)))</f>
        <v/>
      </c>
      <c r="I15" s="494" t="str">
        <f>IF('Pon-Bat'!G15="","",+'Pon-Bat'!G15/'Pon-Bat'!C15)</f>
        <v/>
      </c>
      <c r="J15" s="504" t="str">
        <f>IF('Pon-Bat'!G15="","",+(SUM('Pon-Bat'!$G$8:G15)/SUM('Pon-Bat'!$C$8:C15)))</f>
        <v/>
      </c>
      <c r="K15" s="494" t="str">
        <f>IF('Pon-Bat'!H15="","",+'Pon-Bat'!H15/'Pon-Bat'!C15)</f>
        <v/>
      </c>
      <c r="L15" s="496" t="str">
        <f>IF('Pon-Bat'!H15="","",+(SUM('Pon-Bat'!$H$8:H15)/SUM('Pon-Bat'!$C$8:C15)))</f>
        <v/>
      </c>
      <c r="M15" s="503" t="str">
        <f>IF('Pon-Bat'!J15="","",+'Pon-Bat'!J15/'Pon-Bat'!I15)</f>
        <v/>
      </c>
      <c r="N15" s="504" t="str">
        <f>IF('Pon-Bat'!J15="","",+(SUM('Pon-Bat'!$J$8:J15)/SUM('Pon-Bat'!$I$8:I15)))</f>
        <v/>
      </c>
      <c r="O15" s="494" t="str">
        <f>IF('Pon-Bat'!K15="","",+'Pon-Bat'!K15/'Pon-Bat'!I15)</f>
        <v/>
      </c>
      <c r="P15" s="504" t="str">
        <f>IF('Pon-Bat'!K15="","",+(SUM('Pon-Bat'!$K$8:K15)/SUM('Pon-Bat'!$I$8:I15)))</f>
        <v/>
      </c>
      <c r="Q15" s="494" t="str">
        <f>IF('Pon-Bat'!L15="","",+'Pon-Bat'!L15/'Pon-Bat'!I15)</f>
        <v/>
      </c>
      <c r="R15" s="504" t="str">
        <f>IF('Pon-Bat'!L15="","",+(SUM('Pon-Bat'!$L$8:L15)/SUM('Pon-Bat'!$I$8:I15)))</f>
        <v/>
      </c>
      <c r="S15" s="494" t="str">
        <f>IF('Pon-Bat'!M15="","",+'Pon-Bat'!M15/'Pon-Bat'!I15)</f>
        <v/>
      </c>
      <c r="T15" s="504" t="str">
        <f>IF('Pon-Bat'!M15="","",+(SUM('Pon-Bat'!$M$8:M15)/SUM('Pon-Bat'!$I$8:I15)))</f>
        <v/>
      </c>
      <c r="U15" s="494" t="str">
        <f>IF('Pon-Bat'!N15="","",+'Pon-Bat'!N15/'Pon-Bat'!I15)</f>
        <v/>
      </c>
      <c r="V15" s="496" t="str">
        <f>IF('Pon-Bat'!N15="","",+(SUM('Pon-Bat'!$N$8:N15)/SUM('Pon-Bat'!$I$8:I15)))</f>
        <v/>
      </c>
      <c r="W15" s="503" t="str">
        <f>IF('Pon-Bat'!P15="","",+'Pon-Bat'!P15/'Pon-Bat'!O15)</f>
        <v/>
      </c>
      <c r="X15" s="504" t="str">
        <f>IF('Pon-Bat'!P15="","",+(SUM('Pon-Bat'!$P$8:P15)/SUM('Pon-Bat'!$O$8:O15)))</f>
        <v/>
      </c>
      <c r="Y15" s="494" t="str">
        <f>IF('Pon-Bat'!Q15="","",+'Pon-Bat'!Q15/'Pon-Bat'!O15)</f>
        <v/>
      </c>
      <c r="Z15" s="504" t="str">
        <f>IF('Pon-Bat'!Q15="","",+(SUM('Pon-Bat'!$Q$8:Q15)/SUM('Pon-Bat'!$O$8:O15)))</f>
        <v/>
      </c>
      <c r="AA15" s="494" t="str">
        <f>IF('Pon-Bat'!R15="","",+'Pon-Bat'!R15/'Pon-Bat'!O15)</f>
        <v/>
      </c>
      <c r="AB15" s="504" t="str">
        <f>IF('Pon-Bat'!R15="","",+(SUM('Pon-Bat'!$R$8:R15)/SUM('Pon-Bat'!$O$8:O15)))</f>
        <v/>
      </c>
      <c r="AC15" s="494" t="str">
        <f>IF('Pon-Bat'!S15="","",+'Pon-Bat'!S15/'Pon-Bat'!O15)</f>
        <v/>
      </c>
      <c r="AD15" s="504" t="str">
        <f>IF('Pon-Bat'!S15="","",+(SUM('Pon-Bat'!$S$8:S15)/SUM('Pon-Bat'!$O$8:O15)))</f>
        <v/>
      </c>
      <c r="AE15" s="494" t="str">
        <f>IF('Pon-Bat'!T15="","",+'Pon-Bat'!T15/'Pon-Bat'!O15)</f>
        <v/>
      </c>
      <c r="AF15" s="496" t="str">
        <f>IF('Pon-Bat'!T15="","",+(SUM('Pon-Bat'!$T$8:T15)/SUM('Pon-Bat'!$O$8:O15)))</f>
        <v/>
      </c>
      <c r="AG15" s="503" t="str">
        <f>IF('Pon-Bat'!V15="","",+'Pon-Bat'!V15/'Pon-Bat'!U15)</f>
        <v/>
      </c>
      <c r="AH15" s="504" t="str">
        <f>IF('Pon-Bat'!V15="","",+(SUM('Pon-Bat'!$V$8:V15)/SUM('Pon-Bat'!$U$8:U15)))</f>
        <v/>
      </c>
      <c r="AI15" s="494" t="str">
        <f>IF('Pon-Bat'!W15="","",+'Pon-Bat'!W15/'Pon-Bat'!U15)</f>
        <v/>
      </c>
      <c r="AJ15" s="504" t="str">
        <f>IF('Pon-Bat'!W15="","",+(SUM('Pon-Bat'!$W$8:W15)/SUM('Pon-Bat'!$U$8:U15)))</f>
        <v/>
      </c>
      <c r="AK15" s="494" t="str">
        <f>IF('Pon-Bat'!X15="","",+'Pon-Bat'!X15/'Pon-Bat'!U15)</f>
        <v/>
      </c>
      <c r="AL15" s="504" t="str">
        <f>IF('Pon-Bat'!X15="","",+(SUM('Pon-Bat'!$X$8:X15)/SUM('Pon-Bat'!$U$8:U15)))</f>
        <v/>
      </c>
      <c r="AM15" s="494" t="str">
        <f>IF('Pon-Bat'!Y15="","",+'Pon-Bat'!Y15/'Pon-Bat'!U15)</f>
        <v/>
      </c>
      <c r="AN15" s="504" t="str">
        <f>IF('Pon-Bat'!Y15="","",+(SUM('Pon-Bat'!$Y$8:Y15)/SUM('Pon-Bat'!$U$8:U15)))</f>
        <v/>
      </c>
      <c r="AO15" s="494" t="str">
        <f>IF('Pon-Bat'!Z15="","",+'Pon-Bat'!Z15/'Pon-Bat'!U15)</f>
        <v/>
      </c>
      <c r="AP15" s="496" t="str">
        <f>IF('Pon-Bat'!Z15="","",+(SUM('Pon-Bat'!$Z$8:Z15)/SUM('Pon-Bat'!$U$8:U15)))</f>
        <v/>
      </c>
      <c r="AQ15" s="503" t="str">
        <f>IF('Pon-Bat'!AB15="","",+'Pon-Bat'!AB15/'Pon-Bat'!AA15)</f>
        <v/>
      </c>
      <c r="AR15" s="504" t="str">
        <f>IF('Pon-Bat'!AB15="","",+(SUM('Pon-Bat'!$AB$8:AB15)/SUM('Pon-Bat'!$AA$8:AA15)))</f>
        <v/>
      </c>
      <c r="AS15" s="494" t="str">
        <f>IF('Pon-Bat'!AC15="","",+'Pon-Bat'!AC15/'Pon-Bat'!AA15)</f>
        <v/>
      </c>
      <c r="AT15" s="504" t="str">
        <f>IF('Pon-Bat'!AC15="","",+(SUM('Pon-Bat'!$AC$8:AC15)/SUM('Pon-Bat'!$AA$8:AA15)))</f>
        <v/>
      </c>
      <c r="AU15" s="494" t="str">
        <f>IF('Pon-Bat'!AD15="","",+'Pon-Bat'!AD15/'Pon-Bat'!AA15)</f>
        <v/>
      </c>
      <c r="AV15" s="504" t="str">
        <f>IF('Pon-Bat'!AD15="","",+(SUM('Pon-Bat'!$AD$8:AD15)/SUM('Pon-Bat'!$AA$8:AA15)))</f>
        <v/>
      </c>
      <c r="AW15" s="494" t="str">
        <f>IF('Pon-Bat'!AE15="","",+'Pon-Bat'!AE15/'Pon-Bat'!AA15)</f>
        <v/>
      </c>
      <c r="AX15" s="504" t="str">
        <f>IF('Pon-Bat'!AE15="","",+(SUM('Pon-Bat'!$AE$8:AE15)/SUM('Pon-Bat'!$AA$8:AA15)))</f>
        <v/>
      </c>
      <c r="AY15" s="494" t="str">
        <f>IF('Pon-Bat'!AF15="","",+'Pon-Bat'!AF15/'Pon-Bat'!AA15)</f>
        <v/>
      </c>
      <c r="AZ15" s="496" t="str">
        <f>IF('Pon-Bat'!AF15="","",+(SUM('Pon-Bat'!$AF$8:AF15)/SUM('Pon-Bat'!$AA$8:AA15)))</f>
        <v/>
      </c>
      <c r="BA15" s="503" t="str">
        <f>IF('Pon-Bat'!AH15="","",+'Pon-Bat'!AH15/'Pon-Bat'!AG15)</f>
        <v/>
      </c>
      <c r="BB15" s="504" t="str">
        <f>IF('Pon-Bat'!AH15="","",+(SUM('Pon-Bat'!$AH$8:AH15)/SUM('Pon-Bat'!$AG$8:AG15)))</f>
        <v/>
      </c>
      <c r="BC15" s="494" t="str">
        <f>IF('Pon-Bat'!AI15="","",+'Pon-Bat'!AI15/'Pon-Bat'!AG15)</f>
        <v/>
      </c>
      <c r="BD15" s="504" t="str">
        <f>IF('Pon-Bat'!AI15="","",+(SUM('Pon-Bat'!$AI$8:AI15)/SUM('Pon-Bat'!$AG$8:AG15)))</f>
        <v/>
      </c>
      <c r="BE15" s="494" t="str">
        <f>IF('Pon-Bat'!AJ15="","",+'Pon-Bat'!AJ15/'Pon-Bat'!AG15)</f>
        <v/>
      </c>
      <c r="BF15" s="504" t="str">
        <f>IF('Pon-Bat'!AJ15="","",+(SUM('Pon-Bat'!$AJ$8:AJ15)/SUM('Pon-Bat'!$AG$8:AG15)))</f>
        <v/>
      </c>
      <c r="BG15" s="494" t="str">
        <f>IF('Pon-Bat'!AK15="","",+'Pon-Bat'!AK15/'Pon-Bat'!AG15)</f>
        <v/>
      </c>
      <c r="BH15" s="504" t="str">
        <f>IF('Pon-Bat'!AK15="","",+(SUM('Pon-Bat'!$AK$8:AK15)/SUM('Pon-Bat'!$AG$8:AG15)))</f>
        <v/>
      </c>
      <c r="BI15" s="494" t="str">
        <f>IF('Pon-Bat'!AL15="","",+'Pon-Bat'!AL15/'Pon-Bat'!AG15)</f>
        <v/>
      </c>
      <c r="BJ15" s="496" t="str">
        <f>IF('Pon-Bat'!AL15="","",+(SUM('Pon-Bat'!$AL$8:AL15)/SUM('Pon-Bat'!$AG$8:AG15)))</f>
        <v/>
      </c>
      <c r="BK15" s="501" t="str">
        <f>IF('Pon-Bat'!AN15="","",+'Pon-Bat'!AN15/'Pon-Bat'!AM15)</f>
        <v/>
      </c>
      <c r="BL15" s="504" t="str">
        <f>IF('Pon-Bat'!AN15="","",+(SUM('Pon-Bat'!$AN$8:AN15)/SUM('Pon-Bat'!$AM$8:AM15)))</f>
        <v/>
      </c>
      <c r="BM15" s="499" t="str">
        <f>IF('Pon-Bat'!AO15="","",+'Pon-Bat'!AO15/'Pon-Bat'!AM15)</f>
        <v/>
      </c>
      <c r="BN15" s="504" t="str">
        <f>IF('Pon-Bat'!AO15="","",+(SUM('Pon-Bat'!$AO$8:AO15)/SUM('Pon-Bat'!$AM$8:AM15)))</f>
        <v/>
      </c>
      <c r="BO15" s="499" t="str">
        <f>IF('Pon-Bat'!AP15="","",+'Pon-Bat'!AP15/'Pon-Bat'!AM15)</f>
        <v/>
      </c>
      <c r="BP15" s="504" t="str">
        <f>IF('Pon-Bat'!AP15="","",+(SUM('Pon-Bat'!$AP$8:AP15)/SUM('Pon-Bat'!$AM$8:AM15)))</f>
        <v/>
      </c>
      <c r="BQ15" s="499" t="str">
        <f>IF('Pon-Bat'!AQ15="","",+'Pon-Bat'!AQ15/'Pon-Bat'!AM15)</f>
        <v/>
      </c>
      <c r="BR15" s="504" t="str">
        <f>IF('Pon-Bat'!AQ15="","",+(SUM('Pon-Bat'!$AQ$8:AQ15)/SUM('Pon-Bat'!$AM$8:AM15)))</f>
        <v/>
      </c>
      <c r="BS15" s="499" t="str">
        <f>IF('Pon-Bat'!AR15="","",+'Pon-Bat'!AR15/'Pon-Bat'!AM15)</f>
        <v/>
      </c>
      <c r="BT15" s="496" t="str">
        <f>IF('Pon-Bat'!AR15="","",+(SUM('Pon-Bat'!$AR$8:AR15)/SUM('Pon-Bat'!$AM$8:AM15)))</f>
        <v/>
      </c>
      <c r="BU15" s="501" t="str">
        <f>IF('Pon-Bat'!AT15="","",+'Pon-Bat'!AT15/'Pon-Bat'!AS15)</f>
        <v/>
      </c>
      <c r="BV15" s="504" t="str">
        <f>IF('Pon-Bat'!AT15="","",+(SUM('Pon-Bat'!$AT$8:AT15)/SUM('Pon-Bat'!$AS$8:AS15)))</f>
        <v/>
      </c>
      <c r="BW15" s="499" t="str">
        <f>IF('Pon-Bat'!AU15="","",+'Pon-Bat'!AU15/'Pon-Bat'!AS15)</f>
        <v/>
      </c>
      <c r="BX15" s="504" t="str">
        <f>IF('Pon-Bat'!AU15="","",+(SUM('Pon-Bat'!$AU$8:AU15)/SUM('Pon-Bat'!$AS$8:AS15)))</f>
        <v/>
      </c>
      <c r="BY15" s="499" t="str">
        <f>IF('Pon-Bat'!AV15="","",+'Pon-Bat'!AV15/'Pon-Bat'!AS15)</f>
        <v/>
      </c>
      <c r="BZ15" s="504" t="str">
        <f>IF('Pon-Bat'!AV15="","",+(SUM('Pon-Bat'!$AV$8:AV15)/SUM('Pon-Bat'!$AS$8:AS15)))</f>
        <v/>
      </c>
      <c r="CA15" s="499" t="str">
        <f>IF('Pon-Bat'!AW15="","",+'Pon-Bat'!AW15/'Pon-Bat'!AS15)</f>
        <v/>
      </c>
      <c r="CB15" s="504" t="str">
        <f>IF('Pon-Bat'!AW15="","",+(SUM('Pon-Bat'!$AW$8:AW15)/SUM('Pon-Bat'!$AS$8:AS15)))</f>
        <v/>
      </c>
      <c r="CC15" s="499" t="str">
        <f>IF('Pon-Bat'!AX15="","",+'Pon-Bat'!AX15/'Pon-Bat'!AS15)</f>
        <v/>
      </c>
      <c r="CD15" s="496" t="str">
        <f>IF('Pon-Bat'!AX15="","",+(SUM('Pon-Bat'!$AX$8:AX15)/SUM('Pon-Bat'!$AS$8:AS15)))</f>
        <v/>
      </c>
      <c r="CE15" s="503" t="str">
        <f>IF('Pon-Bat'!AZ15="","",+'Pon-Bat'!AZ15/'Pon-Bat'!AY15)</f>
        <v/>
      </c>
      <c r="CF15" s="504" t="str">
        <f>IF('Pon-Bat'!AZ15="","",+(SUM('Pon-Bat'!$AZ$8:AZ15)/SUM('Pon-Bat'!$AY$8:AY15)))</f>
        <v/>
      </c>
      <c r="CG15" s="494" t="str">
        <f>IF('Pon-Bat'!BA15="","",+'Pon-Bat'!BA15/'Pon-Bat'!AY15)</f>
        <v/>
      </c>
      <c r="CH15" s="504" t="str">
        <f>IF('Pon-Bat'!BA15="","",+(SUM('Pon-Bat'!$BA$8:BA15)/SUM('Pon-Bat'!$AY$8:AY15)))</f>
        <v/>
      </c>
      <c r="CI15" s="499" t="str">
        <f>IF('Pon-Bat'!BB15="","",+'Pon-Bat'!BB15/'Pon-Bat'!AY15)</f>
        <v/>
      </c>
      <c r="CJ15" s="504" t="str">
        <f>IF('Pon-Bat'!BB15="","",+(SUM('Pon-Bat'!$BB$8:BB15)/SUM('Pon-Bat'!$AY$8:AY15)))</f>
        <v/>
      </c>
      <c r="CK15" s="494" t="str">
        <f>IF('Pon-Bat'!BC15="","",+'Pon-Bat'!BC15/'Pon-Bat'!AY15)</f>
        <v/>
      </c>
      <c r="CL15" s="504" t="str">
        <f>IF('Pon-Bat'!BC15="","",+(SUM('Pon-Bat'!$BC$8:BC15)/SUM('Pon-Bat'!$AY$8:AY15)))</f>
        <v/>
      </c>
      <c r="CM15" s="494" t="str">
        <f>IF('Pon-Bat'!BD15="","",+'Pon-Bat'!BD15/'Pon-Bat'!AY15)</f>
        <v/>
      </c>
      <c r="CN15" s="496" t="str">
        <f>IF('Pon-Bat'!BD15="","",+(SUM('Pon-Bat'!$BD$8:BD15)/SUM('Pon-Bat'!$AY$8:AY15)))</f>
        <v/>
      </c>
    </row>
    <row r="16" spans="1:92" ht="24" customHeight="1" thickBot="1" x14ac:dyDescent="0.25">
      <c r="A16" s="453">
        <f t="shared" si="0"/>
        <v>43467</v>
      </c>
      <c r="B16" s="465">
        <f t="shared" si="1"/>
        <v>31</v>
      </c>
      <c r="C16" s="503" t="str">
        <f>IF('Pon-Bat'!D16="","",+'Pon-Bat'!D16/'Pon-Bat'!C16)</f>
        <v/>
      </c>
      <c r="D16" s="504" t="str">
        <f>IF('Pon-Bat'!D16="","",+(SUM('Pon-Bat'!$D$8:D16)/SUM('Pon-Bat'!$C$8:C16)))</f>
        <v/>
      </c>
      <c r="E16" s="494" t="str">
        <f>IF('Pon-Bat'!E16="","",+'Pon-Bat'!E16/'Pon-Bat'!C16)</f>
        <v/>
      </c>
      <c r="F16" s="504" t="str">
        <f>IF('Pon-Bat'!E16="","",+(SUM('Pon-Bat'!$E$8:E16)/SUM('Pon-Bat'!$C$8:C16)))</f>
        <v/>
      </c>
      <c r="G16" s="494" t="str">
        <f>IF('Pon-Bat'!F16="","",+'Pon-Bat'!F16/'Pon-Bat'!C16)</f>
        <v/>
      </c>
      <c r="H16" s="504" t="str">
        <f>IF('Pon-Bat'!F16="","",+(SUM('Pon-Bat'!$F$8:F16)/SUM('Pon-Bat'!$C$8:C16)))</f>
        <v/>
      </c>
      <c r="I16" s="494" t="str">
        <f>IF('Pon-Bat'!G16="","",+'Pon-Bat'!G16/'Pon-Bat'!C16)</f>
        <v/>
      </c>
      <c r="J16" s="504" t="str">
        <f>IF('Pon-Bat'!G16="","",+(SUM('Pon-Bat'!$G$8:G16)/SUM('Pon-Bat'!$C$8:C16)))</f>
        <v/>
      </c>
      <c r="K16" s="494" t="str">
        <f>IF('Pon-Bat'!H16="","",+'Pon-Bat'!H16/'Pon-Bat'!C16)</f>
        <v/>
      </c>
      <c r="L16" s="496" t="str">
        <f>IF('Pon-Bat'!H16="","",+(SUM('Pon-Bat'!$H$8:H16)/SUM('Pon-Bat'!$C$8:C16)))</f>
        <v/>
      </c>
      <c r="M16" s="503" t="str">
        <f>IF('Pon-Bat'!J16="","",+'Pon-Bat'!J16/'Pon-Bat'!I16)</f>
        <v/>
      </c>
      <c r="N16" s="504" t="str">
        <f>IF('Pon-Bat'!J16="","",+(SUM('Pon-Bat'!$J$8:J16)/SUM('Pon-Bat'!$I$8:I16)))</f>
        <v/>
      </c>
      <c r="O16" s="494" t="str">
        <f>IF('Pon-Bat'!K16="","",+'Pon-Bat'!K16/'Pon-Bat'!I16)</f>
        <v/>
      </c>
      <c r="P16" s="504" t="str">
        <f>IF('Pon-Bat'!K16="","",+(SUM('Pon-Bat'!$K$8:K16)/SUM('Pon-Bat'!$I$8:I16)))</f>
        <v/>
      </c>
      <c r="Q16" s="494" t="str">
        <f>IF('Pon-Bat'!L16="","",+'Pon-Bat'!L16/'Pon-Bat'!I16)</f>
        <v/>
      </c>
      <c r="R16" s="504" t="str">
        <f>IF('Pon-Bat'!L16="","",+(SUM('Pon-Bat'!$L$8:L16)/SUM('Pon-Bat'!$I$8:I16)))</f>
        <v/>
      </c>
      <c r="S16" s="494" t="str">
        <f>IF('Pon-Bat'!M16="","",+'Pon-Bat'!M16/'Pon-Bat'!I16)</f>
        <v/>
      </c>
      <c r="T16" s="504" t="str">
        <f>IF('Pon-Bat'!M16="","",+(SUM('Pon-Bat'!$M$8:M16)/SUM('Pon-Bat'!$I$8:I16)))</f>
        <v/>
      </c>
      <c r="U16" s="494" t="str">
        <f>IF('Pon-Bat'!N16="","",+'Pon-Bat'!N16/'Pon-Bat'!I16)</f>
        <v/>
      </c>
      <c r="V16" s="496" t="str">
        <f>IF('Pon-Bat'!N16="","",+(SUM('Pon-Bat'!$N$8:N16)/SUM('Pon-Bat'!$I$8:I16)))</f>
        <v/>
      </c>
      <c r="W16" s="503" t="str">
        <f>IF('Pon-Bat'!P16="","",+'Pon-Bat'!P16/'Pon-Bat'!O16)</f>
        <v/>
      </c>
      <c r="X16" s="504" t="str">
        <f>IF('Pon-Bat'!P16="","",+(SUM('Pon-Bat'!$P$8:P16)/SUM('Pon-Bat'!$O$8:O16)))</f>
        <v/>
      </c>
      <c r="Y16" s="494" t="str">
        <f>IF('Pon-Bat'!Q16="","",+'Pon-Bat'!Q16/'Pon-Bat'!O16)</f>
        <v/>
      </c>
      <c r="Z16" s="504" t="str">
        <f>IF('Pon-Bat'!Q16="","",+(SUM('Pon-Bat'!$Q$8:Q16)/SUM('Pon-Bat'!$O$8:O16)))</f>
        <v/>
      </c>
      <c r="AA16" s="494" t="str">
        <f>IF('Pon-Bat'!R16="","",+'Pon-Bat'!R16/'Pon-Bat'!O16)</f>
        <v/>
      </c>
      <c r="AB16" s="504" t="str">
        <f>IF('Pon-Bat'!R16="","",+(SUM('Pon-Bat'!$R$8:R16)/SUM('Pon-Bat'!$O$8:O16)))</f>
        <v/>
      </c>
      <c r="AC16" s="494" t="str">
        <f>IF('Pon-Bat'!S16="","",+'Pon-Bat'!S16/'Pon-Bat'!O16)</f>
        <v/>
      </c>
      <c r="AD16" s="504" t="str">
        <f>IF('Pon-Bat'!S16="","",+(SUM('Pon-Bat'!$S$8:S16)/SUM('Pon-Bat'!$O$8:O16)))</f>
        <v/>
      </c>
      <c r="AE16" s="494" t="str">
        <f>IF('Pon-Bat'!T16="","",+'Pon-Bat'!T16/'Pon-Bat'!O16)</f>
        <v/>
      </c>
      <c r="AF16" s="496" t="str">
        <f>IF('Pon-Bat'!T16="","",+(SUM('Pon-Bat'!$T$8:T16)/SUM('Pon-Bat'!$O$8:O16)))</f>
        <v/>
      </c>
      <c r="AG16" s="503" t="str">
        <f>IF('Pon-Bat'!V16="","",+'Pon-Bat'!V16/'Pon-Bat'!U16)</f>
        <v/>
      </c>
      <c r="AH16" s="504" t="str">
        <f>IF('Pon-Bat'!V16="","",+(SUM('Pon-Bat'!$V$8:V16)/SUM('Pon-Bat'!$U$8:U16)))</f>
        <v/>
      </c>
      <c r="AI16" s="494" t="str">
        <f>IF('Pon-Bat'!W16="","",+'Pon-Bat'!W16/'Pon-Bat'!U16)</f>
        <v/>
      </c>
      <c r="AJ16" s="504" t="str">
        <f>IF('Pon-Bat'!W16="","",+(SUM('Pon-Bat'!$W$8:W16)/SUM('Pon-Bat'!$U$8:U16)))</f>
        <v/>
      </c>
      <c r="AK16" s="494" t="str">
        <f>IF('Pon-Bat'!X16="","",+'Pon-Bat'!X16/'Pon-Bat'!U16)</f>
        <v/>
      </c>
      <c r="AL16" s="504" t="str">
        <f>IF('Pon-Bat'!X16="","",+(SUM('Pon-Bat'!$X$8:X16)/SUM('Pon-Bat'!$U$8:U16)))</f>
        <v/>
      </c>
      <c r="AM16" s="494" t="str">
        <f>IF('Pon-Bat'!Y16="","",+'Pon-Bat'!Y16/'Pon-Bat'!U16)</f>
        <v/>
      </c>
      <c r="AN16" s="504" t="str">
        <f>IF('Pon-Bat'!Y16="","",+(SUM('Pon-Bat'!$Y$8:Y16)/SUM('Pon-Bat'!$U$8:U16)))</f>
        <v/>
      </c>
      <c r="AO16" s="494" t="str">
        <f>IF('Pon-Bat'!Z16="","",+'Pon-Bat'!Z16/'Pon-Bat'!U16)</f>
        <v/>
      </c>
      <c r="AP16" s="496" t="str">
        <f>IF('Pon-Bat'!Z16="","",+(SUM('Pon-Bat'!$Z$8:Z16)/SUM('Pon-Bat'!$U$8:U16)))</f>
        <v/>
      </c>
      <c r="AQ16" s="503" t="str">
        <f>IF('Pon-Bat'!AB16="","",+'Pon-Bat'!AB16/'Pon-Bat'!AA16)</f>
        <v/>
      </c>
      <c r="AR16" s="504" t="str">
        <f>IF('Pon-Bat'!AB16="","",+(SUM('Pon-Bat'!$AB$8:AB16)/SUM('Pon-Bat'!$AA$8:AA16)))</f>
        <v/>
      </c>
      <c r="AS16" s="494" t="str">
        <f>IF('Pon-Bat'!AC16="","",+'Pon-Bat'!AC16/'Pon-Bat'!AA16)</f>
        <v/>
      </c>
      <c r="AT16" s="504" t="str">
        <f>IF('Pon-Bat'!AC16="","",+(SUM('Pon-Bat'!$AC$8:AC16)/SUM('Pon-Bat'!$AA$8:AA16)))</f>
        <v/>
      </c>
      <c r="AU16" s="494" t="str">
        <f>IF('Pon-Bat'!AD16="","",+'Pon-Bat'!AD16/'Pon-Bat'!AA16)</f>
        <v/>
      </c>
      <c r="AV16" s="504" t="str">
        <f>IF('Pon-Bat'!AD16="","",+(SUM('Pon-Bat'!$AD$8:AD16)/SUM('Pon-Bat'!$AA$8:AA16)))</f>
        <v/>
      </c>
      <c r="AW16" s="494" t="str">
        <f>IF('Pon-Bat'!AE16="","",+'Pon-Bat'!AE16/'Pon-Bat'!AA16)</f>
        <v/>
      </c>
      <c r="AX16" s="504" t="str">
        <f>IF('Pon-Bat'!AE16="","",+(SUM('Pon-Bat'!$AE$8:AE16)/SUM('Pon-Bat'!$AA$8:AA16)))</f>
        <v/>
      </c>
      <c r="AY16" s="494" t="str">
        <f>IF('Pon-Bat'!AF16="","",+'Pon-Bat'!AF16/'Pon-Bat'!AA16)</f>
        <v/>
      </c>
      <c r="AZ16" s="496" t="str">
        <f>IF('Pon-Bat'!AF16="","",+(SUM('Pon-Bat'!$AF$8:AF16)/SUM('Pon-Bat'!$AA$8:AA16)))</f>
        <v/>
      </c>
      <c r="BA16" s="503" t="str">
        <f>IF('Pon-Bat'!AH16="","",+'Pon-Bat'!AH16/'Pon-Bat'!AG16)</f>
        <v/>
      </c>
      <c r="BB16" s="504" t="str">
        <f>IF('Pon-Bat'!AH16="","",+(SUM('Pon-Bat'!$AH$8:AH16)/SUM('Pon-Bat'!$AG$8:AG16)))</f>
        <v/>
      </c>
      <c r="BC16" s="494" t="str">
        <f>IF('Pon-Bat'!AI16="","",+'Pon-Bat'!AI16/'Pon-Bat'!AG16)</f>
        <v/>
      </c>
      <c r="BD16" s="504" t="str">
        <f>IF('Pon-Bat'!AI16="","",+(SUM('Pon-Bat'!$AI$8:AI16)/SUM('Pon-Bat'!$AG$8:AG16)))</f>
        <v/>
      </c>
      <c r="BE16" s="494" t="str">
        <f>IF('Pon-Bat'!AJ16="","",+'Pon-Bat'!AJ16/'Pon-Bat'!AG16)</f>
        <v/>
      </c>
      <c r="BF16" s="504" t="str">
        <f>IF('Pon-Bat'!AJ16="","",+(SUM('Pon-Bat'!$AJ$8:AJ16)/SUM('Pon-Bat'!$AG$8:AG16)))</f>
        <v/>
      </c>
      <c r="BG16" s="494" t="str">
        <f>IF('Pon-Bat'!AK16="","",+'Pon-Bat'!AK16/'Pon-Bat'!AG16)</f>
        <v/>
      </c>
      <c r="BH16" s="504" t="str">
        <f>IF('Pon-Bat'!AK16="","",+(SUM('Pon-Bat'!$AK$8:AK16)/SUM('Pon-Bat'!$AG$8:AG16)))</f>
        <v/>
      </c>
      <c r="BI16" s="494" t="str">
        <f>IF('Pon-Bat'!AL16="","",+'Pon-Bat'!AL16/'Pon-Bat'!AG16)</f>
        <v/>
      </c>
      <c r="BJ16" s="496" t="str">
        <f>IF('Pon-Bat'!AL16="","",+(SUM('Pon-Bat'!$AL$8:AL16)/SUM('Pon-Bat'!$AG$8:AG16)))</f>
        <v/>
      </c>
      <c r="BK16" s="501" t="str">
        <f>IF('Pon-Bat'!AN16="","",+'Pon-Bat'!AN16/'Pon-Bat'!AM16)</f>
        <v/>
      </c>
      <c r="BL16" s="504" t="str">
        <f>IF('Pon-Bat'!AN16="","",+(SUM('Pon-Bat'!$AN$8:AN16)/SUM('Pon-Bat'!$AM$8:AM16)))</f>
        <v/>
      </c>
      <c r="BM16" s="499" t="str">
        <f>IF('Pon-Bat'!AO16="","",+'Pon-Bat'!AO16/'Pon-Bat'!AM16)</f>
        <v/>
      </c>
      <c r="BN16" s="504" t="str">
        <f>IF('Pon-Bat'!AO16="","",+(SUM('Pon-Bat'!$AO$8:AO16)/SUM('Pon-Bat'!$AM$8:AM16)))</f>
        <v/>
      </c>
      <c r="BO16" s="499" t="str">
        <f>IF('Pon-Bat'!AP16="","",+'Pon-Bat'!AP16/'Pon-Bat'!AM16)</f>
        <v/>
      </c>
      <c r="BP16" s="504" t="str">
        <f>IF('Pon-Bat'!AP16="","",+(SUM('Pon-Bat'!$AP$8:AP16)/SUM('Pon-Bat'!$AM$8:AM16)))</f>
        <v/>
      </c>
      <c r="BQ16" s="499" t="str">
        <f>IF('Pon-Bat'!AQ16="","",+'Pon-Bat'!AQ16/'Pon-Bat'!AM16)</f>
        <v/>
      </c>
      <c r="BR16" s="504" t="str">
        <f>IF('Pon-Bat'!AQ16="","",+(SUM('Pon-Bat'!$AQ$8:AQ16)/SUM('Pon-Bat'!$AM$8:AM16)))</f>
        <v/>
      </c>
      <c r="BS16" s="499" t="str">
        <f>IF('Pon-Bat'!AR16="","",+'Pon-Bat'!AR16/'Pon-Bat'!AM16)</f>
        <v/>
      </c>
      <c r="BT16" s="496" t="str">
        <f>IF('Pon-Bat'!AR16="","",+(SUM('Pon-Bat'!$AR$8:AR16)/SUM('Pon-Bat'!$AM$8:AM16)))</f>
        <v/>
      </c>
      <c r="BU16" s="501" t="str">
        <f>IF('Pon-Bat'!AT16="","",+'Pon-Bat'!AT16/'Pon-Bat'!AS16)</f>
        <v/>
      </c>
      <c r="BV16" s="504" t="str">
        <f>IF('Pon-Bat'!AT16="","",+(SUM('Pon-Bat'!$AT$8:AT16)/SUM('Pon-Bat'!$AS$8:AS16)))</f>
        <v/>
      </c>
      <c r="BW16" s="499" t="str">
        <f>IF('Pon-Bat'!AU16="","",+'Pon-Bat'!AU16/'Pon-Bat'!AS16)</f>
        <v/>
      </c>
      <c r="BX16" s="504" t="str">
        <f>IF('Pon-Bat'!AU16="","",+(SUM('Pon-Bat'!$AU$8:AU16)/SUM('Pon-Bat'!$AS$8:AS16)))</f>
        <v/>
      </c>
      <c r="BY16" s="499" t="str">
        <f>IF('Pon-Bat'!AV16="","",+'Pon-Bat'!AV16/'Pon-Bat'!AS16)</f>
        <v/>
      </c>
      <c r="BZ16" s="504" t="str">
        <f>IF('Pon-Bat'!AV16="","",+(SUM('Pon-Bat'!$AV$8:AV16)/SUM('Pon-Bat'!$AS$8:AS16)))</f>
        <v/>
      </c>
      <c r="CA16" s="499" t="str">
        <f>IF('Pon-Bat'!AW16="","",+'Pon-Bat'!AW16/'Pon-Bat'!AS16)</f>
        <v/>
      </c>
      <c r="CB16" s="504" t="str">
        <f>IF('Pon-Bat'!AW16="","",+(SUM('Pon-Bat'!$AW$8:AW16)/SUM('Pon-Bat'!$AS$8:AS16)))</f>
        <v/>
      </c>
      <c r="CC16" s="499" t="str">
        <f>IF('Pon-Bat'!AX16="","",+'Pon-Bat'!AX16/'Pon-Bat'!AS16)</f>
        <v/>
      </c>
      <c r="CD16" s="496" t="str">
        <f>IF('Pon-Bat'!AX16="","",+(SUM('Pon-Bat'!$AX$8:AX16)/SUM('Pon-Bat'!$AS$8:AS16)))</f>
        <v/>
      </c>
      <c r="CE16" s="503" t="str">
        <f>IF('Pon-Bat'!AZ16="","",+'Pon-Bat'!AZ16/'Pon-Bat'!AY16)</f>
        <v/>
      </c>
      <c r="CF16" s="504" t="str">
        <f>IF('Pon-Bat'!AZ16="","",+(SUM('Pon-Bat'!$AZ$8:AZ16)/SUM('Pon-Bat'!$AY$8:AY16)))</f>
        <v/>
      </c>
      <c r="CG16" s="494" t="str">
        <f>IF('Pon-Bat'!BA16="","",+'Pon-Bat'!BA16/'Pon-Bat'!AY16)</f>
        <v/>
      </c>
      <c r="CH16" s="504" t="str">
        <f>IF('Pon-Bat'!BA16="","",+(SUM('Pon-Bat'!$BA$8:BA16)/SUM('Pon-Bat'!$AY$8:AY16)))</f>
        <v/>
      </c>
      <c r="CI16" s="499" t="str">
        <f>IF('Pon-Bat'!BB16="","",+'Pon-Bat'!BB16/'Pon-Bat'!AY16)</f>
        <v/>
      </c>
      <c r="CJ16" s="504" t="str">
        <f>IF('Pon-Bat'!BB16="","",+(SUM('Pon-Bat'!$BB$8:BB16)/SUM('Pon-Bat'!$AY$8:AY16)))</f>
        <v/>
      </c>
      <c r="CK16" s="494" t="str">
        <f>IF('Pon-Bat'!BC16="","",+'Pon-Bat'!BC16/'Pon-Bat'!AY16)</f>
        <v/>
      </c>
      <c r="CL16" s="504" t="str">
        <f>IF('Pon-Bat'!BC16="","",+(SUM('Pon-Bat'!$BC$8:BC16)/SUM('Pon-Bat'!$AY$8:AY16)))</f>
        <v/>
      </c>
      <c r="CM16" s="494" t="str">
        <f>IF('Pon-Bat'!BD16="","",+'Pon-Bat'!BD16/'Pon-Bat'!AY16)</f>
        <v/>
      </c>
      <c r="CN16" s="496" t="str">
        <f>IF('Pon-Bat'!BD16="","",+(SUM('Pon-Bat'!$BD$8:BD16)/SUM('Pon-Bat'!$AY$8:AY16)))</f>
        <v/>
      </c>
    </row>
    <row r="17" spans="1:92" ht="24" customHeight="1" thickBot="1" x14ac:dyDescent="0.25">
      <c r="A17" s="453">
        <f t="shared" si="0"/>
        <v>43474</v>
      </c>
      <c r="B17" s="465">
        <f t="shared" si="1"/>
        <v>32</v>
      </c>
      <c r="C17" s="503" t="str">
        <f>IF('Pon-Bat'!D17="","",+'Pon-Bat'!D17/'Pon-Bat'!C17)</f>
        <v/>
      </c>
      <c r="D17" s="504" t="str">
        <f>IF('Pon-Bat'!D17="","",+(SUM('Pon-Bat'!$D$8:D17)/SUM('Pon-Bat'!$C$8:C17)))</f>
        <v/>
      </c>
      <c r="E17" s="494" t="str">
        <f>IF('Pon-Bat'!E17="","",+'Pon-Bat'!E17/'Pon-Bat'!C17)</f>
        <v/>
      </c>
      <c r="F17" s="504" t="str">
        <f>IF('Pon-Bat'!E17="","",+(SUM('Pon-Bat'!$E$8:E17)/SUM('Pon-Bat'!$C$8:C17)))</f>
        <v/>
      </c>
      <c r="G17" s="494" t="str">
        <f>IF('Pon-Bat'!F17="","",+'Pon-Bat'!F17/'Pon-Bat'!C17)</f>
        <v/>
      </c>
      <c r="H17" s="504" t="str">
        <f>IF('Pon-Bat'!F17="","",+(SUM('Pon-Bat'!$F$8:F17)/SUM('Pon-Bat'!$C$8:C17)))</f>
        <v/>
      </c>
      <c r="I17" s="494" t="str">
        <f>IF('Pon-Bat'!G17="","",+'Pon-Bat'!G17/'Pon-Bat'!C17)</f>
        <v/>
      </c>
      <c r="J17" s="504" t="str">
        <f>IF('Pon-Bat'!G17="","",+(SUM('Pon-Bat'!$G$8:G17)/SUM('Pon-Bat'!$C$8:C17)))</f>
        <v/>
      </c>
      <c r="K17" s="494" t="str">
        <f>IF('Pon-Bat'!H17="","",+'Pon-Bat'!H17/'Pon-Bat'!C17)</f>
        <v/>
      </c>
      <c r="L17" s="496" t="str">
        <f>IF('Pon-Bat'!H17="","",+(SUM('Pon-Bat'!$H$8:H17)/SUM('Pon-Bat'!$C$8:C17)))</f>
        <v/>
      </c>
      <c r="M17" s="503" t="str">
        <f>IF('Pon-Bat'!J17="","",+'Pon-Bat'!J17/'Pon-Bat'!I17)</f>
        <v/>
      </c>
      <c r="N17" s="504" t="str">
        <f>IF('Pon-Bat'!J17="","",+(SUM('Pon-Bat'!$J$8:J17)/SUM('Pon-Bat'!$I$8:I17)))</f>
        <v/>
      </c>
      <c r="O17" s="494" t="str">
        <f>IF('Pon-Bat'!K17="","",+'Pon-Bat'!K17/'Pon-Bat'!I17)</f>
        <v/>
      </c>
      <c r="P17" s="504" t="str">
        <f>IF('Pon-Bat'!K17="","",+(SUM('Pon-Bat'!$K$8:K17)/SUM('Pon-Bat'!$I$8:I17)))</f>
        <v/>
      </c>
      <c r="Q17" s="494" t="str">
        <f>IF('Pon-Bat'!L17="","",+'Pon-Bat'!L17/'Pon-Bat'!I17)</f>
        <v/>
      </c>
      <c r="R17" s="504" t="str">
        <f>IF('Pon-Bat'!L17="","",+(SUM('Pon-Bat'!$L$8:L17)/SUM('Pon-Bat'!$I$8:I17)))</f>
        <v/>
      </c>
      <c r="S17" s="494" t="str">
        <f>IF('Pon-Bat'!M17="","",+'Pon-Bat'!M17/'Pon-Bat'!I17)</f>
        <v/>
      </c>
      <c r="T17" s="504" t="str">
        <f>IF('Pon-Bat'!M17="","",+(SUM('Pon-Bat'!$M$8:M17)/SUM('Pon-Bat'!$I$8:I17)))</f>
        <v/>
      </c>
      <c r="U17" s="494" t="str">
        <f>IF('Pon-Bat'!N17="","",+'Pon-Bat'!N17/'Pon-Bat'!I17)</f>
        <v/>
      </c>
      <c r="V17" s="496" t="str">
        <f>IF('Pon-Bat'!N17="","",+(SUM('Pon-Bat'!$N$8:N17)/SUM('Pon-Bat'!$I$8:I17)))</f>
        <v/>
      </c>
      <c r="W17" s="503" t="str">
        <f>IF('Pon-Bat'!P17="","",+'Pon-Bat'!P17/'Pon-Bat'!O17)</f>
        <v/>
      </c>
      <c r="X17" s="504" t="str">
        <f>IF('Pon-Bat'!P17="","",+(SUM('Pon-Bat'!$P$8:P17)/SUM('Pon-Bat'!$O$8:O17)))</f>
        <v/>
      </c>
      <c r="Y17" s="494" t="str">
        <f>IF('Pon-Bat'!Q17="","",+'Pon-Bat'!Q17/'Pon-Bat'!O17)</f>
        <v/>
      </c>
      <c r="Z17" s="504" t="str">
        <f>IF('Pon-Bat'!Q17="","",+(SUM('Pon-Bat'!$Q$8:Q17)/SUM('Pon-Bat'!$O$8:O17)))</f>
        <v/>
      </c>
      <c r="AA17" s="494" t="str">
        <f>IF('Pon-Bat'!R17="","",+'Pon-Bat'!R17/'Pon-Bat'!O17)</f>
        <v/>
      </c>
      <c r="AB17" s="504" t="str">
        <f>IF('Pon-Bat'!R17="","",+(SUM('Pon-Bat'!$R$8:R17)/SUM('Pon-Bat'!$O$8:O17)))</f>
        <v/>
      </c>
      <c r="AC17" s="494" t="str">
        <f>IF('Pon-Bat'!S17="","",+'Pon-Bat'!S17/'Pon-Bat'!O17)</f>
        <v/>
      </c>
      <c r="AD17" s="504" t="str">
        <f>IF('Pon-Bat'!S17="","",+(SUM('Pon-Bat'!$S$8:S17)/SUM('Pon-Bat'!$O$8:O17)))</f>
        <v/>
      </c>
      <c r="AE17" s="494" t="str">
        <f>IF('Pon-Bat'!T17="","",+'Pon-Bat'!T17/'Pon-Bat'!O17)</f>
        <v/>
      </c>
      <c r="AF17" s="496" t="str">
        <f>IF('Pon-Bat'!T17="","",+(SUM('Pon-Bat'!$T$8:T17)/SUM('Pon-Bat'!$O$8:O17)))</f>
        <v/>
      </c>
      <c r="AG17" s="503" t="str">
        <f>IF('Pon-Bat'!V17="","",+'Pon-Bat'!V17/'Pon-Bat'!U17)</f>
        <v/>
      </c>
      <c r="AH17" s="504" t="str">
        <f>IF('Pon-Bat'!V17="","",+(SUM('Pon-Bat'!$V$8:V17)/SUM('Pon-Bat'!$U$8:U17)))</f>
        <v/>
      </c>
      <c r="AI17" s="494" t="str">
        <f>IF('Pon-Bat'!W17="","",+'Pon-Bat'!W17/'Pon-Bat'!U17)</f>
        <v/>
      </c>
      <c r="AJ17" s="504" t="str">
        <f>IF('Pon-Bat'!W17="","",+(SUM('Pon-Bat'!$W$8:W17)/SUM('Pon-Bat'!$U$8:U17)))</f>
        <v/>
      </c>
      <c r="AK17" s="494" t="str">
        <f>IF('Pon-Bat'!X17="","",+'Pon-Bat'!X17/'Pon-Bat'!U17)</f>
        <v/>
      </c>
      <c r="AL17" s="504" t="str">
        <f>IF('Pon-Bat'!X17="","",+(SUM('Pon-Bat'!$X$8:X17)/SUM('Pon-Bat'!$U$8:U17)))</f>
        <v/>
      </c>
      <c r="AM17" s="494" t="str">
        <f>IF('Pon-Bat'!Y17="","",+'Pon-Bat'!Y17/'Pon-Bat'!U17)</f>
        <v/>
      </c>
      <c r="AN17" s="504" t="str">
        <f>IF('Pon-Bat'!Y17="","",+(SUM('Pon-Bat'!$Y$8:Y17)/SUM('Pon-Bat'!$U$8:U17)))</f>
        <v/>
      </c>
      <c r="AO17" s="494" t="str">
        <f>IF('Pon-Bat'!Z17="","",+'Pon-Bat'!Z17/'Pon-Bat'!U17)</f>
        <v/>
      </c>
      <c r="AP17" s="496" t="str">
        <f>IF('Pon-Bat'!Z17="","",+(SUM('Pon-Bat'!$Z$8:Z17)/SUM('Pon-Bat'!$U$8:U17)))</f>
        <v/>
      </c>
      <c r="AQ17" s="503" t="str">
        <f>IF('Pon-Bat'!AB17="","",+'Pon-Bat'!AB17/'Pon-Bat'!AA17)</f>
        <v/>
      </c>
      <c r="AR17" s="504" t="str">
        <f>IF('Pon-Bat'!AB17="","",+(SUM('Pon-Bat'!$AB$8:AB17)/SUM('Pon-Bat'!$AA$8:AA17)))</f>
        <v/>
      </c>
      <c r="AS17" s="494" t="str">
        <f>IF('Pon-Bat'!AC17="","",+'Pon-Bat'!AC17/'Pon-Bat'!AA17)</f>
        <v/>
      </c>
      <c r="AT17" s="504" t="str">
        <f>IF('Pon-Bat'!AC17="","",+(SUM('Pon-Bat'!$AC$8:AC17)/SUM('Pon-Bat'!$AA$8:AA17)))</f>
        <v/>
      </c>
      <c r="AU17" s="494" t="str">
        <f>IF('Pon-Bat'!AD17="","",+'Pon-Bat'!AD17/'Pon-Bat'!AA17)</f>
        <v/>
      </c>
      <c r="AV17" s="504" t="str">
        <f>IF('Pon-Bat'!AD17="","",+(SUM('Pon-Bat'!$AD$8:AD17)/SUM('Pon-Bat'!$AA$8:AA17)))</f>
        <v/>
      </c>
      <c r="AW17" s="494" t="str">
        <f>IF('Pon-Bat'!AE17="","",+'Pon-Bat'!AE17/'Pon-Bat'!AA17)</f>
        <v/>
      </c>
      <c r="AX17" s="504" t="str">
        <f>IF('Pon-Bat'!AE17="","",+(SUM('Pon-Bat'!$AE$8:AE17)/SUM('Pon-Bat'!$AA$8:AA17)))</f>
        <v/>
      </c>
      <c r="AY17" s="494" t="str">
        <f>IF('Pon-Bat'!AF17="","",+'Pon-Bat'!AF17/'Pon-Bat'!AA17)</f>
        <v/>
      </c>
      <c r="AZ17" s="496" t="str">
        <f>IF('Pon-Bat'!AF17="","",+(SUM('Pon-Bat'!$AF$8:AF17)/SUM('Pon-Bat'!$AA$8:AA17)))</f>
        <v/>
      </c>
      <c r="BA17" s="503" t="str">
        <f>IF('Pon-Bat'!AH17="","",+'Pon-Bat'!AH17/'Pon-Bat'!AG17)</f>
        <v/>
      </c>
      <c r="BB17" s="504" t="str">
        <f>IF('Pon-Bat'!AH17="","",+(SUM('Pon-Bat'!$AH$8:AH17)/SUM('Pon-Bat'!$AG$8:AG17)))</f>
        <v/>
      </c>
      <c r="BC17" s="494" t="str">
        <f>IF('Pon-Bat'!AI17="","",+'Pon-Bat'!AI17/'Pon-Bat'!AG17)</f>
        <v/>
      </c>
      <c r="BD17" s="504" t="str">
        <f>IF('Pon-Bat'!AI17="","",+(SUM('Pon-Bat'!$AI$8:AI17)/SUM('Pon-Bat'!$AG$8:AG17)))</f>
        <v/>
      </c>
      <c r="BE17" s="494" t="str">
        <f>IF('Pon-Bat'!AJ17="","",+'Pon-Bat'!AJ17/'Pon-Bat'!AG17)</f>
        <v/>
      </c>
      <c r="BF17" s="504" t="str">
        <f>IF('Pon-Bat'!AJ17="","",+(SUM('Pon-Bat'!$AJ$8:AJ17)/SUM('Pon-Bat'!$AG$8:AG17)))</f>
        <v/>
      </c>
      <c r="BG17" s="494" t="str">
        <f>IF('Pon-Bat'!AK17="","",+'Pon-Bat'!AK17/'Pon-Bat'!AG17)</f>
        <v/>
      </c>
      <c r="BH17" s="504" t="str">
        <f>IF('Pon-Bat'!AK17="","",+(SUM('Pon-Bat'!$AK$8:AK17)/SUM('Pon-Bat'!$AG$8:AG17)))</f>
        <v/>
      </c>
      <c r="BI17" s="494" t="str">
        <f>IF('Pon-Bat'!AL17="","",+'Pon-Bat'!AL17/'Pon-Bat'!AG17)</f>
        <v/>
      </c>
      <c r="BJ17" s="496" t="str">
        <f>IF('Pon-Bat'!AL17="","",+(SUM('Pon-Bat'!$AL$8:AL17)/SUM('Pon-Bat'!$AG$8:AG17)))</f>
        <v/>
      </c>
      <c r="BK17" s="501" t="str">
        <f>IF('Pon-Bat'!AN17="","",+'Pon-Bat'!AN17/'Pon-Bat'!AM17)</f>
        <v/>
      </c>
      <c r="BL17" s="504" t="str">
        <f>IF('Pon-Bat'!AN17="","",+(SUM('Pon-Bat'!$AN$8:AN17)/SUM('Pon-Bat'!$AM$8:AM17)))</f>
        <v/>
      </c>
      <c r="BM17" s="499" t="str">
        <f>IF('Pon-Bat'!AO17="","",+'Pon-Bat'!AO17/'Pon-Bat'!AM17)</f>
        <v/>
      </c>
      <c r="BN17" s="504" t="str">
        <f>IF('Pon-Bat'!AO17="","",+(SUM('Pon-Bat'!$AO$8:AO17)/SUM('Pon-Bat'!$AM$8:AM17)))</f>
        <v/>
      </c>
      <c r="BO17" s="499" t="str">
        <f>IF('Pon-Bat'!AP17="","",+'Pon-Bat'!AP17/'Pon-Bat'!AM17)</f>
        <v/>
      </c>
      <c r="BP17" s="504" t="str">
        <f>IF('Pon-Bat'!AP17="","",+(SUM('Pon-Bat'!$AP$8:AP17)/SUM('Pon-Bat'!$AM$8:AM17)))</f>
        <v/>
      </c>
      <c r="BQ17" s="499" t="str">
        <f>IF('Pon-Bat'!AQ17="","",+'Pon-Bat'!AQ17/'Pon-Bat'!AM17)</f>
        <v/>
      </c>
      <c r="BR17" s="504" t="str">
        <f>IF('Pon-Bat'!AQ17="","",+(SUM('Pon-Bat'!$AQ$8:AQ17)/SUM('Pon-Bat'!$AM$8:AM17)))</f>
        <v/>
      </c>
      <c r="BS17" s="499" t="str">
        <f>IF('Pon-Bat'!AR17="","",+'Pon-Bat'!AR17/'Pon-Bat'!AM17)</f>
        <v/>
      </c>
      <c r="BT17" s="496" t="str">
        <f>IF('Pon-Bat'!AR17="","",+(SUM('Pon-Bat'!$AR$8:AR17)/SUM('Pon-Bat'!$AM$8:AM17)))</f>
        <v/>
      </c>
      <c r="BU17" s="501" t="str">
        <f>IF('Pon-Bat'!AT17="","",+'Pon-Bat'!AT17/'Pon-Bat'!AS17)</f>
        <v/>
      </c>
      <c r="BV17" s="504" t="str">
        <f>IF('Pon-Bat'!AT17="","",+(SUM('Pon-Bat'!$AT$8:AT17)/SUM('Pon-Bat'!$AS$8:AS17)))</f>
        <v/>
      </c>
      <c r="BW17" s="499" t="str">
        <f>IF('Pon-Bat'!AU17="","",+'Pon-Bat'!AU17/'Pon-Bat'!AS17)</f>
        <v/>
      </c>
      <c r="BX17" s="504" t="str">
        <f>IF('Pon-Bat'!AU17="","",+(SUM('Pon-Bat'!$AU$8:AU17)/SUM('Pon-Bat'!$AS$8:AS17)))</f>
        <v/>
      </c>
      <c r="BY17" s="499" t="str">
        <f>IF('Pon-Bat'!AV17="","",+'Pon-Bat'!AV17/'Pon-Bat'!AS17)</f>
        <v/>
      </c>
      <c r="BZ17" s="504" t="str">
        <f>IF('Pon-Bat'!AV17="","",+(SUM('Pon-Bat'!$AV$8:AV17)/SUM('Pon-Bat'!$AS$8:AS17)))</f>
        <v/>
      </c>
      <c r="CA17" s="499" t="str">
        <f>IF('Pon-Bat'!AW17="","",+'Pon-Bat'!AW17/'Pon-Bat'!AS17)</f>
        <v/>
      </c>
      <c r="CB17" s="504" t="str">
        <f>IF('Pon-Bat'!AW17="","",+(SUM('Pon-Bat'!$AW$8:AW17)/SUM('Pon-Bat'!$AS$8:AS17)))</f>
        <v/>
      </c>
      <c r="CC17" s="499" t="str">
        <f>IF('Pon-Bat'!AX17="","",+'Pon-Bat'!AX17/'Pon-Bat'!AS17)</f>
        <v/>
      </c>
      <c r="CD17" s="496" t="str">
        <f>IF('Pon-Bat'!AX17="","",+(SUM('Pon-Bat'!$AX$8:AX17)/SUM('Pon-Bat'!$AS$8:AS17)))</f>
        <v/>
      </c>
      <c r="CE17" s="503" t="str">
        <f>IF('Pon-Bat'!AZ17="","",+'Pon-Bat'!AZ17/'Pon-Bat'!AY17)</f>
        <v/>
      </c>
      <c r="CF17" s="504" t="str">
        <f>IF('Pon-Bat'!AZ17="","",+(SUM('Pon-Bat'!$AZ$8:AZ17)/SUM('Pon-Bat'!$AY$8:AY17)))</f>
        <v/>
      </c>
      <c r="CG17" s="494" t="str">
        <f>IF('Pon-Bat'!BA17="","",+'Pon-Bat'!BA17/'Pon-Bat'!AY17)</f>
        <v/>
      </c>
      <c r="CH17" s="504" t="str">
        <f>IF('Pon-Bat'!BA17="","",+(SUM('Pon-Bat'!$BA$8:BA17)/SUM('Pon-Bat'!$AY$8:AY17)))</f>
        <v/>
      </c>
      <c r="CI17" s="499" t="str">
        <f>IF('Pon-Bat'!BB17="","",+'Pon-Bat'!BB17/'Pon-Bat'!AY17)</f>
        <v/>
      </c>
      <c r="CJ17" s="504" t="str">
        <f>IF('Pon-Bat'!BB17="","",+(SUM('Pon-Bat'!$BB$8:BB17)/SUM('Pon-Bat'!$AY$8:AY17)))</f>
        <v/>
      </c>
      <c r="CK17" s="494" t="str">
        <f>IF('Pon-Bat'!BC17="","",+'Pon-Bat'!BC17/'Pon-Bat'!AY17)</f>
        <v/>
      </c>
      <c r="CL17" s="504" t="str">
        <f>IF('Pon-Bat'!BC17="","",+(SUM('Pon-Bat'!$BC$8:BC17)/SUM('Pon-Bat'!$AY$8:AY17)))</f>
        <v/>
      </c>
      <c r="CM17" s="494" t="str">
        <f>IF('Pon-Bat'!BD17="","",+'Pon-Bat'!BD17/'Pon-Bat'!AY17)</f>
        <v/>
      </c>
      <c r="CN17" s="496" t="str">
        <f>IF('Pon-Bat'!BD17="","",+(SUM('Pon-Bat'!$BD$8:BD17)/SUM('Pon-Bat'!$AY$8:AY17)))</f>
        <v/>
      </c>
    </row>
    <row r="18" spans="1:92" ht="24" customHeight="1" thickBot="1" x14ac:dyDescent="0.25">
      <c r="A18" s="453">
        <f t="shared" si="0"/>
        <v>43481</v>
      </c>
      <c r="B18" s="465">
        <f t="shared" si="1"/>
        <v>33</v>
      </c>
      <c r="C18" s="503" t="str">
        <f>IF('Pon-Bat'!D18="","",+'Pon-Bat'!D18/'Pon-Bat'!C18)</f>
        <v/>
      </c>
      <c r="D18" s="504" t="str">
        <f>IF('Pon-Bat'!D18="","",+(SUM('Pon-Bat'!$D$8:D18)/SUM('Pon-Bat'!$C$8:C18)))</f>
        <v/>
      </c>
      <c r="E18" s="494" t="str">
        <f>IF('Pon-Bat'!E18="","",+'Pon-Bat'!E18/'Pon-Bat'!C18)</f>
        <v/>
      </c>
      <c r="F18" s="504" t="str">
        <f>IF('Pon-Bat'!E18="","",+(SUM('Pon-Bat'!$E$8:E18)/SUM('Pon-Bat'!$C$8:C18)))</f>
        <v/>
      </c>
      <c r="G18" s="494" t="str">
        <f>IF('Pon-Bat'!F18="","",+'Pon-Bat'!F18/'Pon-Bat'!C18)</f>
        <v/>
      </c>
      <c r="H18" s="504" t="str">
        <f>IF('Pon-Bat'!F18="","",+(SUM('Pon-Bat'!$F$8:F18)/SUM('Pon-Bat'!$C$8:C18)))</f>
        <v/>
      </c>
      <c r="I18" s="494" t="str">
        <f>IF('Pon-Bat'!G18="","",+'Pon-Bat'!G18/'Pon-Bat'!C18)</f>
        <v/>
      </c>
      <c r="J18" s="504" t="str">
        <f>IF('Pon-Bat'!G18="","",+(SUM('Pon-Bat'!$G$8:G18)/SUM('Pon-Bat'!$C$8:C18)))</f>
        <v/>
      </c>
      <c r="K18" s="494" t="str">
        <f>IF('Pon-Bat'!H18="","",+'Pon-Bat'!H18/'Pon-Bat'!C18)</f>
        <v/>
      </c>
      <c r="L18" s="496" t="str">
        <f>IF('Pon-Bat'!H18="","",+(SUM('Pon-Bat'!$H$8:H18)/SUM('Pon-Bat'!$C$8:C18)))</f>
        <v/>
      </c>
      <c r="M18" s="503" t="str">
        <f>IF('Pon-Bat'!J18="","",+'Pon-Bat'!J18/'Pon-Bat'!I18)</f>
        <v/>
      </c>
      <c r="N18" s="504" t="str">
        <f>IF('Pon-Bat'!J18="","",+(SUM('Pon-Bat'!$J$8:J18)/SUM('Pon-Bat'!$I$8:I18)))</f>
        <v/>
      </c>
      <c r="O18" s="494" t="str">
        <f>IF('Pon-Bat'!K18="","",+'Pon-Bat'!K18/'Pon-Bat'!I18)</f>
        <v/>
      </c>
      <c r="P18" s="504" t="str">
        <f>IF('Pon-Bat'!K18="","",+(SUM('Pon-Bat'!$K$8:K18)/SUM('Pon-Bat'!$I$8:I18)))</f>
        <v/>
      </c>
      <c r="Q18" s="494" t="str">
        <f>IF('Pon-Bat'!L18="","",+'Pon-Bat'!L18/'Pon-Bat'!I18)</f>
        <v/>
      </c>
      <c r="R18" s="504" t="str">
        <f>IF('Pon-Bat'!L18="","",+(SUM('Pon-Bat'!$L$8:L18)/SUM('Pon-Bat'!$I$8:I18)))</f>
        <v/>
      </c>
      <c r="S18" s="494" t="str">
        <f>IF('Pon-Bat'!M18="","",+'Pon-Bat'!M18/'Pon-Bat'!I18)</f>
        <v/>
      </c>
      <c r="T18" s="504" t="str">
        <f>IF('Pon-Bat'!M18="","",+(SUM('Pon-Bat'!$M$8:M18)/SUM('Pon-Bat'!$I$8:I18)))</f>
        <v/>
      </c>
      <c r="U18" s="494" t="str">
        <f>IF('Pon-Bat'!N18="","",+'Pon-Bat'!N18/'Pon-Bat'!I18)</f>
        <v/>
      </c>
      <c r="V18" s="496" t="str">
        <f>IF('Pon-Bat'!N18="","",+(SUM('Pon-Bat'!$N$8:N18)/SUM('Pon-Bat'!$I$8:I18)))</f>
        <v/>
      </c>
      <c r="W18" s="503" t="str">
        <f>IF('Pon-Bat'!P18="","",+'Pon-Bat'!P18/'Pon-Bat'!O18)</f>
        <v/>
      </c>
      <c r="X18" s="504" t="str">
        <f>IF('Pon-Bat'!P18="","",+(SUM('Pon-Bat'!$P$8:P18)/SUM('Pon-Bat'!$O$8:O18)))</f>
        <v/>
      </c>
      <c r="Y18" s="494" t="str">
        <f>IF('Pon-Bat'!Q18="","",+'Pon-Bat'!Q18/'Pon-Bat'!O18)</f>
        <v/>
      </c>
      <c r="Z18" s="504" t="str">
        <f>IF('Pon-Bat'!Q18="","",+(SUM('Pon-Bat'!$Q$8:Q18)/SUM('Pon-Bat'!$O$8:O18)))</f>
        <v/>
      </c>
      <c r="AA18" s="494" t="str">
        <f>IF('Pon-Bat'!R18="","",+'Pon-Bat'!R18/'Pon-Bat'!O18)</f>
        <v/>
      </c>
      <c r="AB18" s="504" t="str">
        <f>IF('Pon-Bat'!R18="","",+(SUM('Pon-Bat'!$R$8:R18)/SUM('Pon-Bat'!$O$8:O18)))</f>
        <v/>
      </c>
      <c r="AC18" s="494" t="str">
        <f>IF('Pon-Bat'!S18="","",+'Pon-Bat'!S18/'Pon-Bat'!O18)</f>
        <v/>
      </c>
      <c r="AD18" s="504" t="str">
        <f>IF('Pon-Bat'!S18="","",+(SUM('Pon-Bat'!$S$8:S18)/SUM('Pon-Bat'!$O$8:O18)))</f>
        <v/>
      </c>
      <c r="AE18" s="494" t="str">
        <f>IF('Pon-Bat'!T18="","",+'Pon-Bat'!T18/'Pon-Bat'!O18)</f>
        <v/>
      </c>
      <c r="AF18" s="496" t="str">
        <f>IF('Pon-Bat'!T18="","",+(SUM('Pon-Bat'!$T$8:T18)/SUM('Pon-Bat'!$O$8:O18)))</f>
        <v/>
      </c>
      <c r="AG18" s="503" t="str">
        <f>IF('Pon-Bat'!V18="","",+'Pon-Bat'!V18/'Pon-Bat'!U18)</f>
        <v/>
      </c>
      <c r="AH18" s="504" t="str">
        <f>IF('Pon-Bat'!V18="","",+(SUM('Pon-Bat'!$V$8:V18)/SUM('Pon-Bat'!$U$8:U18)))</f>
        <v/>
      </c>
      <c r="AI18" s="494" t="str">
        <f>IF('Pon-Bat'!W18="","",+'Pon-Bat'!W18/'Pon-Bat'!U18)</f>
        <v/>
      </c>
      <c r="AJ18" s="504" t="str">
        <f>IF('Pon-Bat'!W18="","",+(SUM('Pon-Bat'!$W$8:W18)/SUM('Pon-Bat'!$U$8:U18)))</f>
        <v/>
      </c>
      <c r="AK18" s="494" t="str">
        <f>IF('Pon-Bat'!X18="","",+'Pon-Bat'!X18/'Pon-Bat'!U18)</f>
        <v/>
      </c>
      <c r="AL18" s="504" t="str">
        <f>IF('Pon-Bat'!X18="","",+(SUM('Pon-Bat'!$X$8:X18)/SUM('Pon-Bat'!$U$8:U18)))</f>
        <v/>
      </c>
      <c r="AM18" s="494" t="str">
        <f>IF('Pon-Bat'!Y18="","",+'Pon-Bat'!Y18/'Pon-Bat'!U18)</f>
        <v/>
      </c>
      <c r="AN18" s="504" t="str">
        <f>IF('Pon-Bat'!Y18="","",+(SUM('Pon-Bat'!$Y$8:Y18)/SUM('Pon-Bat'!$U$8:U18)))</f>
        <v/>
      </c>
      <c r="AO18" s="494" t="str">
        <f>IF('Pon-Bat'!Z18="","",+'Pon-Bat'!Z18/'Pon-Bat'!U18)</f>
        <v/>
      </c>
      <c r="AP18" s="496" t="str">
        <f>IF('Pon-Bat'!Z18="","",+(SUM('Pon-Bat'!$Z$8:Z18)/SUM('Pon-Bat'!$U$8:U18)))</f>
        <v/>
      </c>
      <c r="AQ18" s="503" t="str">
        <f>IF('Pon-Bat'!AB18="","",+'Pon-Bat'!AB18/'Pon-Bat'!AA18)</f>
        <v/>
      </c>
      <c r="AR18" s="504" t="str">
        <f>IF('Pon-Bat'!AB18="","",+(SUM('Pon-Bat'!$AB$8:AB18)/SUM('Pon-Bat'!$AA$8:AA18)))</f>
        <v/>
      </c>
      <c r="AS18" s="494" t="str">
        <f>IF('Pon-Bat'!AC18="","",+'Pon-Bat'!AC18/'Pon-Bat'!AA18)</f>
        <v/>
      </c>
      <c r="AT18" s="504" t="str">
        <f>IF('Pon-Bat'!AC18="","",+(SUM('Pon-Bat'!$AC$8:AC18)/SUM('Pon-Bat'!$AA$8:AA18)))</f>
        <v/>
      </c>
      <c r="AU18" s="494" t="str">
        <f>IF('Pon-Bat'!AD18="","",+'Pon-Bat'!AD18/'Pon-Bat'!AA18)</f>
        <v/>
      </c>
      <c r="AV18" s="504" t="str">
        <f>IF('Pon-Bat'!AD18="","",+(SUM('Pon-Bat'!$AD$8:AD18)/SUM('Pon-Bat'!$AA$8:AA18)))</f>
        <v/>
      </c>
      <c r="AW18" s="494" t="str">
        <f>IF('Pon-Bat'!AE18="","",+'Pon-Bat'!AE18/'Pon-Bat'!AA18)</f>
        <v/>
      </c>
      <c r="AX18" s="504" t="str">
        <f>IF('Pon-Bat'!AE18="","",+(SUM('Pon-Bat'!$AE$8:AE18)/SUM('Pon-Bat'!$AA$8:AA18)))</f>
        <v/>
      </c>
      <c r="AY18" s="494" t="str">
        <f>IF('Pon-Bat'!AF18="","",+'Pon-Bat'!AF18/'Pon-Bat'!AA18)</f>
        <v/>
      </c>
      <c r="AZ18" s="496" t="str">
        <f>IF('Pon-Bat'!AF18="","",+(SUM('Pon-Bat'!$AF$8:AF18)/SUM('Pon-Bat'!$AA$8:AA18)))</f>
        <v/>
      </c>
      <c r="BA18" s="503" t="str">
        <f>IF('Pon-Bat'!AH18="","",+'Pon-Bat'!AH18/'Pon-Bat'!AG18)</f>
        <v/>
      </c>
      <c r="BB18" s="504" t="str">
        <f>IF('Pon-Bat'!AH18="","",+(SUM('Pon-Bat'!$AH$8:AH18)/SUM('Pon-Bat'!$AG$8:AG18)))</f>
        <v/>
      </c>
      <c r="BC18" s="494" t="str">
        <f>IF('Pon-Bat'!AI18="","",+'Pon-Bat'!AI18/'Pon-Bat'!AG18)</f>
        <v/>
      </c>
      <c r="BD18" s="504" t="str">
        <f>IF('Pon-Bat'!AI18="","",+(SUM('Pon-Bat'!$AI$8:AI18)/SUM('Pon-Bat'!$AG$8:AG18)))</f>
        <v/>
      </c>
      <c r="BE18" s="494" t="str">
        <f>IF('Pon-Bat'!AJ18="","",+'Pon-Bat'!AJ18/'Pon-Bat'!AG18)</f>
        <v/>
      </c>
      <c r="BF18" s="504" t="str">
        <f>IF('Pon-Bat'!AJ18="","",+(SUM('Pon-Bat'!$AJ$8:AJ18)/SUM('Pon-Bat'!$AG$8:AG18)))</f>
        <v/>
      </c>
      <c r="BG18" s="494" t="str">
        <f>IF('Pon-Bat'!AK18="","",+'Pon-Bat'!AK18/'Pon-Bat'!AG18)</f>
        <v/>
      </c>
      <c r="BH18" s="504" t="str">
        <f>IF('Pon-Bat'!AK18="","",+(SUM('Pon-Bat'!$AK$8:AK18)/SUM('Pon-Bat'!$AG$8:AG18)))</f>
        <v/>
      </c>
      <c r="BI18" s="494" t="str">
        <f>IF('Pon-Bat'!AL18="","",+'Pon-Bat'!AL18/'Pon-Bat'!AG18)</f>
        <v/>
      </c>
      <c r="BJ18" s="496" t="str">
        <f>IF('Pon-Bat'!AL18="","",+(SUM('Pon-Bat'!$AL$8:AL18)/SUM('Pon-Bat'!$AG$8:AG18)))</f>
        <v/>
      </c>
      <c r="BK18" s="501" t="str">
        <f>IF('Pon-Bat'!AN18="","",+'Pon-Bat'!AN18/'Pon-Bat'!AM18)</f>
        <v/>
      </c>
      <c r="BL18" s="504" t="str">
        <f>IF('Pon-Bat'!AN18="","",+(SUM('Pon-Bat'!$AN$8:AN18)/SUM('Pon-Bat'!$AM$8:AM18)))</f>
        <v/>
      </c>
      <c r="BM18" s="499" t="str">
        <f>IF('Pon-Bat'!AO18="","",+'Pon-Bat'!AO18/'Pon-Bat'!AM18)</f>
        <v/>
      </c>
      <c r="BN18" s="504" t="str">
        <f>IF('Pon-Bat'!AO18="","",+(SUM('Pon-Bat'!$AO$8:AO18)/SUM('Pon-Bat'!$AM$8:AM18)))</f>
        <v/>
      </c>
      <c r="BO18" s="499" t="str">
        <f>IF('Pon-Bat'!AP18="","",+'Pon-Bat'!AP18/'Pon-Bat'!AM18)</f>
        <v/>
      </c>
      <c r="BP18" s="504" t="str">
        <f>IF('Pon-Bat'!AP18="","",+(SUM('Pon-Bat'!$AP$8:AP18)/SUM('Pon-Bat'!$AM$8:AM18)))</f>
        <v/>
      </c>
      <c r="BQ18" s="499" t="str">
        <f>IF('Pon-Bat'!AQ18="","",+'Pon-Bat'!AQ18/'Pon-Bat'!AM18)</f>
        <v/>
      </c>
      <c r="BR18" s="504" t="str">
        <f>IF('Pon-Bat'!AQ18="","",+(SUM('Pon-Bat'!$AQ$8:AQ18)/SUM('Pon-Bat'!$AM$8:AM18)))</f>
        <v/>
      </c>
      <c r="BS18" s="499" t="str">
        <f>IF('Pon-Bat'!AR18="","",+'Pon-Bat'!AR18/'Pon-Bat'!AM18)</f>
        <v/>
      </c>
      <c r="BT18" s="496" t="str">
        <f>IF('Pon-Bat'!AR18="","",+(SUM('Pon-Bat'!$AR$8:AR18)/SUM('Pon-Bat'!$AM$8:AM18)))</f>
        <v/>
      </c>
      <c r="BU18" s="501" t="str">
        <f>IF('Pon-Bat'!AT18="","",+'Pon-Bat'!AT18/'Pon-Bat'!AS18)</f>
        <v/>
      </c>
      <c r="BV18" s="504" t="str">
        <f>IF('Pon-Bat'!AT18="","",+(SUM('Pon-Bat'!$AT$8:AT18)/SUM('Pon-Bat'!$AS$8:AS18)))</f>
        <v/>
      </c>
      <c r="BW18" s="499" t="str">
        <f>IF('Pon-Bat'!AU18="","",+'Pon-Bat'!AU18/'Pon-Bat'!AS18)</f>
        <v/>
      </c>
      <c r="BX18" s="504" t="str">
        <f>IF('Pon-Bat'!AU18="","",+(SUM('Pon-Bat'!$AU$8:AU18)/SUM('Pon-Bat'!$AS$8:AS18)))</f>
        <v/>
      </c>
      <c r="BY18" s="499" t="str">
        <f>IF('Pon-Bat'!AV18="","",+'Pon-Bat'!AV18/'Pon-Bat'!AS18)</f>
        <v/>
      </c>
      <c r="BZ18" s="504" t="str">
        <f>IF('Pon-Bat'!AV18="","",+(SUM('Pon-Bat'!$AV$8:AV18)/SUM('Pon-Bat'!$AS$8:AS18)))</f>
        <v/>
      </c>
      <c r="CA18" s="499" t="str">
        <f>IF('Pon-Bat'!AW18="","",+'Pon-Bat'!AW18/'Pon-Bat'!AS18)</f>
        <v/>
      </c>
      <c r="CB18" s="504" t="str">
        <f>IF('Pon-Bat'!AW18="","",+(SUM('Pon-Bat'!$AW$8:AW18)/SUM('Pon-Bat'!$AS$8:AS18)))</f>
        <v/>
      </c>
      <c r="CC18" s="499" t="str">
        <f>IF('Pon-Bat'!AX18="","",+'Pon-Bat'!AX18/'Pon-Bat'!AS18)</f>
        <v/>
      </c>
      <c r="CD18" s="496" t="str">
        <f>IF('Pon-Bat'!AX18="","",+(SUM('Pon-Bat'!$AX$8:AX18)/SUM('Pon-Bat'!$AS$8:AS18)))</f>
        <v/>
      </c>
      <c r="CE18" s="503" t="str">
        <f>IF('Pon-Bat'!AZ18="","",+'Pon-Bat'!AZ18/'Pon-Bat'!AY18)</f>
        <v/>
      </c>
      <c r="CF18" s="504" t="str">
        <f>IF('Pon-Bat'!AZ18="","",+(SUM('Pon-Bat'!$AZ$8:AZ18)/SUM('Pon-Bat'!$AY$8:AY18)))</f>
        <v/>
      </c>
      <c r="CG18" s="494" t="str">
        <f>IF('Pon-Bat'!BA18="","",+'Pon-Bat'!BA18/'Pon-Bat'!AY18)</f>
        <v/>
      </c>
      <c r="CH18" s="504" t="str">
        <f>IF('Pon-Bat'!BA18="","",+(SUM('Pon-Bat'!$BA$8:BA18)/SUM('Pon-Bat'!$AY$8:AY18)))</f>
        <v/>
      </c>
      <c r="CI18" s="499" t="str">
        <f>IF('Pon-Bat'!BB18="","",+'Pon-Bat'!BB18/'Pon-Bat'!AY18)</f>
        <v/>
      </c>
      <c r="CJ18" s="504" t="str">
        <f>IF('Pon-Bat'!BB18="","",+(SUM('Pon-Bat'!$BB$8:BB18)/SUM('Pon-Bat'!$AY$8:AY18)))</f>
        <v/>
      </c>
      <c r="CK18" s="494" t="str">
        <f>IF('Pon-Bat'!BC18="","",+'Pon-Bat'!BC18/'Pon-Bat'!AY18)</f>
        <v/>
      </c>
      <c r="CL18" s="504" t="str">
        <f>IF('Pon-Bat'!BC18="","",+(SUM('Pon-Bat'!$BC$8:BC18)/SUM('Pon-Bat'!$AY$8:AY18)))</f>
        <v/>
      </c>
      <c r="CM18" s="494" t="str">
        <f>IF('Pon-Bat'!BD18="","",+'Pon-Bat'!BD18/'Pon-Bat'!AY18)</f>
        <v/>
      </c>
      <c r="CN18" s="496" t="str">
        <f>IF('Pon-Bat'!BD18="","",+(SUM('Pon-Bat'!$BD$8:BD18)/SUM('Pon-Bat'!$AY$8:AY18)))</f>
        <v/>
      </c>
    </row>
    <row r="19" spans="1:92" ht="24" customHeight="1" thickBot="1" x14ac:dyDescent="0.25">
      <c r="A19" s="453">
        <f t="shared" si="0"/>
        <v>43488</v>
      </c>
      <c r="B19" s="465">
        <f t="shared" si="1"/>
        <v>34</v>
      </c>
      <c r="C19" s="503" t="str">
        <f>IF('Pon-Bat'!D19="","",+'Pon-Bat'!D19/'Pon-Bat'!C19)</f>
        <v/>
      </c>
      <c r="D19" s="504" t="str">
        <f>IF('Pon-Bat'!D19="","",+(SUM('Pon-Bat'!$D$8:D19)/SUM('Pon-Bat'!$C$8:C19)))</f>
        <v/>
      </c>
      <c r="E19" s="494" t="str">
        <f>IF('Pon-Bat'!E19="","",+'Pon-Bat'!E19/'Pon-Bat'!C19)</f>
        <v/>
      </c>
      <c r="F19" s="504" t="str">
        <f>IF('Pon-Bat'!E19="","",+(SUM('Pon-Bat'!$E$8:E19)/SUM('Pon-Bat'!$C$8:C19)))</f>
        <v/>
      </c>
      <c r="G19" s="494" t="str">
        <f>IF('Pon-Bat'!F19="","",+'Pon-Bat'!F19/'Pon-Bat'!C19)</f>
        <v/>
      </c>
      <c r="H19" s="504" t="str">
        <f>IF('Pon-Bat'!F19="","",+(SUM('Pon-Bat'!$F$8:F19)/SUM('Pon-Bat'!$C$8:C19)))</f>
        <v/>
      </c>
      <c r="I19" s="494" t="str">
        <f>IF('Pon-Bat'!G19="","",+'Pon-Bat'!G19/'Pon-Bat'!C19)</f>
        <v/>
      </c>
      <c r="J19" s="504" t="str">
        <f>IF('Pon-Bat'!G19="","",+(SUM('Pon-Bat'!$G$8:G19)/SUM('Pon-Bat'!$C$8:C19)))</f>
        <v/>
      </c>
      <c r="K19" s="494" t="str">
        <f>IF('Pon-Bat'!H19="","",+'Pon-Bat'!H19/'Pon-Bat'!C19)</f>
        <v/>
      </c>
      <c r="L19" s="496" t="str">
        <f>IF('Pon-Bat'!H19="","",+(SUM('Pon-Bat'!$H$8:H19)/SUM('Pon-Bat'!$C$8:C19)))</f>
        <v/>
      </c>
      <c r="M19" s="503" t="str">
        <f>IF('Pon-Bat'!J19="","",+'Pon-Bat'!J19/'Pon-Bat'!I19)</f>
        <v/>
      </c>
      <c r="N19" s="504" t="str">
        <f>IF('Pon-Bat'!J19="","",+(SUM('Pon-Bat'!$J$8:J19)/SUM('Pon-Bat'!$I$8:I19)))</f>
        <v/>
      </c>
      <c r="O19" s="494" t="str">
        <f>IF('Pon-Bat'!K19="","",+'Pon-Bat'!K19/'Pon-Bat'!I19)</f>
        <v/>
      </c>
      <c r="P19" s="504" t="str">
        <f>IF('Pon-Bat'!K19="","",+(SUM('Pon-Bat'!$K$8:K19)/SUM('Pon-Bat'!$I$8:I19)))</f>
        <v/>
      </c>
      <c r="Q19" s="494" t="str">
        <f>IF('Pon-Bat'!L19="","",+'Pon-Bat'!L19/'Pon-Bat'!I19)</f>
        <v/>
      </c>
      <c r="R19" s="504" t="str">
        <f>IF('Pon-Bat'!L19="","",+(SUM('Pon-Bat'!$L$8:L19)/SUM('Pon-Bat'!$I$8:I19)))</f>
        <v/>
      </c>
      <c r="S19" s="494" t="str">
        <f>IF('Pon-Bat'!M19="","",+'Pon-Bat'!M19/'Pon-Bat'!I19)</f>
        <v/>
      </c>
      <c r="T19" s="504" t="str">
        <f>IF('Pon-Bat'!M19="","",+(SUM('Pon-Bat'!$M$8:M19)/SUM('Pon-Bat'!$I$8:I19)))</f>
        <v/>
      </c>
      <c r="U19" s="494" t="str">
        <f>IF('Pon-Bat'!N19="","",+'Pon-Bat'!N19/'Pon-Bat'!I19)</f>
        <v/>
      </c>
      <c r="V19" s="496" t="str">
        <f>IF('Pon-Bat'!N19="","",+(SUM('Pon-Bat'!$N$8:N19)/SUM('Pon-Bat'!$I$8:I19)))</f>
        <v/>
      </c>
      <c r="W19" s="503" t="str">
        <f>IF('Pon-Bat'!P19="","",+'Pon-Bat'!P19/'Pon-Bat'!O19)</f>
        <v/>
      </c>
      <c r="X19" s="504" t="str">
        <f>IF('Pon-Bat'!P19="","",+(SUM('Pon-Bat'!$P$8:P19)/SUM('Pon-Bat'!$O$8:O19)))</f>
        <v/>
      </c>
      <c r="Y19" s="494" t="str">
        <f>IF('Pon-Bat'!Q19="","",+'Pon-Bat'!Q19/'Pon-Bat'!O19)</f>
        <v/>
      </c>
      <c r="Z19" s="504" t="str">
        <f>IF('Pon-Bat'!Q19="","",+(SUM('Pon-Bat'!$Q$8:Q19)/SUM('Pon-Bat'!$O$8:O19)))</f>
        <v/>
      </c>
      <c r="AA19" s="494" t="str">
        <f>IF('Pon-Bat'!R19="","",+'Pon-Bat'!R19/'Pon-Bat'!O19)</f>
        <v/>
      </c>
      <c r="AB19" s="504" t="str">
        <f>IF('Pon-Bat'!R19="","",+(SUM('Pon-Bat'!$R$8:R19)/SUM('Pon-Bat'!$O$8:O19)))</f>
        <v/>
      </c>
      <c r="AC19" s="494" t="str">
        <f>IF('Pon-Bat'!S19="","",+'Pon-Bat'!S19/'Pon-Bat'!O19)</f>
        <v/>
      </c>
      <c r="AD19" s="504" t="str">
        <f>IF('Pon-Bat'!S19="","",+(SUM('Pon-Bat'!$S$8:S19)/SUM('Pon-Bat'!$O$8:O19)))</f>
        <v/>
      </c>
      <c r="AE19" s="494" t="str">
        <f>IF('Pon-Bat'!T19="","",+'Pon-Bat'!T19/'Pon-Bat'!O19)</f>
        <v/>
      </c>
      <c r="AF19" s="496" t="str">
        <f>IF('Pon-Bat'!T19="","",+(SUM('Pon-Bat'!$T$8:T19)/SUM('Pon-Bat'!$O$8:O19)))</f>
        <v/>
      </c>
      <c r="AG19" s="503" t="str">
        <f>IF('Pon-Bat'!V19="","",+'Pon-Bat'!V19/'Pon-Bat'!U19)</f>
        <v/>
      </c>
      <c r="AH19" s="504" t="str">
        <f>IF('Pon-Bat'!V19="","",+(SUM('Pon-Bat'!$V$8:V19)/SUM('Pon-Bat'!$U$8:U19)))</f>
        <v/>
      </c>
      <c r="AI19" s="494" t="str">
        <f>IF('Pon-Bat'!W19="","",+'Pon-Bat'!W19/'Pon-Bat'!U19)</f>
        <v/>
      </c>
      <c r="AJ19" s="504" t="str">
        <f>IF('Pon-Bat'!W19="","",+(SUM('Pon-Bat'!$W$8:W19)/SUM('Pon-Bat'!$U$8:U19)))</f>
        <v/>
      </c>
      <c r="AK19" s="494" t="str">
        <f>IF('Pon-Bat'!X19="","",+'Pon-Bat'!X19/'Pon-Bat'!U19)</f>
        <v/>
      </c>
      <c r="AL19" s="504" t="str">
        <f>IF('Pon-Bat'!X19="","",+(SUM('Pon-Bat'!$X$8:X19)/SUM('Pon-Bat'!$U$8:U19)))</f>
        <v/>
      </c>
      <c r="AM19" s="494" t="str">
        <f>IF('Pon-Bat'!Y19="","",+'Pon-Bat'!Y19/'Pon-Bat'!U19)</f>
        <v/>
      </c>
      <c r="AN19" s="504" t="str">
        <f>IF('Pon-Bat'!Y19="","",+(SUM('Pon-Bat'!$Y$8:Y19)/SUM('Pon-Bat'!$U$8:U19)))</f>
        <v/>
      </c>
      <c r="AO19" s="494" t="str">
        <f>IF('Pon-Bat'!Z19="","",+'Pon-Bat'!Z19/'Pon-Bat'!U19)</f>
        <v/>
      </c>
      <c r="AP19" s="496" t="str">
        <f>IF('Pon-Bat'!Z19="","",+(SUM('Pon-Bat'!$Z$8:Z19)/SUM('Pon-Bat'!$U$8:U19)))</f>
        <v/>
      </c>
      <c r="AQ19" s="503" t="str">
        <f>IF('Pon-Bat'!AB19="","",+'Pon-Bat'!AB19/'Pon-Bat'!AA19)</f>
        <v/>
      </c>
      <c r="AR19" s="504" t="str">
        <f>IF('Pon-Bat'!AB19="","",+(SUM('Pon-Bat'!$AB$8:AB19)/SUM('Pon-Bat'!$AA$8:AA19)))</f>
        <v/>
      </c>
      <c r="AS19" s="494" t="str">
        <f>IF('Pon-Bat'!AC19="","",+'Pon-Bat'!AC19/'Pon-Bat'!AA19)</f>
        <v/>
      </c>
      <c r="AT19" s="504" t="str">
        <f>IF('Pon-Bat'!AC19="","",+(SUM('Pon-Bat'!$AC$8:AC19)/SUM('Pon-Bat'!$AA$8:AA19)))</f>
        <v/>
      </c>
      <c r="AU19" s="494" t="str">
        <f>IF('Pon-Bat'!AD19="","",+'Pon-Bat'!AD19/'Pon-Bat'!AA19)</f>
        <v/>
      </c>
      <c r="AV19" s="504" t="str">
        <f>IF('Pon-Bat'!AD19="","",+(SUM('Pon-Bat'!$AD$8:AD19)/SUM('Pon-Bat'!$AA$8:AA19)))</f>
        <v/>
      </c>
      <c r="AW19" s="494" t="str">
        <f>IF('Pon-Bat'!AE19="","",+'Pon-Bat'!AE19/'Pon-Bat'!AA19)</f>
        <v/>
      </c>
      <c r="AX19" s="504" t="str">
        <f>IF('Pon-Bat'!AE19="","",+(SUM('Pon-Bat'!$AE$8:AE19)/SUM('Pon-Bat'!$AA$8:AA19)))</f>
        <v/>
      </c>
      <c r="AY19" s="494" t="str">
        <f>IF('Pon-Bat'!AF19="","",+'Pon-Bat'!AF19/'Pon-Bat'!AA19)</f>
        <v/>
      </c>
      <c r="AZ19" s="496" t="str">
        <f>IF('Pon-Bat'!AF19="","",+(SUM('Pon-Bat'!$AF$8:AF19)/SUM('Pon-Bat'!$AA$8:AA19)))</f>
        <v/>
      </c>
      <c r="BA19" s="503" t="str">
        <f>IF('Pon-Bat'!AH19="","",+'Pon-Bat'!AH19/'Pon-Bat'!AG19)</f>
        <v/>
      </c>
      <c r="BB19" s="504" t="str">
        <f>IF('Pon-Bat'!AH19="","",+(SUM('Pon-Bat'!$AH$8:AH19)/SUM('Pon-Bat'!$AG$8:AG19)))</f>
        <v/>
      </c>
      <c r="BC19" s="494" t="str">
        <f>IF('Pon-Bat'!AI19="","",+'Pon-Bat'!AI19/'Pon-Bat'!AG19)</f>
        <v/>
      </c>
      <c r="BD19" s="504" t="str">
        <f>IF('Pon-Bat'!AI19="","",+(SUM('Pon-Bat'!$AI$8:AI19)/SUM('Pon-Bat'!$AG$8:AG19)))</f>
        <v/>
      </c>
      <c r="BE19" s="494" t="str">
        <f>IF('Pon-Bat'!AJ19="","",+'Pon-Bat'!AJ19/'Pon-Bat'!AG19)</f>
        <v/>
      </c>
      <c r="BF19" s="504" t="str">
        <f>IF('Pon-Bat'!AJ19="","",+(SUM('Pon-Bat'!$AJ$8:AJ19)/SUM('Pon-Bat'!$AG$8:AG19)))</f>
        <v/>
      </c>
      <c r="BG19" s="494" t="str">
        <f>IF('Pon-Bat'!AK19="","",+'Pon-Bat'!AK19/'Pon-Bat'!AG19)</f>
        <v/>
      </c>
      <c r="BH19" s="504" t="str">
        <f>IF('Pon-Bat'!AK19="","",+(SUM('Pon-Bat'!$AK$8:AK19)/SUM('Pon-Bat'!$AG$8:AG19)))</f>
        <v/>
      </c>
      <c r="BI19" s="494" t="str">
        <f>IF('Pon-Bat'!AL19="","",+'Pon-Bat'!AL19/'Pon-Bat'!AG19)</f>
        <v/>
      </c>
      <c r="BJ19" s="496" t="str">
        <f>IF('Pon-Bat'!AL19="","",+(SUM('Pon-Bat'!$AL$8:AL19)/SUM('Pon-Bat'!$AG$8:AG19)))</f>
        <v/>
      </c>
      <c r="BK19" s="501" t="str">
        <f>IF('Pon-Bat'!AN19="","",+'Pon-Bat'!AN19/'Pon-Bat'!AM19)</f>
        <v/>
      </c>
      <c r="BL19" s="504" t="str">
        <f>IF('Pon-Bat'!AN19="","",+(SUM('Pon-Bat'!$AN$8:AN19)/SUM('Pon-Bat'!$AM$8:AM19)))</f>
        <v/>
      </c>
      <c r="BM19" s="499" t="str">
        <f>IF('Pon-Bat'!AO19="","",+'Pon-Bat'!AO19/'Pon-Bat'!AM19)</f>
        <v/>
      </c>
      <c r="BN19" s="504" t="str">
        <f>IF('Pon-Bat'!AO19="","",+(SUM('Pon-Bat'!$AO$8:AO19)/SUM('Pon-Bat'!$AM$8:AM19)))</f>
        <v/>
      </c>
      <c r="BO19" s="499" t="str">
        <f>IF('Pon-Bat'!AP19="","",+'Pon-Bat'!AP19/'Pon-Bat'!AM19)</f>
        <v/>
      </c>
      <c r="BP19" s="504" t="str">
        <f>IF('Pon-Bat'!AP19="","",+(SUM('Pon-Bat'!$AP$8:AP19)/SUM('Pon-Bat'!$AM$8:AM19)))</f>
        <v/>
      </c>
      <c r="BQ19" s="499" t="str">
        <f>IF('Pon-Bat'!AQ19="","",+'Pon-Bat'!AQ19/'Pon-Bat'!AM19)</f>
        <v/>
      </c>
      <c r="BR19" s="504" t="str">
        <f>IF('Pon-Bat'!AQ19="","",+(SUM('Pon-Bat'!$AQ$8:AQ19)/SUM('Pon-Bat'!$AM$8:AM19)))</f>
        <v/>
      </c>
      <c r="BS19" s="499" t="str">
        <f>IF('Pon-Bat'!AR19="","",+'Pon-Bat'!AR19/'Pon-Bat'!AM19)</f>
        <v/>
      </c>
      <c r="BT19" s="496" t="str">
        <f>IF('Pon-Bat'!AR19="","",+(SUM('Pon-Bat'!$AR$8:AR19)/SUM('Pon-Bat'!$AM$8:AM19)))</f>
        <v/>
      </c>
      <c r="BU19" s="501" t="str">
        <f>IF('Pon-Bat'!AT19="","",+'Pon-Bat'!AT19/'Pon-Bat'!AS19)</f>
        <v/>
      </c>
      <c r="BV19" s="504" t="str">
        <f>IF('Pon-Bat'!AT19="","",+(SUM('Pon-Bat'!$AT$8:AT19)/SUM('Pon-Bat'!$AS$8:AS19)))</f>
        <v/>
      </c>
      <c r="BW19" s="499" t="str">
        <f>IF('Pon-Bat'!AU19="","",+'Pon-Bat'!AU19/'Pon-Bat'!AS19)</f>
        <v/>
      </c>
      <c r="BX19" s="504" t="str">
        <f>IF('Pon-Bat'!AU19="","",+(SUM('Pon-Bat'!$AU$8:AU19)/SUM('Pon-Bat'!$AS$8:AS19)))</f>
        <v/>
      </c>
      <c r="BY19" s="499" t="str">
        <f>IF('Pon-Bat'!AV19="","",+'Pon-Bat'!AV19/'Pon-Bat'!AS19)</f>
        <v/>
      </c>
      <c r="BZ19" s="504" t="str">
        <f>IF('Pon-Bat'!AV19="","",+(SUM('Pon-Bat'!$AV$8:AV19)/SUM('Pon-Bat'!$AS$8:AS19)))</f>
        <v/>
      </c>
      <c r="CA19" s="499" t="str">
        <f>IF('Pon-Bat'!AW19="","",+'Pon-Bat'!AW19/'Pon-Bat'!AS19)</f>
        <v/>
      </c>
      <c r="CB19" s="504" t="str">
        <f>IF('Pon-Bat'!AW19="","",+(SUM('Pon-Bat'!$AW$8:AW19)/SUM('Pon-Bat'!$AS$8:AS19)))</f>
        <v/>
      </c>
      <c r="CC19" s="499" t="str">
        <f>IF('Pon-Bat'!AX19="","",+'Pon-Bat'!AX19/'Pon-Bat'!AS19)</f>
        <v/>
      </c>
      <c r="CD19" s="496" t="str">
        <f>IF('Pon-Bat'!AX19="","",+(SUM('Pon-Bat'!$AX$8:AX19)/SUM('Pon-Bat'!$AS$8:AS19)))</f>
        <v/>
      </c>
      <c r="CE19" s="503" t="str">
        <f>IF('Pon-Bat'!AZ19="","",+'Pon-Bat'!AZ19/'Pon-Bat'!AY19)</f>
        <v/>
      </c>
      <c r="CF19" s="504" t="str">
        <f>IF('Pon-Bat'!AZ19="","",+(SUM('Pon-Bat'!$AZ$8:AZ19)/SUM('Pon-Bat'!$AY$8:AY19)))</f>
        <v/>
      </c>
      <c r="CG19" s="494" t="str">
        <f>IF('Pon-Bat'!BA19="","",+'Pon-Bat'!BA19/'Pon-Bat'!AY19)</f>
        <v/>
      </c>
      <c r="CH19" s="504" t="str">
        <f>IF('Pon-Bat'!BA19="","",+(SUM('Pon-Bat'!$BA$8:BA19)/SUM('Pon-Bat'!$AY$8:AY19)))</f>
        <v/>
      </c>
      <c r="CI19" s="499" t="str">
        <f>IF('Pon-Bat'!BB19="","",+'Pon-Bat'!BB19/'Pon-Bat'!AY19)</f>
        <v/>
      </c>
      <c r="CJ19" s="504" t="str">
        <f>IF('Pon-Bat'!BB19="","",+(SUM('Pon-Bat'!$BB$8:BB19)/SUM('Pon-Bat'!$AY$8:AY19)))</f>
        <v/>
      </c>
      <c r="CK19" s="494" t="str">
        <f>IF('Pon-Bat'!BC19="","",+'Pon-Bat'!BC19/'Pon-Bat'!AY19)</f>
        <v/>
      </c>
      <c r="CL19" s="504" t="str">
        <f>IF('Pon-Bat'!BC19="","",+(SUM('Pon-Bat'!$BC$8:BC19)/SUM('Pon-Bat'!$AY$8:AY19)))</f>
        <v/>
      </c>
      <c r="CM19" s="494" t="str">
        <f>IF('Pon-Bat'!BD19="","",+'Pon-Bat'!BD19/'Pon-Bat'!AY19)</f>
        <v/>
      </c>
      <c r="CN19" s="496" t="str">
        <f>IF('Pon-Bat'!BD19="","",+(SUM('Pon-Bat'!$BD$8:BD19)/SUM('Pon-Bat'!$AY$8:AY19)))</f>
        <v/>
      </c>
    </row>
    <row r="20" spans="1:92" ht="24" customHeight="1" thickBot="1" x14ac:dyDescent="0.25">
      <c r="A20" s="453">
        <f t="shared" si="0"/>
        <v>43495</v>
      </c>
      <c r="B20" s="465">
        <f t="shared" si="1"/>
        <v>35</v>
      </c>
      <c r="C20" s="503" t="str">
        <f>IF('Pon-Bat'!D20="","",+'Pon-Bat'!D20/'Pon-Bat'!C20)</f>
        <v/>
      </c>
      <c r="D20" s="504" t="str">
        <f>IF('Pon-Bat'!D20="","",+(SUM('Pon-Bat'!$D$8:D20)/SUM('Pon-Bat'!$C$8:C20)))</f>
        <v/>
      </c>
      <c r="E20" s="494" t="str">
        <f>IF('Pon-Bat'!E20="","",+'Pon-Bat'!E20/'Pon-Bat'!C20)</f>
        <v/>
      </c>
      <c r="F20" s="504" t="str">
        <f>IF('Pon-Bat'!E20="","",+(SUM('Pon-Bat'!$E$8:E20)/SUM('Pon-Bat'!$C$8:C20)))</f>
        <v/>
      </c>
      <c r="G20" s="494" t="str">
        <f>IF('Pon-Bat'!F20="","",+'Pon-Bat'!F20/'Pon-Bat'!C20)</f>
        <v/>
      </c>
      <c r="H20" s="504" t="str">
        <f>IF('Pon-Bat'!F20="","",+(SUM('Pon-Bat'!$F$8:F20)/SUM('Pon-Bat'!$C$8:C20)))</f>
        <v/>
      </c>
      <c r="I20" s="494" t="str">
        <f>IF('Pon-Bat'!G20="","",+'Pon-Bat'!G20/'Pon-Bat'!C20)</f>
        <v/>
      </c>
      <c r="J20" s="504" t="str">
        <f>IF('Pon-Bat'!G20="","",+(SUM('Pon-Bat'!$G$8:G20)/SUM('Pon-Bat'!$C$8:C20)))</f>
        <v/>
      </c>
      <c r="K20" s="494" t="str">
        <f>IF('Pon-Bat'!H20="","",+'Pon-Bat'!H20/'Pon-Bat'!C20)</f>
        <v/>
      </c>
      <c r="L20" s="496" t="str">
        <f>IF('Pon-Bat'!H20="","",+(SUM('Pon-Bat'!$H$8:H20)/SUM('Pon-Bat'!$C$8:C20)))</f>
        <v/>
      </c>
      <c r="M20" s="503" t="str">
        <f>IF('Pon-Bat'!J20="","",+'Pon-Bat'!J20/'Pon-Bat'!I20)</f>
        <v/>
      </c>
      <c r="N20" s="504" t="str">
        <f>IF('Pon-Bat'!J20="","",+(SUM('Pon-Bat'!$J$8:J20)/SUM('Pon-Bat'!$I$8:I20)))</f>
        <v/>
      </c>
      <c r="O20" s="494" t="str">
        <f>IF('Pon-Bat'!K20="","",+'Pon-Bat'!K20/'Pon-Bat'!I20)</f>
        <v/>
      </c>
      <c r="P20" s="504" t="str">
        <f>IF('Pon-Bat'!K20="","",+(SUM('Pon-Bat'!$K$8:K20)/SUM('Pon-Bat'!$I$8:I20)))</f>
        <v/>
      </c>
      <c r="Q20" s="494" t="str">
        <f>IF('Pon-Bat'!L20="","",+'Pon-Bat'!L20/'Pon-Bat'!I20)</f>
        <v/>
      </c>
      <c r="R20" s="504" t="str">
        <f>IF('Pon-Bat'!L20="","",+(SUM('Pon-Bat'!$L$8:L20)/SUM('Pon-Bat'!$I$8:I20)))</f>
        <v/>
      </c>
      <c r="S20" s="494" t="str">
        <f>IF('Pon-Bat'!M20="","",+'Pon-Bat'!M20/'Pon-Bat'!I20)</f>
        <v/>
      </c>
      <c r="T20" s="504" t="str">
        <f>IF('Pon-Bat'!M20="","",+(SUM('Pon-Bat'!$M$8:M20)/SUM('Pon-Bat'!$I$8:I20)))</f>
        <v/>
      </c>
      <c r="U20" s="494" t="str">
        <f>IF('Pon-Bat'!N20="","",+'Pon-Bat'!N20/'Pon-Bat'!I20)</f>
        <v/>
      </c>
      <c r="V20" s="496" t="str">
        <f>IF('Pon-Bat'!N20="","",+(SUM('Pon-Bat'!$N$8:N20)/SUM('Pon-Bat'!$I$8:I20)))</f>
        <v/>
      </c>
      <c r="W20" s="503" t="str">
        <f>IF('Pon-Bat'!P20="","",+'Pon-Bat'!P20/'Pon-Bat'!O20)</f>
        <v/>
      </c>
      <c r="X20" s="504" t="str">
        <f>IF('Pon-Bat'!P20="","",+(SUM('Pon-Bat'!$P$8:P20)/SUM('Pon-Bat'!$O$8:O20)))</f>
        <v/>
      </c>
      <c r="Y20" s="494" t="str">
        <f>IF('Pon-Bat'!Q20="","",+'Pon-Bat'!Q20/'Pon-Bat'!O20)</f>
        <v/>
      </c>
      <c r="Z20" s="504" t="str">
        <f>IF('Pon-Bat'!Q20="","",+(SUM('Pon-Bat'!$Q$8:Q20)/SUM('Pon-Bat'!$O$8:O20)))</f>
        <v/>
      </c>
      <c r="AA20" s="494" t="str">
        <f>IF('Pon-Bat'!R20="","",+'Pon-Bat'!R20/'Pon-Bat'!O20)</f>
        <v/>
      </c>
      <c r="AB20" s="504" t="str">
        <f>IF('Pon-Bat'!R20="","",+(SUM('Pon-Bat'!$R$8:R20)/SUM('Pon-Bat'!$O$8:O20)))</f>
        <v/>
      </c>
      <c r="AC20" s="494" t="str">
        <f>IF('Pon-Bat'!S20="","",+'Pon-Bat'!S20/'Pon-Bat'!O20)</f>
        <v/>
      </c>
      <c r="AD20" s="504" t="str">
        <f>IF('Pon-Bat'!S20="","",+(SUM('Pon-Bat'!$S$8:S20)/SUM('Pon-Bat'!$O$8:O20)))</f>
        <v/>
      </c>
      <c r="AE20" s="494" t="str">
        <f>IF('Pon-Bat'!T20="","",+'Pon-Bat'!T20/'Pon-Bat'!O20)</f>
        <v/>
      </c>
      <c r="AF20" s="496" t="str">
        <f>IF('Pon-Bat'!T20="","",+(SUM('Pon-Bat'!$T$8:T20)/SUM('Pon-Bat'!$O$8:O20)))</f>
        <v/>
      </c>
      <c r="AG20" s="503" t="str">
        <f>IF('Pon-Bat'!V20="","",+'Pon-Bat'!V20/'Pon-Bat'!U20)</f>
        <v/>
      </c>
      <c r="AH20" s="504" t="str">
        <f>IF('Pon-Bat'!V20="","",+(SUM('Pon-Bat'!$V$8:V20)/SUM('Pon-Bat'!$U$8:U20)))</f>
        <v/>
      </c>
      <c r="AI20" s="494" t="str">
        <f>IF('Pon-Bat'!W20="","",+'Pon-Bat'!W20/'Pon-Bat'!U20)</f>
        <v/>
      </c>
      <c r="AJ20" s="504" t="str">
        <f>IF('Pon-Bat'!W20="","",+(SUM('Pon-Bat'!$W$8:W20)/SUM('Pon-Bat'!$U$8:U20)))</f>
        <v/>
      </c>
      <c r="AK20" s="494" t="str">
        <f>IF('Pon-Bat'!X20="","",+'Pon-Bat'!X20/'Pon-Bat'!U20)</f>
        <v/>
      </c>
      <c r="AL20" s="504" t="str">
        <f>IF('Pon-Bat'!X20="","",+(SUM('Pon-Bat'!$X$8:X20)/SUM('Pon-Bat'!$U$8:U20)))</f>
        <v/>
      </c>
      <c r="AM20" s="494" t="str">
        <f>IF('Pon-Bat'!Y20="","",+'Pon-Bat'!Y20/'Pon-Bat'!U20)</f>
        <v/>
      </c>
      <c r="AN20" s="504" t="str">
        <f>IF('Pon-Bat'!Y20="","",+(SUM('Pon-Bat'!$Y$8:Y20)/SUM('Pon-Bat'!$U$8:U20)))</f>
        <v/>
      </c>
      <c r="AO20" s="494" t="str">
        <f>IF('Pon-Bat'!Z20="","",+'Pon-Bat'!Z20/'Pon-Bat'!U20)</f>
        <v/>
      </c>
      <c r="AP20" s="496" t="str">
        <f>IF('Pon-Bat'!Z20="","",+(SUM('Pon-Bat'!$Z$8:Z20)/SUM('Pon-Bat'!$U$8:U20)))</f>
        <v/>
      </c>
      <c r="AQ20" s="503" t="str">
        <f>IF('Pon-Bat'!AB20="","",+'Pon-Bat'!AB20/'Pon-Bat'!AA20)</f>
        <v/>
      </c>
      <c r="AR20" s="504" t="str">
        <f>IF('Pon-Bat'!AB20="","",+(SUM('Pon-Bat'!$AB$8:AB20)/SUM('Pon-Bat'!$AA$8:AA20)))</f>
        <v/>
      </c>
      <c r="AS20" s="494" t="str">
        <f>IF('Pon-Bat'!AC20="","",+'Pon-Bat'!AC20/'Pon-Bat'!AA20)</f>
        <v/>
      </c>
      <c r="AT20" s="504" t="str">
        <f>IF('Pon-Bat'!AC20="","",+(SUM('Pon-Bat'!$AC$8:AC20)/SUM('Pon-Bat'!$AA$8:AA20)))</f>
        <v/>
      </c>
      <c r="AU20" s="494" t="str">
        <f>IF('Pon-Bat'!AD20="","",+'Pon-Bat'!AD20/'Pon-Bat'!AA20)</f>
        <v/>
      </c>
      <c r="AV20" s="504" t="str">
        <f>IF('Pon-Bat'!AD20="","",+(SUM('Pon-Bat'!$AD$8:AD20)/SUM('Pon-Bat'!$AA$8:AA20)))</f>
        <v/>
      </c>
      <c r="AW20" s="494" t="str">
        <f>IF('Pon-Bat'!AE20="","",+'Pon-Bat'!AE20/'Pon-Bat'!AA20)</f>
        <v/>
      </c>
      <c r="AX20" s="504" t="str">
        <f>IF('Pon-Bat'!AE20="","",+(SUM('Pon-Bat'!$AE$8:AE20)/SUM('Pon-Bat'!$AA$8:AA20)))</f>
        <v/>
      </c>
      <c r="AY20" s="494" t="str">
        <f>IF('Pon-Bat'!AF20="","",+'Pon-Bat'!AF20/'Pon-Bat'!AA20)</f>
        <v/>
      </c>
      <c r="AZ20" s="496" t="str">
        <f>IF('Pon-Bat'!AF20="","",+(SUM('Pon-Bat'!$AF$8:AF20)/SUM('Pon-Bat'!$AA$8:AA20)))</f>
        <v/>
      </c>
      <c r="BA20" s="503" t="str">
        <f>IF('Pon-Bat'!AH20="","",+'Pon-Bat'!AH20/'Pon-Bat'!AG20)</f>
        <v/>
      </c>
      <c r="BB20" s="504" t="str">
        <f>IF('Pon-Bat'!AH20="","",+(SUM('Pon-Bat'!$AH$8:AH20)/SUM('Pon-Bat'!$AG$8:AG20)))</f>
        <v/>
      </c>
      <c r="BC20" s="494" t="str">
        <f>IF('Pon-Bat'!AI20="","",+'Pon-Bat'!AI20/'Pon-Bat'!AG20)</f>
        <v/>
      </c>
      <c r="BD20" s="504" t="str">
        <f>IF('Pon-Bat'!AI20="","",+(SUM('Pon-Bat'!$AI$8:AI20)/SUM('Pon-Bat'!$AG$8:AG20)))</f>
        <v/>
      </c>
      <c r="BE20" s="494" t="str">
        <f>IF('Pon-Bat'!AJ20="","",+'Pon-Bat'!AJ20/'Pon-Bat'!AG20)</f>
        <v/>
      </c>
      <c r="BF20" s="504" t="str">
        <f>IF('Pon-Bat'!AJ20="","",+(SUM('Pon-Bat'!$AJ$8:AJ20)/SUM('Pon-Bat'!$AG$8:AG20)))</f>
        <v/>
      </c>
      <c r="BG20" s="494" t="str">
        <f>IF('Pon-Bat'!AK20="","",+'Pon-Bat'!AK20/'Pon-Bat'!AG20)</f>
        <v/>
      </c>
      <c r="BH20" s="504" t="str">
        <f>IF('Pon-Bat'!AK20="","",+(SUM('Pon-Bat'!$AK$8:AK20)/SUM('Pon-Bat'!$AG$8:AG20)))</f>
        <v/>
      </c>
      <c r="BI20" s="494" t="str">
        <f>IF('Pon-Bat'!AL20="","",+'Pon-Bat'!AL20/'Pon-Bat'!AG20)</f>
        <v/>
      </c>
      <c r="BJ20" s="496" t="str">
        <f>IF('Pon-Bat'!AL20="","",+(SUM('Pon-Bat'!$AL$8:AL20)/SUM('Pon-Bat'!$AG$8:AG20)))</f>
        <v/>
      </c>
      <c r="BK20" s="501" t="str">
        <f>IF('Pon-Bat'!AN20="","",+'Pon-Bat'!AN20/'Pon-Bat'!AM20)</f>
        <v/>
      </c>
      <c r="BL20" s="504" t="str">
        <f>IF('Pon-Bat'!AN20="","",+(SUM('Pon-Bat'!$AN$8:AN20)/SUM('Pon-Bat'!$AM$8:AM20)))</f>
        <v/>
      </c>
      <c r="BM20" s="499" t="str">
        <f>IF('Pon-Bat'!AO20="","",+'Pon-Bat'!AO20/'Pon-Bat'!AM20)</f>
        <v/>
      </c>
      <c r="BN20" s="504" t="str">
        <f>IF('Pon-Bat'!AO20="","",+(SUM('Pon-Bat'!$AO$8:AO20)/SUM('Pon-Bat'!$AM$8:AM20)))</f>
        <v/>
      </c>
      <c r="BO20" s="499" t="str">
        <f>IF('Pon-Bat'!AP20="","",+'Pon-Bat'!AP20/'Pon-Bat'!AM20)</f>
        <v/>
      </c>
      <c r="BP20" s="504" t="str">
        <f>IF('Pon-Bat'!AP20="","",+(SUM('Pon-Bat'!$AP$8:AP20)/SUM('Pon-Bat'!$AM$8:AM20)))</f>
        <v/>
      </c>
      <c r="BQ20" s="499" t="str">
        <f>IF('Pon-Bat'!AQ20="","",+'Pon-Bat'!AQ20/'Pon-Bat'!AM20)</f>
        <v/>
      </c>
      <c r="BR20" s="504" t="str">
        <f>IF('Pon-Bat'!AQ20="","",+(SUM('Pon-Bat'!$AQ$8:AQ20)/SUM('Pon-Bat'!$AM$8:AM20)))</f>
        <v/>
      </c>
      <c r="BS20" s="499" t="str">
        <f>IF('Pon-Bat'!AR20="","",+'Pon-Bat'!AR20/'Pon-Bat'!AM20)</f>
        <v/>
      </c>
      <c r="BT20" s="496" t="str">
        <f>IF('Pon-Bat'!AR20="","",+(SUM('Pon-Bat'!$AR$8:AR20)/SUM('Pon-Bat'!$AM$8:AM20)))</f>
        <v/>
      </c>
      <c r="BU20" s="501" t="str">
        <f>IF('Pon-Bat'!AT20="","",+'Pon-Bat'!AT20/'Pon-Bat'!AS20)</f>
        <v/>
      </c>
      <c r="BV20" s="504" t="str">
        <f>IF('Pon-Bat'!AT20="","",+(SUM('Pon-Bat'!$AT$8:AT20)/SUM('Pon-Bat'!$AS$8:AS20)))</f>
        <v/>
      </c>
      <c r="BW20" s="499" t="str">
        <f>IF('Pon-Bat'!AU20="","",+'Pon-Bat'!AU20/'Pon-Bat'!AS20)</f>
        <v/>
      </c>
      <c r="BX20" s="504" t="str">
        <f>IF('Pon-Bat'!AU20="","",+(SUM('Pon-Bat'!$AU$8:AU20)/SUM('Pon-Bat'!$AS$8:AS20)))</f>
        <v/>
      </c>
      <c r="BY20" s="499" t="str">
        <f>IF('Pon-Bat'!AV20="","",+'Pon-Bat'!AV20/'Pon-Bat'!AS20)</f>
        <v/>
      </c>
      <c r="BZ20" s="504" t="str">
        <f>IF('Pon-Bat'!AV20="","",+(SUM('Pon-Bat'!$AV$8:AV20)/SUM('Pon-Bat'!$AS$8:AS20)))</f>
        <v/>
      </c>
      <c r="CA20" s="499" t="str">
        <f>IF('Pon-Bat'!AW20="","",+'Pon-Bat'!AW20/'Pon-Bat'!AS20)</f>
        <v/>
      </c>
      <c r="CB20" s="504" t="str">
        <f>IF('Pon-Bat'!AW20="","",+(SUM('Pon-Bat'!$AW$8:AW20)/SUM('Pon-Bat'!$AS$8:AS20)))</f>
        <v/>
      </c>
      <c r="CC20" s="499" t="str">
        <f>IF('Pon-Bat'!AX20="","",+'Pon-Bat'!AX20/'Pon-Bat'!AS20)</f>
        <v/>
      </c>
      <c r="CD20" s="496" t="str">
        <f>IF('Pon-Bat'!AX20="","",+(SUM('Pon-Bat'!$AX$8:AX20)/SUM('Pon-Bat'!$AS$8:AS20)))</f>
        <v/>
      </c>
      <c r="CE20" s="503" t="str">
        <f>IF('Pon-Bat'!AZ20="","",+'Pon-Bat'!AZ20/'Pon-Bat'!AY20)</f>
        <v/>
      </c>
      <c r="CF20" s="504" t="str">
        <f>IF('Pon-Bat'!AZ20="","",+(SUM('Pon-Bat'!$AZ$8:AZ20)/SUM('Pon-Bat'!$AY$8:AY20)))</f>
        <v/>
      </c>
      <c r="CG20" s="494" t="str">
        <f>IF('Pon-Bat'!BA20="","",+'Pon-Bat'!BA20/'Pon-Bat'!AY20)</f>
        <v/>
      </c>
      <c r="CH20" s="504" t="str">
        <f>IF('Pon-Bat'!BA20="","",+(SUM('Pon-Bat'!$BA$8:BA20)/SUM('Pon-Bat'!$AY$8:AY20)))</f>
        <v/>
      </c>
      <c r="CI20" s="499" t="str">
        <f>IF('Pon-Bat'!BB20="","",+'Pon-Bat'!BB20/'Pon-Bat'!AY20)</f>
        <v/>
      </c>
      <c r="CJ20" s="504" t="str">
        <f>IF('Pon-Bat'!BB20="","",+(SUM('Pon-Bat'!$BB$8:BB20)/SUM('Pon-Bat'!$AY$8:AY20)))</f>
        <v/>
      </c>
      <c r="CK20" s="494" t="str">
        <f>IF('Pon-Bat'!BC20="","",+'Pon-Bat'!BC20/'Pon-Bat'!AY20)</f>
        <v/>
      </c>
      <c r="CL20" s="504" t="str">
        <f>IF('Pon-Bat'!BC20="","",+(SUM('Pon-Bat'!$BC$8:BC20)/SUM('Pon-Bat'!$AY$8:AY20)))</f>
        <v/>
      </c>
      <c r="CM20" s="494" t="str">
        <f>IF('Pon-Bat'!BD20="","",+'Pon-Bat'!BD20/'Pon-Bat'!AY20)</f>
        <v/>
      </c>
      <c r="CN20" s="496" t="str">
        <f>IF('Pon-Bat'!BD20="","",+(SUM('Pon-Bat'!$BD$8:BD20)/SUM('Pon-Bat'!$AY$8:AY20)))</f>
        <v/>
      </c>
    </row>
    <row r="21" spans="1:92" ht="24" customHeight="1" thickBot="1" x14ac:dyDescent="0.25">
      <c r="A21" s="453">
        <f t="shared" si="0"/>
        <v>43502</v>
      </c>
      <c r="B21" s="465">
        <f t="shared" si="1"/>
        <v>36</v>
      </c>
      <c r="C21" s="503" t="str">
        <f>IF('Pon-Bat'!D21="","",+'Pon-Bat'!D21/'Pon-Bat'!C21)</f>
        <v/>
      </c>
      <c r="D21" s="504" t="str">
        <f>IF('Pon-Bat'!D21="","",+(SUM('Pon-Bat'!$D$8:D21)/SUM('Pon-Bat'!$C$8:C21)))</f>
        <v/>
      </c>
      <c r="E21" s="494" t="str">
        <f>IF('Pon-Bat'!E21="","",+'Pon-Bat'!E21/'Pon-Bat'!C21)</f>
        <v/>
      </c>
      <c r="F21" s="504" t="str">
        <f>IF('Pon-Bat'!E21="","",+(SUM('Pon-Bat'!$E$8:E21)/SUM('Pon-Bat'!$C$8:C21)))</f>
        <v/>
      </c>
      <c r="G21" s="494" t="str">
        <f>IF('Pon-Bat'!F21="","",+'Pon-Bat'!F21/'Pon-Bat'!C21)</f>
        <v/>
      </c>
      <c r="H21" s="504" t="str">
        <f>IF('Pon-Bat'!F21="","",+(SUM('Pon-Bat'!$F$8:F21)/SUM('Pon-Bat'!$C$8:C21)))</f>
        <v/>
      </c>
      <c r="I21" s="494" t="str">
        <f>IF('Pon-Bat'!G21="","",+'Pon-Bat'!G21/'Pon-Bat'!C21)</f>
        <v/>
      </c>
      <c r="J21" s="504" t="str">
        <f>IF('Pon-Bat'!G21="","",+(SUM('Pon-Bat'!$G$8:G21)/SUM('Pon-Bat'!$C$8:C21)))</f>
        <v/>
      </c>
      <c r="K21" s="494" t="str">
        <f>IF('Pon-Bat'!H21="","",+'Pon-Bat'!H21/'Pon-Bat'!C21)</f>
        <v/>
      </c>
      <c r="L21" s="496" t="str">
        <f>IF('Pon-Bat'!H21="","",+(SUM('Pon-Bat'!$H$8:H21)/SUM('Pon-Bat'!$C$8:C21)))</f>
        <v/>
      </c>
      <c r="M21" s="503" t="str">
        <f>IF('Pon-Bat'!J21="","",+'Pon-Bat'!J21/'Pon-Bat'!I21)</f>
        <v/>
      </c>
      <c r="N21" s="504" t="str">
        <f>IF('Pon-Bat'!J21="","",+(SUM('Pon-Bat'!$J$8:J21)/SUM('Pon-Bat'!$I$8:I21)))</f>
        <v/>
      </c>
      <c r="O21" s="494" t="str">
        <f>IF('Pon-Bat'!K21="","",+'Pon-Bat'!K21/'Pon-Bat'!I21)</f>
        <v/>
      </c>
      <c r="P21" s="504" t="str">
        <f>IF('Pon-Bat'!K21="","",+(SUM('Pon-Bat'!$K$8:K21)/SUM('Pon-Bat'!$I$8:I21)))</f>
        <v/>
      </c>
      <c r="Q21" s="494" t="str">
        <f>IF('Pon-Bat'!L21="","",+'Pon-Bat'!L21/'Pon-Bat'!I21)</f>
        <v/>
      </c>
      <c r="R21" s="504" t="str">
        <f>IF('Pon-Bat'!L21="","",+(SUM('Pon-Bat'!$L$8:L21)/SUM('Pon-Bat'!$I$8:I21)))</f>
        <v/>
      </c>
      <c r="S21" s="494" t="str">
        <f>IF('Pon-Bat'!M21="","",+'Pon-Bat'!M21/'Pon-Bat'!I21)</f>
        <v/>
      </c>
      <c r="T21" s="504" t="str">
        <f>IF('Pon-Bat'!M21="","",+(SUM('Pon-Bat'!$M$8:M21)/SUM('Pon-Bat'!$I$8:I21)))</f>
        <v/>
      </c>
      <c r="U21" s="494" t="str">
        <f>IF('Pon-Bat'!N21="","",+'Pon-Bat'!N21/'Pon-Bat'!I21)</f>
        <v/>
      </c>
      <c r="V21" s="496" t="str">
        <f>IF('Pon-Bat'!N21="","",+(SUM('Pon-Bat'!$N$8:N21)/SUM('Pon-Bat'!$I$8:I21)))</f>
        <v/>
      </c>
      <c r="W21" s="503" t="str">
        <f>IF('Pon-Bat'!P21="","",+'Pon-Bat'!P21/'Pon-Bat'!O21)</f>
        <v/>
      </c>
      <c r="X21" s="504" t="str">
        <f>IF('Pon-Bat'!P21="","",+(SUM('Pon-Bat'!$P$8:P21)/SUM('Pon-Bat'!$O$8:O21)))</f>
        <v/>
      </c>
      <c r="Y21" s="494" t="str">
        <f>IF('Pon-Bat'!Q21="","",+'Pon-Bat'!Q21/'Pon-Bat'!O21)</f>
        <v/>
      </c>
      <c r="Z21" s="504" t="str">
        <f>IF('Pon-Bat'!Q21="","",+(SUM('Pon-Bat'!$Q$8:Q21)/SUM('Pon-Bat'!$O$8:O21)))</f>
        <v/>
      </c>
      <c r="AA21" s="494" t="str">
        <f>IF('Pon-Bat'!R21="","",+'Pon-Bat'!R21/'Pon-Bat'!O21)</f>
        <v/>
      </c>
      <c r="AB21" s="504" t="str">
        <f>IF('Pon-Bat'!R21="","",+(SUM('Pon-Bat'!$R$8:R21)/SUM('Pon-Bat'!$O$8:O21)))</f>
        <v/>
      </c>
      <c r="AC21" s="494" t="str">
        <f>IF('Pon-Bat'!S21="","",+'Pon-Bat'!S21/'Pon-Bat'!O21)</f>
        <v/>
      </c>
      <c r="AD21" s="504" t="str">
        <f>IF('Pon-Bat'!S21="","",+(SUM('Pon-Bat'!$S$8:S21)/SUM('Pon-Bat'!$O$8:O21)))</f>
        <v/>
      </c>
      <c r="AE21" s="494" t="str">
        <f>IF('Pon-Bat'!T21="","",+'Pon-Bat'!T21/'Pon-Bat'!O21)</f>
        <v/>
      </c>
      <c r="AF21" s="496" t="str">
        <f>IF('Pon-Bat'!T21="","",+(SUM('Pon-Bat'!$T$8:T21)/SUM('Pon-Bat'!$O$8:O21)))</f>
        <v/>
      </c>
      <c r="AG21" s="503" t="str">
        <f>IF('Pon-Bat'!V21="","",+'Pon-Bat'!V21/'Pon-Bat'!U21)</f>
        <v/>
      </c>
      <c r="AH21" s="504" t="str">
        <f>IF('Pon-Bat'!V21="","",+(SUM('Pon-Bat'!$V$8:V21)/SUM('Pon-Bat'!$U$8:U21)))</f>
        <v/>
      </c>
      <c r="AI21" s="494" t="str">
        <f>IF('Pon-Bat'!W21="","",+'Pon-Bat'!W21/'Pon-Bat'!U21)</f>
        <v/>
      </c>
      <c r="AJ21" s="504" t="str">
        <f>IF('Pon-Bat'!W21="","",+(SUM('Pon-Bat'!$W$8:W21)/SUM('Pon-Bat'!$U$8:U21)))</f>
        <v/>
      </c>
      <c r="AK21" s="494" t="str">
        <f>IF('Pon-Bat'!X21="","",+'Pon-Bat'!X21/'Pon-Bat'!U21)</f>
        <v/>
      </c>
      <c r="AL21" s="504" t="str">
        <f>IF('Pon-Bat'!X21="","",+(SUM('Pon-Bat'!$X$8:X21)/SUM('Pon-Bat'!$U$8:U21)))</f>
        <v/>
      </c>
      <c r="AM21" s="494" t="str">
        <f>IF('Pon-Bat'!Y21="","",+'Pon-Bat'!Y21/'Pon-Bat'!U21)</f>
        <v/>
      </c>
      <c r="AN21" s="504" t="str">
        <f>IF('Pon-Bat'!Y21="","",+(SUM('Pon-Bat'!$Y$8:Y21)/SUM('Pon-Bat'!$U$8:U21)))</f>
        <v/>
      </c>
      <c r="AO21" s="494" t="str">
        <f>IF('Pon-Bat'!Z21="","",+'Pon-Bat'!Z21/'Pon-Bat'!U21)</f>
        <v/>
      </c>
      <c r="AP21" s="496" t="str">
        <f>IF('Pon-Bat'!Z21="","",+(SUM('Pon-Bat'!$Z$8:Z21)/SUM('Pon-Bat'!$U$8:U21)))</f>
        <v/>
      </c>
      <c r="AQ21" s="503" t="str">
        <f>IF('Pon-Bat'!AB21="","",+'Pon-Bat'!AB21/'Pon-Bat'!AA21)</f>
        <v/>
      </c>
      <c r="AR21" s="504" t="str">
        <f>IF('Pon-Bat'!AB21="","",+(SUM('Pon-Bat'!$AB$8:AB21)/SUM('Pon-Bat'!$AA$8:AA21)))</f>
        <v/>
      </c>
      <c r="AS21" s="494" t="str">
        <f>IF('Pon-Bat'!AC21="","",+'Pon-Bat'!AC21/'Pon-Bat'!AA21)</f>
        <v/>
      </c>
      <c r="AT21" s="504" t="str">
        <f>IF('Pon-Bat'!AC21="","",+(SUM('Pon-Bat'!$AC$8:AC21)/SUM('Pon-Bat'!$AA$8:AA21)))</f>
        <v/>
      </c>
      <c r="AU21" s="494" t="str">
        <f>IF('Pon-Bat'!AD21="","",+'Pon-Bat'!AD21/'Pon-Bat'!AA21)</f>
        <v/>
      </c>
      <c r="AV21" s="504" t="str">
        <f>IF('Pon-Bat'!AD21="","",+(SUM('Pon-Bat'!$AD$8:AD21)/SUM('Pon-Bat'!$AA$8:AA21)))</f>
        <v/>
      </c>
      <c r="AW21" s="494" t="str">
        <f>IF('Pon-Bat'!AE21="","",+'Pon-Bat'!AE21/'Pon-Bat'!AA21)</f>
        <v/>
      </c>
      <c r="AX21" s="504" t="str">
        <f>IF('Pon-Bat'!AE21="","",+(SUM('Pon-Bat'!$AE$8:AE21)/SUM('Pon-Bat'!$AA$8:AA21)))</f>
        <v/>
      </c>
      <c r="AY21" s="494" t="str">
        <f>IF('Pon-Bat'!AF21="","",+'Pon-Bat'!AF21/'Pon-Bat'!AA21)</f>
        <v/>
      </c>
      <c r="AZ21" s="496" t="str">
        <f>IF('Pon-Bat'!AF21="","",+(SUM('Pon-Bat'!$AF$8:AF21)/SUM('Pon-Bat'!$AA$8:AA21)))</f>
        <v/>
      </c>
      <c r="BA21" s="503" t="str">
        <f>IF('Pon-Bat'!AH21="","",+'Pon-Bat'!AH21/'Pon-Bat'!AG21)</f>
        <v/>
      </c>
      <c r="BB21" s="504" t="str">
        <f>IF('Pon-Bat'!AH21="","",+(SUM('Pon-Bat'!$AH$8:AH21)/SUM('Pon-Bat'!$AG$8:AG21)))</f>
        <v/>
      </c>
      <c r="BC21" s="494" t="str">
        <f>IF('Pon-Bat'!AI21="","",+'Pon-Bat'!AI21/'Pon-Bat'!AG21)</f>
        <v/>
      </c>
      <c r="BD21" s="504" t="str">
        <f>IF('Pon-Bat'!AI21="","",+(SUM('Pon-Bat'!$AI$8:AI21)/SUM('Pon-Bat'!$AG$8:AG21)))</f>
        <v/>
      </c>
      <c r="BE21" s="494" t="str">
        <f>IF('Pon-Bat'!AJ21="","",+'Pon-Bat'!AJ21/'Pon-Bat'!AG21)</f>
        <v/>
      </c>
      <c r="BF21" s="504" t="str">
        <f>IF('Pon-Bat'!AJ21="","",+(SUM('Pon-Bat'!$AJ$8:AJ21)/SUM('Pon-Bat'!$AG$8:AG21)))</f>
        <v/>
      </c>
      <c r="BG21" s="494" t="str">
        <f>IF('Pon-Bat'!AK21="","",+'Pon-Bat'!AK21/'Pon-Bat'!AG21)</f>
        <v/>
      </c>
      <c r="BH21" s="504" t="str">
        <f>IF('Pon-Bat'!AK21="","",+(SUM('Pon-Bat'!$AK$8:AK21)/SUM('Pon-Bat'!$AG$8:AG21)))</f>
        <v/>
      </c>
      <c r="BI21" s="494" t="str">
        <f>IF('Pon-Bat'!AL21="","",+'Pon-Bat'!AL21/'Pon-Bat'!AG21)</f>
        <v/>
      </c>
      <c r="BJ21" s="496" t="str">
        <f>IF('Pon-Bat'!AL21="","",+(SUM('Pon-Bat'!$AL$8:AL21)/SUM('Pon-Bat'!$AG$8:AG21)))</f>
        <v/>
      </c>
      <c r="BK21" s="501" t="str">
        <f>IF('Pon-Bat'!AN21="","",+'Pon-Bat'!AN21/'Pon-Bat'!AM21)</f>
        <v/>
      </c>
      <c r="BL21" s="504" t="str">
        <f>IF('Pon-Bat'!AN21="","",+(SUM('Pon-Bat'!$AN$8:AN21)/SUM('Pon-Bat'!$AM$8:AM21)))</f>
        <v/>
      </c>
      <c r="BM21" s="499" t="str">
        <f>IF('Pon-Bat'!AO21="","",+'Pon-Bat'!AO21/'Pon-Bat'!AM21)</f>
        <v/>
      </c>
      <c r="BN21" s="504" t="str">
        <f>IF('Pon-Bat'!AO21="","",+(SUM('Pon-Bat'!$AO$8:AO21)/SUM('Pon-Bat'!$AM$8:AM21)))</f>
        <v/>
      </c>
      <c r="BO21" s="499" t="str">
        <f>IF('Pon-Bat'!AP21="","",+'Pon-Bat'!AP21/'Pon-Bat'!AM21)</f>
        <v/>
      </c>
      <c r="BP21" s="504" t="str">
        <f>IF('Pon-Bat'!AP21="","",+(SUM('Pon-Bat'!$AP$8:AP21)/SUM('Pon-Bat'!$AM$8:AM21)))</f>
        <v/>
      </c>
      <c r="BQ21" s="499" t="str">
        <f>IF('Pon-Bat'!AQ21="","",+'Pon-Bat'!AQ21/'Pon-Bat'!AM21)</f>
        <v/>
      </c>
      <c r="BR21" s="504" t="str">
        <f>IF('Pon-Bat'!AQ21="","",+(SUM('Pon-Bat'!$AQ$8:AQ21)/SUM('Pon-Bat'!$AM$8:AM21)))</f>
        <v/>
      </c>
      <c r="BS21" s="499" t="str">
        <f>IF('Pon-Bat'!AR21="","",+'Pon-Bat'!AR21/'Pon-Bat'!AM21)</f>
        <v/>
      </c>
      <c r="BT21" s="496" t="str">
        <f>IF('Pon-Bat'!AR21="","",+(SUM('Pon-Bat'!$AR$8:AR21)/SUM('Pon-Bat'!$AM$8:AM21)))</f>
        <v/>
      </c>
      <c r="BU21" s="501" t="str">
        <f>IF('Pon-Bat'!AT21="","",+'Pon-Bat'!AT21/'Pon-Bat'!AS21)</f>
        <v/>
      </c>
      <c r="BV21" s="504" t="str">
        <f>IF('Pon-Bat'!AT21="","",+(SUM('Pon-Bat'!$AT$8:AT21)/SUM('Pon-Bat'!$AS$8:AS21)))</f>
        <v/>
      </c>
      <c r="BW21" s="499" t="str">
        <f>IF('Pon-Bat'!AU21="","",+'Pon-Bat'!AU21/'Pon-Bat'!AS21)</f>
        <v/>
      </c>
      <c r="BX21" s="504" t="str">
        <f>IF('Pon-Bat'!AU21="","",+(SUM('Pon-Bat'!$AU$8:AU21)/SUM('Pon-Bat'!$AS$8:AS21)))</f>
        <v/>
      </c>
      <c r="BY21" s="499" t="str">
        <f>IF('Pon-Bat'!AV21="","",+'Pon-Bat'!AV21/'Pon-Bat'!AS21)</f>
        <v/>
      </c>
      <c r="BZ21" s="504" t="str">
        <f>IF('Pon-Bat'!AV21="","",+(SUM('Pon-Bat'!$AV$8:AV21)/SUM('Pon-Bat'!$AS$8:AS21)))</f>
        <v/>
      </c>
      <c r="CA21" s="499" t="str">
        <f>IF('Pon-Bat'!AW21="","",+'Pon-Bat'!AW21/'Pon-Bat'!AS21)</f>
        <v/>
      </c>
      <c r="CB21" s="504" t="str">
        <f>IF('Pon-Bat'!AW21="","",+(SUM('Pon-Bat'!$AW$8:AW21)/SUM('Pon-Bat'!$AS$8:AS21)))</f>
        <v/>
      </c>
      <c r="CC21" s="499" t="str">
        <f>IF('Pon-Bat'!AX21="","",+'Pon-Bat'!AX21/'Pon-Bat'!AS21)</f>
        <v/>
      </c>
      <c r="CD21" s="496" t="str">
        <f>IF('Pon-Bat'!AX21="","",+(SUM('Pon-Bat'!$AX$8:AX21)/SUM('Pon-Bat'!$AS$8:AS21)))</f>
        <v/>
      </c>
      <c r="CE21" s="503" t="str">
        <f>IF('Pon-Bat'!AZ21="","",+'Pon-Bat'!AZ21/'Pon-Bat'!AY21)</f>
        <v/>
      </c>
      <c r="CF21" s="504" t="str">
        <f>IF('Pon-Bat'!AZ21="","",+(SUM('Pon-Bat'!$AZ$8:AZ21)/SUM('Pon-Bat'!$AY$8:AY21)))</f>
        <v/>
      </c>
      <c r="CG21" s="494" t="str">
        <f>IF('Pon-Bat'!BA21="","",+'Pon-Bat'!BA21/'Pon-Bat'!AY21)</f>
        <v/>
      </c>
      <c r="CH21" s="504" t="str">
        <f>IF('Pon-Bat'!BA21="","",+(SUM('Pon-Bat'!$BA$8:BA21)/SUM('Pon-Bat'!$AY$8:AY21)))</f>
        <v/>
      </c>
      <c r="CI21" s="499" t="str">
        <f>IF('Pon-Bat'!BB21="","",+'Pon-Bat'!BB21/'Pon-Bat'!AY21)</f>
        <v/>
      </c>
      <c r="CJ21" s="504" t="str">
        <f>IF('Pon-Bat'!BB21="","",+(SUM('Pon-Bat'!$BB$8:BB21)/SUM('Pon-Bat'!$AY$8:AY21)))</f>
        <v/>
      </c>
      <c r="CK21" s="494" t="str">
        <f>IF('Pon-Bat'!BC21="","",+'Pon-Bat'!BC21/'Pon-Bat'!AY21)</f>
        <v/>
      </c>
      <c r="CL21" s="504" t="str">
        <f>IF('Pon-Bat'!BC21="","",+(SUM('Pon-Bat'!$BC$8:BC21)/SUM('Pon-Bat'!$AY$8:AY21)))</f>
        <v/>
      </c>
      <c r="CM21" s="494" t="str">
        <f>IF('Pon-Bat'!BD21="","",+'Pon-Bat'!BD21/'Pon-Bat'!AY21)</f>
        <v/>
      </c>
      <c r="CN21" s="496" t="str">
        <f>IF('Pon-Bat'!BD21="","",+(SUM('Pon-Bat'!$BD$8:BD21)/SUM('Pon-Bat'!$AY$8:AY21)))</f>
        <v/>
      </c>
    </row>
    <row r="22" spans="1:92" ht="24" customHeight="1" thickBot="1" x14ac:dyDescent="0.25">
      <c r="A22" s="453">
        <f t="shared" si="0"/>
        <v>43509</v>
      </c>
      <c r="B22" s="465">
        <f t="shared" si="1"/>
        <v>37</v>
      </c>
      <c r="C22" s="503" t="str">
        <f>IF('Pon-Bat'!D22="","",+'Pon-Bat'!D22/'Pon-Bat'!C22)</f>
        <v/>
      </c>
      <c r="D22" s="504" t="str">
        <f>IF('Pon-Bat'!D22="","",+(SUM('Pon-Bat'!$D$8:D22)/SUM('Pon-Bat'!$C$8:C22)))</f>
        <v/>
      </c>
      <c r="E22" s="494" t="str">
        <f>IF('Pon-Bat'!E22="","",+'Pon-Bat'!E22/'Pon-Bat'!C22)</f>
        <v/>
      </c>
      <c r="F22" s="504" t="str">
        <f>IF('Pon-Bat'!E22="","",+(SUM('Pon-Bat'!$E$8:E22)/SUM('Pon-Bat'!$C$8:C22)))</f>
        <v/>
      </c>
      <c r="G22" s="494" t="str">
        <f>IF('Pon-Bat'!F22="","",+'Pon-Bat'!F22/'Pon-Bat'!C22)</f>
        <v/>
      </c>
      <c r="H22" s="504" t="str">
        <f>IF('Pon-Bat'!F22="","",+(SUM('Pon-Bat'!$F$8:F22)/SUM('Pon-Bat'!$C$8:C22)))</f>
        <v/>
      </c>
      <c r="I22" s="494" t="str">
        <f>IF('Pon-Bat'!G22="","",+'Pon-Bat'!G22/'Pon-Bat'!C22)</f>
        <v/>
      </c>
      <c r="J22" s="504" t="str">
        <f>IF('Pon-Bat'!G22="","",+(SUM('Pon-Bat'!$G$8:G22)/SUM('Pon-Bat'!$C$8:C22)))</f>
        <v/>
      </c>
      <c r="K22" s="494" t="str">
        <f>IF('Pon-Bat'!H22="","",+'Pon-Bat'!H22/'Pon-Bat'!C22)</f>
        <v/>
      </c>
      <c r="L22" s="496" t="str">
        <f>IF('Pon-Bat'!H22="","",+(SUM('Pon-Bat'!$H$8:H22)/SUM('Pon-Bat'!$C$8:C22)))</f>
        <v/>
      </c>
      <c r="M22" s="503" t="str">
        <f>IF('Pon-Bat'!J22="","",+'Pon-Bat'!J22/'Pon-Bat'!I22)</f>
        <v/>
      </c>
      <c r="N22" s="504" t="str">
        <f>IF('Pon-Bat'!J22="","",+(SUM('Pon-Bat'!$J$8:J22)/SUM('Pon-Bat'!$I$8:I22)))</f>
        <v/>
      </c>
      <c r="O22" s="494" t="str">
        <f>IF('Pon-Bat'!K22="","",+'Pon-Bat'!K22/'Pon-Bat'!I22)</f>
        <v/>
      </c>
      <c r="P22" s="504" t="str">
        <f>IF('Pon-Bat'!K22="","",+(SUM('Pon-Bat'!$K$8:K22)/SUM('Pon-Bat'!$I$8:I22)))</f>
        <v/>
      </c>
      <c r="Q22" s="494" t="str">
        <f>IF('Pon-Bat'!L22="","",+'Pon-Bat'!L22/'Pon-Bat'!I22)</f>
        <v/>
      </c>
      <c r="R22" s="504" t="str">
        <f>IF('Pon-Bat'!L22="","",+(SUM('Pon-Bat'!$L$8:L22)/SUM('Pon-Bat'!$I$8:I22)))</f>
        <v/>
      </c>
      <c r="S22" s="494" t="str">
        <f>IF('Pon-Bat'!M22="","",+'Pon-Bat'!M22/'Pon-Bat'!I22)</f>
        <v/>
      </c>
      <c r="T22" s="504" t="str">
        <f>IF('Pon-Bat'!M22="","",+(SUM('Pon-Bat'!$M$8:M22)/SUM('Pon-Bat'!$I$8:I22)))</f>
        <v/>
      </c>
      <c r="U22" s="494" t="str">
        <f>IF('Pon-Bat'!N22="","",+'Pon-Bat'!N22/'Pon-Bat'!I22)</f>
        <v/>
      </c>
      <c r="V22" s="496" t="str">
        <f>IF('Pon-Bat'!N22="","",+(SUM('Pon-Bat'!$N$8:N22)/SUM('Pon-Bat'!$I$8:I22)))</f>
        <v/>
      </c>
      <c r="W22" s="503" t="str">
        <f>IF('Pon-Bat'!P22="","",+'Pon-Bat'!P22/'Pon-Bat'!O22)</f>
        <v/>
      </c>
      <c r="X22" s="504" t="str">
        <f>IF('Pon-Bat'!P22="","",+(SUM('Pon-Bat'!$P$8:P22)/SUM('Pon-Bat'!$O$8:O22)))</f>
        <v/>
      </c>
      <c r="Y22" s="494" t="str">
        <f>IF('Pon-Bat'!Q22="","",+'Pon-Bat'!Q22/'Pon-Bat'!O22)</f>
        <v/>
      </c>
      <c r="Z22" s="504" t="str">
        <f>IF('Pon-Bat'!Q22="","",+(SUM('Pon-Bat'!$Q$8:Q22)/SUM('Pon-Bat'!$O$8:O22)))</f>
        <v/>
      </c>
      <c r="AA22" s="494" t="str">
        <f>IF('Pon-Bat'!R22="","",+'Pon-Bat'!R22/'Pon-Bat'!O22)</f>
        <v/>
      </c>
      <c r="AB22" s="504" t="str">
        <f>IF('Pon-Bat'!R22="","",+(SUM('Pon-Bat'!$R$8:R22)/SUM('Pon-Bat'!$O$8:O22)))</f>
        <v/>
      </c>
      <c r="AC22" s="494" t="str">
        <f>IF('Pon-Bat'!S22="","",+'Pon-Bat'!S22/'Pon-Bat'!O22)</f>
        <v/>
      </c>
      <c r="AD22" s="504" t="str">
        <f>IF('Pon-Bat'!S22="","",+(SUM('Pon-Bat'!$S$8:S22)/SUM('Pon-Bat'!$O$8:O22)))</f>
        <v/>
      </c>
      <c r="AE22" s="494" t="str">
        <f>IF('Pon-Bat'!T22="","",+'Pon-Bat'!T22/'Pon-Bat'!O22)</f>
        <v/>
      </c>
      <c r="AF22" s="496" t="str">
        <f>IF('Pon-Bat'!T22="","",+(SUM('Pon-Bat'!$T$8:T22)/SUM('Pon-Bat'!$O$8:O22)))</f>
        <v/>
      </c>
      <c r="AG22" s="503" t="str">
        <f>IF('Pon-Bat'!V22="","",+'Pon-Bat'!V22/'Pon-Bat'!U22)</f>
        <v/>
      </c>
      <c r="AH22" s="504" t="str">
        <f>IF('Pon-Bat'!V22="","",+(SUM('Pon-Bat'!$V$8:V22)/SUM('Pon-Bat'!$U$8:U22)))</f>
        <v/>
      </c>
      <c r="AI22" s="494" t="str">
        <f>IF('Pon-Bat'!W22="","",+'Pon-Bat'!W22/'Pon-Bat'!U22)</f>
        <v/>
      </c>
      <c r="AJ22" s="504" t="str">
        <f>IF('Pon-Bat'!W22="","",+(SUM('Pon-Bat'!$W$8:W22)/SUM('Pon-Bat'!$U$8:U22)))</f>
        <v/>
      </c>
      <c r="AK22" s="494" t="str">
        <f>IF('Pon-Bat'!X22="","",+'Pon-Bat'!X22/'Pon-Bat'!U22)</f>
        <v/>
      </c>
      <c r="AL22" s="504" t="str">
        <f>IF('Pon-Bat'!X22="","",+(SUM('Pon-Bat'!$X$8:X22)/SUM('Pon-Bat'!$U$8:U22)))</f>
        <v/>
      </c>
      <c r="AM22" s="494" t="str">
        <f>IF('Pon-Bat'!Y22="","",+'Pon-Bat'!Y22/'Pon-Bat'!U22)</f>
        <v/>
      </c>
      <c r="AN22" s="504" t="str">
        <f>IF('Pon-Bat'!Y22="","",+(SUM('Pon-Bat'!$Y$8:Y22)/SUM('Pon-Bat'!$U$8:U22)))</f>
        <v/>
      </c>
      <c r="AO22" s="494" t="str">
        <f>IF('Pon-Bat'!Z22="","",+'Pon-Bat'!Z22/'Pon-Bat'!U22)</f>
        <v/>
      </c>
      <c r="AP22" s="496" t="str">
        <f>IF('Pon-Bat'!Z22="","",+(SUM('Pon-Bat'!$Z$8:Z22)/SUM('Pon-Bat'!$U$8:U22)))</f>
        <v/>
      </c>
      <c r="AQ22" s="503" t="str">
        <f>IF('Pon-Bat'!AB22="","",+'Pon-Bat'!AB22/'Pon-Bat'!AA22)</f>
        <v/>
      </c>
      <c r="AR22" s="504" t="str">
        <f>IF('Pon-Bat'!AB22="","",+(SUM('Pon-Bat'!$AB$8:AB22)/SUM('Pon-Bat'!$AA$8:AA22)))</f>
        <v/>
      </c>
      <c r="AS22" s="494" t="str">
        <f>IF('Pon-Bat'!AC22="","",+'Pon-Bat'!AC22/'Pon-Bat'!AA22)</f>
        <v/>
      </c>
      <c r="AT22" s="504" t="str">
        <f>IF('Pon-Bat'!AC22="","",+(SUM('Pon-Bat'!$AC$8:AC22)/SUM('Pon-Bat'!$AA$8:AA22)))</f>
        <v/>
      </c>
      <c r="AU22" s="494" t="str">
        <f>IF('Pon-Bat'!AD22="","",+'Pon-Bat'!AD22/'Pon-Bat'!AA22)</f>
        <v/>
      </c>
      <c r="AV22" s="504" t="str">
        <f>IF('Pon-Bat'!AD22="","",+(SUM('Pon-Bat'!$AD$8:AD22)/SUM('Pon-Bat'!$AA$8:AA22)))</f>
        <v/>
      </c>
      <c r="AW22" s="494" t="str">
        <f>IF('Pon-Bat'!AE22="","",+'Pon-Bat'!AE22/'Pon-Bat'!AA22)</f>
        <v/>
      </c>
      <c r="AX22" s="504" t="str">
        <f>IF('Pon-Bat'!AE22="","",+(SUM('Pon-Bat'!$AE$8:AE22)/SUM('Pon-Bat'!$AA$8:AA22)))</f>
        <v/>
      </c>
      <c r="AY22" s="494" t="str">
        <f>IF('Pon-Bat'!AF22="","",+'Pon-Bat'!AF22/'Pon-Bat'!AA22)</f>
        <v/>
      </c>
      <c r="AZ22" s="496" t="str">
        <f>IF('Pon-Bat'!AF22="","",+(SUM('Pon-Bat'!$AF$8:AF22)/SUM('Pon-Bat'!$AA$8:AA22)))</f>
        <v/>
      </c>
      <c r="BA22" s="503" t="str">
        <f>IF('Pon-Bat'!AH22="","",+'Pon-Bat'!AH22/'Pon-Bat'!AG22)</f>
        <v/>
      </c>
      <c r="BB22" s="504" t="str">
        <f>IF('Pon-Bat'!AH22="","",+(SUM('Pon-Bat'!$AH$8:AH22)/SUM('Pon-Bat'!$AG$8:AG22)))</f>
        <v/>
      </c>
      <c r="BC22" s="494" t="str">
        <f>IF('Pon-Bat'!AI22="","",+'Pon-Bat'!AI22/'Pon-Bat'!AG22)</f>
        <v/>
      </c>
      <c r="BD22" s="504" t="str">
        <f>IF('Pon-Bat'!AI22="","",+(SUM('Pon-Bat'!$AI$8:AI22)/SUM('Pon-Bat'!$AG$8:AG22)))</f>
        <v/>
      </c>
      <c r="BE22" s="494" t="str">
        <f>IF('Pon-Bat'!AJ22="","",+'Pon-Bat'!AJ22/'Pon-Bat'!AG22)</f>
        <v/>
      </c>
      <c r="BF22" s="504" t="str">
        <f>IF('Pon-Bat'!AJ22="","",+(SUM('Pon-Bat'!$AJ$8:AJ22)/SUM('Pon-Bat'!$AG$8:AG22)))</f>
        <v/>
      </c>
      <c r="BG22" s="494" t="str">
        <f>IF('Pon-Bat'!AK22="","",+'Pon-Bat'!AK22/'Pon-Bat'!AG22)</f>
        <v/>
      </c>
      <c r="BH22" s="504" t="str">
        <f>IF('Pon-Bat'!AK22="","",+(SUM('Pon-Bat'!$AK$8:AK22)/SUM('Pon-Bat'!$AG$8:AG22)))</f>
        <v/>
      </c>
      <c r="BI22" s="494" t="str">
        <f>IF('Pon-Bat'!AL22="","",+'Pon-Bat'!AL22/'Pon-Bat'!AG22)</f>
        <v/>
      </c>
      <c r="BJ22" s="496" t="str">
        <f>IF('Pon-Bat'!AL22="","",+(SUM('Pon-Bat'!$AL$8:AL22)/SUM('Pon-Bat'!$AG$8:AG22)))</f>
        <v/>
      </c>
      <c r="BK22" s="501" t="str">
        <f>IF('Pon-Bat'!AN22="","",+'Pon-Bat'!AN22/'Pon-Bat'!AM22)</f>
        <v/>
      </c>
      <c r="BL22" s="504" t="str">
        <f>IF('Pon-Bat'!AN22="","",+(SUM('Pon-Bat'!$AN$8:AN22)/SUM('Pon-Bat'!$AM$8:AM22)))</f>
        <v/>
      </c>
      <c r="BM22" s="499" t="str">
        <f>IF('Pon-Bat'!AO22="","",+'Pon-Bat'!AO22/'Pon-Bat'!AM22)</f>
        <v/>
      </c>
      <c r="BN22" s="504" t="str">
        <f>IF('Pon-Bat'!AO22="","",+(SUM('Pon-Bat'!$AO$8:AO22)/SUM('Pon-Bat'!$AM$8:AM22)))</f>
        <v/>
      </c>
      <c r="BO22" s="499" t="str">
        <f>IF('Pon-Bat'!AP22="","",+'Pon-Bat'!AP22/'Pon-Bat'!AM22)</f>
        <v/>
      </c>
      <c r="BP22" s="504" t="str">
        <f>IF('Pon-Bat'!AP22="","",+(SUM('Pon-Bat'!$AP$8:AP22)/SUM('Pon-Bat'!$AM$8:AM22)))</f>
        <v/>
      </c>
      <c r="BQ22" s="499" t="str">
        <f>IF('Pon-Bat'!AQ22="","",+'Pon-Bat'!AQ22/'Pon-Bat'!AM22)</f>
        <v/>
      </c>
      <c r="BR22" s="504" t="str">
        <f>IF('Pon-Bat'!AQ22="","",+(SUM('Pon-Bat'!$AQ$8:AQ22)/SUM('Pon-Bat'!$AM$8:AM22)))</f>
        <v/>
      </c>
      <c r="BS22" s="499" t="str">
        <f>IF('Pon-Bat'!AR22="","",+'Pon-Bat'!AR22/'Pon-Bat'!AM22)</f>
        <v/>
      </c>
      <c r="BT22" s="496" t="str">
        <f>IF('Pon-Bat'!AR22="","",+(SUM('Pon-Bat'!$AR$8:AR22)/SUM('Pon-Bat'!$AM$8:AM22)))</f>
        <v/>
      </c>
      <c r="BU22" s="501" t="str">
        <f>IF('Pon-Bat'!AT22="","",+'Pon-Bat'!AT22/'Pon-Bat'!AS22)</f>
        <v/>
      </c>
      <c r="BV22" s="504" t="str">
        <f>IF('Pon-Bat'!AT22="","",+(SUM('Pon-Bat'!$AT$8:AT22)/SUM('Pon-Bat'!$AS$8:AS22)))</f>
        <v/>
      </c>
      <c r="BW22" s="499" t="str">
        <f>IF('Pon-Bat'!AU22="","",+'Pon-Bat'!AU22/'Pon-Bat'!AS22)</f>
        <v/>
      </c>
      <c r="BX22" s="504" t="str">
        <f>IF('Pon-Bat'!AU22="","",+(SUM('Pon-Bat'!$AU$8:AU22)/SUM('Pon-Bat'!$AS$8:AS22)))</f>
        <v/>
      </c>
      <c r="BY22" s="499" t="str">
        <f>IF('Pon-Bat'!AV22="","",+'Pon-Bat'!AV22/'Pon-Bat'!AS22)</f>
        <v/>
      </c>
      <c r="BZ22" s="504" t="str">
        <f>IF('Pon-Bat'!AV22="","",+(SUM('Pon-Bat'!$AV$8:AV22)/SUM('Pon-Bat'!$AS$8:AS22)))</f>
        <v/>
      </c>
      <c r="CA22" s="499" t="str">
        <f>IF('Pon-Bat'!AW22="","",+'Pon-Bat'!AW22/'Pon-Bat'!AS22)</f>
        <v/>
      </c>
      <c r="CB22" s="504" t="str">
        <f>IF('Pon-Bat'!AW22="","",+(SUM('Pon-Bat'!$AW$8:AW22)/SUM('Pon-Bat'!$AS$8:AS22)))</f>
        <v/>
      </c>
      <c r="CC22" s="499" t="str">
        <f>IF('Pon-Bat'!AX22="","",+'Pon-Bat'!AX22/'Pon-Bat'!AS22)</f>
        <v/>
      </c>
      <c r="CD22" s="496" t="str">
        <f>IF('Pon-Bat'!AX22="","",+(SUM('Pon-Bat'!$AX$8:AX22)/SUM('Pon-Bat'!$AS$8:AS22)))</f>
        <v/>
      </c>
      <c r="CE22" s="503" t="str">
        <f>IF('Pon-Bat'!AZ22="","",+'Pon-Bat'!AZ22/'Pon-Bat'!AY22)</f>
        <v/>
      </c>
      <c r="CF22" s="504" t="str">
        <f>IF('Pon-Bat'!AZ22="","",+(SUM('Pon-Bat'!$AZ$8:AZ22)/SUM('Pon-Bat'!$AY$8:AY22)))</f>
        <v/>
      </c>
      <c r="CG22" s="494" t="str">
        <f>IF('Pon-Bat'!BA22="","",+'Pon-Bat'!BA22/'Pon-Bat'!AY22)</f>
        <v/>
      </c>
      <c r="CH22" s="504" t="str">
        <f>IF('Pon-Bat'!BA22="","",+(SUM('Pon-Bat'!$BA$8:BA22)/SUM('Pon-Bat'!$AY$8:AY22)))</f>
        <v/>
      </c>
      <c r="CI22" s="499" t="str">
        <f>IF('Pon-Bat'!BB22="","",+'Pon-Bat'!BB22/'Pon-Bat'!AY22)</f>
        <v/>
      </c>
      <c r="CJ22" s="504" t="str">
        <f>IF('Pon-Bat'!BB22="","",+(SUM('Pon-Bat'!$BB$8:BB22)/SUM('Pon-Bat'!$AY$8:AY22)))</f>
        <v/>
      </c>
      <c r="CK22" s="494" t="str">
        <f>IF('Pon-Bat'!BC22="","",+'Pon-Bat'!BC22/'Pon-Bat'!AY22)</f>
        <v/>
      </c>
      <c r="CL22" s="504" t="str">
        <f>IF('Pon-Bat'!BC22="","",+(SUM('Pon-Bat'!$BC$8:BC22)/SUM('Pon-Bat'!$AY$8:AY22)))</f>
        <v/>
      </c>
      <c r="CM22" s="494" t="str">
        <f>IF('Pon-Bat'!BD22="","",+'Pon-Bat'!BD22/'Pon-Bat'!AY22)</f>
        <v/>
      </c>
      <c r="CN22" s="496" t="str">
        <f>IF('Pon-Bat'!BD22="","",+(SUM('Pon-Bat'!$BD$8:BD22)/SUM('Pon-Bat'!$AY$8:AY22)))</f>
        <v/>
      </c>
    </row>
    <row r="23" spans="1:92" ht="24" customHeight="1" thickBot="1" x14ac:dyDescent="0.25">
      <c r="A23" s="453">
        <f t="shared" si="0"/>
        <v>43516</v>
      </c>
      <c r="B23" s="465">
        <f t="shared" si="1"/>
        <v>38</v>
      </c>
      <c r="C23" s="503" t="str">
        <f>IF('Pon-Bat'!D23="","",+'Pon-Bat'!D23/'Pon-Bat'!C23)</f>
        <v/>
      </c>
      <c r="D23" s="504" t="str">
        <f>IF('Pon-Bat'!D23="","",+(SUM('Pon-Bat'!$D$8:D23)/SUM('Pon-Bat'!$C$8:C23)))</f>
        <v/>
      </c>
      <c r="E23" s="494" t="str">
        <f>IF('Pon-Bat'!E23="","",+'Pon-Bat'!E23/'Pon-Bat'!C23)</f>
        <v/>
      </c>
      <c r="F23" s="504" t="str">
        <f>IF('Pon-Bat'!E23="","",+(SUM('Pon-Bat'!$E$8:E23)/SUM('Pon-Bat'!$C$8:C23)))</f>
        <v/>
      </c>
      <c r="G23" s="494" t="str">
        <f>IF('Pon-Bat'!F23="","",+'Pon-Bat'!F23/'Pon-Bat'!C23)</f>
        <v/>
      </c>
      <c r="H23" s="504" t="str">
        <f>IF('Pon-Bat'!F23="","",+(SUM('Pon-Bat'!$F$8:F23)/SUM('Pon-Bat'!$C$8:C23)))</f>
        <v/>
      </c>
      <c r="I23" s="494" t="str">
        <f>IF('Pon-Bat'!G23="","",+'Pon-Bat'!G23/'Pon-Bat'!C23)</f>
        <v/>
      </c>
      <c r="J23" s="504" t="str">
        <f>IF('Pon-Bat'!G23="","",+(SUM('Pon-Bat'!$G$8:G23)/SUM('Pon-Bat'!$C$8:C23)))</f>
        <v/>
      </c>
      <c r="K23" s="494" t="str">
        <f>IF('Pon-Bat'!H23="","",+'Pon-Bat'!H23/'Pon-Bat'!C23)</f>
        <v/>
      </c>
      <c r="L23" s="496" t="str">
        <f>IF('Pon-Bat'!H23="","",+(SUM('Pon-Bat'!$H$8:H23)/SUM('Pon-Bat'!$C$8:C23)))</f>
        <v/>
      </c>
      <c r="M23" s="503" t="str">
        <f>IF('Pon-Bat'!J23="","",+'Pon-Bat'!J23/'Pon-Bat'!I23)</f>
        <v/>
      </c>
      <c r="N23" s="504" t="str">
        <f>IF('Pon-Bat'!J23="","",+(SUM('Pon-Bat'!$J$8:J23)/SUM('Pon-Bat'!$I$8:I23)))</f>
        <v/>
      </c>
      <c r="O23" s="494" t="str">
        <f>IF('Pon-Bat'!K23="","",+'Pon-Bat'!K23/'Pon-Bat'!I23)</f>
        <v/>
      </c>
      <c r="P23" s="504" t="str">
        <f>IF('Pon-Bat'!K23="","",+(SUM('Pon-Bat'!$K$8:K23)/SUM('Pon-Bat'!$I$8:I23)))</f>
        <v/>
      </c>
      <c r="Q23" s="494" t="str">
        <f>IF('Pon-Bat'!L23="","",+'Pon-Bat'!L23/'Pon-Bat'!I23)</f>
        <v/>
      </c>
      <c r="R23" s="504" t="str">
        <f>IF('Pon-Bat'!L23="","",+(SUM('Pon-Bat'!$L$8:L23)/SUM('Pon-Bat'!$I$8:I23)))</f>
        <v/>
      </c>
      <c r="S23" s="494" t="str">
        <f>IF('Pon-Bat'!M23="","",+'Pon-Bat'!M23/'Pon-Bat'!I23)</f>
        <v/>
      </c>
      <c r="T23" s="504" t="str">
        <f>IF('Pon-Bat'!M23="","",+(SUM('Pon-Bat'!$M$8:M23)/SUM('Pon-Bat'!$I$8:I23)))</f>
        <v/>
      </c>
      <c r="U23" s="494" t="str">
        <f>IF('Pon-Bat'!N23="","",+'Pon-Bat'!N23/'Pon-Bat'!I23)</f>
        <v/>
      </c>
      <c r="V23" s="496" t="str">
        <f>IF('Pon-Bat'!N23="","",+(SUM('Pon-Bat'!$N$8:N23)/SUM('Pon-Bat'!$I$8:I23)))</f>
        <v/>
      </c>
      <c r="W23" s="503" t="str">
        <f>IF('Pon-Bat'!P23="","",+'Pon-Bat'!P23/'Pon-Bat'!O23)</f>
        <v/>
      </c>
      <c r="X23" s="504" t="str">
        <f>IF('Pon-Bat'!P23="","",+(SUM('Pon-Bat'!$P$8:P23)/SUM('Pon-Bat'!$O$8:O23)))</f>
        <v/>
      </c>
      <c r="Y23" s="494" t="str">
        <f>IF('Pon-Bat'!Q23="","",+'Pon-Bat'!Q23/'Pon-Bat'!O23)</f>
        <v/>
      </c>
      <c r="Z23" s="504" t="str">
        <f>IF('Pon-Bat'!Q23="","",+(SUM('Pon-Bat'!$Q$8:Q23)/SUM('Pon-Bat'!$O$8:O23)))</f>
        <v/>
      </c>
      <c r="AA23" s="494" t="str">
        <f>IF('Pon-Bat'!R23="","",+'Pon-Bat'!R23/'Pon-Bat'!O23)</f>
        <v/>
      </c>
      <c r="AB23" s="504" t="str">
        <f>IF('Pon-Bat'!R23="","",+(SUM('Pon-Bat'!$R$8:R23)/SUM('Pon-Bat'!$O$8:O23)))</f>
        <v/>
      </c>
      <c r="AC23" s="494" t="str">
        <f>IF('Pon-Bat'!S23="","",+'Pon-Bat'!S23/'Pon-Bat'!O23)</f>
        <v/>
      </c>
      <c r="AD23" s="504" t="str">
        <f>IF('Pon-Bat'!S23="","",+(SUM('Pon-Bat'!$S$8:S23)/SUM('Pon-Bat'!$O$8:O23)))</f>
        <v/>
      </c>
      <c r="AE23" s="494" t="str">
        <f>IF('Pon-Bat'!T23="","",+'Pon-Bat'!T23/'Pon-Bat'!O23)</f>
        <v/>
      </c>
      <c r="AF23" s="496" t="str">
        <f>IF('Pon-Bat'!T23="","",+(SUM('Pon-Bat'!$T$8:T23)/SUM('Pon-Bat'!$O$8:O23)))</f>
        <v/>
      </c>
      <c r="AG23" s="503" t="str">
        <f>IF('Pon-Bat'!V23="","",+'Pon-Bat'!V23/'Pon-Bat'!U23)</f>
        <v/>
      </c>
      <c r="AH23" s="504" t="str">
        <f>IF('Pon-Bat'!V23="","",+(SUM('Pon-Bat'!$V$8:V23)/SUM('Pon-Bat'!$U$8:U23)))</f>
        <v/>
      </c>
      <c r="AI23" s="494" t="str">
        <f>IF('Pon-Bat'!W23="","",+'Pon-Bat'!W23/'Pon-Bat'!U23)</f>
        <v/>
      </c>
      <c r="AJ23" s="504" t="str">
        <f>IF('Pon-Bat'!W23="","",+(SUM('Pon-Bat'!$W$8:W23)/SUM('Pon-Bat'!$U$8:U23)))</f>
        <v/>
      </c>
      <c r="AK23" s="494" t="str">
        <f>IF('Pon-Bat'!X23="","",+'Pon-Bat'!X23/'Pon-Bat'!U23)</f>
        <v/>
      </c>
      <c r="AL23" s="504" t="str">
        <f>IF('Pon-Bat'!X23="","",+(SUM('Pon-Bat'!$X$8:X23)/SUM('Pon-Bat'!$U$8:U23)))</f>
        <v/>
      </c>
      <c r="AM23" s="494" t="str">
        <f>IF('Pon-Bat'!Y23="","",+'Pon-Bat'!Y23/'Pon-Bat'!U23)</f>
        <v/>
      </c>
      <c r="AN23" s="504" t="str">
        <f>IF('Pon-Bat'!Y23="","",+(SUM('Pon-Bat'!$Y$8:Y23)/SUM('Pon-Bat'!$U$8:U23)))</f>
        <v/>
      </c>
      <c r="AO23" s="494" t="str">
        <f>IF('Pon-Bat'!Z23="","",+'Pon-Bat'!Z23/'Pon-Bat'!U23)</f>
        <v/>
      </c>
      <c r="AP23" s="496" t="str">
        <f>IF('Pon-Bat'!Z23="","",+(SUM('Pon-Bat'!$Z$8:Z23)/SUM('Pon-Bat'!$U$8:U23)))</f>
        <v/>
      </c>
      <c r="AQ23" s="503" t="str">
        <f>IF('Pon-Bat'!AB23="","",+'Pon-Bat'!AB23/'Pon-Bat'!AA23)</f>
        <v/>
      </c>
      <c r="AR23" s="504" t="str">
        <f>IF('Pon-Bat'!AB23="","",+(SUM('Pon-Bat'!$AB$8:AB23)/SUM('Pon-Bat'!$AA$8:AA23)))</f>
        <v/>
      </c>
      <c r="AS23" s="494" t="str">
        <f>IF('Pon-Bat'!AC23="","",+'Pon-Bat'!AC23/'Pon-Bat'!AA23)</f>
        <v/>
      </c>
      <c r="AT23" s="504" t="str">
        <f>IF('Pon-Bat'!AC23="","",+(SUM('Pon-Bat'!$AC$8:AC23)/SUM('Pon-Bat'!$AA$8:AA23)))</f>
        <v/>
      </c>
      <c r="AU23" s="494" t="str">
        <f>IF('Pon-Bat'!AD23="","",+'Pon-Bat'!AD23/'Pon-Bat'!AA23)</f>
        <v/>
      </c>
      <c r="AV23" s="504" t="str">
        <f>IF('Pon-Bat'!AD23="","",+(SUM('Pon-Bat'!$AD$8:AD23)/SUM('Pon-Bat'!$AA$8:AA23)))</f>
        <v/>
      </c>
      <c r="AW23" s="494" t="str">
        <f>IF('Pon-Bat'!AE23="","",+'Pon-Bat'!AE23/'Pon-Bat'!AA23)</f>
        <v/>
      </c>
      <c r="AX23" s="504" t="str">
        <f>IF('Pon-Bat'!AE23="","",+(SUM('Pon-Bat'!$AE$8:AE23)/SUM('Pon-Bat'!$AA$8:AA23)))</f>
        <v/>
      </c>
      <c r="AY23" s="494" t="str">
        <f>IF('Pon-Bat'!AF23="","",+'Pon-Bat'!AF23/'Pon-Bat'!AA23)</f>
        <v/>
      </c>
      <c r="AZ23" s="496" t="str">
        <f>IF('Pon-Bat'!AF23="","",+(SUM('Pon-Bat'!$AF$8:AF23)/SUM('Pon-Bat'!$AA$8:AA23)))</f>
        <v/>
      </c>
      <c r="BA23" s="503" t="str">
        <f>IF('Pon-Bat'!AH23="","",+'Pon-Bat'!AH23/'Pon-Bat'!AG23)</f>
        <v/>
      </c>
      <c r="BB23" s="504" t="str">
        <f>IF('Pon-Bat'!AH23="","",+(SUM('Pon-Bat'!$AH$8:AH23)/SUM('Pon-Bat'!$AG$8:AG23)))</f>
        <v/>
      </c>
      <c r="BC23" s="494" t="str">
        <f>IF('Pon-Bat'!AI23="","",+'Pon-Bat'!AI23/'Pon-Bat'!AG23)</f>
        <v/>
      </c>
      <c r="BD23" s="504" t="str">
        <f>IF('Pon-Bat'!AI23="","",+(SUM('Pon-Bat'!$AI$8:AI23)/SUM('Pon-Bat'!$AG$8:AG23)))</f>
        <v/>
      </c>
      <c r="BE23" s="494" t="str">
        <f>IF('Pon-Bat'!AJ23="","",+'Pon-Bat'!AJ23/'Pon-Bat'!AG23)</f>
        <v/>
      </c>
      <c r="BF23" s="504" t="str">
        <f>IF('Pon-Bat'!AJ23="","",+(SUM('Pon-Bat'!$AJ$8:AJ23)/SUM('Pon-Bat'!$AG$8:AG23)))</f>
        <v/>
      </c>
      <c r="BG23" s="494" t="str">
        <f>IF('Pon-Bat'!AK23="","",+'Pon-Bat'!AK23/'Pon-Bat'!AG23)</f>
        <v/>
      </c>
      <c r="BH23" s="504" t="str">
        <f>IF('Pon-Bat'!AK23="","",+(SUM('Pon-Bat'!$AK$8:AK23)/SUM('Pon-Bat'!$AG$8:AG23)))</f>
        <v/>
      </c>
      <c r="BI23" s="494" t="str">
        <f>IF('Pon-Bat'!AL23="","",+'Pon-Bat'!AL23/'Pon-Bat'!AG23)</f>
        <v/>
      </c>
      <c r="BJ23" s="496" t="str">
        <f>IF('Pon-Bat'!AL23="","",+(SUM('Pon-Bat'!$AL$8:AL23)/SUM('Pon-Bat'!$AG$8:AG23)))</f>
        <v/>
      </c>
      <c r="BK23" s="501" t="str">
        <f>IF('Pon-Bat'!AN23="","",+'Pon-Bat'!AN23/'Pon-Bat'!AM23)</f>
        <v/>
      </c>
      <c r="BL23" s="504" t="str">
        <f>IF('Pon-Bat'!AN23="","",+(SUM('Pon-Bat'!$AN$8:AN23)/SUM('Pon-Bat'!$AM$8:AM23)))</f>
        <v/>
      </c>
      <c r="BM23" s="499" t="str">
        <f>IF('Pon-Bat'!AO23="","",+'Pon-Bat'!AO23/'Pon-Bat'!AM23)</f>
        <v/>
      </c>
      <c r="BN23" s="504" t="str">
        <f>IF('Pon-Bat'!AO23="","",+(SUM('Pon-Bat'!$AO$8:AO23)/SUM('Pon-Bat'!$AM$8:AM23)))</f>
        <v/>
      </c>
      <c r="BO23" s="499" t="str">
        <f>IF('Pon-Bat'!AP23="","",+'Pon-Bat'!AP23/'Pon-Bat'!AM23)</f>
        <v/>
      </c>
      <c r="BP23" s="504" t="str">
        <f>IF('Pon-Bat'!AP23="","",+(SUM('Pon-Bat'!$AP$8:AP23)/SUM('Pon-Bat'!$AM$8:AM23)))</f>
        <v/>
      </c>
      <c r="BQ23" s="499" t="str">
        <f>IF('Pon-Bat'!AQ23="","",+'Pon-Bat'!AQ23/'Pon-Bat'!AM23)</f>
        <v/>
      </c>
      <c r="BR23" s="504" t="str">
        <f>IF('Pon-Bat'!AQ23="","",+(SUM('Pon-Bat'!$AQ$8:AQ23)/SUM('Pon-Bat'!$AM$8:AM23)))</f>
        <v/>
      </c>
      <c r="BS23" s="499" t="str">
        <f>IF('Pon-Bat'!AR23="","",+'Pon-Bat'!AR23/'Pon-Bat'!AM23)</f>
        <v/>
      </c>
      <c r="BT23" s="496" t="str">
        <f>IF('Pon-Bat'!AR23="","",+(SUM('Pon-Bat'!$AR$8:AR23)/SUM('Pon-Bat'!$AM$8:AM23)))</f>
        <v/>
      </c>
      <c r="BU23" s="501" t="str">
        <f>IF('Pon-Bat'!AT23="","",+'Pon-Bat'!AT23/'Pon-Bat'!AS23)</f>
        <v/>
      </c>
      <c r="BV23" s="504" t="str">
        <f>IF('Pon-Bat'!AT23="","",+(SUM('Pon-Bat'!$AT$8:AT23)/SUM('Pon-Bat'!$AS$8:AS23)))</f>
        <v/>
      </c>
      <c r="BW23" s="499" t="str">
        <f>IF('Pon-Bat'!AU23="","",+'Pon-Bat'!AU23/'Pon-Bat'!AS23)</f>
        <v/>
      </c>
      <c r="BX23" s="504" t="str">
        <f>IF('Pon-Bat'!AU23="","",+(SUM('Pon-Bat'!$AU$8:AU23)/SUM('Pon-Bat'!$AS$8:AS23)))</f>
        <v/>
      </c>
      <c r="BY23" s="499" t="str">
        <f>IF('Pon-Bat'!AV23="","",+'Pon-Bat'!AV23/'Pon-Bat'!AS23)</f>
        <v/>
      </c>
      <c r="BZ23" s="504" t="str">
        <f>IF('Pon-Bat'!AV23="","",+(SUM('Pon-Bat'!$AV$8:AV23)/SUM('Pon-Bat'!$AS$8:AS23)))</f>
        <v/>
      </c>
      <c r="CA23" s="499" t="str">
        <f>IF('Pon-Bat'!AW23="","",+'Pon-Bat'!AW23/'Pon-Bat'!AS23)</f>
        <v/>
      </c>
      <c r="CB23" s="504" t="str">
        <f>IF('Pon-Bat'!AW23="","",+(SUM('Pon-Bat'!$AW$8:AW23)/SUM('Pon-Bat'!$AS$8:AS23)))</f>
        <v/>
      </c>
      <c r="CC23" s="499" t="str">
        <f>IF('Pon-Bat'!AX23="","",+'Pon-Bat'!AX23/'Pon-Bat'!AS23)</f>
        <v/>
      </c>
      <c r="CD23" s="496" t="str">
        <f>IF('Pon-Bat'!AX23="","",+(SUM('Pon-Bat'!$AX$8:AX23)/SUM('Pon-Bat'!$AS$8:AS23)))</f>
        <v/>
      </c>
      <c r="CE23" s="503" t="str">
        <f>IF('Pon-Bat'!AZ23="","",+'Pon-Bat'!AZ23/'Pon-Bat'!AY23)</f>
        <v/>
      </c>
      <c r="CF23" s="504" t="str">
        <f>IF('Pon-Bat'!AZ23="","",+(SUM('Pon-Bat'!$AZ$8:AZ23)/SUM('Pon-Bat'!$AY$8:AY23)))</f>
        <v/>
      </c>
      <c r="CG23" s="494" t="str">
        <f>IF('Pon-Bat'!BA23="","",+'Pon-Bat'!BA23/'Pon-Bat'!AY23)</f>
        <v/>
      </c>
      <c r="CH23" s="504" t="str">
        <f>IF('Pon-Bat'!BA23="","",+(SUM('Pon-Bat'!$BA$8:BA23)/SUM('Pon-Bat'!$AY$8:AY23)))</f>
        <v/>
      </c>
      <c r="CI23" s="499" t="str">
        <f>IF('Pon-Bat'!BB23="","",+'Pon-Bat'!BB23/'Pon-Bat'!AY23)</f>
        <v/>
      </c>
      <c r="CJ23" s="504" t="str">
        <f>IF('Pon-Bat'!BB23="","",+(SUM('Pon-Bat'!$BB$8:BB23)/SUM('Pon-Bat'!$AY$8:AY23)))</f>
        <v/>
      </c>
      <c r="CK23" s="494" t="str">
        <f>IF('Pon-Bat'!BC23="","",+'Pon-Bat'!BC23/'Pon-Bat'!AY23)</f>
        <v/>
      </c>
      <c r="CL23" s="504" t="str">
        <f>IF('Pon-Bat'!BC23="","",+(SUM('Pon-Bat'!$BC$8:BC23)/SUM('Pon-Bat'!$AY$8:AY23)))</f>
        <v/>
      </c>
      <c r="CM23" s="494" t="str">
        <f>IF('Pon-Bat'!BD23="","",+'Pon-Bat'!BD23/'Pon-Bat'!AY23)</f>
        <v/>
      </c>
      <c r="CN23" s="496" t="str">
        <f>IF('Pon-Bat'!BD23="","",+(SUM('Pon-Bat'!$BD$8:BD23)/SUM('Pon-Bat'!$AY$8:AY23)))</f>
        <v/>
      </c>
    </row>
    <row r="24" spans="1:92" ht="24" customHeight="1" thickBot="1" x14ac:dyDescent="0.25">
      <c r="A24" s="453">
        <f t="shared" si="0"/>
        <v>43523</v>
      </c>
      <c r="B24" s="465">
        <f t="shared" si="1"/>
        <v>39</v>
      </c>
      <c r="C24" s="503" t="str">
        <f>IF('Pon-Bat'!D24="","",+'Pon-Bat'!D24/'Pon-Bat'!C24)</f>
        <v/>
      </c>
      <c r="D24" s="504" t="str">
        <f>IF('Pon-Bat'!D24="","",+(SUM('Pon-Bat'!$D$8:D24)/SUM('Pon-Bat'!$C$8:C24)))</f>
        <v/>
      </c>
      <c r="E24" s="494" t="str">
        <f>IF('Pon-Bat'!E24="","",+'Pon-Bat'!E24/'Pon-Bat'!C24)</f>
        <v/>
      </c>
      <c r="F24" s="504" t="str">
        <f>IF('Pon-Bat'!E24="","",+(SUM('Pon-Bat'!$E$8:E24)/SUM('Pon-Bat'!$C$8:C24)))</f>
        <v/>
      </c>
      <c r="G24" s="494" t="str">
        <f>IF('Pon-Bat'!F24="","",+'Pon-Bat'!F24/'Pon-Bat'!C24)</f>
        <v/>
      </c>
      <c r="H24" s="504" t="str">
        <f>IF('Pon-Bat'!F24="","",+(SUM('Pon-Bat'!$F$8:F24)/SUM('Pon-Bat'!$C$8:C24)))</f>
        <v/>
      </c>
      <c r="I24" s="494" t="str">
        <f>IF('Pon-Bat'!G24="","",+'Pon-Bat'!G24/'Pon-Bat'!C24)</f>
        <v/>
      </c>
      <c r="J24" s="504" t="str">
        <f>IF('Pon-Bat'!G24="","",+(SUM('Pon-Bat'!$G$8:G24)/SUM('Pon-Bat'!$C$8:C24)))</f>
        <v/>
      </c>
      <c r="K24" s="494" t="str">
        <f>IF('Pon-Bat'!H24="","",+'Pon-Bat'!H24/'Pon-Bat'!C24)</f>
        <v/>
      </c>
      <c r="L24" s="496" t="str">
        <f>IF('Pon-Bat'!H24="","",+(SUM('Pon-Bat'!$H$8:H24)/SUM('Pon-Bat'!$C$8:C24)))</f>
        <v/>
      </c>
      <c r="M24" s="503" t="str">
        <f>IF('Pon-Bat'!J24="","",+'Pon-Bat'!J24/'Pon-Bat'!I24)</f>
        <v/>
      </c>
      <c r="N24" s="504" t="str">
        <f>IF('Pon-Bat'!J24="","",+(SUM('Pon-Bat'!$J$8:J24)/SUM('Pon-Bat'!$I$8:I24)))</f>
        <v/>
      </c>
      <c r="O24" s="494" t="str">
        <f>IF('Pon-Bat'!K24="","",+'Pon-Bat'!K24/'Pon-Bat'!I24)</f>
        <v/>
      </c>
      <c r="P24" s="504" t="str">
        <f>IF('Pon-Bat'!K24="","",+(SUM('Pon-Bat'!$K$8:K24)/SUM('Pon-Bat'!$I$8:I24)))</f>
        <v/>
      </c>
      <c r="Q24" s="494" t="str">
        <f>IF('Pon-Bat'!L24="","",+'Pon-Bat'!L24/'Pon-Bat'!I24)</f>
        <v/>
      </c>
      <c r="R24" s="504" t="str">
        <f>IF('Pon-Bat'!L24="","",+(SUM('Pon-Bat'!$L$8:L24)/SUM('Pon-Bat'!$I$8:I24)))</f>
        <v/>
      </c>
      <c r="S24" s="494" t="str">
        <f>IF('Pon-Bat'!M24="","",+'Pon-Bat'!M24/'Pon-Bat'!I24)</f>
        <v/>
      </c>
      <c r="T24" s="504" t="str">
        <f>IF('Pon-Bat'!M24="","",+(SUM('Pon-Bat'!$M$8:M24)/SUM('Pon-Bat'!$I$8:I24)))</f>
        <v/>
      </c>
      <c r="U24" s="494" t="str">
        <f>IF('Pon-Bat'!N24="","",+'Pon-Bat'!N24/'Pon-Bat'!I24)</f>
        <v/>
      </c>
      <c r="V24" s="496" t="str">
        <f>IF('Pon-Bat'!N24="","",+(SUM('Pon-Bat'!$N$8:N24)/SUM('Pon-Bat'!$I$8:I24)))</f>
        <v/>
      </c>
      <c r="W24" s="503" t="str">
        <f>IF('Pon-Bat'!P24="","",+'Pon-Bat'!P24/'Pon-Bat'!O24)</f>
        <v/>
      </c>
      <c r="X24" s="504" t="str">
        <f>IF('Pon-Bat'!P24="","",+(SUM('Pon-Bat'!$P$8:P24)/SUM('Pon-Bat'!$O$8:O24)))</f>
        <v/>
      </c>
      <c r="Y24" s="494" t="str">
        <f>IF('Pon-Bat'!Q24="","",+'Pon-Bat'!Q24/'Pon-Bat'!O24)</f>
        <v/>
      </c>
      <c r="Z24" s="504" t="str">
        <f>IF('Pon-Bat'!Q24="","",+(SUM('Pon-Bat'!$Q$8:Q24)/SUM('Pon-Bat'!$O$8:O24)))</f>
        <v/>
      </c>
      <c r="AA24" s="494" t="str">
        <f>IF('Pon-Bat'!R24="","",+'Pon-Bat'!R24/'Pon-Bat'!O24)</f>
        <v/>
      </c>
      <c r="AB24" s="504" t="str">
        <f>IF('Pon-Bat'!R24="","",+(SUM('Pon-Bat'!$R$8:R24)/SUM('Pon-Bat'!$O$8:O24)))</f>
        <v/>
      </c>
      <c r="AC24" s="494" t="str">
        <f>IF('Pon-Bat'!S24="","",+'Pon-Bat'!S24/'Pon-Bat'!O24)</f>
        <v/>
      </c>
      <c r="AD24" s="504" t="str">
        <f>IF('Pon-Bat'!S24="","",+(SUM('Pon-Bat'!$S$8:S24)/SUM('Pon-Bat'!$O$8:O24)))</f>
        <v/>
      </c>
      <c r="AE24" s="494" t="str">
        <f>IF('Pon-Bat'!T24="","",+'Pon-Bat'!T24/'Pon-Bat'!O24)</f>
        <v/>
      </c>
      <c r="AF24" s="496" t="str">
        <f>IF('Pon-Bat'!T24="","",+(SUM('Pon-Bat'!$T$8:T24)/SUM('Pon-Bat'!$O$8:O24)))</f>
        <v/>
      </c>
      <c r="AG24" s="503" t="str">
        <f>IF('Pon-Bat'!V24="","",+'Pon-Bat'!V24/'Pon-Bat'!U24)</f>
        <v/>
      </c>
      <c r="AH24" s="504" t="str">
        <f>IF('Pon-Bat'!V24="","",+(SUM('Pon-Bat'!$V$8:V24)/SUM('Pon-Bat'!$U$8:U24)))</f>
        <v/>
      </c>
      <c r="AI24" s="494" t="str">
        <f>IF('Pon-Bat'!W24="","",+'Pon-Bat'!W24/'Pon-Bat'!U24)</f>
        <v/>
      </c>
      <c r="AJ24" s="504" t="str">
        <f>IF('Pon-Bat'!W24="","",+(SUM('Pon-Bat'!$W$8:W24)/SUM('Pon-Bat'!$U$8:U24)))</f>
        <v/>
      </c>
      <c r="AK24" s="494" t="str">
        <f>IF('Pon-Bat'!X24="","",+'Pon-Bat'!X24/'Pon-Bat'!U24)</f>
        <v/>
      </c>
      <c r="AL24" s="504" t="str">
        <f>IF('Pon-Bat'!X24="","",+(SUM('Pon-Bat'!$X$8:X24)/SUM('Pon-Bat'!$U$8:U24)))</f>
        <v/>
      </c>
      <c r="AM24" s="494" t="str">
        <f>IF('Pon-Bat'!Y24="","",+'Pon-Bat'!Y24/'Pon-Bat'!U24)</f>
        <v/>
      </c>
      <c r="AN24" s="504" t="str">
        <f>IF('Pon-Bat'!Y24="","",+(SUM('Pon-Bat'!$Y$8:Y24)/SUM('Pon-Bat'!$U$8:U24)))</f>
        <v/>
      </c>
      <c r="AO24" s="494" t="str">
        <f>IF('Pon-Bat'!Z24="","",+'Pon-Bat'!Z24/'Pon-Bat'!U24)</f>
        <v/>
      </c>
      <c r="AP24" s="496" t="str">
        <f>IF('Pon-Bat'!Z24="","",+(SUM('Pon-Bat'!$Z$8:Z24)/SUM('Pon-Bat'!$U$8:U24)))</f>
        <v/>
      </c>
      <c r="AQ24" s="503" t="str">
        <f>IF('Pon-Bat'!AB24="","",+'Pon-Bat'!AB24/'Pon-Bat'!AA24)</f>
        <v/>
      </c>
      <c r="AR24" s="504" t="str">
        <f>IF('Pon-Bat'!AB24="","",+(SUM('Pon-Bat'!$AB$8:AB24)/SUM('Pon-Bat'!$AA$8:AA24)))</f>
        <v/>
      </c>
      <c r="AS24" s="494" t="str">
        <f>IF('Pon-Bat'!AC24="","",+'Pon-Bat'!AC24/'Pon-Bat'!AA24)</f>
        <v/>
      </c>
      <c r="AT24" s="504" t="str">
        <f>IF('Pon-Bat'!AC24="","",+(SUM('Pon-Bat'!$AC$8:AC24)/SUM('Pon-Bat'!$AA$8:AA24)))</f>
        <v/>
      </c>
      <c r="AU24" s="494" t="str">
        <f>IF('Pon-Bat'!AD24="","",+'Pon-Bat'!AD24/'Pon-Bat'!AA24)</f>
        <v/>
      </c>
      <c r="AV24" s="504" t="str">
        <f>IF('Pon-Bat'!AD24="","",+(SUM('Pon-Bat'!$AD$8:AD24)/SUM('Pon-Bat'!$AA$8:AA24)))</f>
        <v/>
      </c>
      <c r="AW24" s="494" t="str">
        <f>IF('Pon-Bat'!AE24="","",+'Pon-Bat'!AE24/'Pon-Bat'!AA24)</f>
        <v/>
      </c>
      <c r="AX24" s="504" t="str">
        <f>IF('Pon-Bat'!AE24="","",+(SUM('Pon-Bat'!$AE$8:AE24)/SUM('Pon-Bat'!$AA$8:AA24)))</f>
        <v/>
      </c>
      <c r="AY24" s="494" t="str">
        <f>IF('Pon-Bat'!AF24="","",+'Pon-Bat'!AF24/'Pon-Bat'!AA24)</f>
        <v/>
      </c>
      <c r="AZ24" s="496" t="str">
        <f>IF('Pon-Bat'!AF24="","",+(SUM('Pon-Bat'!$AF$8:AF24)/SUM('Pon-Bat'!$AA$8:AA24)))</f>
        <v/>
      </c>
      <c r="BA24" s="503" t="str">
        <f>IF('Pon-Bat'!AH24="","",+'Pon-Bat'!AH24/'Pon-Bat'!AG24)</f>
        <v/>
      </c>
      <c r="BB24" s="504" t="str">
        <f>IF('Pon-Bat'!AH24="","",+(SUM('Pon-Bat'!$AH$8:AH24)/SUM('Pon-Bat'!$AG$8:AG24)))</f>
        <v/>
      </c>
      <c r="BC24" s="494" t="str">
        <f>IF('Pon-Bat'!AI24="","",+'Pon-Bat'!AI24/'Pon-Bat'!AG24)</f>
        <v/>
      </c>
      <c r="BD24" s="504" t="str">
        <f>IF('Pon-Bat'!AI24="","",+(SUM('Pon-Bat'!$AI$8:AI24)/SUM('Pon-Bat'!$AG$8:AG24)))</f>
        <v/>
      </c>
      <c r="BE24" s="494" t="str">
        <f>IF('Pon-Bat'!AJ24="","",+'Pon-Bat'!AJ24/'Pon-Bat'!AG24)</f>
        <v/>
      </c>
      <c r="BF24" s="504" t="str">
        <f>IF('Pon-Bat'!AJ24="","",+(SUM('Pon-Bat'!$AJ$8:AJ24)/SUM('Pon-Bat'!$AG$8:AG24)))</f>
        <v/>
      </c>
      <c r="BG24" s="494" t="str">
        <f>IF('Pon-Bat'!AK24="","",+'Pon-Bat'!AK24/'Pon-Bat'!AG24)</f>
        <v/>
      </c>
      <c r="BH24" s="504" t="str">
        <f>IF('Pon-Bat'!AK24="","",+(SUM('Pon-Bat'!$AK$8:AK24)/SUM('Pon-Bat'!$AG$8:AG24)))</f>
        <v/>
      </c>
      <c r="BI24" s="494" t="str">
        <f>IF('Pon-Bat'!AL24="","",+'Pon-Bat'!AL24/'Pon-Bat'!AG24)</f>
        <v/>
      </c>
      <c r="BJ24" s="496" t="str">
        <f>IF('Pon-Bat'!AL24="","",+(SUM('Pon-Bat'!$AL$8:AL24)/SUM('Pon-Bat'!$AG$8:AG24)))</f>
        <v/>
      </c>
      <c r="BK24" s="501" t="str">
        <f>IF('Pon-Bat'!AN24="","",+'Pon-Bat'!AN24/'Pon-Bat'!AM24)</f>
        <v/>
      </c>
      <c r="BL24" s="504" t="str">
        <f>IF('Pon-Bat'!AN24="","",+(SUM('Pon-Bat'!$AN$8:AN24)/SUM('Pon-Bat'!$AM$8:AM24)))</f>
        <v/>
      </c>
      <c r="BM24" s="499" t="str">
        <f>IF('Pon-Bat'!AO24="","",+'Pon-Bat'!AO24/'Pon-Bat'!AM24)</f>
        <v/>
      </c>
      <c r="BN24" s="504" t="str">
        <f>IF('Pon-Bat'!AO24="","",+(SUM('Pon-Bat'!$AO$8:AO24)/SUM('Pon-Bat'!$AM$8:AM24)))</f>
        <v/>
      </c>
      <c r="BO24" s="499" t="str">
        <f>IF('Pon-Bat'!AP24="","",+'Pon-Bat'!AP24/'Pon-Bat'!AM24)</f>
        <v/>
      </c>
      <c r="BP24" s="504" t="str">
        <f>IF('Pon-Bat'!AP24="","",+(SUM('Pon-Bat'!$AP$8:AP24)/SUM('Pon-Bat'!$AM$8:AM24)))</f>
        <v/>
      </c>
      <c r="BQ24" s="499" t="str">
        <f>IF('Pon-Bat'!AQ24="","",+'Pon-Bat'!AQ24/'Pon-Bat'!AM24)</f>
        <v/>
      </c>
      <c r="BR24" s="504" t="str">
        <f>IF('Pon-Bat'!AQ24="","",+(SUM('Pon-Bat'!$AQ$8:AQ24)/SUM('Pon-Bat'!$AM$8:AM24)))</f>
        <v/>
      </c>
      <c r="BS24" s="499" t="str">
        <f>IF('Pon-Bat'!AR24="","",+'Pon-Bat'!AR24/'Pon-Bat'!AM24)</f>
        <v/>
      </c>
      <c r="BT24" s="496" t="str">
        <f>IF('Pon-Bat'!AR24="","",+(SUM('Pon-Bat'!$AR$8:AR24)/SUM('Pon-Bat'!$AM$8:AM24)))</f>
        <v/>
      </c>
      <c r="BU24" s="501" t="str">
        <f>IF('Pon-Bat'!AT24="","",+'Pon-Bat'!AT24/'Pon-Bat'!AS24)</f>
        <v/>
      </c>
      <c r="BV24" s="504" t="str">
        <f>IF('Pon-Bat'!AT24="","",+(SUM('Pon-Bat'!$AT$8:AT24)/SUM('Pon-Bat'!$AS$8:AS24)))</f>
        <v/>
      </c>
      <c r="BW24" s="499" t="str">
        <f>IF('Pon-Bat'!AU24="","",+'Pon-Bat'!AU24/'Pon-Bat'!AS24)</f>
        <v/>
      </c>
      <c r="BX24" s="504" t="str">
        <f>IF('Pon-Bat'!AU24="","",+(SUM('Pon-Bat'!$AU$8:AU24)/SUM('Pon-Bat'!$AS$8:AS24)))</f>
        <v/>
      </c>
      <c r="BY24" s="499" t="str">
        <f>IF('Pon-Bat'!AV24="","",+'Pon-Bat'!AV24/'Pon-Bat'!AS24)</f>
        <v/>
      </c>
      <c r="BZ24" s="504" t="str">
        <f>IF('Pon-Bat'!AV24="","",+(SUM('Pon-Bat'!$AV$8:AV24)/SUM('Pon-Bat'!$AS$8:AS24)))</f>
        <v/>
      </c>
      <c r="CA24" s="499" t="str">
        <f>IF('Pon-Bat'!AW24="","",+'Pon-Bat'!AW24/'Pon-Bat'!AS24)</f>
        <v/>
      </c>
      <c r="CB24" s="504" t="str">
        <f>IF('Pon-Bat'!AW24="","",+(SUM('Pon-Bat'!$AW$8:AW24)/SUM('Pon-Bat'!$AS$8:AS24)))</f>
        <v/>
      </c>
      <c r="CC24" s="499" t="str">
        <f>IF('Pon-Bat'!AX24="","",+'Pon-Bat'!AX24/'Pon-Bat'!AS24)</f>
        <v/>
      </c>
      <c r="CD24" s="496" t="str">
        <f>IF('Pon-Bat'!AX24="","",+(SUM('Pon-Bat'!$AX$8:AX24)/SUM('Pon-Bat'!$AS$8:AS24)))</f>
        <v/>
      </c>
      <c r="CE24" s="503" t="str">
        <f>IF('Pon-Bat'!AZ24="","",+'Pon-Bat'!AZ24/'Pon-Bat'!AY24)</f>
        <v/>
      </c>
      <c r="CF24" s="504" t="str">
        <f>IF('Pon-Bat'!AZ24="","",+(SUM('Pon-Bat'!$AZ$8:AZ24)/SUM('Pon-Bat'!$AY$8:AY24)))</f>
        <v/>
      </c>
      <c r="CG24" s="494" t="str">
        <f>IF('Pon-Bat'!BA24="","",+'Pon-Bat'!BA24/'Pon-Bat'!AY24)</f>
        <v/>
      </c>
      <c r="CH24" s="504" t="str">
        <f>IF('Pon-Bat'!BA24="","",+(SUM('Pon-Bat'!$BA$8:BA24)/SUM('Pon-Bat'!$AY$8:AY24)))</f>
        <v/>
      </c>
      <c r="CI24" s="499" t="str">
        <f>IF('Pon-Bat'!BB24="","",+'Pon-Bat'!BB24/'Pon-Bat'!AY24)</f>
        <v/>
      </c>
      <c r="CJ24" s="504" t="str">
        <f>IF('Pon-Bat'!BB24="","",+(SUM('Pon-Bat'!$BB$8:BB24)/SUM('Pon-Bat'!$AY$8:AY24)))</f>
        <v/>
      </c>
      <c r="CK24" s="494" t="str">
        <f>IF('Pon-Bat'!BC24="","",+'Pon-Bat'!BC24/'Pon-Bat'!AY24)</f>
        <v/>
      </c>
      <c r="CL24" s="504" t="str">
        <f>IF('Pon-Bat'!BC24="","",+(SUM('Pon-Bat'!$BC$8:BC24)/SUM('Pon-Bat'!$AY$8:AY24)))</f>
        <v/>
      </c>
      <c r="CM24" s="494" t="str">
        <f>IF('Pon-Bat'!BD24="","",+'Pon-Bat'!BD24/'Pon-Bat'!AY24)</f>
        <v/>
      </c>
      <c r="CN24" s="496" t="str">
        <f>IF('Pon-Bat'!BD24="","",+(SUM('Pon-Bat'!$BD$8:BD24)/SUM('Pon-Bat'!$AY$8:AY24)))</f>
        <v/>
      </c>
    </row>
    <row r="25" spans="1:92" ht="24" customHeight="1" thickBot="1" x14ac:dyDescent="0.25">
      <c r="A25" s="453">
        <f>A24+7</f>
        <v>43530</v>
      </c>
      <c r="B25" s="465">
        <f t="shared" si="1"/>
        <v>40</v>
      </c>
      <c r="C25" s="503" t="str">
        <f>IF('Pon-Bat'!D25="","",+'Pon-Bat'!D25/'Pon-Bat'!C25)</f>
        <v/>
      </c>
      <c r="D25" s="504" t="str">
        <f>IF('Pon-Bat'!D25="","",+(SUM('Pon-Bat'!$D$8:D25)/SUM('Pon-Bat'!$C$8:C25)))</f>
        <v/>
      </c>
      <c r="E25" s="494" t="str">
        <f>IF('Pon-Bat'!E25="","",+'Pon-Bat'!E25/'Pon-Bat'!C25)</f>
        <v/>
      </c>
      <c r="F25" s="504" t="str">
        <f>IF('Pon-Bat'!E25="","",+(SUM('Pon-Bat'!$E$8:E25)/SUM('Pon-Bat'!$C$8:C25)))</f>
        <v/>
      </c>
      <c r="G25" s="494" t="str">
        <f>IF('Pon-Bat'!F25="","",+'Pon-Bat'!F25/'Pon-Bat'!C25)</f>
        <v/>
      </c>
      <c r="H25" s="504" t="str">
        <f>IF('Pon-Bat'!F25="","",+(SUM('Pon-Bat'!$F$8:F25)/SUM('Pon-Bat'!$C$8:C25)))</f>
        <v/>
      </c>
      <c r="I25" s="494" t="str">
        <f>IF('Pon-Bat'!G25="","",+'Pon-Bat'!G25/'Pon-Bat'!C25)</f>
        <v/>
      </c>
      <c r="J25" s="504" t="str">
        <f>IF('Pon-Bat'!G25="","",+(SUM('Pon-Bat'!$G$8:G25)/SUM('Pon-Bat'!$C$8:C25)))</f>
        <v/>
      </c>
      <c r="K25" s="494" t="str">
        <f>IF('Pon-Bat'!H25="","",+'Pon-Bat'!H25/'Pon-Bat'!C25)</f>
        <v/>
      </c>
      <c r="L25" s="496" t="str">
        <f>IF('Pon-Bat'!H25="","",+(SUM('Pon-Bat'!$H$8:H25)/SUM('Pon-Bat'!$C$8:C25)))</f>
        <v/>
      </c>
      <c r="M25" s="503" t="str">
        <f>IF('Pon-Bat'!J25="","",+'Pon-Bat'!J25/'Pon-Bat'!I25)</f>
        <v/>
      </c>
      <c r="N25" s="504" t="str">
        <f>IF('Pon-Bat'!J25="","",+(SUM('Pon-Bat'!$J$8:J25)/SUM('Pon-Bat'!$I$8:I25)))</f>
        <v/>
      </c>
      <c r="O25" s="494" t="str">
        <f>IF('Pon-Bat'!K25="","",+'Pon-Bat'!K25/'Pon-Bat'!I25)</f>
        <v/>
      </c>
      <c r="P25" s="504" t="str">
        <f>IF('Pon-Bat'!K25="","",+(SUM('Pon-Bat'!$K$8:K25)/SUM('Pon-Bat'!$I$8:I25)))</f>
        <v/>
      </c>
      <c r="Q25" s="494" t="str">
        <f>IF('Pon-Bat'!L25="","",+'Pon-Bat'!L25/'Pon-Bat'!I25)</f>
        <v/>
      </c>
      <c r="R25" s="504" t="str">
        <f>IF('Pon-Bat'!L25="","",+(SUM('Pon-Bat'!$L$8:L25)/SUM('Pon-Bat'!$I$8:I25)))</f>
        <v/>
      </c>
      <c r="S25" s="494" t="str">
        <f>IF('Pon-Bat'!M25="","",+'Pon-Bat'!M25/'Pon-Bat'!I25)</f>
        <v/>
      </c>
      <c r="T25" s="504" t="str">
        <f>IF('Pon-Bat'!M25="","",+(SUM('Pon-Bat'!$M$8:M25)/SUM('Pon-Bat'!$I$8:I25)))</f>
        <v/>
      </c>
      <c r="U25" s="494" t="str">
        <f>IF('Pon-Bat'!N25="","",+'Pon-Bat'!N25/'Pon-Bat'!I25)</f>
        <v/>
      </c>
      <c r="V25" s="496" t="str">
        <f>IF('Pon-Bat'!N25="","",+(SUM('Pon-Bat'!$N$8:N25)/SUM('Pon-Bat'!$I$8:I25)))</f>
        <v/>
      </c>
      <c r="W25" s="503" t="str">
        <f>IF('Pon-Bat'!P25="","",+'Pon-Bat'!P25/'Pon-Bat'!O25)</f>
        <v/>
      </c>
      <c r="X25" s="504" t="str">
        <f>IF('Pon-Bat'!P25="","",+(SUM('Pon-Bat'!$P$8:P25)/SUM('Pon-Bat'!$O$8:O25)))</f>
        <v/>
      </c>
      <c r="Y25" s="494" t="str">
        <f>IF('Pon-Bat'!Q25="","",+'Pon-Bat'!Q25/'Pon-Bat'!O25)</f>
        <v/>
      </c>
      <c r="Z25" s="504" t="str">
        <f>IF('Pon-Bat'!Q25="","",+(SUM('Pon-Bat'!$Q$8:Q25)/SUM('Pon-Bat'!$O$8:O25)))</f>
        <v/>
      </c>
      <c r="AA25" s="494" t="str">
        <f>IF('Pon-Bat'!R25="","",+'Pon-Bat'!R25/'Pon-Bat'!O25)</f>
        <v/>
      </c>
      <c r="AB25" s="504" t="str">
        <f>IF('Pon-Bat'!R25="","",+(SUM('Pon-Bat'!$R$8:R25)/SUM('Pon-Bat'!$O$8:O25)))</f>
        <v/>
      </c>
      <c r="AC25" s="494" t="str">
        <f>IF('Pon-Bat'!S25="","",+'Pon-Bat'!S25/'Pon-Bat'!O25)</f>
        <v/>
      </c>
      <c r="AD25" s="504" t="str">
        <f>IF('Pon-Bat'!S25="","",+(SUM('Pon-Bat'!$S$8:S25)/SUM('Pon-Bat'!$O$8:O25)))</f>
        <v/>
      </c>
      <c r="AE25" s="494" t="str">
        <f>IF('Pon-Bat'!T25="","",+'Pon-Bat'!T25/'Pon-Bat'!O25)</f>
        <v/>
      </c>
      <c r="AF25" s="496" t="str">
        <f>IF('Pon-Bat'!T25="","",+(SUM('Pon-Bat'!$T$8:T25)/SUM('Pon-Bat'!$O$8:O25)))</f>
        <v/>
      </c>
      <c r="AG25" s="503" t="str">
        <f>IF('Pon-Bat'!V25="","",+'Pon-Bat'!V25/'Pon-Bat'!U25)</f>
        <v/>
      </c>
      <c r="AH25" s="504" t="str">
        <f>IF('Pon-Bat'!V25="","",+(SUM('Pon-Bat'!$V$8:V25)/SUM('Pon-Bat'!$U$8:U25)))</f>
        <v/>
      </c>
      <c r="AI25" s="494" t="str">
        <f>IF('Pon-Bat'!W25="","",+'Pon-Bat'!W25/'Pon-Bat'!U25)</f>
        <v/>
      </c>
      <c r="AJ25" s="504" t="str">
        <f>IF('Pon-Bat'!W25="","",+(SUM('Pon-Bat'!$W$8:W25)/SUM('Pon-Bat'!$U$8:U25)))</f>
        <v/>
      </c>
      <c r="AK25" s="494" t="str">
        <f>IF('Pon-Bat'!X25="","",+'Pon-Bat'!X25/'Pon-Bat'!U25)</f>
        <v/>
      </c>
      <c r="AL25" s="504" t="str">
        <f>IF('Pon-Bat'!X25="","",+(SUM('Pon-Bat'!$X$8:X25)/SUM('Pon-Bat'!$U$8:U25)))</f>
        <v/>
      </c>
      <c r="AM25" s="494" t="str">
        <f>IF('Pon-Bat'!Y25="","",+'Pon-Bat'!Y25/'Pon-Bat'!U25)</f>
        <v/>
      </c>
      <c r="AN25" s="504" t="str">
        <f>IF('Pon-Bat'!Y25="","",+(SUM('Pon-Bat'!$Y$8:Y25)/SUM('Pon-Bat'!$U$8:U25)))</f>
        <v/>
      </c>
      <c r="AO25" s="494" t="str">
        <f>IF('Pon-Bat'!Z25="","",+'Pon-Bat'!Z25/'Pon-Bat'!U25)</f>
        <v/>
      </c>
      <c r="AP25" s="496" t="str">
        <f>IF('Pon-Bat'!Z25="","",+(SUM('Pon-Bat'!$Z$8:Z25)/SUM('Pon-Bat'!$U$8:U25)))</f>
        <v/>
      </c>
      <c r="AQ25" s="503" t="str">
        <f>IF('Pon-Bat'!AB25="","",+'Pon-Bat'!AB25/'Pon-Bat'!AA25)</f>
        <v/>
      </c>
      <c r="AR25" s="504" t="str">
        <f>IF('Pon-Bat'!AB25="","",+(SUM('Pon-Bat'!$AB$8:AB25)/SUM('Pon-Bat'!$AA$8:AA25)))</f>
        <v/>
      </c>
      <c r="AS25" s="494" t="str">
        <f>IF('Pon-Bat'!AC25="","",+'Pon-Bat'!AC25/'Pon-Bat'!AA25)</f>
        <v/>
      </c>
      <c r="AT25" s="504" t="str">
        <f>IF('Pon-Bat'!AC25="","",+(SUM('Pon-Bat'!$AC$8:AC25)/SUM('Pon-Bat'!$AA$8:AA25)))</f>
        <v/>
      </c>
      <c r="AU25" s="494" t="str">
        <f>IF('Pon-Bat'!AD25="","",+'Pon-Bat'!AD25/'Pon-Bat'!AA25)</f>
        <v/>
      </c>
      <c r="AV25" s="504" t="str">
        <f>IF('Pon-Bat'!AD25="","",+(SUM('Pon-Bat'!$AD$8:AD25)/SUM('Pon-Bat'!$AA$8:AA25)))</f>
        <v/>
      </c>
      <c r="AW25" s="494" t="str">
        <f>IF('Pon-Bat'!AE25="","",+'Pon-Bat'!AE25/'Pon-Bat'!AA25)</f>
        <v/>
      </c>
      <c r="AX25" s="504" t="str">
        <f>IF('Pon-Bat'!AE25="","",+(SUM('Pon-Bat'!$AE$8:AE25)/SUM('Pon-Bat'!$AA$8:AA25)))</f>
        <v/>
      </c>
      <c r="AY25" s="494" t="str">
        <f>IF('Pon-Bat'!AF25="","",+'Pon-Bat'!AF25/'Pon-Bat'!AA25)</f>
        <v/>
      </c>
      <c r="AZ25" s="496" t="str">
        <f>IF('Pon-Bat'!AF25="","",+(SUM('Pon-Bat'!$AF$8:AF25)/SUM('Pon-Bat'!$AA$8:AA25)))</f>
        <v/>
      </c>
      <c r="BA25" s="503" t="str">
        <f>IF('Pon-Bat'!AH25="","",+'Pon-Bat'!AH25/'Pon-Bat'!AG25)</f>
        <v/>
      </c>
      <c r="BB25" s="504" t="str">
        <f>IF('Pon-Bat'!AH25="","",+(SUM('Pon-Bat'!$AH$8:AH25)/SUM('Pon-Bat'!$AG$8:AG25)))</f>
        <v/>
      </c>
      <c r="BC25" s="494" t="str">
        <f>IF('Pon-Bat'!AI25="","",+'Pon-Bat'!AI25/'Pon-Bat'!AG25)</f>
        <v/>
      </c>
      <c r="BD25" s="504" t="str">
        <f>IF('Pon-Bat'!AI25="","",+(SUM('Pon-Bat'!$AI$8:AI25)/SUM('Pon-Bat'!$AG$8:AG25)))</f>
        <v/>
      </c>
      <c r="BE25" s="494" t="str">
        <f>IF('Pon-Bat'!AJ25="","",+'Pon-Bat'!AJ25/'Pon-Bat'!AG25)</f>
        <v/>
      </c>
      <c r="BF25" s="504" t="str">
        <f>IF('Pon-Bat'!AJ25="","",+(SUM('Pon-Bat'!$AJ$8:AJ25)/SUM('Pon-Bat'!$AG$8:AG25)))</f>
        <v/>
      </c>
      <c r="BG25" s="494" t="str">
        <f>IF('Pon-Bat'!AK25="","",+'Pon-Bat'!AK25/'Pon-Bat'!AG25)</f>
        <v/>
      </c>
      <c r="BH25" s="504" t="str">
        <f>IF('Pon-Bat'!AK25="","",+(SUM('Pon-Bat'!$AK$8:AK25)/SUM('Pon-Bat'!$AG$8:AG25)))</f>
        <v/>
      </c>
      <c r="BI25" s="494" t="str">
        <f>IF('Pon-Bat'!AL25="","",+'Pon-Bat'!AL25/'Pon-Bat'!AG25)</f>
        <v/>
      </c>
      <c r="BJ25" s="496" t="str">
        <f>IF('Pon-Bat'!AL25="","",+(SUM('Pon-Bat'!$AL$8:AL25)/SUM('Pon-Bat'!$AG$8:AG25)))</f>
        <v/>
      </c>
      <c r="BK25" s="501" t="str">
        <f>IF('Pon-Bat'!AN25="","",+'Pon-Bat'!AN25/'Pon-Bat'!AM25)</f>
        <v/>
      </c>
      <c r="BL25" s="504" t="str">
        <f>IF('Pon-Bat'!AN25="","",+(SUM('Pon-Bat'!$AN$8:AN25)/SUM('Pon-Bat'!$AM$8:AM25)))</f>
        <v/>
      </c>
      <c r="BM25" s="499" t="str">
        <f>IF('Pon-Bat'!AO25="","",+'Pon-Bat'!AO25/'Pon-Bat'!AM25)</f>
        <v/>
      </c>
      <c r="BN25" s="504" t="str">
        <f>IF('Pon-Bat'!AO25="","",+(SUM('Pon-Bat'!$AO$8:AO25)/SUM('Pon-Bat'!$AM$8:AM25)))</f>
        <v/>
      </c>
      <c r="BO25" s="499" t="str">
        <f>IF('Pon-Bat'!AP25="","",+'Pon-Bat'!AP25/'Pon-Bat'!AM25)</f>
        <v/>
      </c>
      <c r="BP25" s="504" t="str">
        <f>IF('Pon-Bat'!AP25="","",+(SUM('Pon-Bat'!$AP$8:AP25)/SUM('Pon-Bat'!$AM$8:AM25)))</f>
        <v/>
      </c>
      <c r="BQ25" s="499" t="str">
        <f>IF('Pon-Bat'!AQ25="","",+'Pon-Bat'!AQ25/'Pon-Bat'!AM25)</f>
        <v/>
      </c>
      <c r="BR25" s="504" t="str">
        <f>IF('Pon-Bat'!AQ25="","",+(SUM('Pon-Bat'!$AQ$8:AQ25)/SUM('Pon-Bat'!$AM$8:AM25)))</f>
        <v/>
      </c>
      <c r="BS25" s="499" t="str">
        <f>IF('Pon-Bat'!AR25="","",+'Pon-Bat'!AR25/'Pon-Bat'!AM25)</f>
        <v/>
      </c>
      <c r="BT25" s="496" t="str">
        <f>IF('Pon-Bat'!AR25="","",+(SUM('Pon-Bat'!$AR$8:AR25)/SUM('Pon-Bat'!$AM$8:AM25)))</f>
        <v/>
      </c>
      <c r="BU25" s="501" t="str">
        <f>IF('Pon-Bat'!AT25="","",+'Pon-Bat'!AT25/'Pon-Bat'!AS25)</f>
        <v/>
      </c>
      <c r="BV25" s="504" t="str">
        <f>IF('Pon-Bat'!AT25="","",+(SUM('Pon-Bat'!$AT$8:AT25)/SUM('Pon-Bat'!$AS$8:AS25)))</f>
        <v/>
      </c>
      <c r="BW25" s="499" t="str">
        <f>IF('Pon-Bat'!AU25="","",+'Pon-Bat'!AU25/'Pon-Bat'!AS25)</f>
        <v/>
      </c>
      <c r="BX25" s="504" t="str">
        <f>IF('Pon-Bat'!AU25="","",+(SUM('Pon-Bat'!$AU$8:AU25)/SUM('Pon-Bat'!$AS$8:AS25)))</f>
        <v/>
      </c>
      <c r="BY25" s="499" t="str">
        <f>IF('Pon-Bat'!AV25="","",+'Pon-Bat'!AV25/'Pon-Bat'!AS25)</f>
        <v/>
      </c>
      <c r="BZ25" s="504" t="str">
        <f>IF('Pon-Bat'!AV25="","",+(SUM('Pon-Bat'!$AV$8:AV25)/SUM('Pon-Bat'!$AS$8:AS25)))</f>
        <v/>
      </c>
      <c r="CA25" s="499" t="str">
        <f>IF('Pon-Bat'!AW25="","",+'Pon-Bat'!AW25/'Pon-Bat'!AS25)</f>
        <v/>
      </c>
      <c r="CB25" s="504" t="str">
        <f>IF('Pon-Bat'!AW25="","",+(SUM('Pon-Bat'!$AW$8:AW25)/SUM('Pon-Bat'!$AS$8:AS25)))</f>
        <v/>
      </c>
      <c r="CC25" s="499" t="str">
        <f>IF('Pon-Bat'!AX25="","",+'Pon-Bat'!AX25/'Pon-Bat'!AS25)</f>
        <v/>
      </c>
      <c r="CD25" s="496" t="str">
        <f>IF('Pon-Bat'!AX25="","",+(SUM('Pon-Bat'!$AX$8:AX25)/SUM('Pon-Bat'!$AS$8:AS25)))</f>
        <v/>
      </c>
      <c r="CE25" s="503" t="str">
        <f>IF('Pon-Bat'!AZ25="","",+'Pon-Bat'!AZ25/'Pon-Bat'!AY25)</f>
        <v/>
      </c>
      <c r="CF25" s="504" t="str">
        <f>IF('Pon-Bat'!AZ25="","",+(SUM('Pon-Bat'!$AZ$8:AZ25)/SUM('Pon-Bat'!$AY$8:AY25)))</f>
        <v/>
      </c>
      <c r="CG25" s="494" t="str">
        <f>IF('Pon-Bat'!BA25="","",+'Pon-Bat'!BA25/'Pon-Bat'!AY25)</f>
        <v/>
      </c>
      <c r="CH25" s="504" t="str">
        <f>IF('Pon-Bat'!BA25="","",+(SUM('Pon-Bat'!$BA$8:BA25)/SUM('Pon-Bat'!$AY$8:AY25)))</f>
        <v/>
      </c>
      <c r="CI25" s="499" t="str">
        <f>IF('Pon-Bat'!BB25="","",+'Pon-Bat'!BB25/'Pon-Bat'!AY25)</f>
        <v/>
      </c>
      <c r="CJ25" s="504" t="str">
        <f>IF('Pon-Bat'!BB25="","",+(SUM('Pon-Bat'!$BB$8:BB25)/SUM('Pon-Bat'!$AY$8:AY25)))</f>
        <v/>
      </c>
      <c r="CK25" s="494" t="str">
        <f>IF('Pon-Bat'!BC25="","",+'Pon-Bat'!BC25/'Pon-Bat'!AY25)</f>
        <v/>
      </c>
      <c r="CL25" s="504" t="str">
        <f>IF('Pon-Bat'!BC25="","",+(SUM('Pon-Bat'!$BC$8:BC25)/SUM('Pon-Bat'!$AY$8:AY25)))</f>
        <v/>
      </c>
      <c r="CM25" s="494" t="str">
        <f>IF('Pon-Bat'!BD25="","",+'Pon-Bat'!BD25/'Pon-Bat'!AY25)</f>
        <v/>
      </c>
      <c r="CN25" s="496" t="str">
        <f>IF('Pon-Bat'!BD25="","",+(SUM('Pon-Bat'!$BD$8:BD25)/SUM('Pon-Bat'!$AY$8:AY25)))</f>
        <v/>
      </c>
    </row>
    <row r="26" spans="1:92" ht="24" customHeight="1" thickBot="1" x14ac:dyDescent="0.25">
      <c r="A26" s="453">
        <f>A25+7</f>
        <v>43537</v>
      </c>
      <c r="B26" s="465">
        <f>+B25+1</f>
        <v>41</v>
      </c>
      <c r="C26" s="503" t="str">
        <f>IF('Pon-Bat'!D26="","",+'Pon-Bat'!D26/'Pon-Bat'!C26)</f>
        <v/>
      </c>
      <c r="D26" s="504" t="str">
        <f>IF('Pon-Bat'!D26="","",+(SUM('Pon-Bat'!$D$8:D26)/SUM('Pon-Bat'!$C$8:C26)))</f>
        <v/>
      </c>
      <c r="E26" s="494" t="str">
        <f>IF('Pon-Bat'!E26="","",+'Pon-Bat'!E26/'Pon-Bat'!C26)</f>
        <v/>
      </c>
      <c r="F26" s="504" t="str">
        <f>IF('Pon-Bat'!E26="","",+(SUM('Pon-Bat'!$E$8:E26)/SUM('Pon-Bat'!$C$8:C26)))</f>
        <v/>
      </c>
      <c r="G26" s="494" t="str">
        <f>IF('Pon-Bat'!F26="","",+'Pon-Bat'!F26/'Pon-Bat'!C26)</f>
        <v/>
      </c>
      <c r="H26" s="504" t="str">
        <f>IF('Pon-Bat'!F26="","",+(SUM('Pon-Bat'!$F$8:F26)/SUM('Pon-Bat'!$C$8:C26)))</f>
        <v/>
      </c>
      <c r="I26" s="494" t="str">
        <f>IF('Pon-Bat'!G26="","",+'Pon-Bat'!G26/'Pon-Bat'!C26)</f>
        <v/>
      </c>
      <c r="J26" s="504" t="str">
        <f>IF('Pon-Bat'!G26="","",+(SUM('Pon-Bat'!$G$8:G26)/SUM('Pon-Bat'!$C$8:C26)))</f>
        <v/>
      </c>
      <c r="K26" s="494" t="str">
        <f>IF('Pon-Bat'!H26="","",+'Pon-Bat'!H26/'Pon-Bat'!C26)</f>
        <v/>
      </c>
      <c r="L26" s="496" t="str">
        <f>IF('Pon-Bat'!H26="","",+(SUM('Pon-Bat'!$H$8:H26)/SUM('Pon-Bat'!$C$8:C26)))</f>
        <v/>
      </c>
      <c r="M26" s="503" t="str">
        <f>IF('Pon-Bat'!J26="","",+'Pon-Bat'!J26/'Pon-Bat'!I26)</f>
        <v/>
      </c>
      <c r="N26" s="504" t="str">
        <f>IF('Pon-Bat'!J26="","",+(SUM('Pon-Bat'!$J$8:J26)/SUM('Pon-Bat'!$I$8:I26)))</f>
        <v/>
      </c>
      <c r="O26" s="494" t="str">
        <f>IF('Pon-Bat'!K26="","",+'Pon-Bat'!K26/'Pon-Bat'!I26)</f>
        <v/>
      </c>
      <c r="P26" s="504" t="str">
        <f>IF('Pon-Bat'!K26="","",+(SUM('Pon-Bat'!$K$8:K26)/SUM('Pon-Bat'!$I$8:I26)))</f>
        <v/>
      </c>
      <c r="Q26" s="494" t="str">
        <f>IF('Pon-Bat'!L26="","",+'Pon-Bat'!L26/'Pon-Bat'!I26)</f>
        <v/>
      </c>
      <c r="R26" s="504" t="str">
        <f>IF('Pon-Bat'!L26="","",+(SUM('Pon-Bat'!$L$8:L26)/SUM('Pon-Bat'!$I$8:I26)))</f>
        <v/>
      </c>
      <c r="S26" s="494" t="str">
        <f>IF('Pon-Bat'!M26="","",+'Pon-Bat'!M26/'Pon-Bat'!I26)</f>
        <v/>
      </c>
      <c r="T26" s="504" t="str">
        <f>IF('Pon-Bat'!M26="","",+(SUM('Pon-Bat'!$M$8:M26)/SUM('Pon-Bat'!$I$8:I26)))</f>
        <v/>
      </c>
      <c r="U26" s="494" t="str">
        <f>IF('Pon-Bat'!N26="","",+'Pon-Bat'!N26/'Pon-Bat'!I26)</f>
        <v/>
      </c>
      <c r="V26" s="496" t="str">
        <f>IF('Pon-Bat'!N26="","",+(SUM('Pon-Bat'!$N$8:N26)/SUM('Pon-Bat'!$I$8:I26)))</f>
        <v/>
      </c>
      <c r="W26" s="503" t="str">
        <f>IF('Pon-Bat'!P26="","",+'Pon-Bat'!P26/'Pon-Bat'!O26)</f>
        <v/>
      </c>
      <c r="X26" s="504" t="str">
        <f>IF('Pon-Bat'!P26="","",+(SUM('Pon-Bat'!$P$8:P26)/SUM('Pon-Bat'!$O$8:O26)))</f>
        <v/>
      </c>
      <c r="Y26" s="494" t="str">
        <f>IF('Pon-Bat'!Q26="","",+'Pon-Bat'!Q26/'Pon-Bat'!O26)</f>
        <v/>
      </c>
      <c r="Z26" s="504" t="str">
        <f>IF('Pon-Bat'!Q26="","",+(SUM('Pon-Bat'!$Q$8:Q26)/SUM('Pon-Bat'!$O$8:O26)))</f>
        <v/>
      </c>
      <c r="AA26" s="494" t="str">
        <f>IF('Pon-Bat'!R26="","",+'Pon-Bat'!R26/'Pon-Bat'!O26)</f>
        <v/>
      </c>
      <c r="AB26" s="504" t="str">
        <f>IF('Pon-Bat'!R26="","",+(SUM('Pon-Bat'!$R$8:R26)/SUM('Pon-Bat'!$O$8:O26)))</f>
        <v/>
      </c>
      <c r="AC26" s="494" t="str">
        <f>IF('Pon-Bat'!S26="","",+'Pon-Bat'!S26/'Pon-Bat'!O26)</f>
        <v/>
      </c>
      <c r="AD26" s="504" t="str">
        <f>IF('Pon-Bat'!S26="","",+(SUM('Pon-Bat'!$S$8:S26)/SUM('Pon-Bat'!$O$8:O26)))</f>
        <v/>
      </c>
      <c r="AE26" s="494" t="str">
        <f>IF('Pon-Bat'!T26="","",+'Pon-Bat'!T26/'Pon-Bat'!O26)</f>
        <v/>
      </c>
      <c r="AF26" s="496" t="str">
        <f>IF('Pon-Bat'!T26="","",+(SUM('Pon-Bat'!$T$8:T26)/SUM('Pon-Bat'!$O$8:O26)))</f>
        <v/>
      </c>
      <c r="AG26" s="503" t="str">
        <f>IF('Pon-Bat'!V26="","",+'Pon-Bat'!V26/'Pon-Bat'!U26)</f>
        <v/>
      </c>
      <c r="AH26" s="504" t="str">
        <f>IF('Pon-Bat'!V26="","",+(SUM('Pon-Bat'!$V$8:V26)/SUM('Pon-Bat'!$U$8:U26)))</f>
        <v/>
      </c>
      <c r="AI26" s="494" t="str">
        <f>IF('Pon-Bat'!W26="","",+'Pon-Bat'!W26/'Pon-Bat'!U26)</f>
        <v/>
      </c>
      <c r="AJ26" s="504" t="str">
        <f>IF('Pon-Bat'!W26="","",+(SUM('Pon-Bat'!$W$8:W26)/SUM('Pon-Bat'!$U$8:U26)))</f>
        <v/>
      </c>
      <c r="AK26" s="494" t="str">
        <f>IF('Pon-Bat'!X26="","",+'Pon-Bat'!X26/'Pon-Bat'!U26)</f>
        <v/>
      </c>
      <c r="AL26" s="504" t="str">
        <f>IF('Pon-Bat'!X26="","",+(SUM('Pon-Bat'!$X$8:X26)/SUM('Pon-Bat'!$U$8:U26)))</f>
        <v/>
      </c>
      <c r="AM26" s="494" t="str">
        <f>IF('Pon-Bat'!Y26="","",+'Pon-Bat'!Y26/'Pon-Bat'!U26)</f>
        <v/>
      </c>
      <c r="AN26" s="504" t="str">
        <f>IF('Pon-Bat'!Y26="","",+(SUM('Pon-Bat'!$Y$8:Y26)/SUM('Pon-Bat'!$U$8:U26)))</f>
        <v/>
      </c>
      <c r="AO26" s="494" t="str">
        <f>IF('Pon-Bat'!Z26="","",+'Pon-Bat'!Z26/'Pon-Bat'!U26)</f>
        <v/>
      </c>
      <c r="AP26" s="496" t="str">
        <f>IF('Pon-Bat'!Z26="","",+(SUM('Pon-Bat'!$Z$8:Z26)/SUM('Pon-Bat'!$U$8:U26)))</f>
        <v/>
      </c>
      <c r="AQ26" s="503" t="str">
        <f>IF('Pon-Bat'!AB26="","",+'Pon-Bat'!AB26/'Pon-Bat'!AA26)</f>
        <v/>
      </c>
      <c r="AR26" s="504" t="str">
        <f>IF('Pon-Bat'!AB26="","",+(SUM('Pon-Bat'!$AB$8:AB26)/SUM('Pon-Bat'!$AA$8:AA26)))</f>
        <v/>
      </c>
      <c r="AS26" s="494" t="str">
        <f>IF('Pon-Bat'!AC26="","",+'Pon-Bat'!AC26/'Pon-Bat'!AA26)</f>
        <v/>
      </c>
      <c r="AT26" s="504" t="str">
        <f>IF('Pon-Bat'!AC26="","",+(SUM('Pon-Bat'!$AC$8:AC26)/SUM('Pon-Bat'!$AA$8:AA26)))</f>
        <v/>
      </c>
      <c r="AU26" s="494" t="str">
        <f>IF('Pon-Bat'!AD26="","",+'Pon-Bat'!AD26/'Pon-Bat'!AA26)</f>
        <v/>
      </c>
      <c r="AV26" s="504" t="str">
        <f>IF('Pon-Bat'!AD26="","",+(SUM('Pon-Bat'!$AD$8:AD26)/SUM('Pon-Bat'!$AA$8:AA26)))</f>
        <v/>
      </c>
      <c r="AW26" s="494" t="str">
        <f>IF('Pon-Bat'!AE26="","",+'Pon-Bat'!AE26/'Pon-Bat'!AA26)</f>
        <v/>
      </c>
      <c r="AX26" s="504" t="str">
        <f>IF('Pon-Bat'!AE26="","",+(SUM('Pon-Bat'!$AE$8:AE26)/SUM('Pon-Bat'!$AA$8:AA26)))</f>
        <v/>
      </c>
      <c r="AY26" s="494" t="str">
        <f>IF('Pon-Bat'!AF26="","",+'Pon-Bat'!AF26/'Pon-Bat'!AA26)</f>
        <v/>
      </c>
      <c r="AZ26" s="496" t="str">
        <f>IF('Pon-Bat'!AF26="","",+(SUM('Pon-Bat'!$AF$8:AF26)/SUM('Pon-Bat'!$AA$8:AA26)))</f>
        <v/>
      </c>
      <c r="BA26" s="503" t="str">
        <f>IF('Pon-Bat'!AH26="","",+'Pon-Bat'!AH26/'Pon-Bat'!AG26)</f>
        <v/>
      </c>
      <c r="BB26" s="504" t="str">
        <f>IF('Pon-Bat'!AH26="","",+(SUM('Pon-Bat'!$AH$8:AH26)/SUM('Pon-Bat'!$AG$8:AG26)))</f>
        <v/>
      </c>
      <c r="BC26" s="494" t="str">
        <f>IF('Pon-Bat'!AI26="","",+'Pon-Bat'!AI26/'Pon-Bat'!AG26)</f>
        <v/>
      </c>
      <c r="BD26" s="504" t="str">
        <f>IF('Pon-Bat'!AI26="","",+(SUM('Pon-Bat'!$AI$8:AI26)/SUM('Pon-Bat'!$AG$8:AG26)))</f>
        <v/>
      </c>
      <c r="BE26" s="494" t="str">
        <f>IF('Pon-Bat'!AJ26="","",+'Pon-Bat'!AJ26/'Pon-Bat'!AG26)</f>
        <v/>
      </c>
      <c r="BF26" s="504" t="str">
        <f>IF('Pon-Bat'!AJ26="","",+(SUM('Pon-Bat'!$AJ$8:AJ26)/SUM('Pon-Bat'!$AG$8:AG26)))</f>
        <v/>
      </c>
      <c r="BG26" s="494" t="str">
        <f>IF('Pon-Bat'!AK26="","",+'Pon-Bat'!AK26/'Pon-Bat'!AG26)</f>
        <v/>
      </c>
      <c r="BH26" s="504" t="str">
        <f>IF('Pon-Bat'!AK26="","",+(SUM('Pon-Bat'!$AK$8:AK26)/SUM('Pon-Bat'!$AG$8:AG26)))</f>
        <v/>
      </c>
      <c r="BI26" s="494" t="str">
        <f>IF('Pon-Bat'!AL26="","",+'Pon-Bat'!AL26/'Pon-Bat'!AG26)</f>
        <v/>
      </c>
      <c r="BJ26" s="496" t="str">
        <f>IF('Pon-Bat'!AL26="","",+(SUM('Pon-Bat'!$AL$8:AL26)/SUM('Pon-Bat'!$AG$8:AG26)))</f>
        <v/>
      </c>
      <c r="BK26" s="501" t="str">
        <f>IF('Pon-Bat'!AN26="","",+'Pon-Bat'!AN26/'Pon-Bat'!AM26)</f>
        <v/>
      </c>
      <c r="BL26" s="504" t="str">
        <f>IF('Pon-Bat'!AN26="","",+(SUM('Pon-Bat'!$AN$8:AN26)/SUM('Pon-Bat'!$AM$8:AM26)))</f>
        <v/>
      </c>
      <c r="BM26" s="499" t="str">
        <f>IF('Pon-Bat'!AO26="","",+'Pon-Bat'!AO26/'Pon-Bat'!AM26)</f>
        <v/>
      </c>
      <c r="BN26" s="504" t="str">
        <f>IF('Pon-Bat'!AO26="","",+(SUM('Pon-Bat'!$AO$8:AO26)/SUM('Pon-Bat'!$AM$8:AM26)))</f>
        <v/>
      </c>
      <c r="BO26" s="499" t="str">
        <f>IF('Pon-Bat'!AP26="","",+'Pon-Bat'!AP26/'Pon-Bat'!AM26)</f>
        <v/>
      </c>
      <c r="BP26" s="504" t="str">
        <f>IF('Pon-Bat'!AP26="","",+(SUM('Pon-Bat'!$AP$8:AP26)/SUM('Pon-Bat'!$AM$8:AM26)))</f>
        <v/>
      </c>
      <c r="BQ26" s="499" t="str">
        <f>IF('Pon-Bat'!AQ26="","",+'Pon-Bat'!AQ26/'Pon-Bat'!AM26)</f>
        <v/>
      </c>
      <c r="BR26" s="504" t="str">
        <f>IF('Pon-Bat'!AQ26="","",+(SUM('Pon-Bat'!$AQ$8:AQ26)/SUM('Pon-Bat'!$AM$8:AM26)))</f>
        <v/>
      </c>
      <c r="BS26" s="499" t="str">
        <f>IF('Pon-Bat'!AR26="","",+'Pon-Bat'!AR26/'Pon-Bat'!AM26)</f>
        <v/>
      </c>
      <c r="BT26" s="496" t="str">
        <f>IF('Pon-Bat'!AR26="","",+(SUM('Pon-Bat'!$AR$8:AR26)/SUM('Pon-Bat'!$AM$8:AM26)))</f>
        <v/>
      </c>
      <c r="BU26" s="501" t="str">
        <f>IF('Pon-Bat'!AT26="","",+'Pon-Bat'!AT26/'Pon-Bat'!AS26)</f>
        <v/>
      </c>
      <c r="BV26" s="504" t="str">
        <f>IF('Pon-Bat'!AT26="","",+(SUM('Pon-Bat'!$AT$8:AT26)/SUM('Pon-Bat'!$AS$8:AS26)))</f>
        <v/>
      </c>
      <c r="BW26" s="499" t="str">
        <f>IF('Pon-Bat'!AU26="","",+'Pon-Bat'!AU26/'Pon-Bat'!AS26)</f>
        <v/>
      </c>
      <c r="BX26" s="504" t="str">
        <f>IF('Pon-Bat'!AU26="","",+(SUM('Pon-Bat'!$AU$8:AU26)/SUM('Pon-Bat'!$AS$8:AS26)))</f>
        <v/>
      </c>
      <c r="BY26" s="499" t="str">
        <f>IF('Pon-Bat'!AV26="","",+'Pon-Bat'!AV26/'Pon-Bat'!AS26)</f>
        <v/>
      </c>
      <c r="BZ26" s="504" t="str">
        <f>IF('Pon-Bat'!AV26="","",+(SUM('Pon-Bat'!$AV$8:AV26)/SUM('Pon-Bat'!$AS$8:AS26)))</f>
        <v/>
      </c>
      <c r="CA26" s="499" t="str">
        <f>IF('Pon-Bat'!AW26="","",+'Pon-Bat'!AW26/'Pon-Bat'!AS26)</f>
        <v/>
      </c>
      <c r="CB26" s="504" t="str">
        <f>IF('Pon-Bat'!AW26="","",+(SUM('Pon-Bat'!$AW$8:AW26)/SUM('Pon-Bat'!$AS$8:AS26)))</f>
        <v/>
      </c>
      <c r="CC26" s="499" t="str">
        <f>IF('Pon-Bat'!AX26="","",+'Pon-Bat'!AX26/'Pon-Bat'!AS26)</f>
        <v/>
      </c>
      <c r="CD26" s="496" t="str">
        <f>IF('Pon-Bat'!AX26="","",+(SUM('Pon-Bat'!$AX$8:AX26)/SUM('Pon-Bat'!$AS$8:AS26)))</f>
        <v/>
      </c>
      <c r="CE26" s="503" t="str">
        <f>IF('Pon-Bat'!AZ26="","",+'Pon-Bat'!AZ26/'Pon-Bat'!AY26)</f>
        <v/>
      </c>
      <c r="CF26" s="504" t="str">
        <f>IF('Pon-Bat'!AZ26="","",+(SUM('Pon-Bat'!$AZ$8:AZ26)/SUM('Pon-Bat'!$AY$8:AY26)))</f>
        <v/>
      </c>
      <c r="CG26" s="494" t="str">
        <f>IF('Pon-Bat'!BA26="","",+'Pon-Bat'!BA26/'Pon-Bat'!AY26)</f>
        <v/>
      </c>
      <c r="CH26" s="504" t="str">
        <f>IF('Pon-Bat'!BA26="","",+(SUM('Pon-Bat'!$BA$8:BA26)/SUM('Pon-Bat'!$AY$8:AY26)))</f>
        <v/>
      </c>
      <c r="CI26" s="499" t="str">
        <f>IF('Pon-Bat'!BB26="","",+'Pon-Bat'!BB26/'Pon-Bat'!AY26)</f>
        <v/>
      </c>
      <c r="CJ26" s="504" t="str">
        <f>IF('Pon-Bat'!BB26="","",+(SUM('Pon-Bat'!$BB$8:BB26)/SUM('Pon-Bat'!$AY$8:AY26)))</f>
        <v/>
      </c>
      <c r="CK26" s="494" t="str">
        <f>IF('Pon-Bat'!BC26="","",+'Pon-Bat'!BC26/'Pon-Bat'!AY26)</f>
        <v/>
      </c>
      <c r="CL26" s="504" t="str">
        <f>IF('Pon-Bat'!BC26="","",+(SUM('Pon-Bat'!$BC$8:BC26)/SUM('Pon-Bat'!$AY$8:AY26)))</f>
        <v/>
      </c>
      <c r="CM26" s="494" t="str">
        <f>IF('Pon-Bat'!BD26="","",+'Pon-Bat'!BD26/'Pon-Bat'!AY26)</f>
        <v/>
      </c>
      <c r="CN26" s="496" t="str">
        <f>IF('Pon-Bat'!BD26="","",+(SUM('Pon-Bat'!$BD$8:BD26)/SUM('Pon-Bat'!$AY$8:AY26)))</f>
        <v/>
      </c>
    </row>
    <row r="27" spans="1:92" ht="24" customHeight="1" thickBot="1" x14ac:dyDescent="0.25">
      <c r="A27" s="453">
        <f>A26+7</f>
        <v>43544</v>
      </c>
      <c r="B27" s="465">
        <f>+B26+1</f>
        <v>42</v>
      </c>
      <c r="C27" s="503" t="str">
        <f>IF('Pon-Bat'!D27="","",+'Pon-Bat'!D27/'Pon-Bat'!C27)</f>
        <v/>
      </c>
      <c r="D27" s="504" t="str">
        <f>IF('Pon-Bat'!D27="","",+(SUM('Pon-Bat'!$D$8:D27)/SUM('Pon-Bat'!$C$8:C27)))</f>
        <v/>
      </c>
      <c r="E27" s="494" t="str">
        <f>IF('Pon-Bat'!E27="","",+'Pon-Bat'!E27/'Pon-Bat'!C27)</f>
        <v/>
      </c>
      <c r="F27" s="504" t="str">
        <f>IF('Pon-Bat'!E27="","",+(SUM('Pon-Bat'!$E$8:E27)/SUM('Pon-Bat'!$C$8:C27)))</f>
        <v/>
      </c>
      <c r="G27" s="494" t="str">
        <f>IF('Pon-Bat'!F27="","",+'Pon-Bat'!F27/'Pon-Bat'!C27)</f>
        <v/>
      </c>
      <c r="H27" s="504" t="str">
        <f>IF('Pon-Bat'!F27="","",+(SUM('Pon-Bat'!$F$8:F27)/SUM('Pon-Bat'!$C$8:C27)))</f>
        <v/>
      </c>
      <c r="I27" s="494" t="str">
        <f>IF('Pon-Bat'!G27="","",+'Pon-Bat'!G27/'Pon-Bat'!C27)</f>
        <v/>
      </c>
      <c r="J27" s="504" t="str">
        <f>IF('Pon-Bat'!G27="","",+(SUM('Pon-Bat'!$G$8:G27)/SUM('Pon-Bat'!$C$8:C27)))</f>
        <v/>
      </c>
      <c r="K27" s="494" t="str">
        <f>IF('Pon-Bat'!H27="","",+'Pon-Bat'!H27/'Pon-Bat'!C27)</f>
        <v/>
      </c>
      <c r="L27" s="496" t="str">
        <f>IF('Pon-Bat'!H27="","",+(SUM('Pon-Bat'!$H$8:H27)/SUM('Pon-Bat'!$C$8:C27)))</f>
        <v/>
      </c>
      <c r="M27" s="503" t="str">
        <f>IF('Pon-Bat'!J27="","",+'Pon-Bat'!J27/'Pon-Bat'!I27)</f>
        <v/>
      </c>
      <c r="N27" s="504" t="str">
        <f>IF('Pon-Bat'!J27="","",+(SUM('Pon-Bat'!$J$8:J27)/SUM('Pon-Bat'!$I$8:I27)))</f>
        <v/>
      </c>
      <c r="O27" s="494" t="str">
        <f>IF('Pon-Bat'!K27="","",+'Pon-Bat'!K27/'Pon-Bat'!I27)</f>
        <v/>
      </c>
      <c r="P27" s="504" t="str">
        <f>IF('Pon-Bat'!K27="","",+(SUM('Pon-Bat'!$K$8:K27)/SUM('Pon-Bat'!$I$8:I27)))</f>
        <v/>
      </c>
      <c r="Q27" s="494" t="str">
        <f>IF('Pon-Bat'!L27="","",+'Pon-Bat'!L27/'Pon-Bat'!I27)</f>
        <v/>
      </c>
      <c r="R27" s="504" t="str">
        <f>IF('Pon-Bat'!L27="","",+(SUM('Pon-Bat'!$L$8:L27)/SUM('Pon-Bat'!$I$8:I27)))</f>
        <v/>
      </c>
      <c r="S27" s="494" t="str">
        <f>IF('Pon-Bat'!M27="","",+'Pon-Bat'!M27/'Pon-Bat'!I27)</f>
        <v/>
      </c>
      <c r="T27" s="504" t="str">
        <f>IF('Pon-Bat'!M27="","",+(SUM('Pon-Bat'!$M$8:M27)/SUM('Pon-Bat'!$I$8:I27)))</f>
        <v/>
      </c>
      <c r="U27" s="494" t="str">
        <f>IF('Pon-Bat'!N27="","",+'Pon-Bat'!N27/'Pon-Bat'!I27)</f>
        <v/>
      </c>
      <c r="V27" s="496" t="str">
        <f>IF('Pon-Bat'!N27="","",+(SUM('Pon-Bat'!$N$8:N27)/SUM('Pon-Bat'!$I$8:I27)))</f>
        <v/>
      </c>
      <c r="W27" s="503" t="str">
        <f>IF('Pon-Bat'!P27="","",+'Pon-Bat'!P27/'Pon-Bat'!O27)</f>
        <v/>
      </c>
      <c r="X27" s="504" t="str">
        <f>IF('Pon-Bat'!P27="","",+(SUM('Pon-Bat'!$P$8:P27)/SUM('Pon-Bat'!$O$8:O27)))</f>
        <v/>
      </c>
      <c r="Y27" s="494" t="str">
        <f>IF('Pon-Bat'!Q27="","",+'Pon-Bat'!Q27/'Pon-Bat'!O27)</f>
        <v/>
      </c>
      <c r="Z27" s="504" t="str">
        <f>IF('Pon-Bat'!Q27="","",+(SUM('Pon-Bat'!$Q$8:Q27)/SUM('Pon-Bat'!$O$8:O27)))</f>
        <v/>
      </c>
      <c r="AA27" s="494" t="str">
        <f>IF('Pon-Bat'!R27="","",+'Pon-Bat'!R27/'Pon-Bat'!O27)</f>
        <v/>
      </c>
      <c r="AB27" s="504" t="str">
        <f>IF('Pon-Bat'!R27="","",+(SUM('Pon-Bat'!$R$8:R27)/SUM('Pon-Bat'!$O$8:O27)))</f>
        <v/>
      </c>
      <c r="AC27" s="494" t="str">
        <f>IF('Pon-Bat'!S27="","",+'Pon-Bat'!S27/'Pon-Bat'!O27)</f>
        <v/>
      </c>
      <c r="AD27" s="504" t="str">
        <f>IF('Pon-Bat'!S27="","",+(SUM('Pon-Bat'!$S$8:S27)/SUM('Pon-Bat'!$O$8:O27)))</f>
        <v/>
      </c>
      <c r="AE27" s="494" t="str">
        <f>IF('Pon-Bat'!T27="","",+'Pon-Bat'!T27/'Pon-Bat'!O27)</f>
        <v/>
      </c>
      <c r="AF27" s="496" t="str">
        <f>IF('Pon-Bat'!T27="","",+(SUM('Pon-Bat'!$T$8:T27)/SUM('Pon-Bat'!$O$8:O27)))</f>
        <v/>
      </c>
      <c r="AG27" s="503" t="str">
        <f>IF('Pon-Bat'!V27="","",+'Pon-Bat'!V27/'Pon-Bat'!U27)</f>
        <v/>
      </c>
      <c r="AH27" s="504" t="str">
        <f>IF('Pon-Bat'!V27="","",+(SUM('Pon-Bat'!$V$8:V27)/SUM('Pon-Bat'!$U$8:U27)))</f>
        <v/>
      </c>
      <c r="AI27" s="494" t="str">
        <f>IF('Pon-Bat'!W27="","",+'Pon-Bat'!W27/'Pon-Bat'!U27)</f>
        <v/>
      </c>
      <c r="AJ27" s="504" t="str">
        <f>IF('Pon-Bat'!W27="","",+(SUM('Pon-Bat'!$W$8:W27)/SUM('Pon-Bat'!$U$8:U27)))</f>
        <v/>
      </c>
      <c r="AK27" s="494" t="str">
        <f>IF('Pon-Bat'!X27="","",+'Pon-Bat'!X27/'Pon-Bat'!U27)</f>
        <v/>
      </c>
      <c r="AL27" s="504" t="str">
        <f>IF('Pon-Bat'!X27="","",+(SUM('Pon-Bat'!$X$8:X27)/SUM('Pon-Bat'!$U$8:U27)))</f>
        <v/>
      </c>
      <c r="AM27" s="494" t="str">
        <f>IF('Pon-Bat'!Y27="","",+'Pon-Bat'!Y27/'Pon-Bat'!U27)</f>
        <v/>
      </c>
      <c r="AN27" s="504" t="str">
        <f>IF('Pon-Bat'!Y27="","",+(SUM('Pon-Bat'!$Y$8:Y27)/SUM('Pon-Bat'!$U$8:U27)))</f>
        <v/>
      </c>
      <c r="AO27" s="494" t="str">
        <f>IF('Pon-Bat'!Z27="","",+'Pon-Bat'!Z27/'Pon-Bat'!U27)</f>
        <v/>
      </c>
      <c r="AP27" s="496" t="str">
        <f>IF('Pon-Bat'!Z27="","",+(SUM('Pon-Bat'!$Z$8:Z27)/SUM('Pon-Bat'!$U$8:U27)))</f>
        <v/>
      </c>
      <c r="AQ27" s="503" t="str">
        <f>IF('Pon-Bat'!AB27="","",+'Pon-Bat'!AB27/'Pon-Bat'!AA27)</f>
        <v/>
      </c>
      <c r="AR27" s="504" t="str">
        <f>IF('Pon-Bat'!AB27="","",+(SUM('Pon-Bat'!$AB$8:AB27)/SUM('Pon-Bat'!$AA$8:AA27)))</f>
        <v/>
      </c>
      <c r="AS27" s="494" t="str">
        <f>IF('Pon-Bat'!AC27="","",+'Pon-Bat'!AC27/'Pon-Bat'!AA27)</f>
        <v/>
      </c>
      <c r="AT27" s="504" t="str">
        <f>IF('Pon-Bat'!AC27="","",+(SUM('Pon-Bat'!$AC$8:AC27)/SUM('Pon-Bat'!$AA$8:AA27)))</f>
        <v/>
      </c>
      <c r="AU27" s="494" t="str">
        <f>IF('Pon-Bat'!AD27="","",+'Pon-Bat'!AD27/'Pon-Bat'!AA27)</f>
        <v/>
      </c>
      <c r="AV27" s="504" t="str">
        <f>IF('Pon-Bat'!AD27="","",+(SUM('Pon-Bat'!$AD$8:AD27)/SUM('Pon-Bat'!$AA$8:AA27)))</f>
        <v/>
      </c>
      <c r="AW27" s="494" t="str">
        <f>IF('Pon-Bat'!AE27="","",+'Pon-Bat'!AE27/'Pon-Bat'!AA27)</f>
        <v/>
      </c>
      <c r="AX27" s="504" t="str">
        <f>IF('Pon-Bat'!AE27="","",+(SUM('Pon-Bat'!$AE$8:AE27)/SUM('Pon-Bat'!$AA$8:AA27)))</f>
        <v/>
      </c>
      <c r="AY27" s="494" t="str">
        <f>IF('Pon-Bat'!AF27="","",+'Pon-Bat'!AF27/'Pon-Bat'!AA27)</f>
        <v/>
      </c>
      <c r="AZ27" s="496" t="str">
        <f>IF('Pon-Bat'!AF27="","",+(SUM('Pon-Bat'!$AF$8:AF27)/SUM('Pon-Bat'!$AA$8:AA27)))</f>
        <v/>
      </c>
      <c r="BA27" s="503" t="str">
        <f>IF('Pon-Bat'!AH27="","",+'Pon-Bat'!AH27/'Pon-Bat'!AG27)</f>
        <v/>
      </c>
      <c r="BB27" s="504" t="str">
        <f>IF('Pon-Bat'!AH27="","",+(SUM('Pon-Bat'!$AH$8:AH27)/SUM('Pon-Bat'!$AG$8:AG27)))</f>
        <v/>
      </c>
      <c r="BC27" s="494" t="str">
        <f>IF('Pon-Bat'!AI27="","",+'Pon-Bat'!AI27/'Pon-Bat'!AG27)</f>
        <v/>
      </c>
      <c r="BD27" s="504" t="str">
        <f>IF('Pon-Bat'!AI27="","",+(SUM('Pon-Bat'!$AI$8:AI27)/SUM('Pon-Bat'!$AG$8:AG27)))</f>
        <v/>
      </c>
      <c r="BE27" s="494" t="str">
        <f>IF('Pon-Bat'!AJ27="","",+'Pon-Bat'!AJ27/'Pon-Bat'!AG27)</f>
        <v/>
      </c>
      <c r="BF27" s="504" t="str">
        <f>IF('Pon-Bat'!AJ27="","",+(SUM('Pon-Bat'!$AJ$8:AJ27)/SUM('Pon-Bat'!$AG$8:AG27)))</f>
        <v/>
      </c>
      <c r="BG27" s="494" t="str">
        <f>IF('Pon-Bat'!AK27="","",+'Pon-Bat'!AK27/'Pon-Bat'!AG27)</f>
        <v/>
      </c>
      <c r="BH27" s="504" t="str">
        <f>IF('Pon-Bat'!AK27="","",+(SUM('Pon-Bat'!$AK$8:AK27)/SUM('Pon-Bat'!$AG$8:AG27)))</f>
        <v/>
      </c>
      <c r="BI27" s="494" t="str">
        <f>IF('Pon-Bat'!AL27="","",+'Pon-Bat'!AL27/'Pon-Bat'!AG27)</f>
        <v/>
      </c>
      <c r="BJ27" s="496" t="str">
        <f>IF('Pon-Bat'!AL27="","",+(SUM('Pon-Bat'!$AL$8:AL27)/SUM('Pon-Bat'!$AG$8:AG27)))</f>
        <v/>
      </c>
      <c r="BK27" s="501" t="str">
        <f>IF('Pon-Bat'!AN27="","",+'Pon-Bat'!AN27/'Pon-Bat'!AM27)</f>
        <v/>
      </c>
      <c r="BL27" s="504" t="str">
        <f>IF('Pon-Bat'!AN27="","",+(SUM('Pon-Bat'!$AN$8:AN27)/SUM('Pon-Bat'!$AM$8:AM27)))</f>
        <v/>
      </c>
      <c r="BM27" s="499" t="str">
        <f>IF('Pon-Bat'!AO27="","",+'Pon-Bat'!AO27/'Pon-Bat'!AM27)</f>
        <v/>
      </c>
      <c r="BN27" s="504" t="str">
        <f>IF('Pon-Bat'!AO27="","",+(SUM('Pon-Bat'!$AO$8:AO27)/SUM('Pon-Bat'!$AM$8:AM27)))</f>
        <v/>
      </c>
      <c r="BO27" s="499" t="str">
        <f>IF('Pon-Bat'!AP27="","",+'Pon-Bat'!AP27/'Pon-Bat'!AM27)</f>
        <v/>
      </c>
      <c r="BP27" s="504" t="str">
        <f>IF('Pon-Bat'!AP27="","",+(SUM('Pon-Bat'!$AP$8:AP27)/SUM('Pon-Bat'!$AM$8:AM27)))</f>
        <v/>
      </c>
      <c r="BQ27" s="499" t="str">
        <f>IF('Pon-Bat'!AQ27="","",+'Pon-Bat'!AQ27/'Pon-Bat'!AM27)</f>
        <v/>
      </c>
      <c r="BR27" s="504" t="str">
        <f>IF('Pon-Bat'!AQ27="","",+(SUM('Pon-Bat'!$AQ$8:AQ27)/SUM('Pon-Bat'!$AM$8:AM27)))</f>
        <v/>
      </c>
      <c r="BS27" s="499" t="str">
        <f>IF('Pon-Bat'!AR27="","",+'Pon-Bat'!AR27/'Pon-Bat'!AM27)</f>
        <v/>
      </c>
      <c r="BT27" s="496" t="str">
        <f>IF('Pon-Bat'!AR27="","",+(SUM('Pon-Bat'!$AR$8:AR27)/SUM('Pon-Bat'!$AM$8:AM27)))</f>
        <v/>
      </c>
      <c r="BU27" s="501" t="str">
        <f>IF('Pon-Bat'!AT27="","",+'Pon-Bat'!AT27/'Pon-Bat'!AS27)</f>
        <v/>
      </c>
      <c r="BV27" s="504" t="str">
        <f>IF('Pon-Bat'!AT27="","",+(SUM('Pon-Bat'!$AT$8:AT27)/SUM('Pon-Bat'!$AS$8:AS27)))</f>
        <v/>
      </c>
      <c r="BW27" s="499" t="str">
        <f>IF('Pon-Bat'!AU27="","",+'Pon-Bat'!AU27/'Pon-Bat'!AS27)</f>
        <v/>
      </c>
      <c r="BX27" s="504" t="str">
        <f>IF('Pon-Bat'!AU27="","",+(SUM('Pon-Bat'!$AU$8:AU27)/SUM('Pon-Bat'!$AS$8:AS27)))</f>
        <v/>
      </c>
      <c r="BY27" s="499" t="str">
        <f>IF('Pon-Bat'!AV27="","",+'Pon-Bat'!AV27/'Pon-Bat'!AS27)</f>
        <v/>
      </c>
      <c r="BZ27" s="504" t="str">
        <f>IF('Pon-Bat'!AV27="","",+(SUM('Pon-Bat'!$AV$8:AV27)/SUM('Pon-Bat'!$AS$8:AS27)))</f>
        <v/>
      </c>
      <c r="CA27" s="499" t="str">
        <f>IF('Pon-Bat'!AW27="","",+'Pon-Bat'!AW27/'Pon-Bat'!AS27)</f>
        <v/>
      </c>
      <c r="CB27" s="504" t="str">
        <f>IF('Pon-Bat'!AW27="","",+(SUM('Pon-Bat'!$AW$8:AW27)/SUM('Pon-Bat'!$AS$8:AS27)))</f>
        <v/>
      </c>
      <c r="CC27" s="499" t="str">
        <f>IF('Pon-Bat'!AX27="","",+'Pon-Bat'!AX27/'Pon-Bat'!AS27)</f>
        <v/>
      </c>
      <c r="CD27" s="496" t="str">
        <f>IF('Pon-Bat'!AX27="","",+(SUM('Pon-Bat'!$AX$8:AX27)/SUM('Pon-Bat'!$AS$8:AS27)))</f>
        <v/>
      </c>
      <c r="CE27" s="503" t="str">
        <f>IF('Pon-Bat'!AZ27="","",+'Pon-Bat'!AZ27/'Pon-Bat'!AY27)</f>
        <v/>
      </c>
      <c r="CF27" s="504" t="str">
        <f>IF('Pon-Bat'!AZ27="","",+(SUM('Pon-Bat'!$AZ$8:AZ27)/SUM('Pon-Bat'!$AY$8:AY27)))</f>
        <v/>
      </c>
      <c r="CG27" s="494" t="str">
        <f>IF('Pon-Bat'!BA27="","",+'Pon-Bat'!BA27/'Pon-Bat'!AY27)</f>
        <v/>
      </c>
      <c r="CH27" s="504" t="str">
        <f>IF('Pon-Bat'!BA27="","",+(SUM('Pon-Bat'!$BA$8:BA27)/SUM('Pon-Bat'!$AY$8:AY27)))</f>
        <v/>
      </c>
      <c r="CI27" s="499" t="str">
        <f>IF('Pon-Bat'!BB27="","",+'Pon-Bat'!BB27/'Pon-Bat'!AY27)</f>
        <v/>
      </c>
      <c r="CJ27" s="504" t="str">
        <f>IF('Pon-Bat'!BB27="","",+(SUM('Pon-Bat'!$BB$8:BB27)/SUM('Pon-Bat'!$AY$8:AY27)))</f>
        <v/>
      </c>
      <c r="CK27" s="494" t="str">
        <f>IF('Pon-Bat'!BC27="","",+'Pon-Bat'!BC27/'Pon-Bat'!AY27)</f>
        <v/>
      </c>
      <c r="CL27" s="504" t="str">
        <f>IF('Pon-Bat'!BC27="","",+(SUM('Pon-Bat'!$BC$8:BC27)/SUM('Pon-Bat'!$AY$8:AY27)))</f>
        <v/>
      </c>
      <c r="CM27" s="494" t="str">
        <f>IF('Pon-Bat'!BD27="","",+'Pon-Bat'!BD27/'Pon-Bat'!AY27)</f>
        <v/>
      </c>
      <c r="CN27" s="496" t="str">
        <f>IF('Pon-Bat'!BD27="","",+(SUM('Pon-Bat'!$BD$8:BD27)/SUM('Pon-Bat'!$AY$8:AY27)))</f>
        <v/>
      </c>
    </row>
    <row r="28" spans="1:92" ht="24" customHeight="1" thickBot="1" x14ac:dyDescent="0.25">
      <c r="A28" s="453">
        <f>A27+7</f>
        <v>43551</v>
      </c>
      <c r="B28" s="465">
        <f>+B27+1</f>
        <v>43</v>
      </c>
      <c r="C28" s="503" t="str">
        <f>IF('Pon-Bat'!D28="","",+'Pon-Bat'!D28/'Pon-Bat'!C28)</f>
        <v/>
      </c>
      <c r="D28" s="504" t="str">
        <f>IF('Pon-Bat'!D28="","",+(SUM('Pon-Bat'!$D$8:D28)/SUM('Pon-Bat'!$C$8:C28)))</f>
        <v/>
      </c>
      <c r="E28" s="494" t="str">
        <f>IF('Pon-Bat'!E28="","",+'Pon-Bat'!E28/'Pon-Bat'!C28)</f>
        <v/>
      </c>
      <c r="F28" s="504" t="str">
        <f>IF('Pon-Bat'!E28="","",+(SUM('Pon-Bat'!$E$8:E28)/SUM('Pon-Bat'!$C$8:C28)))</f>
        <v/>
      </c>
      <c r="G28" s="494" t="str">
        <f>IF('Pon-Bat'!F28="","",+'Pon-Bat'!F28/'Pon-Bat'!C28)</f>
        <v/>
      </c>
      <c r="H28" s="504" t="str">
        <f>IF('Pon-Bat'!F28="","",+(SUM('Pon-Bat'!$F$8:F28)/SUM('Pon-Bat'!$C$8:C28)))</f>
        <v/>
      </c>
      <c r="I28" s="494" t="str">
        <f>IF('Pon-Bat'!G28="","",+'Pon-Bat'!G28/'Pon-Bat'!C28)</f>
        <v/>
      </c>
      <c r="J28" s="504" t="str">
        <f>IF('Pon-Bat'!G28="","",+(SUM('Pon-Bat'!$G$8:G28)/SUM('Pon-Bat'!$C$8:C28)))</f>
        <v/>
      </c>
      <c r="K28" s="494" t="str">
        <f>IF('Pon-Bat'!H28="","",+'Pon-Bat'!H28/'Pon-Bat'!C28)</f>
        <v/>
      </c>
      <c r="L28" s="496" t="str">
        <f>IF('Pon-Bat'!H28="","",+(SUM('Pon-Bat'!$H$8:H28)/SUM('Pon-Bat'!$C$8:C28)))</f>
        <v/>
      </c>
      <c r="M28" s="503" t="str">
        <f>IF('Pon-Bat'!J28="","",+'Pon-Bat'!J28/'Pon-Bat'!I28)</f>
        <v/>
      </c>
      <c r="N28" s="504" t="str">
        <f>IF('Pon-Bat'!J28="","",+(SUM('Pon-Bat'!$J$8:J28)/SUM('Pon-Bat'!$I$8:I28)))</f>
        <v/>
      </c>
      <c r="O28" s="494" t="str">
        <f>IF('Pon-Bat'!K28="","",+'Pon-Bat'!K28/'Pon-Bat'!I28)</f>
        <v/>
      </c>
      <c r="P28" s="504" t="str">
        <f>IF('Pon-Bat'!K28="","",+(SUM('Pon-Bat'!$K$8:K28)/SUM('Pon-Bat'!$I$8:I28)))</f>
        <v/>
      </c>
      <c r="Q28" s="494" t="str">
        <f>IF('Pon-Bat'!L28="","",+'Pon-Bat'!L28/'Pon-Bat'!I28)</f>
        <v/>
      </c>
      <c r="R28" s="504" t="str">
        <f>IF('Pon-Bat'!L28="","",+(SUM('Pon-Bat'!$L$8:L28)/SUM('Pon-Bat'!$I$8:I28)))</f>
        <v/>
      </c>
      <c r="S28" s="494" t="str">
        <f>IF('Pon-Bat'!M28="","",+'Pon-Bat'!M28/'Pon-Bat'!I28)</f>
        <v/>
      </c>
      <c r="T28" s="504" t="str">
        <f>IF('Pon-Bat'!M28="","",+(SUM('Pon-Bat'!$M$8:M28)/SUM('Pon-Bat'!$I$8:I28)))</f>
        <v/>
      </c>
      <c r="U28" s="494" t="str">
        <f>IF('Pon-Bat'!N28="","",+'Pon-Bat'!N28/'Pon-Bat'!I28)</f>
        <v/>
      </c>
      <c r="V28" s="496" t="str">
        <f>IF('Pon-Bat'!N28="","",+(SUM('Pon-Bat'!$N$8:N28)/SUM('Pon-Bat'!$I$8:I28)))</f>
        <v/>
      </c>
      <c r="W28" s="503" t="str">
        <f>IF('Pon-Bat'!P28="","",+'Pon-Bat'!P28/'Pon-Bat'!O28)</f>
        <v/>
      </c>
      <c r="X28" s="504" t="str">
        <f>IF('Pon-Bat'!P28="","",+(SUM('Pon-Bat'!$P$8:P28)/SUM('Pon-Bat'!$O$8:O28)))</f>
        <v/>
      </c>
      <c r="Y28" s="494" t="str">
        <f>IF('Pon-Bat'!Q28="","",+'Pon-Bat'!Q28/'Pon-Bat'!O28)</f>
        <v/>
      </c>
      <c r="Z28" s="504" t="str">
        <f>IF('Pon-Bat'!Q28="","",+(SUM('Pon-Bat'!$Q$8:Q28)/SUM('Pon-Bat'!$O$8:O28)))</f>
        <v/>
      </c>
      <c r="AA28" s="494" t="str">
        <f>IF('Pon-Bat'!R28="","",+'Pon-Bat'!R28/'Pon-Bat'!O28)</f>
        <v/>
      </c>
      <c r="AB28" s="504" t="str">
        <f>IF('Pon-Bat'!R28="","",+(SUM('Pon-Bat'!$R$8:R28)/SUM('Pon-Bat'!$O$8:O28)))</f>
        <v/>
      </c>
      <c r="AC28" s="494" t="str">
        <f>IF('Pon-Bat'!S28="","",+'Pon-Bat'!S28/'Pon-Bat'!O28)</f>
        <v/>
      </c>
      <c r="AD28" s="504" t="str">
        <f>IF('Pon-Bat'!S28="","",+(SUM('Pon-Bat'!$S$8:S28)/SUM('Pon-Bat'!$O$8:O28)))</f>
        <v/>
      </c>
      <c r="AE28" s="494" t="str">
        <f>IF('Pon-Bat'!T28="","",+'Pon-Bat'!T28/'Pon-Bat'!O28)</f>
        <v/>
      </c>
      <c r="AF28" s="496" t="str">
        <f>IF('Pon-Bat'!T28="","",+(SUM('Pon-Bat'!$T$8:T28)/SUM('Pon-Bat'!$O$8:O28)))</f>
        <v/>
      </c>
      <c r="AG28" s="503" t="str">
        <f>IF('Pon-Bat'!V28="","",+'Pon-Bat'!V28/'Pon-Bat'!U28)</f>
        <v/>
      </c>
      <c r="AH28" s="504" t="str">
        <f>IF('Pon-Bat'!V28="","",+(SUM('Pon-Bat'!$V$8:V28)/SUM('Pon-Bat'!$U$8:U28)))</f>
        <v/>
      </c>
      <c r="AI28" s="494" t="str">
        <f>IF('Pon-Bat'!W28="","",+'Pon-Bat'!W28/'Pon-Bat'!U28)</f>
        <v/>
      </c>
      <c r="AJ28" s="504" t="str">
        <f>IF('Pon-Bat'!W28="","",+(SUM('Pon-Bat'!$W$8:W28)/SUM('Pon-Bat'!$U$8:U28)))</f>
        <v/>
      </c>
      <c r="AK28" s="494" t="str">
        <f>IF('Pon-Bat'!X28="","",+'Pon-Bat'!X28/'Pon-Bat'!U28)</f>
        <v/>
      </c>
      <c r="AL28" s="504" t="str">
        <f>IF('Pon-Bat'!X28="","",+(SUM('Pon-Bat'!$X$8:X28)/SUM('Pon-Bat'!$U$8:U28)))</f>
        <v/>
      </c>
      <c r="AM28" s="494" t="str">
        <f>IF('Pon-Bat'!Y28="","",+'Pon-Bat'!Y28/'Pon-Bat'!U28)</f>
        <v/>
      </c>
      <c r="AN28" s="504" t="str">
        <f>IF('Pon-Bat'!Y28="","",+(SUM('Pon-Bat'!$Y$8:Y28)/SUM('Pon-Bat'!$U$8:U28)))</f>
        <v/>
      </c>
      <c r="AO28" s="494" t="str">
        <f>IF('Pon-Bat'!Z28="","",+'Pon-Bat'!Z28/'Pon-Bat'!U28)</f>
        <v/>
      </c>
      <c r="AP28" s="496" t="str">
        <f>IF('Pon-Bat'!Z28="","",+(SUM('Pon-Bat'!$Z$8:Z28)/SUM('Pon-Bat'!$U$8:U28)))</f>
        <v/>
      </c>
      <c r="AQ28" s="503" t="str">
        <f>IF('Pon-Bat'!AB28="","",+'Pon-Bat'!AB28/'Pon-Bat'!AA28)</f>
        <v/>
      </c>
      <c r="AR28" s="504" t="str">
        <f>IF('Pon-Bat'!AB28="","",+(SUM('Pon-Bat'!$AB$8:AB28)/SUM('Pon-Bat'!$AA$8:AA28)))</f>
        <v/>
      </c>
      <c r="AS28" s="494" t="str">
        <f>IF('Pon-Bat'!AC28="","",+'Pon-Bat'!AC28/'Pon-Bat'!AA28)</f>
        <v/>
      </c>
      <c r="AT28" s="504" t="str">
        <f>IF('Pon-Bat'!AC28="","",+(SUM('Pon-Bat'!$AC$8:AC28)/SUM('Pon-Bat'!$AA$8:AA28)))</f>
        <v/>
      </c>
      <c r="AU28" s="494" t="str">
        <f>IF('Pon-Bat'!AD28="","",+'Pon-Bat'!AD28/'Pon-Bat'!AA28)</f>
        <v/>
      </c>
      <c r="AV28" s="504" t="str">
        <f>IF('Pon-Bat'!AD28="","",+(SUM('Pon-Bat'!$AD$8:AD28)/SUM('Pon-Bat'!$AA$8:AA28)))</f>
        <v/>
      </c>
      <c r="AW28" s="494" t="str">
        <f>IF('Pon-Bat'!AE28="","",+'Pon-Bat'!AE28/'Pon-Bat'!AA28)</f>
        <v/>
      </c>
      <c r="AX28" s="504" t="str">
        <f>IF('Pon-Bat'!AE28="","",+(SUM('Pon-Bat'!$AE$8:AE28)/SUM('Pon-Bat'!$AA$8:AA28)))</f>
        <v/>
      </c>
      <c r="AY28" s="494" t="str">
        <f>IF('Pon-Bat'!AF28="","",+'Pon-Bat'!AF28/'Pon-Bat'!AA28)</f>
        <v/>
      </c>
      <c r="AZ28" s="496" t="str">
        <f>IF('Pon-Bat'!AF28="","",+(SUM('Pon-Bat'!$AF$8:AF28)/SUM('Pon-Bat'!$AA$8:AA28)))</f>
        <v/>
      </c>
      <c r="BA28" s="503" t="str">
        <f>IF('Pon-Bat'!AH28="","",+'Pon-Bat'!AH28/'Pon-Bat'!AG28)</f>
        <v/>
      </c>
      <c r="BB28" s="504" t="str">
        <f>IF('Pon-Bat'!AH28="","",+(SUM('Pon-Bat'!$AH$8:AH28)/SUM('Pon-Bat'!$AG$8:AG28)))</f>
        <v/>
      </c>
      <c r="BC28" s="494" t="str">
        <f>IF('Pon-Bat'!AI28="","",+'Pon-Bat'!AI28/'Pon-Bat'!AG28)</f>
        <v/>
      </c>
      <c r="BD28" s="504" t="str">
        <f>IF('Pon-Bat'!AI28="","",+(SUM('Pon-Bat'!$AI$8:AI28)/SUM('Pon-Bat'!$AG$8:AG28)))</f>
        <v/>
      </c>
      <c r="BE28" s="494" t="str">
        <f>IF('Pon-Bat'!AJ28="","",+'Pon-Bat'!AJ28/'Pon-Bat'!AG28)</f>
        <v/>
      </c>
      <c r="BF28" s="504" t="str">
        <f>IF('Pon-Bat'!AJ28="","",+(SUM('Pon-Bat'!$AJ$8:AJ28)/SUM('Pon-Bat'!$AG$8:AG28)))</f>
        <v/>
      </c>
      <c r="BG28" s="494" t="str">
        <f>IF('Pon-Bat'!AK28="","",+'Pon-Bat'!AK28/'Pon-Bat'!AG28)</f>
        <v/>
      </c>
      <c r="BH28" s="504" t="str">
        <f>IF('Pon-Bat'!AK28="","",+(SUM('Pon-Bat'!$AK$8:AK28)/SUM('Pon-Bat'!$AG$8:AG28)))</f>
        <v/>
      </c>
      <c r="BI28" s="494" t="str">
        <f>IF('Pon-Bat'!AL28="","",+'Pon-Bat'!AL28/'Pon-Bat'!AG28)</f>
        <v/>
      </c>
      <c r="BJ28" s="496" t="str">
        <f>IF('Pon-Bat'!AL28="","",+(SUM('Pon-Bat'!$AL$8:AL28)/SUM('Pon-Bat'!$AG$8:AG28)))</f>
        <v/>
      </c>
      <c r="BK28" s="501" t="str">
        <f>IF('Pon-Bat'!AN28="","",+'Pon-Bat'!AN28/'Pon-Bat'!AM28)</f>
        <v/>
      </c>
      <c r="BL28" s="504" t="str">
        <f>IF('Pon-Bat'!AN28="","",+(SUM('Pon-Bat'!$AN$8:AN28)/SUM('Pon-Bat'!$AM$8:AM28)))</f>
        <v/>
      </c>
      <c r="BM28" s="499" t="str">
        <f>IF('Pon-Bat'!AO28="","",+'Pon-Bat'!AO28/'Pon-Bat'!AM28)</f>
        <v/>
      </c>
      <c r="BN28" s="504" t="str">
        <f>IF('Pon-Bat'!AO28="","",+(SUM('Pon-Bat'!$AO$8:AO28)/SUM('Pon-Bat'!$AM$8:AM28)))</f>
        <v/>
      </c>
      <c r="BO28" s="499" t="str">
        <f>IF('Pon-Bat'!AP28="","",+'Pon-Bat'!AP28/'Pon-Bat'!AM28)</f>
        <v/>
      </c>
      <c r="BP28" s="504" t="str">
        <f>IF('Pon-Bat'!AP28="","",+(SUM('Pon-Bat'!$AP$8:AP28)/SUM('Pon-Bat'!$AM$8:AM28)))</f>
        <v/>
      </c>
      <c r="BQ28" s="499" t="str">
        <f>IF('Pon-Bat'!AQ28="","",+'Pon-Bat'!AQ28/'Pon-Bat'!AM28)</f>
        <v/>
      </c>
      <c r="BR28" s="504" t="str">
        <f>IF('Pon-Bat'!AQ28="","",+(SUM('Pon-Bat'!$AQ$8:AQ28)/SUM('Pon-Bat'!$AM$8:AM28)))</f>
        <v/>
      </c>
      <c r="BS28" s="499" t="str">
        <f>IF('Pon-Bat'!AR28="","",+'Pon-Bat'!AR28/'Pon-Bat'!AM28)</f>
        <v/>
      </c>
      <c r="BT28" s="496" t="str">
        <f>IF('Pon-Bat'!AR28="","",+(SUM('Pon-Bat'!$AR$8:AR28)/SUM('Pon-Bat'!$AM$8:AM28)))</f>
        <v/>
      </c>
      <c r="BU28" s="501" t="str">
        <f>IF('Pon-Bat'!AT28="","",+'Pon-Bat'!AT28/'Pon-Bat'!AS28)</f>
        <v/>
      </c>
      <c r="BV28" s="504" t="str">
        <f>IF('Pon-Bat'!AT28="","",+(SUM('Pon-Bat'!$AT$8:AT28)/SUM('Pon-Bat'!$AS$8:AS28)))</f>
        <v/>
      </c>
      <c r="BW28" s="499" t="str">
        <f>IF('Pon-Bat'!AU28="","",+'Pon-Bat'!AU28/'Pon-Bat'!AS28)</f>
        <v/>
      </c>
      <c r="BX28" s="504" t="str">
        <f>IF('Pon-Bat'!AU28="","",+(SUM('Pon-Bat'!$AU$8:AU28)/SUM('Pon-Bat'!$AS$8:AS28)))</f>
        <v/>
      </c>
      <c r="BY28" s="499" t="str">
        <f>IF('Pon-Bat'!AV28="","",+'Pon-Bat'!AV28/'Pon-Bat'!AS28)</f>
        <v/>
      </c>
      <c r="BZ28" s="504" t="str">
        <f>IF('Pon-Bat'!AV28="","",+(SUM('Pon-Bat'!$AV$8:AV28)/SUM('Pon-Bat'!$AS$8:AS28)))</f>
        <v/>
      </c>
      <c r="CA28" s="499" t="str">
        <f>IF('Pon-Bat'!AW28="","",+'Pon-Bat'!AW28/'Pon-Bat'!AS28)</f>
        <v/>
      </c>
      <c r="CB28" s="504" t="str">
        <f>IF('Pon-Bat'!AW28="","",+(SUM('Pon-Bat'!$AW$8:AW28)/SUM('Pon-Bat'!$AS$8:AS28)))</f>
        <v/>
      </c>
      <c r="CC28" s="499" t="str">
        <f>IF('Pon-Bat'!AX28="","",+'Pon-Bat'!AX28/'Pon-Bat'!AS28)</f>
        <v/>
      </c>
      <c r="CD28" s="496" t="str">
        <f>IF('Pon-Bat'!AX28="","",+(SUM('Pon-Bat'!$AX$8:AX28)/SUM('Pon-Bat'!$AS$8:AS28)))</f>
        <v/>
      </c>
      <c r="CE28" s="503" t="str">
        <f>IF('Pon-Bat'!AZ28="","",+'Pon-Bat'!AZ28/'Pon-Bat'!AY28)</f>
        <v/>
      </c>
      <c r="CF28" s="504" t="str">
        <f>IF('Pon-Bat'!AZ28="","",+(SUM('Pon-Bat'!$AZ$8:AZ28)/SUM('Pon-Bat'!$AY$8:AY28)))</f>
        <v/>
      </c>
      <c r="CG28" s="494" t="str">
        <f>IF('Pon-Bat'!BA28="","",+'Pon-Bat'!BA28/'Pon-Bat'!AY28)</f>
        <v/>
      </c>
      <c r="CH28" s="504" t="str">
        <f>IF('Pon-Bat'!BA28="","",+(SUM('Pon-Bat'!$BA$8:BA28)/SUM('Pon-Bat'!$AY$8:AY28)))</f>
        <v/>
      </c>
      <c r="CI28" s="499" t="str">
        <f>IF('Pon-Bat'!BB28="","",+'Pon-Bat'!BB28/'Pon-Bat'!AY28)</f>
        <v/>
      </c>
      <c r="CJ28" s="504" t="str">
        <f>IF('Pon-Bat'!BB28="","",+(SUM('Pon-Bat'!$BB$8:BB28)/SUM('Pon-Bat'!$AY$8:AY28)))</f>
        <v/>
      </c>
      <c r="CK28" s="494" t="str">
        <f>IF('Pon-Bat'!BC28="","",+'Pon-Bat'!BC28/'Pon-Bat'!AY28)</f>
        <v/>
      </c>
      <c r="CL28" s="504" t="str">
        <f>IF('Pon-Bat'!BC28="","",+(SUM('Pon-Bat'!$BC$8:BC28)/SUM('Pon-Bat'!$AY$8:AY28)))</f>
        <v/>
      </c>
      <c r="CM28" s="494" t="str">
        <f>IF('Pon-Bat'!BD28="","",+'Pon-Bat'!BD28/'Pon-Bat'!AY28)</f>
        <v/>
      </c>
      <c r="CN28" s="496" t="str">
        <f>IF('Pon-Bat'!BD28="","",+(SUM('Pon-Bat'!$BD$8:BD28)/SUM('Pon-Bat'!$AY$8:AY28)))</f>
        <v/>
      </c>
    </row>
    <row r="29" spans="1:92" ht="24" customHeight="1" thickBot="1" x14ac:dyDescent="0.25">
      <c r="A29" s="453">
        <f>A28+7</f>
        <v>43558</v>
      </c>
      <c r="B29" s="465">
        <f>+B28+1</f>
        <v>44</v>
      </c>
      <c r="C29" s="503" t="str">
        <f>IF('Pon-Bat'!D29="","",+'Pon-Bat'!D29/'Pon-Bat'!C29)</f>
        <v/>
      </c>
      <c r="D29" s="504" t="str">
        <f>IF('Pon-Bat'!D29="","",+(SUM('Pon-Bat'!$D$8:D29)/SUM('Pon-Bat'!$C$8:C29)))</f>
        <v/>
      </c>
      <c r="E29" s="494" t="str">
        <f>IF('Pon-Bat'!E29="","",+'Pon-Bat'!E29/'Pon-Bat'!C29)</f>
        <v/>
      </c>
      <c r="F29" s="504" t="str">
        <f>IF('Pon-Bat'!E29="","",+(SUM('Pon-Bat'!$E$8:E29)/SUM('Pon-Bat'!$C$8:C29)))</f>
        <v/>
      </c>
      <c r="G29" s="494" t="str">
        <f>IF('Pon-Bat'!F29="","",+'Pon-Bat'!F29/'Pon-Bat'!C29)</f>
        <v/>
      </c>
      <c r="H29" s="504" t="str">
        <f>IF('Pon-Bat'!F29="","",+(SUM('Pon-Bat'!$F$8:F29)/SUM('Pon-Bat'!$C$8:C29)))</f>
        <v/>
      </c>
      <c r="I29" s="494" t="str">
        <f>IF('Pon-Bat'!G29="","",+'Pon-Bat'!G29/'Pon-Bat'!C29)</f>
        <v/>
      </c>
      <c r="J29" s="504" t="str">
        <f>IF('Pon-Bat'!G29="","",+(SUM('Pon-Bat'!$G$8:G29)/SUM('Pon-Bat'!$C$8:C29)))</f>
        <v/>
      </c>
      <c r="K29" s="494" t="str">
        <f>IF('Pon-Bat'!H29="","",+'Pon-Bat'!H29/'Pon-Bat'!C29)</f>
        <v/>
      </c>
      <c r="L29" s="496" t="str">
        <f>IF('Pon-Bat'!H29="","",+(SUM('Pon-Bat'!$H$8:H29)/SUM('Pon-Bat'!$C$8:C29)))</f>
        <v/>
      </c>
      <c r="M29" s="503" t="str">
        <f>IF('Pon-Bat'!J29="","",+'Pon-Bat'!J29/'Pon-Bat'!I29)</f>
        <v/>
      </c>
      <c r="N29" s="504" t="str">
        <f>IF('Pon-Bat'!J29="","",+(SUM('Pon-Bat'!$J$8:J29)/SUM('Pon-Bat'!$I$8:I29)))</f>
        <v/>
      </c>
      <c r="O29" s="494" t="str">
        <f>IF('Pon-Bat'!K29="","",+'Pon-Bat'!K29/'Pon-Bat'!I29)</f>
        <v/>
      </c>
      <c r="P29" s="504" t="str">
        <f>IF('Pon-Bat'!K29="","",+(SUM('Pon-Bat'!$K$8:K29)/SUM('Pon-Bat'!$I$8:I29)))</f>
        <v/>
      </c>
      <c r="Q29" s="494" t="str">
        <f>IF('Pon-Bat'!L29="","",+'Pon-Bat'!L29/'Pon-Bat'!I29)</f>
        <v/>
      </c>
      <c r="R29" s="504" t="str">
        <f>IF('Pon-Bat'!L29="","",+(SUM('Pon-Bat'!$L$8:L29)/SUM('Pon-Bat'!$I$8:I29)))</f>
        <v/>
      </c>
      <c r="S29" s="494" t="str">
        <f>IF('Pon-Bat'!M29="","",+'Pon-Bat'!M29/'Pon-Bat'!I29)</f>
        <v/>
      </c>
      <c r="T29" s="504" t="str">
        <f>IF('Pon-Bat'!M29="","",+(SUM('Pon-Bat'!$M$8:M29)/SUM('Pon-Bat'!$I$8:I29)))</f>
        <v/>
      </c>
      <c r="U29" s="494" t="str">
        <f>IF('Pon-Bat'!N29="","",+'Pon-Bat'!N29/'Pon-Bat'!I29)</f>
        <v/>
      </c>
      <c r="V29" s="496" t="str">
        <f>IF('Pon-Bat'!N29="","",+(SUM('Pon-Bat'!$N$8:N29)/SUM('Pon-Bat'!$I$8:I29)))</f>
        <v/>
      </c>
      <c r="W29" s="503" t="str">
        <f>IF('Pon-Bat'!P29="","",+'Pon-Bat'!P29/'Pon-Bat'!O29)</f>
        <v/>
      </c>
      <c r="X29" s="504" t="str">
        <f>IF('Pon-Bat'!P29="","",+(SUM('Pon-Bat'!$P$8:P29)/SUM('Pon-Bat'!$O$8:O29)))</f>
        <v/>
      </c>
      <c r="Y29" s="494" t="str">
        <f>IF('Pon-Bat'!Q29="","",+'Pon-Bat'!Q29/'Pon-Bat'!O29)</f>
        <v/>
      </c>
      <c r="Z29" s="504" t="str">
        <f>IF('Pon-Bat'!Q29="","",+(SUM('Pon-Bat'!$Q$8:Q29)/SUM('Pon-Bat'!$O$8:O29)))</f>
        <v/>
      </c>
      <c r="AA29" s="494" t="str">
        <f>IF('Pon-Bat'!R29="","",+'Pon-Bat'!R29/'Pon-Bat'!O29)</f>
        <v/>
      </c>
      <c r="AB29" s="504" t="str">
        <f>IF('Pon-Bat'!R29="","",+(SUM('Pon-Bat'!$R$8:R29)/SUM('Pon-Bat'!$O$8:O29)))</f>
        <v/>
      </c>
      <c r="AC29" s="494" t="str">
        <f>IF('Pon-Bat'!S29="","",+'Pon-Bat'!S29/'Pon-Bat'!O29)</f>
        <v/>
      </c>
      <c r="AD29" s="504" t="str">
        <f>IF('Pon-Bat'!S29="","",+(SUM('Pon-Bat'!$S$8:S29)/SUM('Pon-Bat'!$O$8:O29)))</f>
        <v/>
      </c>
      <c r="AE29" s="494" t="str">
        <f>IF('Pon-Bat'!T29="","",+'Pon-Bat'!T29/'Pon-Bat'!O29)</f>
        <v/>
      </c>
      <c r="AF29" s="496" t="str">
        <f>IF('Pon-Bat'!T29="","",+(SUM('Pon-Bat'!$T$8:T29)/SUM('Pon-Bat'!$O$8:O29)))</f>
        <v/>
      </c>
      <c r="AG29" s="503" t="str">
        <f>IF('Pon-Bat'!V29="","",+'Pon-Bat'!V29/'Pon-Bat'!U29)</f>
        <v/>
      </c>
      <c r="AH29" s="504" t="str">
        <f>IF('Pon-Bat'!V29="","",+(SUM('Pon-Bat'!$V$8:V29)/SUM('Pon-Bat'!$U$8:U29)))</f>
        <v/>
      </c>
      <c r="AI29" s="494" t="str">
        <f>IF('Pon-Bat'!W29="","",+'Pon-Bat'!W29/'Pon-Bat'!U29)</f>
        <v/>
      </c>
      <c r="AJ29" s="504" t="str">
        <f>IF('Pon-Bat'!W29="","",+(SUM('Pon-Bat'!$W$8:W29)/SUM('Pon-Bat'!$U$8:U29)))</f>
        <v/>
      </c>
      <c r="AK29" s="494" t="str">
        <f>IF('Pon-Bat'!X29="","",+'Pon-Bat'!X29/'Pon-Bat'!U29)</f>
        <v/>
      </c>
      <c r="AL29" s="504" t="str">
        <f>IF('Pon-Bat'!X29="","",+(SUM('Pon-Bat'!$X$8:X29)/SUM('Pon-Bat'!$U$8:U29)))</f>
        <v/>
      </c>
      <c r="AM29" s="494" t="str">
        <f>IF('Pon-Bat'!Y29="","",+'Pon-Bat'!Y29/'Pon-Bat'!U29)</f>
        <v/>
      </c>
      <c r="AN29" s="504" t="str">
        <f>IF('Pon-Bat'!Y29="","",+(SUM('Pon-Bat'!$Y$8:Y29)/SUM('Pon-Bat'!$U$8:U29)))</f>
        <v/>
      </c>
      <c r="AO29" s="494" t="str">
        <f>IF('Pon-Bat'!Z29="","",+'Pon-Bat'!Z29/'Pon-Bat'!U29)</f>
        <v/>
      </c>
      <c r="AP29" s="496" t="str">
        <f>IF('Pon-Bat'!Z29="","",+(SUM('Pon-Bat'!$Z$8:Z29)/SUM('Pon-Bat'!$U$8:U29)))</f>
        <v/>
      </c>
      <c r="AQ29" s="503" t="str">
        <f>IF('Pon-Bat'!AB29="","",+'Pon-Bat'!AB29/'Pon-Bat'!AA29)</f>
        <v/>
      </c>
      <c r="AR29" s="504" t="str">
        <f>IF('Pon-Bat'!AB29="","",+(SUM('Pon-Bat'!$AB$8:AB29)/SUM('Pon-Bat'!$AA$8:AA29)))</f>
        <v/>
      </c>
      <c r="AS29" s="494" t="str">
        <f>IF('Pon-Bat'!AC29="","",+'Pon-Bat'!AC29/'Pon-Bat'!AA29)</f>
        <v/>
      </c>
      <c r="AT29" s="504" t="str">
        <f>IF('Pon-Bat'!AC29="","",+(SUM('Pon-Bat'!$AC$8:AC29)/SUM('Pon-Bat'!$AA$8:AA29)))</f>
        <v/>
      </c>
      <c r="AU29" s="494" t="str">
        <f>IF('Pon-Bat'!AD29="","",+'Pon-Bat'!AD29/'Pon-Bat'!AA29)</f>
        <v/>
      </c>
      <c r="AV29" s="504" t="str">
        <f>IF('Pon-Bat'!AD29="","",+(SUM('Pon-Bat'!$AD$8:AD29)/SUM('Pon-Bat'!$AA$8:AA29)))</f>
        <v/>
      </c>
      <c r="AW29" s="494" t="str">
        <f>IF('Pon-Bat'!AE29="","",+'Pon-Bat'!AE29/'Pon-Bat'!AA29)</f>
        <v/>
      </c>
      <c r="AX29" s="504" t="str">
        <f>IF('Pon-Bat'!AE29="","",+(SUM('Pon-Bat'!$AE$8:AE29)/SUM('Pon-Bat'!$AA$8:AA29)))</f>
        <v/>
      </c>
      <c r="AY29" s="494" t="str">
        <f>IF('Pon-Bat'!AF29="","",+'Pon-Bat'!AF29/'Pon-Bat'!AA29)</f>
        <v/>
      </c>
      <c r="AZ29" s="496" t="str">
        <f>IF('Pon-Bat'!AF29="","",+(SUM('Pon-Bat'!$AF$8:AF29)/SUM('Pon-Bat'!$AA$8:AA29)))</f>
        <v/>
      </c>
      <c r="BA29" s="503" t="str">
        <f>IF('Pon-Bat'!AH29="","",+'Pon-Bat'!AH29/'Pon-Bat'!AG29)</f>
        <v/>
      </c>
      <c r="BB29" s="504" t="str">
        <f>IF('Pon-Bat'!AH29="","",+(SUM('Pon-Bat'!$AH$8:AH29)/SUM('Pon-Bat'!$AG$8:AG29)))</f>
        <v/>
      </c>
      <c r="BC29" s="494" t="str">
        <f>IF('Pon-Bat'!AI29="","",+'Pon-Bat'!AI29/'Pon-Bat'!AG29)</f>
        <v/>
      </c>
      <c r="BD29" s="504" t="str">
        <f>IF('Pon-Bat'!AI29="","",+(SUM('Pon-Bat'!$AI$8:AI29)/SUM('Pon-Bat'!$AG$8:AG29)))</f>
        <v/>
      </c>
      <c r="BE29" s="494" t="str">
        <f>IF('Pon-Bat'!AJ29="","",+'Pon-Bat'!AJ29/'Pon-Bat'!AG29)</f>
        <v/>
      </c>
      <c r="BF29" s="504" t="str">
        <f>IF('Pon-Bat'!AJ29="","",+(SUM('Pon-Bat'!$AJ$8:AJ29)/SUM('Pon-Bat'!$AG$8:AG29)))</f>
        <v/>
      </c>
      <c r="BG29" s="494" t="str">
        <f>IF('Pon-Bat'!AK29="","",+'Pon-Bat'!AK29/'Pon-Bat'!AG29)</f>
        <v/>
      </c>
      <c r="BH29" s="504" t="str">
        <f>IF('Pon-Bat'!AK29="","",+(SUM('Pon-Bat'!$AK$8:AK29)/SUM('Pon-Bat'!$AG$8:AG29)))</f>
        <v/>
      </c>
      <c r="BI29" s="494" t="str">
        <f>IF('Pon-Bat'!AL29="","",+'Pon-Bat'!AL29/'Pon-Bat'!AG29)</f>
        <v/>
      </c>
      <c r="BJ29" s="496" t="str">
        <f>IF('Pon-Bat'!AL29="","",+(SUM('Pon-Bat'!$AL$8:AL29)/SUM('Pon-Bat'!$AG$8:AG29)))</f>
        <v/>
      </c>
      <c r="BK29" s="501" t="str">
        <f>IF('Pon-Bat'!AN29="","",+'Pon-Bat'!AN29/'Pon-Bat'!AM29)</f>
        <v/>
      </c>
      <c r="BL29" s="504" t="str">
        <f>IF('Pon-Bat'!AN29="","",+(SUM('Pon-Bat'!$AN$8:AN29)/SUM('Pon-Bat'!$AM$8:AM29)))</f>
        <v/>
      </c>
      <c r="BM29" s="499" t="str">
        <f>IF('Pon-Bat'!AO29="","",+'Pon-Bat'!AO29/'Pon-Bat'!AM29)</f>
        <v/>
      </c>
      <c r="BN29" s="504" t="str">
        <f>IF('Pon-Bat'!AO29="","",+(SUM('Pon-Bat'!$AO$8:AO29)/SUM('Pon-Bat'!$AM$8:AM29)))</f>
        <v/>
      </c>
      <c r="BO29" s="499" t="str">
        <f>IF('Pon-Bat'!AP29="","",+'Pon-Bat'!AP29/'Pon-Bat'!AM29)</f>
        <v/>
      </c>
      <c r="BP29" s="504" t="str">
        <f>IF('Pon-Bat'!AP29="","",+(SUM('Pon-Bat'!$AP$8:AP29)/SUM('Pon-Bat'!$AM$8:AM29)))</f>
        <v/>
      </c>
      <c r="BQ29" s="499" t="str">
        <f>IF('Pon-Bat'!AQ29="","",+'Pon-Bat'!AQ29/'Pon-Bat'!AM29)</f>
        <v/>
      </c>
      <c r="BR29" s="504" t="str">
        <f>IF('Pon-Bat'!AQ29="","",+(SUM('Pon-Bat'!$AQ$8:AQ29)/SUM('Pon-Bat'!$AM$8:AM29)))</f>
        <v/>
      </c>
      <c r="BS29" s="499" t="str">
        <f>IF('Pon-Bat'!AR29="","",+'Pon-Bat'!AR29/'Pon-Bat'!AM29)</f>
        <v/>
      </c>
      <c r="BT29" s="496" t="str">
        <f>IF('Pon-Bat'!AR29="","",+(SUM('Pon-Bat'!$AR$8:AR29)/SUM('Pon-Bat'!$AM$8:AM29)))</f>
        <v/>
      </c>
      <c r="BU29" s="501" t="str">
        <f>IF('Pon-Bat'!AT29="","",+'Pon-Bat'!AT29/'Pon-Bat'!AS29)</f>
        <v/>
      </c>
      <c r="BV29" s="504" t="str">
        <f>IF('Pon-Bat'!AT29="","",+(SUM('Pon-Bat'!$AT$8:AT29)/SUM('Pon-Bat'!$AS$8:AS29)))</f>
        <v/>
      </c>
      <c r="BW29" s="499" t="str">
        <f>IF('Pon-Bat'!AU29="","",+'Pon-Bat'!AU29/'Pon-Bat'!AS29)</f>
        <v/>
      </c>
      <c r="BX29" s="504" t="str">
        <f>IF('Pon-Bat'!AU29="","",+(SUM('Pon-Bat'!$AU$8:AU29)/SUM('Pon-Bat'!$AS$8:AS29)))</f>
        <v/>
      </c>
      <c r="BY29" s="499" t="str">
        <f>IF('Pon-Bat'!AV29="","",+'Pon-Bat'!AV29/'Pon-Bat'!AS29)</f>
        <v/>
      </c>
      <c r="BZ29" s="504" t="str">
        <f>IF('Pon-Bat'!AV29="","",+(SUM('Pon-Bat'!$AV$8:AV29)/SUM('Pon-Bat'!$AS$8:AS29)))</f>
        <v/>
      </c>
      <c r="CA29" s="499" t="str">
        <f>IF('Pon-Bat'!AW29="","",+'Pon-Bat'!AW29/'Pon-Bat'!AS29)</f>
        <v/>
      </c>
      <c r="CB29" s="504" t="str">
        <f>IF('Pon-Bat'!AW29="","",+(SUM('Pon-Bat'!$AW$8:AW29)/SUM('Pon-Bat'!$AS$8:AS29)))</f>
        <v/>
      </c>
      <c r="CC29" s="499" t="str">
        <f>IF('Pon-Bat'!AX29="","",+'Pon-Bat'!AX29/'Pon-Bat'!AS29)</f>
        <v/>
      </c>
      <c r="CD29" s="496" t="str">
        <f>IF('Pon-Bat'!AX29="","",+(SUM('Pon-Bat'!$AX$8:AX29)/SUM('Pon-Bat'!$AS$8:AS29)))</f>
        <v/>
      </c>
      <c r="CE29" s="503" t="str">
        <f>IF('Pon-Bat'!AZ29="","",+'Pon-Bat'!AZ29/'Pon-Bat'!AY29)</f>
        <v/>
      </c>
      <c r="CF29" s="504" t="str">
        <f>IF('Pon-Bat'!AZ29="","",+(SUM('Pon-Bat'!$AZ$8:AZ29)/SUM('Pon-Bat'!$AY$8:AY29)))</f>
        <v/>
      </c>
      <c r="CG29" s="494" t="str">
        <f>IF('Pon-Bat'!BA29="","",+'Pon-Bat'!BA29/'Pon-Bat'!AY29)</f>
        <v/>
      </c>
      <c r="CH29" s="504" t="str">
        <f>IF('Pon-Bat'!BA29="","",+(SUM('Pon-Bat'!$BA$8:BA29)/SUM('Pon-Bat'!$AY$8:AY29)))</f>
        <v/>
      </c>
      <c r="CI29" s="499" t="str">
        <f>IF('Pon-Bat'!BB29="","",+'Pon-Bat'!BB29/'Pon-Bat'!AY29)</f>
        <v/>
      </c>
      <c r="CJ29" s="504" t="str">
        <f>IF('Pon-Bat'!BB29="","",+(SUM('Pon-Bat'!$BB$8:BB29)/SUM('Pon-Bat'!$AY$8:AY29)))</f>
        <v/>
      </c>
      <c r="CK29" s="494" t="str">
        <f>IF('Pon-Bat'!BC29="","",+'Pon-Bat'!BC29/'Pon-Bat'!AY29)</f>
        <v/>
      </c>
      <c r="CL29" s="504" t="str">
        <f>IF('Pon-Bat'!BC29="","",+(SUM('Pon-Bat'!$BC$8:BC29)/SUM('Pon-Bat'!$AY$8:AY29)))</f>
        <v/>
      </c>
      <c r="CM29" s="494" t="str">
        <f>IF('Pon-Bat'!BD29="","",+'Pon-Bat'!BD29/'Pon-Bat'!AY29)</f>
        <v/>
      </c>
      <c r="CN29" s="496" t="str">
        <f>IF('Pon-Bat'!BD29="","",+(SUM('Pon-Bat'!$BD$8:BD29)/SUM('Pon-Bat'!$AY$8:AY29)))</f>
        <v/>
      </c>
    </row>
    <row r="30" spans="1:92" ht="24" customHeight="1" thickBot="1" x14ac:dyDescent="0.25">
      <c r="A30" s="453">
        <f t="shared" ref="A30:A55" si="2">A29+7</f>
        <v>43565</v>
      </c>
      <c r="B30" s="465">
        <f t="shared" ref="B30:B55" si="3">+B29+1</f>
        <v>45</v>
      </c>
      <c r="C30" s="503" t="str">
        <f>IF('Pon-Bat'!D30="","",+'Pon-Bat'!D30/'Pon-Bat'!C30)</f>
        <v/>
      </c>
      <c r="D30" s="504" t="str">
        <f>IF('Pon-Bat'!D30="","",+(SUM('Pon-Bat'!$D$8:D30)/SUM('Pon-Bat'!$C$8:C30)))</f>
        <v/>
      </c>
      <c r="E30" s="494" t="str">
        <f>IF('Pon-Bat'!E30="","",+'Pon-Bat'!E30/'Pon-Bat'!C30)</f>
        <v/>
      </c>
      <c r="F30" s="504" t="str">
        <f>IF('Pon-Bat'!E30="","",+(SUM('Pon-Bat'!$E$8:E30)/SUM('Pon-Bat'!$C$8:C30)))</f>
        <v/>
      </c>
      <c r="G30" s="494" t="str">
        <f>IF('Pon-Bat'!F30="","",+'Pon-Bat'!F30/'Pon-Bat'!C30)</f>
        <v/>
      </c>
      <c r="H30" s="504" t="str">
        <f>IF('Pon-Bat'!F30="","",+(SUM('Pon-Bat'!$F$8:F30)/SUM('Pon-Bat'!$C$8:C30)))</f>
        <v/>
      </c>
      <c r="I30" s="494" t="str">
        <f>IF('Pon-Bat'!G30="","",+'Pon-Bat'!G30/'Pon-Bat'!C30)</f>
        <v/>
      </c>
      <c r="J30" s="504" t="str">
        <f>IF('Pon-Bat'!G30="","",+(SUM('Pon-Bat'!$G$8:G30)/SUM('Pon-Bat'!$C$8:C30)))</f>
        <v/>
      </c>
      <c r="K30" s="494" t="str">
        <f>IF('Pon-Bat'!H30="","",+'Pon-Bat'!H30/'Pon-Bat'!C30)</f>
        <v/>
      </c>
      <c r="L30" s="496" t="str">
        <f>IF('Pon-Bat'!H30="","",+(SUM('Pon-Bat'!$H$8:H30)/SUM('Pon-Bat'!$C$8:C30)))</f>
        <v/>
      </c>
      <c r="M30" s="503" t="str">
        <f>IF('Pon-Bat'!J30="","",+'Pon-Bat'!J30/'Pon-Bat'!I30)</f>
        <v/>
      </c>
      <c r="N30" s="504" t="str">
        <f>IF('Pon-Bat'!J30="","",+(SUM('Pon-Bat'!$J$8:J30)/SUM('Pon-Bat'!$I$8:I30)))</f>
        <v/>
      </c>
      <c r="O30" s="494" t="str">
        <f>IF('Pon-Bat'!K30="","",+'Pon-Bat'!K30/'Pon-Bat'!I30)</f>
        <v/>
      </c>
      <c r="P30" s="504" t="str">
        <f>IF('Pon-Bat'!K30="","",+(SUM('Pon-Bat'!$K$8:K30)/SUM('Pon-Bat'!$I$8:I30)))</f>
        <v/>
      </c>
      <c r="Q30" s="494" t="str">
        <f>IF('Pon-Bat'!L30="","",+'Pon-Bat'!L30/'Pon-Bat'!I30)</f>
        <v/>
      </c>
      <c r="R30" s="504" t="str">
        <f>IF('Pon-Bat'!L30="","",+(SUM('Pon-Bat'!$L$8:L30)/SUM('Pon-Bat'!$I$8:I30)))</f>
        <v/>
      </c>
      <c r="S30" s="494" t="str">
        <f>IF('Pon-Bat'!M30="","",+'Pon-Bat'!M30/'Pon-Bat'!I30)</f>
        <v/>
      </c>
      <c r="T30" s="504" t="str">
        <f>IF('Pon-Bat'!M30="","",+(SUM('Pon-Bat'!$M$8:M30)/SUM('Pon-Bat'!$I$8:I30)))</f>
        <v/>
      </c>
      <c r="U30" s="494" t="str">
        <f>IF('Pon-Bat'!N30="","",+'Pon-Bat'!N30/'Pon-Bat'!I30)</f>
        <v/>
      </c>
      <c r="V30" s="496" t="str">
        <f>IF('Pon-Bat'!N30="","",+(SUM('Pon-Bat'!$N$8:N30)/SUM('Pon-Bat'!$I$8:I30)))</f>
        <v/>
      </c>
      <c r="W30" s="503" t="str">
        <f>IF('Pon-Bat'!P30="","",+'Pon-Bat'!P30/'Pon-Bat'!O30)</f>
        <v/>
      </c>
      <c r="X30" s="504" t="str">
        <f>IF('Pon-Bat'!P30="","",+(SUM('Pon-Bat'!$P$8:P30)/SUM('Pon-Bat'!$O$8:O30)))</f>
        <v/>
      </c>
      <c r="Y30" s="494" t="str">
        <f>IF('Pon-Bat'!Q30="","",+'Pon-Bat'!Q30/'Pon-Bat'!O30)</f>
        <v/>
      </c>
      <c r="Z30" s="504" t="str">
        <f>IF('Pon-Bat'!Q30="","",+(SUM('Pon-Bat'!$Q$8:Q30)/SUM('Pon-Bat'!$O$8:O30)))</f>
        <v/>
      </c>
      <c r="AA30" s="494" t="str">
        <f>IF('Pon-Bat'!R30="","",+'Pon-Bat'!R30/'Pon-Bat'!O30)</f>
        <v/>
      </c>
      <c r="AB30" s="504" t="str">
        <f>IF('Pon-Bat'!R30="","",+(SUM('Pon-Bat'!$R$8:R30)/SUM('Pon-Bat'!$O$8:O30)))</f>
        <v/>
      </c>
      <c r="AC30" s="494" t="str">
        <f>IF('Pon-Bat'!S30="","",+'Pon-Bat'!S30/'Pon-Bat'!O30)</f>
        <v/>
      </c>
      <c r="AD30" s="504" t="str">
        <f>IF('Pon-Bat'!S30="","",+(SUM('Pon-Bat'!$S$8:S30)/SUM('Pon-Bat'!$O$8:O30)))</f>
        <v/>
      </c>
      <c r="AE30" s="494" t="str">
        <f>IF('Pon-Bat'!T30="","",+'Pon-Bat'!T30/'Pon-Bat'!O30)</f>
        <v/>
      </c>
      <c r="AF30" s="496" t="str">
        <f>IF('Pon-Bat'!T30="","",+(SUM('Pon-Bat'!$T$8:T30)/SUM('Pon-Bat'!$O$8:O30)))</f>
        <v/>
      </c>
      <c r="AG30" s="503" t="str">
        <f>IF('Pon-Bat'!V30="","",+'Pon-Bat'!V30/'Pon-Bat'!U30)</f>
        <v/>
      </c>
      <c r="AH30" s="504" t="str">
        <f>IF('Pon-Bat'!V30="","",+(SUM('Pon-Bat'!$V$8:V30)/SUM('Pon-Bat'!$U$8:U30)))</f>
        <v/>
      </c>
      <c r="AI30" s="494" t="str">
        <f>IF('Pon-Bat'!W30="","",+'Pon-Bat'!W30/'Pon-Bat'!U30)</f>
        <v/>
      </c>
      <c r="AJ30" s="504" t="str">
        <f>IF('Pon-Bat'!W30="","",+(SUM('Pon-Bat'!$W$8:W30)/SUM('Pon-Bat'!$U$8:U30)))</f>
        <v/>
      </c>
      <c r="AK30" s="494" t="str">
        <f>IF('Pon-Bat'!X30="","",+'Pon-Bat'!X30/'Pon-Bat'!U30)</f>
        <v/>
      </c>
      <c r="AL30" s="504" t="str">
        <f>IF('Pon-Bat'!X30="","",+(SUM('Pon-Bat'!$X$8:X30)/SUM('Pon-Bat'!$U$8:U30)))</f>
        <v/>
      </c>
      <c r="AM30" s="494" t="str">
        <f>IF('Pon-Bat'!Y30="","",+'Pon-Bat'!Y30/'Pon-Bat'!U30)</f>
        <v/>
      </c>
      <c r="AN30" s="504" t="str">
        <f>IF('Pon-Bat'!Y30="","",+(SUM('Pon-Bat'!$Y$8:Y30)/SUM('Pon-Bat'!$U$8:U30)))</f>
        <v/>
      </c>
      <c r="AO30" s="494" t="str">
        <f>IF('Pon-Bat'!Z30="","",+'Pon-Bat'!Z30/'Pon-Bat'!U30)</f>
        <v/>
      </c>
      <c r="AP30" s="496" t="str">
        <f>IF('Pon-Bat'!Z30="","",+(SUM('Pon-Bat'!$Z$8:Z30)/SUM('Pon-Bat'!$U$8:U30)))</f>
        <v/>
      </c>
      <c r="AQ30" s="503" t="str">
        <f>IF('Pon-Bat'!AB30="","",+'Pon-Bat'!AB30/'Pon-Bat'!AA30)</f>
        <v/>
      </c>
      <c r="AR30" s="504" t="str">
        <f>IF('Pon-Bat'!AB30="","",+(SUM('Pon-Bat'!$AB$8:AB30)/SUM('Pon-Bat'!$AA$8:AA30)))</f>
        <v/>
      </c>
      <c r="AS30" s="494" t="str">
        <f>IF('Pon-Bat'!AC30="","",+'Pon-Bat'!AC30/'Pon-Bat'!AA30)</f>
        <v/>
      </c>
      <c r="AT30" s="504" t="str">
        <f>IF('Pon-Bat'!AC30="","",+(SUM('Pon-Bat'!$AC$8:AC30)/SUM('Pon-Bat'!$AA$8:AA30)))</f>
        <v/>
      </c>
      <c r="AU30" s="494" t="str">
        <f>IF('Pon-Bat'!AD30="","",+'Pon-Bat'!AD30/'Pon-Bat'!AA30)</f>
        <v/>
      </c>
      <c r="AV30" s="504" t="str">
        <f>IF('Pon-Bat'!AD30="","",+(SUM('Pon-Bat'!$AD$8:AD30)/SUM('Pon-Bat'!$AA$8:AA30)))</f>
        <v/>
      </c>
      <c r="AW30" s="494" t="str">
        <f>IF('Pon-Bat'!AE30="","",+'Pon-Bat'!AE30/'Pon-Bat'!AA30)</f>
        <v/>
      </c>
      <c r="AX30" s="504" t="str">
        <f>IF('Pon-Bat'!AE30="","",+(SUM('Pon-Bat'!$AE$8:AE30)/SUM('Pon-Bat'!$AA$8:AA30)))</f>
        <v/>
      </c>
      <c r="AY30" s="494" t="str">
        <f>IF('Pon-Bat'!AF30="","",+'Pon-Bat'!AF30/'Pon-Bat'!AA30)</f>
        <v/>
      </c>
      <c r="AZ30" s="496" t="str">
        <f>IF('Pon-Bat'!AF30="","",+(SUM('Pon-Bat'!$AF$8:AF30)/SUM('Pon-Bat'!$AA$8:AA30)))</f>
        <v/>
      </c>
      <c r="BA30" s="503" t="str">
        <f>IF('Pon-Bat'!AH30="","",+'Pon-Bat'!AH30/'Pon-Bat'!AG30)</f>
        <v/>
      </c>
      <c r="BB30" s="504" t="str">
        <f>IF('Pon-Bat'!AH30="","",+(SUM('Pon-Bat'!$AH$8:AH30)/SUM('Pon-Bat'!$AG$8:AG30)))</f>
        <v/>
      </c>
      <c r="BC30" s="494" t="str">
        <f>IF('Pon-Bat'!AI30="","",+'Pon-Bat'!AI30/'Pon-Bat'!AG30)</f>
        <v/>
      </c>
      <c r="BD30" s="504" t="str">
        <f>IF('Pon-Bat'!AI30="","",+(SUM('Pon-Bat'!$AI$8:AI30)/SUM('Pon-Bat'!$AG$8:AG30)))</f>
        <v/>
      </c>
      <c r="BE30" s="494" t="str">
        <f>IF('Pon-Bat'!AJ30="","",+'Pon-Bat'!AJ30/'Pon-Bat'!AG30)</f>
        <v/>
      </c>
      <c r="BF30" s="504" t="str">
        <f>IF('Pon-Bat'!AJ30="","",+(SUM('Pon-Bat'!$AJ$8:AJ30)/SUM('Pon-Bat'!$AG$8:AG30)))</f>
        <v/>
      </c>
      <c r="BG30" s="494" t="str">
        <f>IF('Pon-Bat'!AK30="","",+'Pon-Bat'!AK30/'Pon-Bat'!AG30)</f>
        <v/>
      </c>
      <c r="BH30" s="504" t="str">
        <f>IF('Pon-Bat'!AK30="","",+(SUM('Pon-Bat'!$AK$8:AK30)/SUM('Pon-Bat'!$AG$8:AG30)))</f>
        <v/>
      </c>
      <c r="BI30" s="494" t="str">
        <f>IF('Pon-Bat'!AL30="","",+'Pon-Bat'!AL30/'Pon-Bat'!AG30)</f>
        <v/>
      </c>
      <c r="BJ30" s="496" t="str">
        <f>IF('Pon-Bat'!AL30="","",+(SUM('Pon-Bat'!$AL$8:AL30)/SUM('Pon-Bat'!$AG$8:AG30)))</f>
        <v/>
      </c>
      <c r="BK30" s="501" t="str">
        <f>IF('Pon-Bat'!AN30="","",+'Pon-Bat'!AN30/'Pon-Bat'!AM30)</f>
        <v/>
      </c>
      <c r="BL30" s="504" t="str">
        <f>IF('Pon-Bat'!AN30="","",+(SUM('Pon-Bat'!$AN$8:AN30)/SUM('Pon-Bat'!$AM$8:AM30)))</f>
        <v/>
      </c>
      <c r="BM30" s="499" t="str">
        <f>IF('Pon-Bat'!AO30="","",+'Pon-Bat'!AO30/'Pon-Bat'!AM30)</f>
        <v/>
      </c>
      <c r="BN30" s="504" t="str">
        <f>IF('Pon-Bat'!AO30="","",+(SUM('Pon-Bat'!$AO$8:AO30)/SUM('Pon-Bat'!$AM$8:AM30)))</f>
        <v/>
      </c>
      <c r="BO30" s="499" t="str">
        <f>IF('Pon-Bat'!AP30="","",+'Pon-Bat'!AP30/'Pon-Bat'!AM30)</f>
        <v/>
      </c>
      <c r="BP30" s="504" t="str">
        <f>IF('Pon-Bat'!AP30="","",+(SUM('Pon-Bat'!$AP$8:AP30)/SUM('Pon-Bat'!$AM$8:AM30)))</f>
        <v/>
      </c>
      <c r="BQ30" s="499" t="str">
        <f>IF('Pon-Bat'!AQ30="","",+'Pon-Bat'!AQ30/'Pon-Bat'!AM30)</f>
        <v/>
      </c>
      <c r="BR30" s="504" t="str">
        <f>IF('Pon-Bat'!AQ30="","",+(SUM('Pon-Bat'!$AQ$8:AQ30)/SUM('Pon-Bat'!$AM$8:AM30)))</f>
        <v/>
      </c>
      <c r="BS30" s="499" t="str">
        <f>IF('Pon-Bat'!AR30="","",+'Pon-Bat'!AR30/'Pon-Bat'!AM30)</f>
        <v/>
      </c>
      <c r="BT30" s="496" t="str">
        <f>IF('Pon-Bat'!AR30="","",+(SUM('Pon-Bat'!$AR$8:AR30)/SUM('Pon-Bat'!$AM$8:AM30)))</f>
        <v/>
      </c>
      <c r="BU30" s="501" t="str">
        <f>IF('Pon-Bat'!AT30="","",+'Pon-Bat'!AT30/'Pon-Bat'!AS30)</f>
        <v/>
      </c>
      <c r="BV30" s="504" t="str">
        <f>IF('Pon-Bat'!AT30="","",+(SUM('Pon-Bat'!$AT$8:AT30)/SUM('Pon-Bat'!$AS$8:AS30)))</f>
        <v/>
      </c>
      <c r="BW30" s="499" t="str">
        <f>IF('Pon-Bat'!AU30="","",+'Pon-Bat'!AU30/'Pon-Bat'!AS30)</f>
        <v/>
      </c>
      <c r="BX30" s="504" t="str">
        <f>IF('Pon-Bat'!AU30="","",+(SUM('Pon-Bat'!$AU$8:AU30)/SUM('Pon-Bat'!$AS$8:AS30)))</f>
        <v/>
      </c>
      <c r="BY30" s="499" t="str">
        <f>IF('Pon-Bat'!AV30="","",+'Pon-Bat'!AV30/'Pon-Bat'!AS30)</f>
        <v/>
      </c>
      <c r="BZ30" s="504" t="str">
        <f>IF('Pon-Bat'!AV30="","",+(SUM('Pon-Bat'!$AV$8:AV30)/SUM('Pon-Bat'!$AS$8:AS30)))</f>
        <v/>
      </c>
      <c r="CA30" s="499" t="str">
        <f>IF('Pon-Bat'!AW30="","",+'Pon-Bat'!AW30/'Pon-Bat'!AS30)</f>
        <v/>
      </c>
      <c r="CB30" s="504" t="str">
        <f>IF('Pon-Bat'!AW30="","",+(SUM('Pon-Bat'!$AW$8:AW30)/SUM('Pon-Bat'!$AS$8:AS30)))</f>
        <v/>
      </c>
      <c r="CC30" s="499" t="str">
        <f>IF('Pon-Bat'!AX30="","",+'Pon-Bat'!AX30/'Pon-Bat'!AS30)</f>
        <v/>
      </c>
      <c r="CD30" s="496" t="str">
        <f>IF('Pon-Bat'!AX30="","",+(SUM('Pon-Bat'!$AX$8:AX30)/SUM('Pon-Bat'!$AS$8:AS30)))</f>
        <v/>
      </c>
      <c r="CE30" s="503" t="str">
        <f>IF('Pon-Bat'!AZ30="","",+'Pon-Bat'!AZ30/'Pon-Bat'!AY30)</f>
        <v/>
      </c>
      <c r="CF30" s="504" t="str">
        <f>IF('Pon-Bat'!AZ30="","",+(SUM('Pon-Bat'!$AZ$8:AZ30)/SUM('Pon-Bat'!$AY$8:AY30)))</f>
        <v/>
      </c>
      <c r="CG30" s="494" t="str">
        <f>IF('Pon-Bat'!BA30="","",+'Pon-Bat'!BA30/'Pon-Bat'!AY30)</f>
        <v/>
      </c>
      <c r="CH30" s="504" t="str">
        <f>IF('Pon-Bat'!BA30="","",+(SUM('Pon-Bat'!$BA$8:BA30)/SUM('Pon-Bat'!$AY$8:AY30)))</f>
        <v/>
      </c>
      <c r="CI30" s="499" t="str">
        <f>IF('Pon-Bat'!BB30="","",+'Pon-Bat'!BB30/'Pon-Bat'!AY30)</f>
        <v/>
      </c>
      <c r="CJ30" s="504" t="str">
        <f>IF('Pon-Bat'!BB30="","",+(SUM('Pon-Bat'!$BB$8:BB30)/SUM('Pon-Bat'!$AY$8:AY30)))</f>
        <v/>
      </c>
      <c r="CK30" s="494" t="str">
        <f>IF('Pon-Bat'!BC30="","",+'Pon-Bat'!BC30/'Pon-Bat'!AY30)</f>
        <v/>
      </c>
      <c r="CL30" s="504" t="str">
        <f>IF('Pon-Bat'!BC30="","",+(SUM('Pon-Bat'!$BC$8:BC30)/SUM('Pon-Bat'!$AY$8:AY30)))</f>
        <v/>
      </c>
      <c r="CM30" s="494" t="str">
        <f>IF('Pon-Bat'!BD30="","",+'Pon-Bat'!BD30/'Pon-Bat'!AY30)</f>
        <v/>
      </c>
      <c r="CN30" s="496" t="str">
        <f>IF('Pon-Bat'!BD30="","",+(SUM('Pon-Bat'!$BD$8:BD30)/SUM('Pon-Bat'!$AY$8:AY30)))</f>
        <v/>
      </c>
    </row>
    <row r="31" spans="1:92" ht="24" customHeight="1" thickBot="1" x14ac:dyDescent="0.25">
      <c r="A31" s="453">
        <f t="shared" si="2"/>
        <v>43572</v>
      </c>
      <c r="B31" s="465">
        <f t="shared" si="3"/>
        <v>46</v>
      </c>
      <c r="C31" s="503" t="str">
        <f>IF('Pon-Bat'!D31="","",+'Pon-Bat'!D31/'Pon-Bat'!C31)</f>
        <v/>
      </c>
      <c r="D31" s="504" t="str">
        <f>IF('Pon-Bat'!D31="","",+(SUM('Pon-Bat'!$D$8:D31)/SUM('Pon-Bat'!$C$8:C31)))</f>
        <v/>
      </c>
      <c r="E31" s="494" t="str">
        <f>IF('Pon-Bat'!E31="","",+'Pon-Bat'!E31/'Pon-Bat'!C31)</f>
        <v/>
      </c>
      <c r="F31" s="504" t="str">
        <f>IF('Pon-Bat'!E31="","",+(SUM('Pon-Bat'!$E$8:E31)/SUM('Pon-Bat'!$C$8:C31)))</f>
        <v/>
      </c>
      <c r="G31" s="494" t="str">
        <f>IF('Pon-Bat'!F31="","",+'Pon-Bat'!F31/'Pon-Bat'!C31)</f>
        <v/>
      </c>
      <c r="H31" s="504" t="str">
        <f>IF('Pon-Bat'!F31="","",+(SUM('Pon-Bat'!$F$8:F31)/SUM('Pon-Bat'!$C$8:C31)))</f>
        <v/>
      </c>
      <c r="I31" s="494" t="str">
        <f>IF('Pon-Bat'!G31="","",+'Pon-Bat'!G31/'Pon-Bat'!C31)</f>
        <v/>
      </c>
      <c r="J31" s="504" t="str">
        <f>IF('Pon-Bat'!G31="","",+(SUM('Pon-Bat'!$G$8:G31)/SUM('Pon-Bat'!$C$8:C31)))</f>
        <v/>
      </c>
      <c r="K31" s="494" t="str">
        <f>IF('Pon-Bat'!H31="","",+'Pon-Bat'!H31/'Pon-Bat'!C31)</f>
        <v/>
      </c>
      <c r="L31" s="496" t="str">
        <f>IF('Pon-Bat'!H31="","",+(SUM('Pon-Bat'!$H$8:H31)/SUM('Pon-Bat'!$C$8:C31)))</f>
        <v/>
      </c>
      <c r="M31" s="503" t="str">
        <f>IF('Pon-Bat'!J31="","",+'Pon-Bat'!J31/'Pon-Bat'!I31)</f>
        <v/>
      </c>
      <c r="N31" s="504" t="str">
        <f>IF('Pon-Bat'!J31="","",+(SUM('Pon-Bat'!$J$8:J31)/SUM('Pon-Bat'!$I$8:I31)))</f>
        <v/>
      </c>
      <c r="O31" s="494" t="str">
        <f>IF('Pon-Bat'!K31="","",+'Pon-Bat'!K31/'Pon-Bat'!I31)</f>
        <v/>
      </c>
      <c r="P31" s="504" t="str">
        <f>IF('Pon-Bat'!K31="","",+(SUM('Pon-Bat'!$K$8:K31)/SUM('Pon-Bat'!$I$8:I31)))</f>
        <v/>
      </c>
      <c r="Q31" s="494" t="str">
        <f>IF('Pon-Bat'!L31="","",+'Pon-Bat'!L31/'Pon-Bat'!I31)</f>
        <v/>
      </c>
      <c r="R31" s="504" t="str">
        <f>IF('Pon-Bat'!L31="","",+(SUM('Pon-Bat'!$L$8:L31)/SUM('Pon-Bat'!$I$8:I31)))</f>
        <v/>
      </c>
      <c r="S31" s="494" t="str">
        <f>IF('Pon-Bat'!M31="","",+'Pon-Bat'!M31/'Pon-Bat'!I31)</f>
        <v/>
      </c>
      <c r="T31" s="504" t="str">
        <f>IF('Pon-Bat'!M31="","",+(SUM('Pon-Bat'!$M$8:M31)/SUM('Pon-Bat'!$I$8:I31)))</f>
        <v/>
      </c>
      <c r="U31" s="494" t="str">
        <f>IF('Pon-Bat'!N31="","",+'Pon-Bat'!N31/'Pon-Bat'!I31)</f>
        <v/>
      </c>
      <c r="V31" s="496" t="str">
        <f>IF('Pon-Bat'!N31="","",+(SUM('Pon-Bat'!$N$8:N31)/SUM('Pon-Bat'!$I$8:I31)))</f>
        <v/>
      </c>
      <c r="W31" s="503" t="str">
        <f>IF('Pon-Bat'!P31="","",+'Pon-Bat'!P31/'Pon-Bat'!O31)</f>
        <v/>
      </c>
      <c r="X31" s="504" t="str">
        <f>IF('Pon-Bat'!P31="","",+(SUM('Pon-Bat'!$P$8:P31)/SUM('Pon-Bat'!$O$8:O31)))</f>
        <v/>
      </c>
      <c r="Y31" s="494" t="str">
        <f>IF('Pon-Bat'!Q31="","",+'Pon-Bat'!Q31/'Pon-Bat'!O31)</f>
        <v/>
      </c>
      <c r="Z31" s="504" t="str">
        <f>IF('Pon-Bat'!Q31="","",+(SUM('Pon-Bat'!$Q$8:Q31)/SUM('Pon-Bat'!$O$8:O31)))</f>
        <v/>
      </c>
      <c r="AA31" s="494" t="str">
        <f>IF('Pon-Bat'!R31="","",+'Pon-Bat'!R31/'Pon-Bat'!O31)</f>
        <v/>
      </c>
      <c r="AB31" s="504" t="str">
        <f>IF('Pon-Bat'!R31="","",+(SUM('Pon-Bat'!$R$8:R31)/SUM('Pon-Bat'!$O$8:O31)))</f>
        <v/>
      </c>
      <c r="AC31" s="494" t="str">
        <f>IF('Pon-Bat'!S31="","",+'Pon-Bat'!S31/'Pon-Bat'!O31)</f>
        <v/>
      </c>
      <c r="AD31" s="504" t="str">
        <f>IF('Pon-Bat'!S31="","",+(SUM('Pon-Bat'!$S$8:S31)/SUM('Pon-Bat'!$O$8:O31)))</f>
        <v/>
      </c>
      <c r="AE31" s="494" t="str">
        <f>IF('Pon-Bat'!T31="","",+'Pon-Bat'!T31/'Pon-Bat'!O31)</f>
        <v/>
      </c>
      <c r="AF31" s="496" t="str">
        <f>IF('Pon-Bat'!T31="","",+(SUM('Pon-Bat'!$T$8:T31)/SUM('Pon-Bat'!$O$8:O31)))</f>
        <v/>
      </c>
      <c r="AG31" s="503" t="str">
        <f>IF('Pon-Bat'!V31="","",+'Pon-Bat'!V31/'Pon-Bat'!U31)</f>
        <v/>
      </c>
      <c r="AH31" s="504" t="str">
        <f>IF('Pon-Bat'!V31="","",+(SUM('Pon-Bat'!$V$8:V31)/SUM('Pon-Bat'!$U$8:U31)))</f>
        <v/>
      </c>
      <c r="AI31" s="494" t="str">
        <f>IF('Pon-Bat'!W31="","",+'Pon-Bat'!W31/'Pon-Bat'!U31)</f>
        <v/>
      </c>
      <c r="AJ31" s="504" t="str">
        <f>IF('Pon-Bat'!W31="","",+(SUM('Pon-Bat'!$W$8:W31)/SUM('Pon-Bat'!$U$8:U31)))</f>
        <v/>
      </c>
      <c r="AK31" s="494" t="str">
        <f>IF('Pon-Bat'!X31="","",+'Pon-Bat'!X31/'Pon-Bat'!U31)</f>
        <v/>
      </c>
      <c r="AL31" s="504" t="str">
        <f>IF('Pon-Bat'!X31="","",+(SUM('Pon-Bat'!$X$8:X31)/SUM('Pon-Bat'!$U$8:U31)))</f>
        <v/>
      </c>
      <c r="AM31" s="494" t="str">
        <f>IF('Pon-Bat'!Y31="","",+'Pon-Bat'!Y31/'Pon-Bat'!U31)</f>
        <v/>
      </c>
      <c r="AN31" s="504" t="str">
        <f>IF('Pon-Bat'!Y31="","",+(SUM('Pon-Bat'!$Y$8:Y31)/SUM('Pon-Bat'!$U$8:U31)))</f>
        <v/>
      </c>
      <c r="AO31" s="494" t="str">
        <f>IF('Pon-Bat'!Z31="","",+'Pon-Bat'!Z31/'Pon-Bat'!U31)</f>
        <v/>
      </c>
      <c r="AP31" s="496" t="str">
        <f>IF('Pon-Bat'!Z31="","",+(SUM('Pon-Bat'!$Z$8:Z31)/SUM('Pon-Bat'!$U$8:U31)))</f>
        <v/>
      </c>
      <c r="AQ31" s="503" t="str">
        <f>IF('Pon-Bat'!AB31="","",+'Pon-Bat'!AB31/'Pon-Bat'!AA31)</f>
        <v/>
      </c>
      <c r="AR31" s="504" t="str">
        <f>IF('Pon-Bat'!AB31="","",+(SUM('Pon-Bat'!$AB$8:AB31)/SUM('Pon-Bat'!$AA$8:AA31)))</f>
        <v/>
      </c>
      <c r="AS31" s="494" t="str">
        <f>IF('Pon-Bat'!AC31="","",+'Pon-Bat'!AC31/'Pon-Bat'!AA31)</f>
        <v/>
      </c>
      <c r="AT31" s="504" t="str">
        <f>IF('Pon-Bat'!AC31="","",+(SUM('Pon-Bat'!$AC$8:AC31)/SUM('Pon-Bat'!$AA$8:AA31)))</f>
        <v/>
      </c>
      <c r="AU31" s="494" t="str">
        <f>IF('Pon-Bat'!AD31="","",+'Pon-Bat'!AD31/'Pon-Bat'!AA31)</f>
        <v/>
      </c>
      <c r="AV31" s="504" t="str">
        <f>IF('Pon-Bat'!AD31="","",+(SUM('Pon-Bat'!$AD$8:AD31)/SUM('Pon-Bat'!$AA$8:AA31)))</f>
        <v/>
      </c>
      <c r="AW31" s="494" t="str">
        <f>IF('Pon-Bat'!AE31="","",+'Pon-Bat'!AE31/'Pon-Bat'!AA31)</f>
        <v/>
      </c>
      <c r="AX31" s="504" t="str">
        <f>IF('Pon-Bat'!AE31="","",+(SUM('Pon-Bat'!$AE$8:AE31)/SUM('Pon-Bat'!$AA$8:AA31)))</f>
        <v/>
      </c>
      <c r="AY31" s="494" t="str">
        <f>IF('Pon-Bat'!AF31="","",+'Pon-Bat'!AF31/'Pon-Bat'!AA31)</f>
        <v/>
      </c>
      <c r="AZ31" s="496" t="str">
        <f>IF('Pon-Bat'!AF31="","",+(SUM('Pon-Bat'!$AF$8:AF31)/SUM('Pon-Bat'!$AA$8:AA31)))</f>
        <v/>
      </c>
      <c r="BA31" s="503" t="str">
        <f>IF('Pon-Bat'!AH31="","",+'Pon-Bat'!AH31/'Pon-Bat'!AG31)</f>
        <v/>
      </c>
      <c r="BB31" s="504" t="str">
        <f>IF('Pon-Bat'!AH31="","",+(SUM('Pon-Bat'!$AH$8:AH31)/SUM('Pon-Bat'!$AG$8:AG31)))</f>
        <v/>
      </c>
      <c r="BC31" s="494" t="str">
        <f>IF('Pon-Bat'!AI31="","",+'Pon-Bat'!AI31/'Pon-Bat'!AG31)</f>
        <v/>
      </c>
      <c r="BD31" s="504" t="str">
        <f>IF('Pon-Bat'!AI31="","",+(SUM('Pon-Bat'!$AI$8:AI31)/SUM('Pon-Bat'!$AG$8:AG31)))</f>
        <v/>
      </c>
      <c r="BE31" s="494" t="str">
        <f>IF('Pon-Bat'!AJ31="","",+'Pon-Bat'!AJ31/'Pon-Bat'!AG31)</f>
        <v/>
      </c>
      <c r="BF31" s="504" t="str">
        <f>IF('Pon-Bat'!AJ31="","",+(SUM('Pon-Bat'!$AJ$8:AJ31)/SUM('Pon-Bat'!$AG$8:AG31)))</f>
        <v/>
      </c>
      <c r="BG31" s="494" t="str">
        <f>IF('Pon-Bat'!AK31="","",+'Pon-Bat'!AK31/'Pon-Bat'!AG31)</f>
        <v/>
      </c>
      <c r="BH31" s="504" t="str">
        <f>IF('Pon-Bat'!AK31="","",+(SUM('Pon-Bat'!$AK$8:AK31)/SUM('Pon-Bat'!$AG$8:AG31)))</f>
        <v/>
      </c>
      <c r="BI31" s="494" t="str">
        <f>IF('Pon-Bat'!AL31="","",+'Pon-Bat'!AL31/'Pon-Bat'!AG31)</f>
        <v/>
      </c>
      <c r="BJ31" s="496" t="str">
        <f>IF('Pon-Bat'!AL31="","",+(SUM('Pon-Bat'!$AL$8:AL31)/SUM('Pon-Bat'!$AG$8:AG31)))</f>
        <v/>
      </c>
      <c r="BK31" s="501" t="str">
        <f>IF('Pon-Bat'!AN31="","",+'Pon-Bat'!AN31/'Pon-Bat'!AM31)</f>
        <v/>
      </c>
      <c r="BL31" s="504" t="str">
        <f>IF('Pon-Bat'!AN31="","",+(SUM('Pon-Bat'!$AN$8:AN31)/SUM('Pon-Bat'!$AM$8:AM31)))</f>
        <v/>
      </c>
      <c r="BM31" s="499" t="str">
        <f>IF('Pon-Bat'!AO31="","",+'Pon-Bat'!AO31/'Pon-Bat'!AM31)</f>
        <v/>
      </c>
      <c r="BN31" s="504" t="str">
        <f>IF('Pon-Bat'!AO31="","",+(SUM('Pon-Bat'!$AO$8:AO31)/SUM('Pon-Bat'!$AM$8:AM31)))</f>
        <v/>
      </c>
      <c r="BO31" s="499" t="str">
        <f>IF('Pon-Bat'!AP31="","",+'Pon-Bat'!AP31/'Pon-Bat'!AM31)</f>
        <v/>
      </c>
      <c r="BP31" s="504" t="str">
        <f>IF('Pon-Bat'!AP31="","",+(SUM('Pon-Bat'!$AP$8:AP31)/SUM('Pon-Bat'!$AM$8:AM31)))</f>
        <v/>
      </c>
      <c r="BQ31" s="499" t="str">
        <f>IF('Pon-Bat'!AQ31="","",+'Pon-Bat'!AQ31/'Pon-Bat'!AM31)</f>
        <v/>
      </c>
      <c r="BR31" s="504" t="str">
        <f>IF('Pon-Bat'!AQ31="","",+(SUM('Pon-Bat'!$AQ$8:AQ31)/SUM('Pon-Bat'!$AM$8:AM31)))</f>
        <v/>
      </c>
      <c r="BS31" s="499" t="str">
        <f>IF('Pon-Bat'!AR31="","",+'Pon-Bat'!AR31/'Pon-Bat'!AM31)</f>
        <v/>
      </c>
      <c r="BT31" s="496" t="str">
        <f>IF('Pon-Bat'!AR31="","",+(SUM('Pon-Bat'!$AR$8:AR31)/SUM('Pon-Bat'!$AM$8:AM31)))</f>
        <v/>
      </c>
      <c r="BU31" s="501" t="str">
        <f>IF('Pon-Bat'!AT31="","",+'Pon-Bat'!AT31/'Pon-Bat'!AS31)</f>
        <v/>
      </c>
      <c r="BV31" s="504" t="str">
        <f>IF('Pon-Bat'!AT31="","",+(SUM('Pon-Bat'!$AT$8:AT31)/SUM('Pon-Bat'!$AS$8:AS31)))</f>
        <v/>
      </c>
      <c r="BW31" s="499" t="str">
        <f>IF('Pon-Bat'!AU31="","",+'Pon-Bat'!AU31/'Pon-Bat'!AS31)</f>
        <v/>
      </c>
      <c r="BX31" s="504" t="str">
        <f>IF('Pon-Bat'!AU31="","",+(SUM('Pon-Bat'!$AU$8:AU31)/SUM('Pon-Bat'!$AS$8:AS31)))</f>
        <v/>
      </c>
      <c r="BY31" s="499" t="str">
        <f>IF('Pon-Bat'!AV31="","",+'Pon-Bat'!AV31/'Pon-Bat'!AS31)</f>
        <v/>
      </c>
      <c r="BZ31" s="504" t="str">
        <f>IF('Pon-Bat'!AV31="","",+(SUM('Pon-Bat'!$AV$8:AV31)/SUM('Pon-Bat'!$AS$8:AS31)))</f>
        <v/>
      </c>
      <c r="CA31" s="499" t="str">
        <f>IF('Pon-Bat'!AW31="","",+'Pon-Bat'!AW31/'Pon-Bat'!AS31)</f>
        <v/>
      </c>
      <c r="CB31" s="504" t="str">
        <f>IF('Pon-Bat'!AW31="","",+(SUM('Pon-Bat'!$AW$8:AW31)/SUM('Pon-Bat'!$AS$8:AS31)))</f>
        <v/>
      </c>
      <c r="CC31" s="499" t="str">
        <f>IF('Pon-Bat'!AX31="","",+'Pon-Bat'!AX31/'Pon-Bat'!AS31)</f>
        <v/>
      </c>
      <c r="CD31" s="496" t="str">
        <f>IF('Pon-Bat'!AX31="","",+(SUM('Pon-Bat'!$AX$8:AX31)/SUM('Pon-Bat'!$AS$8:AS31)))</f>
        <v/>
      </c>
      <c r="CE31" s="503" t="str">
        <f>IF('Pon-Bat'!AZ31="","",+'Pon-Bat'!AZ31/'Pon-Bat'!AY31)</f>
        <v/>
      </c>
      <c r="CF31" s="504" t="str">
        <f>IF('Pon-Bat'!AZ31="","",+(SUM('Pon-Bat'!$AZ$8:AZ31)/SUM('Pon-Bat'!$AY$8:AY31)))</f>
        <v/>
      </c>
      <c r="CG31" s="494" t="str">
        <f>IF('Pon-Bat'!BA31="","",+'Pon-Bat'!BA31/'Pon-Bat'!AY31)</f>
        <v/>
      </c>
      <c r="CH31" s="504" t="str">
        <f>IF('Pon-Bat'!BA31="","",+(SUM('Pon-Bat'!$BA$8:BA31)/SUM('Pon-Bat'!$AY$8:AY31)))</f>
        <v/>
      </c>
      <c r="CI31" s="499" t="str">
        <f>IF('Pon-Bat'!BB31="","",+'Pon-Bat'!BB31/'Pon-Bat'!AY31)</f>
        <v/>
      </c>
      <c r="CJ31" s="504" t="str">
        <f>IF('Pon-Bat'!BB31="","",+(SUM('Pon-Bat'!$BB$8:BB31)/SUM('Pon-Bat'!$AY$8:AY31)))</f>
        <v/>
      </c>
      <c r="CK31" s="494" t="str">
        <f>IF('Pon-Bat'!BC31="","",+'Pon-Bat'!BC31/'Pon-Bat'!AY31)</f>
        <v/>
      </c>
      <c r="CL31" s="504" t="str">
        <f>IF('Pon-Bat'!BC31="","",+(SUM('Pon-Bat'!$BC$8:BC31)/SUM('Pon-Bat'!$AY$8:AY31)))</f>
        <v/>
      </c>
      <c r="CM31" s="494" t="str">
        <f>IF('Pon-Bat'!BD31="","",+'Pon-Bat'!BD31/'Pon-Bat'!AY31)</f>
        <v/>
      </c>
      <c r="CN31" s="496" t="str">
        <f>IF('Pon-Bat'!BD31="","",+(SUM('Pon-Bat'!$BD$8:BD31)/SUM('Pon-Bat'!$AY$8:AY31)))</f>
        <v/>
      </c>
    </row>
    <row r="32" spans="1:92" ht="24" customHeight="1" thickBot="1" x14ac:dyDescent="0.25">
      <c r="A32" s="453">
        <f t="shared" si="2"/>
        <v>43579</v>
      </c>
      <c r="B32" s="465">
        <f t="shared" si="3"/>
        <v>47</v>
      </c>
      <c r="C32" s="503" t="str">
        <f>IF('Pon-Bat'!D32="","",+'Pon-Bat'!D32/'Pon-Bat'!C32)</f>
        <v/>
      </c>
      <c r="D32" s="504" t="str">
        <f>IF('Pon-Bat'!D32="","",+(SUM('Pon-Bat'!$D$8:D32)/SUM('Pon-Bat'!$C$8:C32)))</f>
        <v/>
      </c>
      <c r="E32" s="494" t="str">
        <f>IF('Pon-Bat'!E32="","",+'Pon-Bat'!E32/'Pon-Bat'!C32)</f>
        <v/>
      </c>
      <c r="F32" s="504" t="str">
        <f>IF('Pon-Bat'!E32="","",+(SUM('Pon-Bat'!$E$8:E32)/SUM('Pon-Bat'!$C$8:C32)))</f>
        <v/>
      </c>
      <c r="G32" s="494" t="str">
        <f>IF('Pon-Bat'!F32="","",+'Pon-Bat'!F32/'Pon-Bat'!C32)</f>
        <v/>
      </c>
      <c r="H32" s="504" t="str">
        <f>IF('Pon-Bat'!F32="","",+(SUM('Pon-Bat'!$F$8:F32)/SUM('Pon-Bat'!$C$8:C32)))</f>
        <v/>
      </c>
      <c r="I32" s="494" t="str">
        <f>IF('Pon-Bat'!G32="","",+'Pon-Bat'!G32/'Pon-Bat'!C32)</f>
        <v/>
      </c>
      <c r="J32" s="504" t="str">
        <f>IF('Pon-Bat'!G32="","",+(SUM('Pon-Bat'!$G$8:G32)/SUM('Pon-Bat'!$C$8:C32)))</f>
        <v/>
      </c>
      <c r="K32" s="494" t="str">
        <f>IF('Pon-Bat'!H32="","",+'Pon-Bat'!H32/'Pon-Bat'!C32)</f>
        <v/>
      </c>
      <c r="L32" s="496" t="str">
        <f>IF('Pon-Bat'!H32="","",+(SUM('Pon-Bat'!$H$8:H32)/SUM('Pon-Bat'!$C$8:C32)))</f>
        <v/>
      </c>
      <c r="M32" s="503" t="str">
        <f>IF('Pon-Bat'!J32="","",+'Pon-Bat'!J32/'Pon-Bat'!I32)</f>
        <v/>
      </c>
      <c r="N32" s="504" t="str">
        <f>IF('Pon-Bat'!J32="","",+(SUM('Pon-Bat'!$J$8:J32)/SUM('Pon-Bat'!$I$8:I32)))</f>
        <v/>
      </c>
      <c r="O32" s="494" t="str">
        <f>IF('Pon-Bat'!K32="","",+'Pon-Bat'!K32/'Pon-Bat'!I32)</f>
        <v/>
      </c>
      <c r="P32" s="504" t="str">
        <f>IF('Pon-Bat'!K32="","",+(SUM('Pon-Bat'!$K$8:K32)/SUM('Pon-Bat'!$I$8:I32)))</f>
        <v/>
      </c>
      <c r="Q32" s="494" t="str">
        <f>IF('Pon-Bat'!L32="","",+'Pon-Bat'!L32/'Pon-Bat'!I32)</f>
        <v/>
      </c>
      <c r="R32" s="504" t="str">
        <f>IF('Pon-Bat'!L32="","",+(SUM('Pon-Bat'!$L$8:L32)/SUM('Pon-Bat'!$I$8:I32)))</f>
        <v/>
      </c>
      <c r="S32" s="494" t="str">
        <f>IF('Pon-Bat'!M32="","",+'Pon-Bat'!M32/'Pon-Bat'!I32)</f>
        <v/>
      </c>
      <c r="T32" s="504" t="str">
        <f>IF('Pon-Bat'!M32="","",+(SUM('Pon-Bat'!$M$8:M32)/SUM('Pon-Bat'!$I$8:I32)))</f>
        <v/>
      </c>
      <c r="U32" s="494" t="str">
        <f>IF('Pon-Bat'!N32="","",+'Pon-Bat'!N32/'Pon-Bat'!I32)</f>
        <v/>
      </c>
      <c r="V32" s="496" t="str">
        <f>IF('Pon-Bat'!N32="","",+(SUM('Pon-Bat'!$N$8:N32)/SUM('Pon-Bat'!$I$8:I32)))</f>
        <v/>
      </c>
      <c r="W32" s="503" t="str">
        <f>IF('Pon-Bat'!P32="","",+'Pon-Bat'!P32/'Pon-Bat'!O32)</f>
        <v/>
      </c>
      <c r="X32" s="504" t="str">
        <f>IF('Pon-Bat'!P32="","",+(SUM('Pon-Bat'!$P$8:P32)/SUM('Pon-Bat'!$O$8:O32)))</f>
        <v/>
      </c>
      <c r="Y32" s="494" t="str">
        <f>IF('Pon-Bat'!Q32="","",+'Pon-Bat'!Q32/'Pon-Bat'!O32)</f>
        <v/>
      </c>
      <c r="Z32" s="504" t="str">
        <f>IF('Pon-Bat'!Q32="","",+(SUM('Pon-Bat'!$Q$8:Q32)/SUM('Pon-Bat'!$O$8:O32)))</f>
        <v/>
      </c>
      <c r="AA32" s="494" t="str">
        <f>IF('Pon-Bat'!R32="","",+'Pon-Bat'!R32/'Pon-Bat'!O32)</f>
        <v/>
      </c>
      <c r="AB32" s="504" t="str">
        <f>IF('Pon-Bat'!R32="","",+(SUM('Pon-Bat'!$R$8:R32)/SUM('Pon-Bat'!$O$8:O32)))</f>
        <v/>
      </c>
      <c r="AC32" s="494" t="str">
        <f>IF('Pon-Bat'!S32="","",+'Pon-Bat'!S32/'Pon-Bat'!O32)</f>
        <v/>
      </c>
      <c r="AD32" s="504" t="str">
        <f>IF('Pon-Bat'!S32="","",+(SUM('Pon-Bat'!$S$8:S32)/SUM('Pon-Bat'!$O$8:O32)))</f>
        <v/>
      </c>
      <c r="AE32" s="494" t="str">
        <f>IF('Pon-Bat'!T32="","",+'Pon-Bat'!T32/'Pon-Bat'!O32)</f>
        <v/>
      </c>
      <c r="AF32" s="496" t="str">
        <f>IF('Pon-Bat'!T32="","",+(SUM('Pon-Bat'!$T$8:T32)/SUM('Pon-Bat'!$O$8:O32)))</f>
        <v/>
      </c>
      <c r="AG32" s="503" t="str">
        <f>IF('Pon-Bat'!V32="","",+'Pon-Bat'!V32/'Pon-Bat'!U32)</f>
        <v/>
      </c>
      <c r="AH32" s="504" t="str">
        <f>IF('Pon-Bat'!V32="","",+(SUM('Pon-Bat'!$V$8:V32)/SUM('Pon-Bat'!$U$8:U32)))</f>
        <v/>
      </c>
      <c r="AI32" s="494" t="str">
        <f>IF('Pon-Bat'!W32="","",+'Pon-Bat'!W32/'Pon-Bat'!U32)</f>
        <v/>
      </c>
      <c r="AJ32" s="504" t="str">
        <f>IF('Pon-Bat'!W32="","",+(SUM('Pon-Bat'!$W$8:W32)/SUM('Pon-Bat'!$U$8:U32)))</f>
        <v/>
      </c>
      <c r="AK32" s="494" t="str">
        <f>IF('Pon-Bat'!X32="","",+'Pon-Bat'!X32/'Pon-Bat'!U32)</f>
        <v/>
      </c>
      <c r="AL32" s="504" t="str">
        <f>IF('Pon-Bat'!X32="","",+(SUM('Pon-Bat'!$X$8:X32)/SUM('Pon-Bat'!$U$8:U32)))</f>
        <v/>
      </c>
      <c r="AM32" s="494" t="str">
        <f>IF('Pon-Bat'!Y32="","",+'Pon-Bat'!Y32/'Pon-Bat'!U32)</f>
        <v/>
      </c>
      <c r="AN32" s="504" t="str">
        <f>IF('Pon-Bat'!Y32="","",+(SUM('Pon-Bat'!$Y$8:Y32)/SUM('Pon-Bat'!$U$8:U32)))</f>
        <v/>
      </c>
      <c r="AO32" s="494" t="str">
        <f>IF('Pon-Bat'!Z32="","",+'Pon-Bat'!Z32/'Pon-Bat'!U32)</f>
        <v/>
      </c>
      <c r="AP32" s="496" t="str">
        <f>IF('Pon-Bat'!Z32="","",+(SUM('Pon-Bat'!$Z$8:Z32)/SUM('Pon-Bat'!$U$8:U32)))</f>
        <v/>
      </c>
      <c r="AQ32" s="503" t="str">
        <f>IF('Pon-Bat'!AB32="","",+'Pon-Bat'!AB32/'Pon-Bat'!AA32)</f>
        <v/>
      </c>
      <c r="AR32" s="504" t="str">
        <f>IF('Pon-Bat'!AB32="","",+(SUM('Pon-Bat'!$AB$8:AB32)/SUM('Pon-Bat'!$AA$8:AA32)))</f>
        <v/>
      </c>
      <c r="AS32" s="494" t="str">
        <f>IF('Pon-Bat'!AC32="","",+'Pon-Bat'!AC32/'Pon-Bat'!AA32)</f>
        <v/>
      </c>
      <c r="AT32" s="504" t="str">
        <f>IF('Pon-Bat'!AC32="","",+(SUM('Pon-Bat'!$AC$8:AC32)/SUM('Pon-Bat'!$AA$8:AA32)))</f>
        <v/>
      </c>
      <c r="AU32" s="494" t="str">
        <f>IF('Pon-Bat'!AD32="","",+'Pon-Bat'!AD32/'Pon-Bat'!AA32)</f>
        <v/>
      </c>
      <c r="AV32" s="504" t="str">
        <f>IF('Pon-Bat'!AD32="","",+(SUM('Pon-Bat'!$AD$8:AD32)/SUM('Pon-Bat'!$AA$8:AA32)))</f>
        <v/>
      </c>
      <c r="AW32" s="494" t="str">
        <f>IF('Pon-Bat'!AE32="","",+'Pon-Bat'!AE32/'Pon-Bat'!AA32)</f>
        <v/>
      </c>
      <c r="AX32" s="504" t="str">
        <f>IF('Pon-Bat'!AE32="","",+(SUM('Pon-Bat'!$AE$8:AE32)/SUM('Pon-Bat'!$AA$8:AA32)))</f>
        <v/>
      </c>
      <c r="AY32" s="494" t="str">
        <f>IF('Pon-Bat'!AF32="","",+'Pon-Bat'!AF32/'Pon-Bat'!AA32)</f>
        <v/>
      </c>
      <c r="AZ32" s="496" t="str">
        <f>IF('Pon-Bat'!AF32="","",+(SUM('Pon-Bat'!$AF$8:AF32)/SUM('Pon-Bat'!$AA$8:AA32)))</f>
        <v/>
      </c>
      <c r="BA32" s="503" t="str">
        <f>IF('Pon-Bat'!AH32="","",+'Pon-Bat'!AH32/'Pon-Bat'!AG32)</f>
        <v/>
      </c>
      <c r="BB32" s="504" t="str">
        <f>IF('Pon-Bat'!AH32="","",+(SUM('Pon-Bat'!$AH$8:AH32)/SUM('Pon-Bat'!$AG$8:AG32)))</f>
        <v/>
      </c>
      <c r="BC32" s="494" t="str">
        <f>IF('Pon-Bat'!AI32="","",+'Pon-Bat'!AI32/'Pon-Bat'!AG32)</f>
        <v/>
      </c>
      <c r="BD32" s="504" t="str">
        <f>IF('Pon-Bat'!AI32="","",+(SUM('Pon-Bat'!$AI$8:AI32)/SUM('Pon-Bat'!$AG$8:AG32)))</f>
        <v/>
      </c>
      <c r="BE32" s="494" t="str">
        <f>IF('Pon-Bat'!AJ32="","",+'Pon-Bat'!AJ32/'Pon-Bat'!AG32)</f>
        <v/>
      </c>
      <c r="BF32" s="504" t="str">
        <f>IF('Pon-Bat'!AJ32="","",+(SUM('Pon-Bat'!$AJ$8:AJ32)/SUM('Pon-Bat'!$AG$8:AG32)))</f>
        <v/>
      </c>
      <c r="BG32" s="494" t="str">
        <f>IF('Pon-Bat'!AK32="","",+'Pon-Bat'!AK32/'Pon-Bat'!AG32)</f>
        <v/>
      </c>
      <c r="BH32" s="504" t="str">
        <f>IF('Pon-Bat'!AK32="","",+(SUM('Pon-Bat'!$AK$8:AK32)/SUM('Pon-Bat'!$AG$8:AG32)))</f>
        <v/>
      </c>
      <c r="BI32" s="494" t="str">
        <f>IF('Pon-Bat'!AL32="","",+'Pon-Bat'!AL32/'Pon-Bat'!AG32)</f>
        <v/>
      </c>
      <c r="BJ32" s="496" t="str">
        <f>IF('Pon-Bat'!AL32="","",+(SUM('Pon-Bat'!$AL$8:AL32)/SUM('Pon-Bat'!$AG$8:AG32)))</f>
        <v/>
      </c>
      <c r="BK32" s="501" t="str">
        <f>IF('Pon-Bat'!AN32="","",+'Pon-Bat'!AN32/'Pon-Bat'!AM32)</f>
        <v/>
      </c>
      <c r="BL32" s="504" t="str">
        <f>IF('Pon-Bat'!AN32="","",+(SUM('Pon-Bat'!$AN$8:AN32)/SUM('Pon-Bat'!$AM$8:AM32)))</f>
        <v/>
      </c>
      <c r="BM32" s="499" t="str">
        <f>IF('Pon-Bat'!AO32="","",+'Pon-Bat'!AO32/'Pon-Bat'!AM32)</f>
        <v/>
      </c>
      <c r="BN32" s="504" t="str">
        <f>IF('Pon-Bat'!AO32="","",+(SUM('Pon-Bat'!$AO$8:AO32)/SUM('Pon-Bat'!$AM$8:AM32)))</f>
        <v/>
      </c>
      <c r="BO32" s="499" t="str">
        <f>IF('Pon-Bat'!AP32="","",+'Pon-Bat'!AP32/'Pon-Bat'!AM32)</f>
        <v/>
      </c>
      <c r="BP32" s="504" t="str">
        <f>IF('Pon-Bat'!AP32="","",+(SUM('Pon-Bat'!$AP$8:AP32)/SUM('Pon-Bat'!$AM$8:AM32)))</f>
        <v/>
      </c>
      <c r="BQ32" s="499" t="str">
        <f>IF('Pon-Bat'!AQ32="","",+'Pon-Bat'!AQ32/'Pon-Bat'!AM32)</f>
        <v/>
      </c>
      <c r="BR32" s="504" t="str">
        <f>IF('Pon-Bat'!AQ32="","",+(SUM('Pon-Bat'!$AQ$8:AQ32)/SUM('Pon-Bat'!$AM$8:AM32)))</f>
        <v/>
      </c>
      <c r="BS32" s="499" t="str">
        <f>IF('Pon-Bat'!AR32="","",+'Pon-Bat'!AR32/'Pon-Bat'!AM32)</f>
        <v/>
      </c>
      <c r="BT32" s="496" t="str">
        <f>IF('Pon-Bat'!AR32="","",+(SUM('Pon-Bat'!$AR$8:AR32)/SUM('Pon-Bat'!$AM$8:AM32)))</f>
        <v/>
      </c>
      <c r="BU32" s="501" t="str">
        <f>IF('Pon-Bat'!AT32="","",+'Pon-Bat'!AT32/'Pon-Bat'!AS32)</f>
        <v/>
      </c>
      <c r="BV32" s="504" t="str">
        <f>IF('Pon-Bat'!AT32="","",+(SUM('Pon-Bat'!$AT$8:AT32)/SUM('Pon-Bat'!$AS$8:AS32)))</f>
        <v/>
      </c>
      <c r="BW32" s="499" t="str">
        <f>IF('Pon-Bat'!AU32="","",+'Pon-Bat'!AU32/'Pon-Bat'!AS32)</f>
        <v/>
      </c>
      <c r="BX32" s="504" t="str">
        <f>IF('Pon-Bat'!AU32="","",+(SUM('Pon-Bat'!$AU$8:AU32)/SUM('Pon-Bat'!$AS$8:AS32)))</f>
        <v/>
      </c>
      <c r="BY32" s="499" t="str">
        <f>IF('Pon-Bat'!AV32="","",+'Pon-Bat'!AV32/'Pon-Bat'!AS32)</f>
        <v/>
      </c>
      <c r="BZ32" s="504" t="str">
        <f>IF('Pon-Bat'!AV32="","",+(SUM('Pon-Bat'!$AV$8:AV32)/SUM('Pon-Bat'!$AS$8:AS32)))</f>
        <v/>
      </c>
      <c r="CA32" s="499" t="str">
        <f>IF('Pon-Bat'!AW32="","",+'Pon-Bat'!AW32/'Pon-Bat'!AS32)</f>
        <v/>
      </c>
      <c r="CB32" s="504" t="str">
        <f>IF('Pon-Bat'!AW32="","",+(SUM('Pon-Bat'!$AW$8:AW32)/SUM('Pon-Bat'!$AS$8:AS32)))</f>
        <v/>
      </c>
      <c r="CC32" s="499" t="str">
        <f>IF('Pon-Bat'!AX32="","",+'Pon-Bat'!AX32/'Pon-Bat'!AS32)</f>
        <v/>
      </c>
      <c r="CD32" s="496" t="str">
        <f>IF('Pon-Bat'!AX32="","",+(SUM('Pon-Bat'!$AX$8:AX32)/SUM('Pon-Bat'!$AS$8:AS32)))</f>
        <v/>
      </c>
      <c r="CE32" s="503" t="str">
        <f>IF('Pon-Bat'!AZ32="","",+'Pon-Bat'!AZ32/'Pon-Bat'!AY32)</f>
        <v/>
      </c>
      <c r="CF32" s="504" t="str">
        <f>IF('Pon-Bat'!AZ32="","",+(SUM('Pon-Bat'!$AZ$8:AZ32)/SUM('Pon-Bat'!$AY$8:AY32)))</f>
        <v/>
      </c>
      <c r="CG32" s="494" t="str">
        <f>IF('Pon-Bat'!BA32="","",+'Pon-Bat'!BA32/'Pon-Bat'!AY32)</f>
        <v/>
      </c>
      <c r="CH32" s="504" t="str">
        <f>IF('Pon-Bat'!BA32="","",+(SUM('Pon-Bat'!$BA$8:BA32)/SUM('Pon-Bat'!$AY$8:AY32)))</f>
        <v/>
      </c>
      <c r="CI32" s="499" t="str">
        <f>IF('Pon-Bat'!BB32="","",+'Pon-Bat'!BB32/'Pon-Bat'!AY32)</f>
        <v/>
      </c>
      <c r="CJ32" s="504" t="str">
        <f>IF('Pon-Bat'!BB32="","",+(SUM('Pon-Bat'!$BB$8:BB32)/SUM('Pon-Bat'!$AY$8:AY32)))</f>
        <v/>
      </c>
      <c r="CK32" s="494" t="str">
        <f>IF('Pon-Bat'!BC32="","",+'Pon-Bat'!BC32/'Pon-Bat'!AY32)</f>
        <v/>
      </c>
      <c r="CL32" s="504" t="str">
        <f>IF('Pon-Bat'!BC32="","",+(SUM('Pon-Bat'!$BC$8:BC32)/SUM('Pon-Bat'!$AY$8:AY32)))</f>
        <v/>
      </c>
      <c r="CM32" s="494" t="str">
        <f>IF('Pon-Bat'!BD32="","",+'Pon-Bat'!BD32/'Pon-Bat'!AY32)</f>
        <v/>
      </c>
      <c r="CN32" s="496" t="str">
        <f>IF('Pon-Bat'!BD32="","",+(SUM('Pon-Bat'!$BD$8:BD32)/SUM('Pon-Bat'!$AY$8:AY32)))</f>
        <v/>
      </c>
    </row>
    <row r="33" spans="1:92" ht="24" customHeight="1" thickBot="1" x14ac:dyDescent="0.25">
      <c r="A33" s="453">
        <f t="shared" si="2"/>
        <v>43586</v>
      </c>
      <c r="B33" s="465">
        <f t="shared" si="3"/>
        <v>48</v>
      </c>
      <c r="C33" s="503" t="str">
        <f>IF('Pon-Bat'!D33="","",+'Pon-Bat'!D33/'Pon-Bat'!C33)</f>
        <v/>
      </c>
      <c r="D33" s="504" t="str">
        <f>IF('Pon-Bat'!D33="","",+(SUM('Pon-Bat'!$D$8:D33)/SUM('Pon-Bat'!$C$8:C33)))</f>
        <v/>
      </c>
      <c r="E33" s="494" t="str">
        <f>IF('Pon-Bat'!E33="","",+'Pon-Bat'!E33/'Pon-Bat'!C33)</f>
        <v/>
      </c>
      <c r="F33" s="504" t="str">
        <f>IF('Pon-Bat'!E33="","",+(SUM('Pon-Bat'!$E$8:E33)/SUM('Pon-Bat'!$C$8:C33)))</f>
        <v/>
      </c>
      <c r="G33" s="494" t="str">
        <f>IF('Pon-Bat'!F33="","",+'Pon-Bat'!F33/'Pon-Bat'!C33)</f>
        <v/>
      </c>
      <c r="H33" s="504" t="str">
        <f>IF('Pon-Bat'!F33="","",+(SUM('Pon-Bat'!$F$8:F33)/SUM('Pon-Bat'!$C$8:C33)))</f>
        <v/>
      </c>
      <c r="I33" s="494" t="str">
        <f>IF('Pon-Bat'!G33="","",+'Pon-Bat'!G33/'Pon-Bat'!C33)</f>
        <v/>
      </c>
      <c r="J33" s="504" t="str">
        <f>IF('Pon-Bat'!G33="","",+(SUM('Pon-Bat'!$G$8:G33)/SUM('Pon-Bat'!$C$8:C33)))</f>
        <v/>
      </c>
      <c r="K33" s="494" t="str">
        <f>IF('Pon-Bat'!H33="","",+'Pon-Bat'!H33/'Pon-Bat'!C33)</f>
        <v/>
      </c>
      <c r="L33" s="496" t="str">
        <f>IF('Pon-Bat'!H33="","",+(SUM('Pon-Bat'!$H$8:H33)/SUM('Pon-Bat'!$C$8:C33)))</f>
        <v/>
      </c>
      <c r="M33" s="503" t="str">
        <f>IF('Pon-Bat'!J33="","",+'Pon-Bat'!J33/'Pon-Bat'!I33)</f>
        <v/>
      </c>
      <c r="N33" s="504" t="str">
        <f>IF('Pon-Bat'!J33="","",+(SUM('Pon-Bat'!$J$8:J33)/SUM('Pon-Bat'!$I$8:I33)))</f>
        <v/>
      </c>
      <c r="O33" s="494" t="str">
        <f>IF('Pon-Bat'!K33="","",+'Pon-Bat'!K33/'Pon-Bat'!I33)</f>
        <v/>
      </c>
      <c r="P33" s="504" t="str">
        <f>IF('Pon-Bat'!K33="","",+(SUM('Pon-Bat'!$K$8:K33)/SUM('Pon-Bat'!$I$8:I33)))</f>
        <v/>
      </c>
      <c r="Q33" s="494" t="str">
        <f>IF('Pon-Bat'!L33="","",+'Pon-Bat'!L33/'Pon-Bat'!I33)</f>
        <v/>
      </c>
      <c r="R33" s="504" t="str">
        <f>IF('Pon-Bat'!L33="","",+(SUM('Pon-Bat'!$L$8:L33)/SUM('Pon-Bat'!$I$8:I33)))</f>
        <v/>
      </c>
      <c r="S33" s="494" t="str">
        <f>IF('Pon-Bat'!M33="","",+'Pon-Bat'!M33/'Pon-Bat'!I33)</f>
        <v/>
      </c>
      <c r="T33" s="504" t="str">
        <f>IF('Pon-Bat'!M33="","",+(SUM('Pon-Bat'!$M$8:M33)/SUM('Pon-Bat'!$I$8:I33)))</f>
        <v/>
      </c>
      <c r="U33" s="494" t="str">
        <f>IF('Pon-Bat'!N33="","",+'Pon-Bat'!N33/'Pon-Bat'!I33)</f>
        <v/>
      </c>
      <c r="V33" s="496" t="str">
        <f>IF('Pon-Bat'!N33="","",+(SUM('Pon-Bat'!$N$8:N33)/SUM('Pon-Bat'!$I$8:I33)))</f>
        <v/>
      </c>
      <c r="W33" s="503" t="str">
        <f>IF('Pon-Bat'!P33="","",+'Pon-Bat'!P33/'Pon-Bat'!O33)</f>
        <v/>
      </c>
      <c r="X33" s="504" t="str">
        <f>IF('Pon-Bat'!P33="","",+(SUM('Pon-Bat'!$P$8:P33)/SUM('Pon-Bat'!$O$8:O33)))</f>
        <v/>
      </c>
      <c r="Y33" s="494" t="str">
        <f>IF('Pon-Bat'!Q33="","",+'Pon-Bat'!Q33/'Pon-Bat'!O33)</f>
        <v/>
      </c>
      <c r="Z33" s="504" t="str">
        <f>IF('Pon-Bat'!Q33="","",+(SUM('Pon-Bat'!$Q$8:Q33)/SUM('Pon-Bat'!$O$8:O33)))</f>
        <v/>
      </c>
      <c r="AA33" s="494" t="str">
        <f>IF('Pon-Bat'!R33="","",+'Pon-Bat'!R33/'Pon-Bat'!O33)</f>
        <v/>
      </c>
      <c r="AB33" s="504" t="str">
        <f>IF('Pon-Bat'!R33="","",+(SUM('Pon-Bat'!$R$8:R33)/SUM('Pon-Bat'!$O$8:O33)))</f>
        <v/>
      </c>
      <c r="AC33" s="494" t="str">
        <f>IF('Pon-Bat'!S33="","",+'Pon-Bat'!S33/'Pon-Bat'!O33)</f>
        <v/>
      </c>
      <c r="AD33" s="504" t="str">
        <f>IF('Pon-Bat'!S33="","",+(SUM('Pon-Bat'!$S$8:S33)/SUM('Pon-Bat'!$O$8:O33)))</f>
        <v/>
      </c>
      <c r="AE33" s="494" t="str">
        <f>IF('Pon-Bat'!T33="","",+'Pon-Bat'!T33/'Pon-Bat'!O33)</f>
        <v/>
      </c>
      <c r="AF33" s="496" t="str">
        <f>IF('Pon-Bat'!T33="","",+(SUM('Pon-Bat'!$T$8:T33)/SUM('Pon-Bat'!$O$8:O33)))</f>
        <v/>
      </c>
      <c r="AG33" s="503" t="str">
        <f>IF('Pon-Bat'!V33="","",+'Pon-Bat'!V33/'Pon-Bat'!U33)</f>
        <v/>
      </c>
      <c r="AH33" s="504" t="str">
        <f>IF('Pon-Bat'!V33="","",+(SUM('Pon-Bat'!$V$8:V33)/SUM('Pon-Bat'!$U$8:U33)))</f>
        <v/>
      </c>
      <c r="AI33" s="494" t="str">
        <f>IF('Pon-Bat'!W33="","",+'Pon-Bat'!W33/'Pon-Bat'!U33)</f>
        <v/>
      </c>
      <c r="AJ33" s="504" t="str">
        <f>IF('Pon-Bat'!W33="","",+(SUM('Pon-Bat'!$W$8:W33)/SUM('Pon-Bat'!$U$8:U33)))</f>
        <v/>
      </c>
      <c r="AK33" s="494" t="str">
        <f>IF('Pon-Bat'!X33="","",+'Pon-Bat'!X33/'Pon-Bat'!U33)</f>
        <v/>
      </c>
      <c r="AL33" s="504" t="str">
        <f>IF('Pon-Bat'!X33="","",+(SUM('Pon-Bat'!$X$8:X33)/SUM('Pon-Bat'!$U$8:U33)))</f>
        <v/>
      </c>
      <c r="AM33" s="494" t="str">
        <f>IF('Pon-Bat'!Y33="","",+'Pon-Bat'!Y33/'Pon-Bat'!U33)</f>
        <v/>
      </c>
      <c r="AN33" s="504" t="str">
        <f>IF('Pon-Bat'!Y33="","",+(SUM('Pon-Bat'!$Y$8:Y33)/SUM('Pon-Bat'!$U$8:U33)))</f>
        <v/>
      </c>
      <c r="AO33" s="494" t="str">
        <f>IF('Pon-Bat'!Z33="","",+'Pon-Bat'!Z33/'Pon-Bat'!U33)</f>
        <v/>
      </c>
      <c r="AP33" s="496" t="str">
        <f>IF('Pon-Bat'!Z33="","",+(SUM('Pon-Bat'!$Z$8:Z33)/SUM('Pon-Bat'!$U$8:U33)))</f>
        <v/>
      </c>
      <c r="AQ33" s="503" t="str">
        <f>IF('Pon-Bat'!AB33="","",+'Pon-Bat'!AB33/'Pon-Bat'!AA33)</f>
        <v/>
      </c>
      <c r="AR33" s="504" t="str">
        <f>IF('Pon-Bat'!AB33="","",+(SUM('Pon-Bat'!$AB$8:AB33)/SUM('Pon-Bat'!$AA$8:AA33)))</f>
        <v/>
      </c>
      <c r="AS33" s="494" t="str">
        <f>IF('Pon-Bat'!AC33="","",+'Pon-Bat'!AC33/'Pon-Bat'!AA33)</f>
        <v/>
      </c>
      <c r="AT33" s="504" t="str">
        <f>IF('Pon-Bat'!AC33="","",+(SUM('Pon-Bat'!$AC$8:AC33)/SUM('Pon-Bat'!$AA$8:AA33)))</f>
        <v/>
      </c>
      <c r="AU33" s="494" t="str">
        <f>IF('Pon-Bat'!AD33="","",+'Pon-Bat'!AD33/'Pon-Bat'!AA33)</f>
        <v/>
      </c>
      <c r="AV33" s="504" t="str">
        <f>IF('Pon-Bat'!AD33="","",+(SUM('Pon-Bat'!$AD$8:AD33)/SUM('Pon-Bat'!$AA$8:AA33)))</f>
        <v/>
      </c>
      <c r="AW33" s="494" t="str">
        <f>IF('Pon-Bat'!AE33="","",+'Pon-Bat'!AE33/'Pon-Bat'!AA33)</f>
        <v/>
      </c>
      <c r="AX33" s="504" t="str">
        <f>IF('Pon-Bat'!AE33="","",+(SUM('Pon-Bat'!$AE$8:AE33)/SUM('Pon-Bat'!$AA$8:AA33)))</f>
        <v/>
      </c>
      <c r="AY33" s="494" t="str">
        <f>IF('Pon-Bat'!AF33="","",+'Pon-Bat'!AF33/'Pon-Bat'!AA33)</f>
        <v/>
      </c>
      <c r="AZ33" s="496" t="str">
        <f>IF('Pon-Bat'!AF33="","",+(SUM('Pon-Bat'!$AF$8:AF33)/SUM('Pon-Bat'!$AA$8:AA33)))</f>
        <v/>
      </c>
      <c r="BA33" s="503" t="str">
        <f>IF('Pon-Bat'!AH33="","",+'Pon-Bat'!AH33/'Pon-Bat'!AG33)</f>
        <v/>
      </c>
      <c r="BB33" s="504" t="str">
        <f>IF('Pon-Bat'!AH33="","",+(SUM('Pon-Bat'!$AH$8:AH33)/SUM('Pon-Bat'!$AG$8:AG33)))</f>
        <v/>
      </c>
      <c r="BC33" s="494" t="str">
        <f>IF('Pon-Bat'!AI33="","",+'Pon-Bat'!AI33/'Pon-Bat'!AG33)</f>
        <v/>
      </c>
      <c r="BD33" s="504" t="str">
        <f>IF('Pon-Bat'!AI33="","",+(SUM('Pon-Bat'!$AI$8:AI33)/SUM('Pon-Bat'!$AG$8:AG33)))</f>
        <v/>
      </c>
      <c r="BE33" s="494" t="str">
        <f>IF('Pon-Bat'!AJ33="","",+'Pon-Bat'!AJ33/'Pon-Bat'!AG33)</f>
        <v/>
      </c>
      <c r="BF33" s="504" t="str">
        <f>IF('Pon-Bat'!AJ33="","",+(SUM('Pon-Bat'!$AJ$8:AJ33)/SUM('Pon-Bat'!$AG$8:AG33)))</f>
        <v/>
      </c>
      <c r="BG33" s="494" t="str">
        <f>IF('Pon-Bat'!AK33="","",+'Pon-Bat'!AK33/'Pon-Bat'!AG33)</f>
        <v/>
      </c>
      <c r="BH33" s="504" t="str">
        <f>IF('Pon-Bat'!AK33="","",+(SUM('Pon-Bat'!$AK$8:AK33)/SUM('Pon-Bat'!$AG$8:AG33)))</f>
        <v/>
      </c>
      <c r="BI33" s="494" t="str">
        <f>IF('Pon-Bat'!AL33="","",+'Pon-Bat'!AL33/'Pon-Bat'!AG33)</f>
        <v/>
      </c>
      <c r="BJ33" s="496" t="str">
        <f>IF('Pon-Bat'!AL33="","",+(SUM('Pon-Bat'!$AL$8:AL33)/SUM('Pon-Bat'!$AG$8:AG33)))</f>
        <v/>
      </c>
      <c r="BK33" s="501" t="str">
        <f>IF('Pon-Bat'!AN33="","",+'Pon-Bat'!AN33/'Pon-Bat'!AM33)</f>
        <v/>
      </c>
      <c r="BL33" s="504" t="str">
        <f>IF('Pon-Bat'!AN33="","",+(SUM('Pon-Bat'!$AN$8:AN33)/SUM('Pon-Bat'!$AM$8:AM33)))</f>
        <v/>
      </c>
      <c r="BM33" s="499" t="str">
        <f>IF('Pon-Bat'!AO33="","",+'Pon-Bat'!AO33/'Pon-Bat'!AM33)</f>
        <v/>
      </c>
      <c r="BN33" s="504" t="str">
        <f>IF('Pon-Bat'!AO33="","",+(SUM('Pon-Bat'!$AO$8:AO33)/SUM('Pon-Bat'!$AM$8:AM33)))</f>
        <v/>
      </c>
      <c r="BO33" s="499" t="str">
        <f>IF('Pon-Bat'!AP33="","",+'Pon-Bat'!AP33/'Pon-Bat'!AM33)</f>
        <v/>
      </c>
      <c r="BP33" s="504" t="str">
        <f>IF('Pon-Bat'!AP33="","",+(SUM('Pon-Bat'!$AP$8:AP33)/SUM('Pon-Bat'!$AM$8:AM33)))</f>
        <v/>
      </c>
      <c r="BQ33" s="499" t="str">
        <f>IF('Pon-Bat'!AQ33="","",+'Pon-Bat'!AQ33/'Pon-Bat'!AM33)</f>
        <v/>
      </c>
      <c r="BR33" s="504" t="str">
        <f>IF('Pon-Bat'!AQ33="","",+(SUM('Pon-Bat'!$AQ$8:AQ33)/SUM('Pon-Bat'!$AM$8:AM33)))</f>
        <v/>
      </c>
      <c r="BS33" s="499" t="str">
        <f>IF('Pon-Bat'!AR33="","",+'Pon-Bat'!AR33/'Pon-Bat'!AM33)</f>
        <v/>
      </c>
      <c r="BT33" s="496" t="str">
        <f>IF('Pon-Bat'!AR33="","",+(SUM('Pon-Bat'!$AR$8:AR33)/SUM('Pon-Bat'!$AM$8:AM33)))</f>
        <v/>
      </c>
      <c r="BU33" s="501" t="str">
        <f>IF('Pon-Bat'!AT33="","",+'Pon-Bat'!AT33/'Pon-Bat'!AS33)</f>
        <v/>
      </c>
      <c r="BV33" s="504" t="str">
        <f>IF('Pon-Bat'!AT33="","",+(SUM('Pon-Bat'!$AT$8:AT33)/SUM('Pon-Bat'!$AS$8:AS33)))</f>
        <v/>
      </c>
      <c r="BW33" s="499" t="str">
        <f>IF('Pon-Bat'!AU33="","",+'Pon-Bat'!AU33/'Pon-Bat'!AS33)</f>
        <v/>
      </c>
      <c r="BX33" s="504" t="str">
        <f>IF('Pon-Bat'!AU33="","",+(SUM('Pon-Bat'!$AU$8:AU33)/SUM('Pon-Bat'!$AS$8:AS33)))</f>
        <v/>
      </c>
      <c r="BY33" s="499" t="str">
        <f>IF('Pon-Bat'!AV33="","",+'Pon-Bat'!AV33/'Pon-Bat'!AS33)</f>
        <v/>
      </c>
      <c r="BZ33" s="504" t="str">
        <f>IF('Pon-Bat'!AV33="","",+(SUM('Pon-Bat'!$AV$8:AV33)/SUM('Pon-Bat'!$AS$8:AS33)))</f>
        <v/>
      </c>
      <c r="CA33" s="499" t="str">
        <f>IF('Pon-Bat'!AW33="","",+'Pon-Bat'!AW33/'Pon-Bat'!AS33)</f>
        <v/>
      </c>
      <c r="CB33" s="504" t="str">
        <f>IF('Pon-Bat'!AW33="","",+(SUM('Pon-Bat'!$AW$8:AW33)/SUM('Pon-Bat'!$AS$8:AS33)))</f>
        <v/>
      </c>
      <c r="CC33" s="499" t="str">
        <f>IF('Pon-Bat'!AX33="","",+'Pon-Bat'!AX33/'Pon-Bat'!AS33)</f>
        <v/>
      </c>
      <c r="CD33" s="496" t="str">
        <f>IF('Pon-Bat'!AX33="","",+(SUM('Pon-Bat'!$AX$8:AX33)/SUM('Pon-Bat'!$AS$8:AS33)))</f>
        <v/>
      </c>
      <c r="CE33" s="503" t="str">
        <f>IF('Pon-Bat'!AZ33="","",+'Pon-Bat'!AZ33/'Pon-Bat'!AY33)</f>
        <v/>
      </c>
      <c r="CF33" s="504" t="str">
        <f>IF('Pon-Bat'!AZ33="","",+(SUM('Pon-Bat'!$AZ$8:AZ33)/SUM('Pon-Bat'!$AY$8:AY33)))</f>
        <v/>
      </c>
      <c r="CG33" s="494" t="str">
        <f>IF('Pon-Bat'!BA33="","",+'Pon-Bat'!BA33/'Pon-Bat'!AY33)</f>
        <v/>
      </c>
      <c r="CH33" s="504" t="str">
        <f>IF('Pon-Bat'!BA33="","",+(SUM('Pon-Bat'!$BA$8:BA33)/SUM('Pon-Bat'!$AY$8:AY33)))</f>
        <v/>
      </c>
      <c r="CI33" s="499" t="str">
        <f>IF('Pon-Bat'!BB33="","",+'Pon-Bat'!BB33/'Pon-Bat'!AY33)</f>
        <v/>
      </c>
      <c r="CJ33" s="504" t="str">
        <f>IF('Pon-Bat'!BB33="","",+(SUM('Pon-Bat'!$BB$8:BB33)/SUM('Pon-Bat'!$AY$8:AY33)))</f>
        <v/>
      </c>
      <c r="CK33" s="494" t="str">
        <f>IF('Pon-Bat'!BC33="","",+'Pon-Bat'!BC33/'Pon-Bat'!AY33)</f>
        <v/>
      </c>
      <c r="CL33" s="504" t="str">
        <f>IF('Pon-Bat'!BC33="","",+(SUM('Pon-Bat'!$BC$8:BC33)/SUM('Pon-Bat'!$AY$8:AY33)))</f>
        <v/>
      </c>
      <c r="CM33" s="494" t="str">
        <f>IF('Pon-Bat'!BD33="","",+'Pon-Bat'!BD33/'Pon-Bat'!AY33)</f>
        <v/>
      </c>
      <c r="CN33" s="496" t="str">
        <f>IF('Pon-Bat'!BD33="","",+(SUM('Pon-Bat'!$BD$8:BD33)/SUM('Pon-Bat'!$AY$8:AY33)))</f>
        <v/>
      </c>
    </row>
    <row r="34" spans="1:92" ht="24" customHeight="1" thickBot="1" x14ac:dyDescent="0.25">
      <c r="A34" s="453">
        <f t="shared" si="2"/>
        <v>43593</v>
      </c>
      <c r="B34" s="465">
        <f t="shared" si="3"/>
        <v>49</v>
      </c>
      <c r="C34" s="503" t="str">
        <f>IF('Pon-Bat'!D34="","",+'Pon-Bat'!D34/'Pon-Bat'!C34)</f>
        <v/>
      </c>
      <c r="D34" s="504" t="str">
        <f>IF('Pon-Bat'!D34="","",+(SUM('Pon-Bat'!$D$8:D34)/SUM('Pon-Bat'!$C$8:C34)))</f>
        <v/>
      </c>
      <c r="E34" s="494" t="str">
        <f>IF('Pon-Bat'!E34="","",+'Pon-Bat'!E34/'Pon-Bat'!C34)</f>
        <v/>
      </c>
      <c r="F34" s="504" t="str">
        <f>IF('Pon-Bat'!E34="","",+(SUM('Pon-Bat'!$E$8:E34)/SUM('Pon-Bat'!$C$8:C34)))</f>
        <v/>
      </c>
      <c r="G34" s="494" t="str">
        <f>IF('Pon-Bat'!F34="","",+'Pon-Bat'!F34/'Pon-Bat'!C34)</f>
        <v/>
      </c>
      <c r="H34" s="504" t="str">
        <f>IF('Pon-Bat'!F34="","",+(SUM('Pon-Bat'!$F$8:F34)/SUM('Pon-Bat'!$C$8:C34)))</f>
        <v/>
      </c>
      <c r="I34" s="494" t="str">
        <f>IF('Pon-Bat'!G34="","",+'Pon-Bat'!G34/'Pon-Bat'!C34)</f>
        <v/>
      </c>
      <c r="J34" s="504" t="str">
        <f>IF('Pon-Bat'!G34="","",+(SUM('Pon-Bat'!$G$8:G34)/SUM('Pon-Bat'!$C$8:C34)))</f>
        <v/>
      </c>
      <c r="K34" s="494" t="str">
        <f>IF('Pon-Bat'!H34="","",+'Pon-Bat'!H34/'Pon-Bat'!C34)</f>
        <v/>
      </c>
      <c r="L34" s="496" t="str">
        <f>IF('Pon-Bat'!H34="","",+(SUM('Pon-Bat'!$H$8:H34)/SUM('Pon-Bat'!$C$8:C34)))</f>
        <v/>
      </c>
      <c r="M34" s="503" t="str">
        <f>IF('Pon-Bat'!J34="","",+'Pon-Bat'!J34/'Pon-Bat'!I34)</f>
        <v/>
      </c>
      <c r="N34" s="504" t="str">
        <f>IF('Pon-Bat'!J34="","",+(SUM('Pon-Bat'!$J$8:J34)/SUM('Pon-Bat'!$I$8:I34)))</f>
        <v/>
      </c>
      <c r="O34" s="494" t="str">
        <f>IF('Pon-Bat'!K34="","",+'Pon-Bat'!K34/'Pon-Bat'!I34)</f>
        <v/>
      </c>
      <c r="P34" s="504" t="str">
        <f>IF('Pon-Bat'!K34="","",+(SUM('Pon-Bat'!$K$8:K34)/SUM('Pon-Bat'!$I$8:I34)))</f>
        <v/>
      </c>
      <c r="Q34" s="494" t="str">
        <f>IF('Pon-Bat'!L34="","",+'Pon-Bat'!L34/'Pon-Bat'!I34)</f>
        <v/>
      </c>
      <c r="R34" s="504" t="str">
        <f>IF('Pon-Bat'!L34="","",+(SUM('Pon-Bat'!$L$8:L34)/SUM('Pon-Bat'!$I$8:I34)))</f>
        <v/>
      </c>
      <c r="S34" s="494" t="str">
        <f>IF('Pon-Bat'!M34="","",+'Pon-Bat'!M34/'Pon-Bat'!I34)</f>
        <v/>
      </c>
      <c r="T34" s="504" t="str">
        <f>IF('Pon-Bat'!M34="","",+(SUM('Pon-Bat'!$M$8:M34)/SUM('Pon-Bat'!$I$8:I34)))</f>
        <v/>
      </c>
      <c r="U34" s="494" t="str">
        <f>IF('Pon-Bat'!N34="","",+'Pon-Bat'!N34/'Pon-Bat'!I34)</f>
        <v/>
      </c>
      <c r="V34" s="496" t="str">
        <f>IF('Pon-Bat'!N34="","",+(SUM('Pon-Bat'!$N$8:N34)/SUM('Pon-Bat'!$I$8:I34)))</f>
        <v/>
      </c>
      <c r="W34" s="503" t="str">
        <f>IF('Pon-Bat'!P34="","",+'Pon-Bat'!P34/'Pon-Bat'!O34)</f>
        <v/>
      </c>
      <c r="X34" s="504" t="str">
        <f>IF('Pon-Bat'!P34="","",+(SUM('Pon-Bat'!$P$8:P34)/SUM('Pon-Bat'!$O$8:O34)))</f>
        <v/>
      </c>
      <c r="Y34" s="494" t="str">
        <f>IF('Pon-Bat'!Q34="","",+'Pon-Bat'!Q34/'Pon-Bat'!O34)</f>
        <v/>
      </c>
      <c r="Z34" s="504" t="str">
        <f>IF('Pon-Bat'!Q34="","",+(SUM('Pon-Bat'!$Q$8:Q34)/SUM('Pon-Bat'!$O$8:O34)))</f>
        <v/>
      </c>
      <c r="AA34" s="494" t="str">
        <f>IF('Pon-Bat'!R34="","",+'Pon-Bat'!R34/'Pon-Bat'!O34)</f>
        <v/>
      </c>
      <c r="AB34" s="504" t="str">
        <f>IF('Pon-Bat'!R34="","",+(SUM('Pon-Bat'!$R$8:R34)/SUM('Pon-Bat'!$O$8:O34)))</f>
        <v/>
      </c>
      <c r="AC34" s="494" t="str">
        <f>IF('Pon-Bat'!S34="","",+'Pon-Bat'!S34/'Pon-Bat'!O34)</f>
        <v/>
      </c>
      <c r="AD34" s="504" t="str">
        <f>IF('Pon-Bat'!S34="","",+(SUM('Pon-Bat'!$S$8:S34)/SUM('Pon-Bat'!$O$8:O34)))</f>
        <v/>
      </c>
      <c r="AE34" s="494" t="str">
        <f>IF('Pon-Bat'!T34="","",+'Pon-Bat'!T34/'Pon-Bat'!O34)</f>
        <v/>
      </c>
      <c r="AF34" s="496" t="str">
        <f>IF('Pon-Bat'!T34="","",+(SUM('Pon-Bat'!$T$8:T34)/SUM('Pon-Bat'!$O$8:O34)))</f>
        <v/>
      </c>
      <c r="AG34" s="503" t="str">
        <f>IF('Pon-Bat'!V34="","",+'Pon-Bat'!V34/'Pon-Bat'!U34)</f>
        <v/>
      </c>
      <c r="AH34" s="504" t="str">
        <f>IF('Pon-Bat'!V34="","",+(SUM('Pon-Bat'!$V$8:V34)/SUM('Pon-Bat'!$U$8:U34)))</f>
        <v/>
      </c>
      <c r="AI34" s="494" t="str">
        <f>IF('Pon-Bat'!W34="","",+'Pon-Bat'!W34/'Pon-Bat'!U34)</f>
        <v/>
      </c>
      <c r="AJ34" s="504" t="str">
        <f>IF('Pon-Bat'!W34="","",+(SUM('Pon-Bat'!$W$8:W34)/SUM('Pon-Bat'!$U$8:U34)))</f>
        <v/>
      </c>
      <c r="AK34" s="494" t="str">
        <f>IF('Pon-Bat'!X34="","",+'Pon-Bat'!X34/'Pon-Bat'!U34)</f>
        <v/>
      </c>
      <c r="AL34" s="504" t="str">
        <f>IF('Pon-Bat'!X34="","",+(SUM('Pon-Bat'!$X$8:X34)/SUM('Pon-Bat'!$U$8:U34)))</f>
        <v/>
      </c>
      <c r="AM34" s="494" t="str">
        <f>IF('Pon-Bat'!Y34="","",+'Pon-Bat'!Y34/'Pon-Bat'!U34)</f>
        <v/>
      </c>
      <c r="AN34" s="504" t="str">
        <f>IF('Pon-Bat'!Y34="","",+(SUM('Pon-Bat'!$Y$8:Y34)/SUM('Pon-Bat'!$U$8:U34)))</f>
        <v/>
      </c>
      <c r="AO34" s="494" t="str">
        <f>IF('Pon-Bat'!Z34="","",+'Pon-Bat'!Z34/'Pon-Bat'!U34)</f>
        <v/>
      </c>
      <c r="AP34" s="496" t="str">
        <f>IF('Pon-Bat'!Z34="","",+(SUM('Pon-Bat'!$Z$8:Z34)/SUM('Pon-Bat'!$U$8:U34)))</f>
        <v/>
      </c>
      <c r="AQ34" s="503" t="str">
        <f>IF('Pon-Bat'!AB34="","",+'Pon-Bat'!AB34/'Pon-Bat'!AA34)</f>
        <v/>
      </c>
      <c r="AR34" s="504" t="str">
        <f>IF('Pon-Bat'!AB34="","",+(SUM('Pon-Bat'!$AB$8:AB34)/SUM('Pon-Bat'!$AA$8:AA34)))</f>
        <v/>
      </c>
      <c r="AS34" s="494" t="str">
        <f>IF('Pon-Bat'!AC34="","",+'Pon-Bat'!AC34/'Pon-Bat'!AA34)</f>
        <v/>
      </c>
      <c r="AT34" s="504" t="str">
        <f>IF('Pon-Bat'!AC34="","",+(SUM('Pon-Bat'!$AC$8:AC34)/SUM('Pon-Bat'!$AA$8:AA34)))</f>
        <v/>
      </c>
      <c r="AU34" s="494" t="str">
        <f>IF('Pon-Bat'!AD34="","",+'Pon-Bat'!AD34/'Pon-Bat'!AA34)</f>
        <v/>
      </c>
      <c r="AV34" s="504" t="str">
        <f>IF('Pon-Bat'!AD34="","",+(SUM('Pon-Bat'!$AD$8:AD34)/SUM('Pon-Bat'!$AA$8:AA34)))</f>
        <v/>
      </c>
      <c r="AW34" s="494" t="str">
        <f>IF('Pon-Bat'!AE34="","",+'Pon-Bat'!AE34/'Pon-Bat'!AA34)</f>
        <v/>
      </c>
      <c r="AX34" s="504" t="str">
        <f>IF('Pon-Bat'!AE34="","",+(SUM('Pon-Bat'!$AE$8:AE34)/SUM('Pon-Bat'!$AA$8:AA34)))</f>
        <v/>
      </c>
      <c r="AY34" s="494" t="str">
        <f>IF('Pon-Bat'!AF34="","",+'Pon-Bat'!AF34/'Pon-Bat'!AA34)</f>
        <v/>
      </c>
      <c r="AZ34" s="496" t="str">
        <f>IF('Pon-Bat'!AF34="","",+(SUM('Pon-Bat'!$AF$8:AF34)/SUM('Pon-Bat'!$AA$8:AA34)))</f>
        <v/>
      </c>
      <c r="BA34" s="503" t="str">
        <f>IF('Pon-Bat'!AH34="","",+'Pon-Bat'!AH34/'Pon-Bat'!AG34)</f>
        <v/>
      </c>
      <c r="BB34" s="504" t="str">
        <f>IF('Pon-Bat'!AH34="","",+(SUM('Pon-Bat'!$AH$8:AH34)/SUM('Pon-Bat'!$AG$8:AG34)))</f>
        <v/>
      </c>
      <c r="BC34" s="494" t="str">
        <f>IF('Pon-Bat'!AI34="","",+'Pon-Bat'!AI34/'Pon-Bat'!AG34)</f>
        <v/>
      </c>
      <c r="BD34" s="504" t="str">
        <f>IF('Pon-Bat'!AI34="","",+(SUM('Pon-Bat'!$AI$8:AI34)/SUM('Pon-Bat'!$AG$8:AG34)))</f>
        <v/>
      </c>
      <c r="BE34" s="494" t="str">
        <f>IF('Pon-Bat'!AJ34="","",+'Pon-Bat'!AJ34/'Pon-Bat'!AG34)</f>
        <v/>
      </c>
      <c r="BF34" s="504" t="str">
        <f>IF('Pon-Bat'!AJ34="","",+(SUM('Pon-Bat'!$AJ$8:AJ34)/SUM('Pon-Bat'!$AG$8:AG34)))</f>
        <v/>
      </c>
      <c r="BG34" s="494" t="str">
        <f>IF('Pon-Bat'!AK34="","",+'Pon-Bat'!AK34/'Pon-Bat'!AG34)</f>
        <v/>
      </c>
      <c r="BH34" s="504" t="str">
        <f>IF('Pon-Bat'!AK34="","",+(SUM('Pon-Bat'!$AK$8:AK34)/SUM('Pon-Bat'!$AG$8:AG34)))</f>
        <v/>
      </c>
      <c r="BI34" s="494" t="str">
        <f>IF('Pon-Bat'!AL34="","",+'Pon-Bat'!AL34/'Pon-Bat'!AG34)</f>
        <v/>
      </c>
      <c r="BJ34" s="496" t="str">
        <f>IF('Pon-Bat'!AL34="","",+(SUM('Pon-Bat'!$AL$8:AL34)/SUM('Pon-Bat'!$AG$8:AG34)))</f>
        <v/>
      </c>
      <c r="BK34" s="501" t="str">
        <f>IF('Pon-Bat'!AN34="","",+'Pon-Bat'!AN34/'Pon-Bat'!AM34)</f>
        <v/>
      </c>
      <c r="BL34" s="504" t="str">
        <f>IF('Pon-Bat'!AN34="","",+(SUM('Pon-Bat'!$AN$8:AN34)/SUM('Pon-Bat'!$AM$8:AM34)))</f>
        <v/>
      </c>
      <c r="BM34" s="499" t="str">
        <f>IF('Pon-Bat'!AO34="","",+'Pon-Bat'!AO34/'Pon-Bat'!AM34)</f>
        <v/>
      </c>
      <c r="BN34" s="504" t="str">
        <f>IF('Pon-Bat'!AO34="","",+(SUM('Pon-Bat'!$AO$8:AO34)/SUM('Pon-Bat'!$AM$8:AM34)))</f>
        <v/>
      </c>
      <c r="BO34" s="499" t="str">
        <f>IF('Pon-Bat'!AP34="","",+'Pon-Bat'!AP34/'Pon-Bat'!AM34)</f>
        <v/>
      </c>
      <c r="BP34" s="504" t="str">
        <f>IF('Pon-Bat'!AP34="","",+(SUM('Pon-Bat'!$AP$8:AP34)/SUM('Pon-Bat'!$AM$8:AM34)))</f>
        <v/>
      </c>
      <c r="BQ34" s="499" t="str">
        <f>IF('Pon-Bat'!AQ34="","",+'Pon-Bat'!AQ34/'Pon-Bat'!AM34)</f>
        <v/>
      </c>
      <c r="BR34" s="504" t="str">
        <f>IF('Pon-Bat'!AQ34="","",+(SUM('Pon-Bat'!$AQ$8:AQ34)/SUM('Pon-Bat'!$AM$8:AM34)))</f>
        <v/>
      </c>
      <c r="BS34" s="499" t="str">
        <f>IF('Pon-Bat'!AR34="","",+'Pon-Bat'!AR34/'Pon-Bat'!AM34)</f>
        <v/>
      </c>
      <c r="BT34" s="496" t="str">
        <f>IF('Pon-Bat'!AR34="","",+(SUM('Pon-Bat'!$AR$8:AR34)/SUM('Pon-Bat'!$AM$8:AM34)))</f>
        <v/>
      </c>
      <c r="BU34" s="501" t="str">
        <f>IF('Pon-Bat'!AT34="","",+'Pon-Bat'!AT34/'Pon-Bat'!AS34)</f>
        <v/>
      </c>
      <c r="BV34" s="504" t="str">
        <f>IF('Pon-Bat'!AT34="","",+(SUM('Pon-Bat'!$AT$8:AT34)/SUM('Pon-Bat'!$AS$8:AS34)))</f>
        <v/>
      </c>
      <c r="BW34" s="499" t="str">
        <f>IF('Pon-Bat'!AU34="","",+'Pon-Bat'!AU34/'Pon-Bat'!AS34)</f>
        <v/>
      </c>
      <c r="BX34" s="504" t="str">
        <f>IF('Pon-Bat'!AU34="","",+(SUM('Pon-Bat'!$AU$8:AU34)/SUM('Pon-Bat'!$AS$8:AS34)))</f>
        <v/>
      </c>
      <c r="BY34" s="499" t="str">
        <f>IF('Pon-Bat'!AV34="","",+'Pon-Bat'!AV34/'Pon-Bat'!AS34)</f>
        <v/>
      </c>
      <c r="BZ34" s="504" t="str">
        <f>IF('Pon-Bat'!AV34="","",+(SUM('Pon-Bat'!$AV$8:AV34)/SUM('Pon-Bat'!$AS$8:AS34)))</f>
        <v/>
      </c>
      <c r="CA34" s="499" t="str">
        <f>IF('Pon-Bat'!AW34="","",+'Pon-Bat'!AW34/'Pon-Bat'!AS34)</f>
        <v/>
      </c>
      <c r="CB34" s="504" t="str">
        <f>IF('Pon-Bat'!AW34="","",+(SUM('Pon-Bat'!$AW$8:AW34)/SUM('Pon-Bat'!$AS$8:AS34)))</f>
        <v/>
      </c>
      <c r="CC34" s="499" t="str">
        <f>IF('Pon-Bat'!AX34="","",+'Pon-Bat'!AX34/'Pon-Bat'!AS34)</f>
        <v/>
      </c>
      <c r="CD34" s="496" t="str">
        <f>IF('Pon-Bat'!AX34="","",+(SUM('Pon-Bat'!$AX$8:AX34)/SUM('Pon-Bat'!$AS$8:AS34)))</f>
        <v/>
      </c>
      <c r="CE34" s="503" t="str">
        <f>IF('Pon-Bat'!AZ34="","",+'Pon-Bat'!AZ34/'Pon-Bat'!AY34)</f>
        <v/>
      </c>
      <c r="CF34" s="504" t="str">
        <f>IF('Pon-Bat'!AZ34="","",+(SUM('Pon-Bat'!$AZ$8:AZ34)/SUM('Pon-Bat'!$AY$8:AY34)))</f>
        <v/>
      </c>
      <c r="CG34" s="494" t="str">
        <f>IF('Pon-Bat'!BA34="","",+'Pon-Bat'!BA34/'Pon-Bat'!AY34)</f>
        <v/>
      </c>
      <c r="CH34" s="504" t="str">
        <f>IF('Pon-Bat'!BA34="","",+(SUM('Pon-Bat'!$BA$8:BA34)/SUM('Pon-Bat'!$AY$8:AY34)))</f>
        <v/>
      </c>
      <c r="CI34" s="499" t="str">
        <f>IF('Pon-Bat'!BB34="","",+'Pon-Bat'!BB34/'Pon-Bat'!AY34)</f>
        <v/>
      </c>
      <c r="CJ34" s="504" t="str">
        <f>IF('Pon-Bat'!BB34="","",+(SUM('Pon-Bat'!$BB$8:BB34)/SUM('Pon-Bat'!$AY$8:AY34)))</f>
        <v/>
      </c>
      <c r="CK34" s="494" t="str">
        <f>IF('Pon-Bat'!BC34="","",+'Pon-Bat'!BC34/'Pon-Bat'!AY34)</f>
        <v/>
      </c>
      <c r="CL34" s="504" t="str">
        <f>IF('Pon-Bat'!BC34="","",+(SUM('Pon-Bat'!$BC$8:BC34)/SUM('Pon-Bat'!$AY$8:AY34)))</f>
        <v/>
      </c>
      <c r="CM34" s="494" t="str">
        <f>IF('Pon-Bat'!BD34="","",+'Pon-Bat'!BD34/'Pon-Bat'!AY34)</f>
        <v/>
      </c>
      <c r="CN34" s="496" t="str">
        <f>IF('Pon-Bat'!BD34="","",+(SUM('Pon-Bat'!$BD$8:BD34)/SUM('Pon-Bat'!$AY$8:AY34)))</f>
        <v/>
      </c>
    </row>
    <row r="35" spans="1:92" ht="24" customHeight="1" thickBot="1" x14ac:dyDescent="0.25">
      <c r="A35" s="453">
        <f t="shared" si="2"/>
        <v>43600</v>
      </c>
      <c r="B35" s="465">
        <f t="shared" si="3"/>
        <v>50</v>
      </c>
      <c r="C35" s="503" t="str">
        <f>IF('Pon-Bat'!D35="","",+'Pon-Bat'!D35/'Pon-Bat'!C35)</f>
        <v/>
      </c>
      <c r="D35" s="504" t="str">
        <f>IF('Pon-Bat'!D35="","",+(SUM('Pon-Bat'!$D$8:D35)/SUM('Pon-Bat'!$C$8:C35)))</f>
        <v/>
      </c>
      <c r="E35" s="494" t="str">
        <f>IF('Pon-Bat'!E35="","",+'Pon-Bat'!E35/'Pon-Bat'!C35)</f>
        <v/>
      </c>
      <c r="F35" s="504" t="str">
        <f>IF('Pon-Bat'!E35="","",+(SUM('Pon-Bat'!$E$8:E35)/SUM('Pon-Bat'!$C$8:C35)))</f>
        <v/>
      </c>
      <c r="G35" s="494" t="str">
        <f>IF('Pon-Bat'!F35="","",+'Pon-Bat'!F35/'Pon-Bat'!C35)</f>
        <v/>
      </c>
      <c r="H35" s="504" t="str">
        <f>IF('Pon-Bat'!F35="","",+(SUM('Pon-Bat'!$F$8:F35)/SUM('Pon-Bat'!$C$8:C35)))</f>
        <v/>
      </c>
      <c r="I35" s="494" t="str">
        <f>IF('Pon-Bat'!G35="","",+'Pon-Bat'!G35/'Pon-Bat'!C35)</f>
        <v/>
      </c>
      <c r="J35" s="504" t="str">
        <f>IF('Pon-Bat'!G35="","",+(SUM('Pon-Bat'!$G$8:G35)/SUM('Pon-Bat'!$C$8:C35)))</f>
        <v/>
      </c>
      <c r="K35" s="494" t="str">
        <f>IF('Pon-Bat'!H35="","",+'Pon-Bat'!H35/'Pon-Bat'!C35)</f>
        <v/>
      </c>
      <c r="L35" s="496" t="str">
        <f>IF('Pon-Bat'!H35="","",+(SUM('Pon-Bat'!$H$8:H35)/SUM('Pon-Bat'!$C$8:C35)))</f>
        <v/>
      </c>
      <c r="M35" s="503" t="str">
        <f>IF('Pon-Bat'!J35="","",+'Pon-Bat'!J35/'Pon-Bat'!I35)</f>
        <v/>
      </c>
      <c r="N35" s="504" t="str">
        <f>IF('Pon-Bat'!J35="","",+(SUM('Pon-Bat'!$J$8:J35)/SUM('Pon-Bat'!$I$8:I35)))</f>
        <v/>
      </c>
      <c r="O35" s="494" t="str">
        <f>IF('Pon-Bat'!K35="","",+'Pon-Bat'!K35/'Pon-Bat'!I35)</f>
        <v/>
      </c>
      <c r="P35" s="504" t="str">
        <f>IF('Pon-Bat'!K35="","",+(SUM('Pon-Bat'!$K$8:K35)/SUM('Pon-Bat'!$I$8:I35)))</f>
        <v/>
      </c>
      <c r="Q35" s="494" t="str">
        <f>IF('Pon-Bat'!L35="","",+'Pon-Bat'!L35/'Pon-Bat'!I35)</f>
        <v/>
      </c>
      <c r="R35" s="504" t="str">
        <f>IF('Pon-Bat'!L35="","",+(SUM('Pon-Bat'!$L$8:L35)/SUM('Pon-Bat'!$I$8:I35)))</f>
        <v/>
      </c>
      <c r="S35" s="494" t="str">
        <f>IF('Pon-Bat'!M35="","",+'Pon-Bat'!M35/'Pon-Bat'!I35)</f>
        <v/>
      </c>
      <c r="T35" s="504" t="str">
        <f>IF('Pon-Bat'!M35="","",+(SUM('Pon-Bat'!$M$8:M35)/SUM('Pon-Bat'!$I$8:I35)))</f>
        <v/>
      </c>
      <c r="U35" s="494" t="str">
        <f>IF('Pon-Bat'!N35="","",+'Pon-Bat'!N35/'Pon-Bat'!I35)</f>
        <v/>
      </c>
      <c r="V35" s="496" t="str">
        <f>IF('Pon-Bat'!N35="","",+(SUM('Pon-Bat'!$N$8:N35)/SUM('Pon-Bat'!$I$8:I35)))</f>
        <v/>
      </c>
      <c r="W35" s="503" t="str">
        <f>IF('Pon-Bat'!P35="","",+'Pon-Bat'!P35/'Pon-Bat'!O35)</f>
        <v/>
      </c>
      <c r="X35" s="504" t="str">
        <f>IF('Pon-Bat'!P35="","",+(SUM('Pon-Bat'!$P$8:P35)/SUM('Pon-Bat'!$O$8:O35)))</f>
        <v/>
      </c>
      <c r="Y35" s="494" t="str">
        <f>IF('Pon-Bat'!Q35="","",+'Pon-Bat'!Q35/'Pon-Bat'!O35)</f>
        <v/>
      </c>
      <c r="Z35" s="504" t="str">
        <f>IF('Pon-Bat'!Q35="","",+(SUM('Pon-Bat'!$Q$8:Q35)/SUM('Pon-Bat'!$O$8:O35)))</f>
        <v/>
      </c>
      <c r="AA35" s="494" t="str">
        <f>IF('Pon-Bat'!R35="","",+'Pon-Bat'!R35/'Pon-Bat'!O35)</f>
        <v/>
      </c>
      <c r="AB35" s="504" t="str">
        <f>IF('Pon-Bat'!R35="","",+(SUM('Pon-Bat'!$R$8:R35)/SUM('Pon-Bat'!$O$8:O35)))</f>
        <v/>
      </c>
      <c r="AC35" s="494" t="str">
        <f>IF('Pon-Bat'!S35="","",+'Pon-Bat'!S35/'Pon-Bat'!O35)</f>
        <v/>
      </c>
      <c r="AD35" s="504" t="str">
        <f>IF('Pon-Bat'!S35="","",+(SUM('Pon-Bat'!$S$8:S35)/SUM('Pon-Bat'!$O$8:O35)))</f>
        <v/>
      </c>
      <c r="AE35" s="494" t="str">
        <f>IF('Pon-Bat'!T35="","",+'Pon-Bat'!T35/'Pon-Bat'!O35)</f>
        <v/>
      </c>
      <c r="AF35" s="496" t="str">
        <f>IF('Pon-Bat'!T35="","",+(SUM('Pon-Bat'!$T$8:T35)/SUM('Pon-Bat'!$O$8:O35)))</f>
        <v/>
      </c>
      <c r="AG35" s="503" t="str">
        <f>IF('Pon-Bat'!V35="","",+'Pon-Bat'!V35/'Pon-Bat'!U35)</f>
        <v/>
      </c>
      <c r="AH35" s="504" t="str">
        <f>IF('Pon-Bat'!V35="","",+(SUM('Pon-Bat'!$V$8:V35)/SUM('Pon-Bat'!$U$8:U35)))</f>
        <v/>
      </c>
      <c r="AI35" s="494" t="str">
        <f>IF('Pon-Bat'!W35="","",+'Pon-Bat'!W35/'Pon-Bat'!U35)</f>
        <v/>
      </c>
      <c r="AJ35" s="504" t="str">
        <f>IF('Pon-Bat'!W35="","",+(SUM('Pon-Bat'!$W$8:W35)/SUM('Pon-Bat'!$U$8:U35)))</f>
        <v/>
      </c>
      <c r="AK35" s="494" t="str">
        <f>IF('Pon-Bat'!X35="","",+'Pon-Bat'!X35/'Pon-Bat'!U35)</f>
        <v/>
      </c>
      <c r="AL35" s="504" t="str">
        <f>IF('Pon-Bat'!X35="","",+(SUM('Pon-Bat'!$X$8:X35)/SUM('Pon-Bat'!$U$8:U35)))</f>
        <v/>
      </c>
      <c r="AM35" s="494" t="str">
        <f>IF('Pon-Bat'!Y35="","",+'Pon-Bat'!Y35/'Pon-Bat'!U35)</f>
        <v/>
      </c>
      <c r="AN35" s="504" t="str">
        <f>IF('Pon-Bat'!Y35="","",+(SUM('Pon-Bat'!$Y$8:Y35)/SUM('Pon-Bat'!$U$8:U35)))</f>
        <v/>
      </c>
      <c r="AO35" s="494" t="str">
        <f>IF('Pon-Bat'!Z35="","",+'Pon-Bat'!Z35/'Pon-Bat'!U35)</f>
        <v/>
      </c>
      <c r="AP35" s="496" t="str">
        <f>IF('Pon-Bat'!Z35="","",+(SUM('Pon-Bat'!$Z$8:Z35)/SUM('Pon-Bat'!$U$8:U35)))</f>
        <v/>
      </c>
      <c r="AQ35" s="503" t="str">
        <f>IF('Pon-Bat'!AB35="","",+'Pon-Bat'!AB35/'Pon-Bat'!AA35)</f>
        <v/>
      </c>
      <c r="AR35" s="504" t="str">
        <f>IF('Pon-Bat'!AB35="","",+(SUM('Pon-Bat'!$AB$8:AB35)/SUM('Pon-Bat'!$AA$8:AA35)))</f>
        <v/>
      </c>
      <c r="AS35" s="494" t="str">
        <f>IF('Pon-Bat'!AC35="","",+'Pon-Bat'!AC35/'Pon-Bat'!AA35)</f>
        <v/>
      </c>
      <c r="AT35" s="504" t="str">
        <f>IF('Pon-Bat'!AC35="","",+(SUM('Pon-Bat'!$AC$8:AC35)/SUM('Pon-Bat'!$AA$8:AA35)))</f>
        <v/>
      </c>
      <c r="AU35" s="494" t="str">
        <f>IF('Pon-Bat'!AD35="","",+'Pon-Bat'!AD35/'Pon-Bat'!AA35)</f>
        <v/>
      </c>
      <c r="AV35" s="504" t="str">
        <f>IF('Pon-Bat'!AD35="","",+(SUM('Pon-Bat'!$AD$8:AD35)/SUM('Pon-Bat'!$AA$8:AA35)))</f>
        <v/>
      </c>
      <c r="AW35" s="494" t="str">
        <f>IF('Pon-Bat'!AE35="","",+'Pon-Bat'!AE35/'Pon-Bat'!AA35)</f>
        <v/>
      </c>
      <c r="AX35" s="504" t="str">
        <f>IF('Pon-Bat'!AE35="","",+(SUM('Pon-Bat'!$AE$8:AE35)/SUM('Pon-Bat'!$AA$8:AA35)))</f>
        <v/>
      </c>
      <c r="AY35" s="494" t="str">
        <f>IF('Pon-Bat'!AF35="","",+'Pon-Bat'!AF35/'Pon-Bat'!AA35)</f>
        <v/>
      </c>
      <c r="AZ35" s="496" t="str">
        <f>IF('Pon-Bat'!AF35="","",+(SUM('Pon-Bat'!$AF$8:AF35)/SUM('Pon-Bat'!$AA$8:AA35)))</f>
        <v/>
      </c>
      <c r="BA35" s="503" t="str">
        <f>IF('Pon-Bat'!AH35="","",+'Pon-Bat'!AH35/'Pon-Bat'!AG35)</f>
        <v/>
      </c>
      <c r="BB35" s="504" t="str">
        <f>IF('Pon-Bat'!AH35="","",+(SUM('Pon-Bat'!$AH$8:AH35)/SUM('Pon-Bat'!$AG$8:AG35)))</f>
        <v/>
      </c>
      <c r="BC35" s="494" t="str">
        <f>IF('Pon-Bat'!AI35="","",+'Pon-Bat'!AI35/'Pon-Bat'!AG35)</f>
        <v/>
      </c>
      <c r="BD35" s="504" t="str">
        <f>IF('Pon-Bat'!AI35="","",+(SUM('Pon-Bat'!$AI$8:AI35)/SUM('Pon-Bat'!$AG$8:AG35)))</f>
        <v/>
      </c>
      <c r="BE35" s="494" t="str">
        <f>IF('Pon-Bat'!AJ35="","",+'Pon-Bat'!AJ35/'Pon-Bat'!AG35)</f>
        <v/>
      </c>
      <c r="BF35" s="504" t="str">
        <f>IF('Pon-Bat'!AJ35="","",+(SUM('Pon-Bat'!$AJ$8:AJ35)/SUM('Pon-Bat'!$AG$8:AG35)))</f>
        <v/>
      </c>
      <c r="BG35" s="494" t="str">
        <f>IF('Pon-Bat'!AK35="","",+'Pon-Bat'!AK35/'Pon-Bat'!AG35)</f>
        <v/>
      </c>
      <c r="BH35" s="504" t="str">
        <f>IF('Pon-Bat'!AK35="","",+(SUM('Pon-Bat'!$AK$8:AK35)/SUM('Pon-Bat'!$AG$8:AG35)))</f>
        <v/>
      </c>
      <c r="BI35" s="494" t="str">
        <f>IF('Pon-Bat'!AL35="","",+'Pon-Bat'!AL35/'Pon-Bat'!AG35)</f>
        <v/>
      </c>
      <c r="BJ35" s="496" t="str">
        <f>IF('Pon-Bat'!AL35="","",+(SUM('Pon-Bat'!$AL$8:AL35)/SUM('Pon-Bat'!$AG$8:AG35)))</f>
        <v/>
      </c>
      <c r="BK35" s="501" t="str">
        <f>IF('Pon-Bat'!AN35="","",+'Pon-Bat'!AN35/'Pon-Bat'!AM35)</f>
        <v/>
      </c>
      <c r="BL35" s="504" t="str">
        <f>IF('Pon-Bat'!AN35="","",+(SUM('Pon-Bat'!$AN$8:AN35)/SUM('Pon-Bat'!$AM$8:AM35)))</f>
        <v/>
      </c>
      <c r="BM35" s="499" t="str">
        <f>IF('Pon-Bat'!AO35="","",+'Pon-Bat'!AO35/'Pon-Bat'!AM35)</f>
        <v/>
      </c>
      <c r="BN35" s="504" t="str">
        <f>IF('Pon-Bat'!AO35="","",+(SUM('Pon-Bat'!$AO$8:AO35)/SUM('Pon-Bat'!$AM$8:AM35)))</f>
        <v/>
      </c>
      <c r="BO35" s="499" t="str">
        <f>IF('Pon-Bat'!AP35="","",+'Pon-Bat'!AP35/'Pon-Bat'!AM35)</f>
        <v/>
      </c>
      <c r="BP35" s="504" t="str">
        <f>IF('Pon-Bat'!AP35="","",+(SUM('Pon-Bat'!$AP$8:AP35)/SUM('Pon-Bat'!$AM$8:AM35)))</f>
        <v/>
      </c>
      <c r="BQ35" s="499" t="str">
        <f>IF('Pon-Bat'!AQ35="","",+'Pon-Bat'!AQ35/'Pon-Bat'!AM35)</f>
        <v/>
      </c>
      <c r="BR35" s="504" t="str">
        <f>IF('Pon-Bat'!AQ35="","",+(SUM('Pon-Bat'!$AQ$8:AQ35)/SUM('Pon-Bat'!$AM$8:AM35)))</f>
        <v/>
      </c>
      <c r="BS35" s="499" t="str">
        <f>IF('Pon-Bat'!AR35="","",+'Pon-Bat'!AR35/'Pon-Bat'!AM35)</f>
        <v/>
      </c>
      <c r="BT35" s="496" t="str">
        <f>IF('Pon-Bat'!AR35="","",+(SUM('Pon-Bat'!$AR$8:AR35)/SUM('Pon-Bat'!$AM$8:AM35)))</f>
        <v/>
      </c>
      <c r="BU35" s="501" t="str">
        <f>IF('Pon-Bat'!AT35="","",+'Pon-Bat'!AT35/'Pon-Bat'!AS35)</f>
        <v/>
      </c>
      <c r="BV35" s="504" t="str">
        <f>IF('Pon-Bat'!AT35="","",+(SUM('Pon-Bat'!$AT$8:AT35)/SUM('Pon-Bat'!$AS$8:AS35)))</f>
        <v/>
      </c>
      <c r="BW35" s="499" t="str">
        <f>IF('Pon-Bat'!AU35="","",+'Pon-Bat'!AU35/'Pon-Bat'!AS35)</f>
        <v/>
      </c>
      <c r="BX35" s="504" t="str">
        <f>IF('Pon-Bat'!AU35="","",+(SUM('Pon-Bat'!$AU$8:AU35)/SUM('Pon-Bat'!$AS$8:AS35)))</f>
        <v/>
      </c>
      <c r="BY35" s="499" t="str">
        <f>IF('Pon-Bat'!AV35="","",+'Pon-Bat'!AV35/'Pon-Bat'!AS35)</f>
        <v/>
      </c>
      <c r="BZ35" s="504" t="str">
        <f>IF('Pon-Bat'!AV35="","",+(SUM('Pon-Bat'!$AV$8:AV35)/SUM('Pon-Bat'!$AS$8:AS35)))</f>
        <v/>
      </c>
      <c r="CA35" s="499" t="str">
        <f>IF('Pon-Bat'!AW35="","",+'Pon-Bat'!AW35/'Pon-Bat'!AS35)</f>
        <v/>
      </c>
      <c r="CB35" s="504" t="str">
        <f>IF('Pon-Bat'!AW35="","",+(SUM('Pon-Bat'!$AW$8:AW35)/SUM('Pon-Bat'!$AS$8:AS35)))</f>
        <v/>
      </c>
      <c r="CC35" s="499" t="str">
        <f>IF('Pon-Bat'!AX35="","",+'Pon-Bat'!AX35/'Pon-Bat'!AS35)</f>
        <v/>
      </c>
      <c r="CD35" s="496" t="str">
        <f>IF('Pon-Bat'!AX35="","",+(SUM('Pon-Bat'!$AX$8:AX35)/SUM('Pon-Bat'!$AS$8:AS35)))</f>
        <v/>
      </c>
      <c r="CE35" s="503" t="str">
        <f>IF('Pon-Bat'!AZ35="","",+'Pon-Bat'!AZ35/'Pon-Bat'!AY35)</f>
        <v/>
      </c>
      <c r="CF35" s="504" t="str">
        <f>IF('Pon-Bat'!AZ35="","",+(SUM('Pon-Bat'!$AZ$8:AZ35)/SUM('Pon-Bat'!$AY$8:AY35)))</f>
        <v/>
      </c>
      <c r="CG35" s="494" t="str">
        <f>IF('Pon-Bat'!BA35="","",+'Pon-Bat'!BA35/'Pon-Bat'!AY35)</f>
        <v/>
      </c>
      <c r="CH35" s="504" t="str">
        <f>IF('Pon-Bat'!BA35="","",+(SUM('Pon-Bat'!$BA$8:BA35)/SUM('Pon-Bat'!$AY$8:AY35)))</f>
        <v/>
      </c>
      <c r="CI35" s="499" t="str">
        <f>IF('Pon-Bat'!BB35="","",+'Pon-Bat'!BB35/'Pon-Bat'!AY35)</f>
        <v/>
      </c>
      <c r="CJ35" s="504" t="str">
        <f>IF('Pon-Bat'!BB35="","",+(SUM('Pon-Bat'!$BB$8:BB35)/SUM('Pon-Bat'!$AY$8:AY35)))</f>
        <v/>
      </c>
      <c r="CK35" s="494" t="str">
        <f>IF('Pon-Bat'!BC35="","",+'Pon-Bat'!BC35/'Pon-Bat'!AY35)</f>
        <v/>
      </c>
      <c r="CL35" s="504" t="str">
        <f>IF('Pon-Bat'!BC35="","",+(SUM('Pon-Bat'!$BC$8:BC35)/SUM('Pon-Bat'!$AY$8:AY35)))</f>
        <v/>
      </c>
      <c r="CM35" s="494" t="str">
        <f>IF('Pon-Bat'!BD35="","",+'Pon-Bat'!BD35/'Pon-Bat'!AY35)</f>
        <v/>
      </c>
      <c r="CN35" s="496" t="str">
        <f>IF('Pon-Bat'!BD35="","",+(SUM('Pon-Bat'!$BD$8:BD35)/SUM('Pon-Bat'!$AY$8:AY35)))</f>
        <v/>
      </c>
    </row>
    <row r="36" spans="1:92" ht="24" customHeight="1" thickBot="1" x14ac:dyDescent="0.25">
      <c r="A36" s="453">
        <f t="shared" si="2"/>
        <v>43607</v>
      </c>
      <c r="B36" s="465">
        <f t="shared" si="3"/>
        <v>51</v>
      </c>
      <c r="C36" s="503" t="str">
        <f>IF('Pon-Bat'!D36="","",+'Pon-Bat'!D36/'Pon-Bat'!C36)</f>
        <v/>
      </c>
      <c r="D36" s="504" t="str">
        <f>IF('Pon-Bat'!D36="","",+(SUM('Pon-Bat'!$D$8:D36)/SUM('Pon-Bat'!$C$8:C36)))</f>
        <v/>
      </c>
      <c r="E36" s="494" t="str">
        <f>IF('Pon-Bat'!E36="","",+'Pon-Bat'!E36/'Pon-Bat'!C36)</f>
        <v/>
      </c>
      <c r="F36" s="504" t="str">
        <f>IF('Pon-Bat'!E36="","",+(SUM('Pon-Bat'!$E$8:E36)/SUM('Pon-Bat'!$C$8:C36)))</f>
        <v/>
      </c>
      <c r="G36" s="494" t="str">
        <f>IF('Pon-Bat'!F36="","",+'Pon-Bat'!F36/'Pon-Bat'!C36)</f>
        <v/>
      </c>
      <c r="H36" s="504" t="str">
        <f>IF('Pon-Bat'!F36="","",+(SUM('Pon-Bat'!$F$8:F36)/SUM('Pon-Bat'!$C$8:C36)))</f>
        <v/>
      </c>
      <c r="I36" s="494" t="str">
        <f>IF('Pon-Bat'!G36="","",+'Pon-Bat'!G36/'Pon-Bat'!C36)</f>
        <v/>
      </c>
      <c r="J36" s="504" t="str">
        <f>IF('Pon-Bat'!G36="","",+(SUM('Pon-Bat'!$G$8:G36)/SUM('Pon-Bat'!$C$8:C36)))</f>
        <v/>
      </c>
      <c r="K36" s="494" t="str">
        <f>IF('Pon-Bat'!H36="","",+'Pon-Bat'!H36/'Pon-Bat'!C36)</f>
        <v/>
      </c>
      <c r="L36" s="496" t="str">
        <f>IF('Pon-Bat'!H36="","",+(SUM('Pon-Bat'!$H$8:H36)/SUM('Pon-Bat'!$C$8:C36)))</f>
        <v/>
      </c>
      <c r="M36" s="503" t="str">
        <f>IF('Pon-Bat'!J36="","",+'Pon-Bat'!J36/'Pon-Bat'!I36)</f>
        <v/>
      </c>
      <c r="N36" s="504" t="str">
        <f>IF('Pon-Bat'!J36="","",+(SUM('Pon-Bat'!$J$8:J36)/SUM('Pon-Bat'!$I$8:I36)))</f>
        <v/>
      </c>
      <c r="O36" s="494" t="str">
        <f>IF('Pon-Bat'!K36="","",+'Pon-Bat'!K36/'Pon-Bat'!I36)</f>
        <v/>
      </c>
      <c r="P36" s="504" t="str">
        <f>IF('Pon-Bat'!K36="","",+(SUM('Pon-Bat'!$K$8:K36)/SUM('Pon-Bat'!$I$8:I36)))</f>
        <v/>
      </c>
      <c r="Q36" s="494" t="str">
        <f>IF('Pon-Bat'!L36="","",+'Pon-Bat'!L36/'Pon-Bat'!I36)</f>
        <v/>
      </c>
      <c r="R36" s="504" t="str">
        <f>IF('Pon-Bat'!L36="","",+(SUM('Pon-Bat'!$L$8:L36)/SUM('Pon-Bat'!$I$8:I36)))</f>
        <v/>
      </c>
      <c r="S36" s="494" t="str">
        <f>IF('Pon-Bat'!M36="","",+'Pon-Bat'!M36/'Pon-Bat'!I36)</f>
        <v/>
      </c>
      <c r="T36" s="504" t="str">
        <f>IF('Pon-Bat'!M36="","",+(SUM('Pon-Bat'!$M$8:M36)/SUM('Pon-Bat'!$I$8:I36)))</f>
        <v/>
      </c>
      <c r="U36" s="494" t="str">
        <f>IF('Pon-Bat'!N36="","",+'Pon-Bat'!N36/'Pon-Bat'!I36)</f>
        <v/>
      </c>
      <c r="V36" s="496" t="str">
        <f>IF('Pon-Bat'!N36="","",+(SUM('Pon-Bat'!$N$8:N36)/SUM('Pon-Bat'!$I$8:I36)))</f>
        <v/>
      </c>
      <c r="W36" s="503" t="str">
        <f>IF('Pon-Bat'!P36="","",+'Pon-Bat'!P36/'Pon-Bat'!O36)</f>
        <v/>
      </c>
      <c r="X36" s="504" t="str">
        <f>IF('Pon-Bat'!P36="","",+(SUM('Pon-Bat'!$P$8:P36)/SUM('Pon-Bat'!$O$8:O36)))</f>
        <v/>
      </c>
      <c r="Y36" s="494" t="str">
        <f>IF('Pon-Bat'!Q36="","",+'Pon-Bat'!Q36/'Pon-Bat'!O36)</f>
        <v/>
      </c>
      <c r="Z36" s="504" t="str">
        <f>IF('Pon-Bat'!Q36="","",+(SUM('Pon-Bat'!$Q$8:Q36)/SUM('Pon-Bat'!$O$8:O36)))</f>
        <v/>
      </c>
      <c r="AA36" s="494" t="str">
        <f>IF('Pon-Bat'!R36="","",+'Pon-Bat'!R36/'Pon-Bat'!O36)</f>
        <v/>
      </c>
      <c r="AB36" s="504" t="str">
        <f>IF('Pon-Bat'!R36="","",+(SUM('Pon-Bat'!$R$8:R36)/SUM('Pon-Bat'!$O$8:O36)))</f>
        <v/>
      </c>
      <c r="AC36" s="494" t="str">
        <f>IF('Pon-Bat'!S36="","",+'Pon-Bat'!S36/'Pon-Bat'!O36)</f>
        <v/>
      </c>
      <c r="AD36" s="504" t="str">
        <f>IF('Pon-Bat'!S36="","",+(SUM('Pon-Bat'!$S$8:S36)/SUM('Pon-Bat'!$O$8:O36)))</f>
        <v/>
      </c>
      <c r="AE36" s="494" t="str">
        <f>IF('Pon-Bat'!T36="","",+'Pon-Bat'!T36/'Pon-Bat'!O36)</f>
        <v/>
      </c>
      <c r="AF36" s="496" t="str">
        <f>IF('Pon-Bat'!T36="","",+(SUM('Pon-Bat'!$T$8:T36)/SUM('Pon-Bat'!$O$8:O36)))</f>
        <v/>
      </c>
      <c r="AG36" s="503" t="str">
        <f>IF('Pon-Bat'!V36="","",+'Pon-Bat'!V36/'Pon-Bat'!U36)</f>
        <v/>
      </c>
      <c r="AH36" s="504" t="str">
        <f>IF('Pon-Bat'!V36="","",+(SUM('Pon-Bat'!$V$8:V36)/SUM('Pon-Bat'!$U$8:U36)))</f>
        <v/>
      </c>
      <c r="AI36" s="494" t="str">
        <f>IF('Pon-Bat'!W36="","",+'Pon-Bat'!W36/'Pon-Bat'!U36)</f>
        <v/>
      </c>
      <c r="AJ36" s="504" t="str">
        <f>IF('Pon-Bat'!W36="","",+(SUM('Pon-Bat'!$W$8:W36)/SUM('Pon-Bat'!$U$8:U36)))</f>
        <v/>
      </c>
      <c r="AK36" s="494" t="str">
        <f>IF('Pon-Bat'!X36="","",+'Pon-Bat'!X36/'Pon-Bat'!U36)</f>
        <v/>
      </c>
      <c r="AL36" s="504" t="str">
        <f>IF('Pon-Bat'!X36="","",+(SUM('Pon-Bat'!$X$8:X36)/SUM('Pon-Bat'!$U$8:U36)))</f>
        <v/>
      </c>
      <c r="AM36" s="494" t="str">
        <f>IF('Pon-Bat'!Y36="","",+'Pon-Bat'!Y36/'Pon-Bat'!U36)</f>
        <v/>
      </c>
      <c r="AN36" s="504" t="str">
        <f>IF('Pon-Bat'!Y36="","",+(SUM('Pon-Bat'!$Y$8:Y36)/SUM('Pon-Bat'!$U$8:U36)))</f>
        <v/>
      </c>
      <c r="AO36" s="494" t="str">
        <f>IF('Pon-Bat'!Z36="","",+'Pon-Bat'!Z36/'Pon-Bat'!U36)</f>
        <v/>
      </c>
      <c r="AP36" s="496" t="str">
        <f>IF('Pon-Bat'!Z36="","",+(SUM('Pon-Bat'!$Z$8:Z36)/SUM('Pon-Bat'!$U$8:U36)))</f>
        <v/>
      </c>
      <c r="AQ36" s="503" t="str">
        <f>IF('Pon-Bat'!AB36="","",+'Pon-Bat'!AB36/'Pon-Bat'!AA36)</f>
        <v/>
      </c>
      <c r="AR36" s="504" t="str">
        <f>IF('Pon-Bat'!AB36="","",+(SUM('Pon-Bat'!$AB$8:AB36)/SUM('Pon-Bat'!$AA$8:AA36)))</f>
        <v/>
      </c>
      <c r="AS36" s="494" t="str">
        <f>IF('Pon-Bat'!AC36="","",+'Pon-Bat'!AC36/'Pon-Bat'!AA36)</f>
        <v/>
      </c>
      <c r="AT36" s="504" t="str">
        <f>IF('Pon-Bat'!AC36="","",+(SUM('Pon-Bat'!$AC$8:AC36)/SUM('Pon-Bat'!$AA$8:AA36)))</f>
        <v/>
      </c>
      <c r="AU36" s="494" t="str">
        <f>IF('Pon-Bat'!AD36="","",+'Pon-Bat'!AD36/'Pon-Bat'!AA36)</f>
        <v/>
      </c>
      <c r="AV36" s="504" t="str">
        <f>IF('Pon-Bat'!AD36="","",+(SUM('Pon-Bat'!$AD$8:AD36)/SUM('Pon-Bat'!$AA$8:AA36)))</f>
        <v/>
      </c>
      <c r="AW36" s="494" t="str">
        <f>IF('Pon-Bat'!AE36="","",+'Pon-Bat'!AE36/'Pon-Bat'!AA36)</f>
        <v/>
      </c>
      <c r="AX36" s="504" t="str">
        <f>IF('Pon-Bat'!AE36="","",+(SUM('Pon-Bat'!$AE$8:AE36)/SUM('Pon-Bat'!$AA$8:AA36)))</f>
        <v/>
      </c>
      <c r="AY36" s="494" t="str">
        <f>IF('Pon-Bat'!AF36="","",+'Pon-Bat'!AF36/'Pon-Bat'!AA36)</f>
        <v/>
      </c>
      <c r="AZ36" s="496" t="str">
        <f>IF('Pon-Bat'!AF36="","",+(SUM('Pon-Bat'!$AF$8:AF36)/SUM('Pon-Bat'!$AA$8:AA36)))</f>
        <v/>
      </c>
      <c r="BA36" s="503" t="str">
        <f>IF('Pon-Bat'!AH36="","",+'Pon-Bat'!AH36/'Pon-Bat'!AG36)</f>
        <v/>
      </c>
      <c r="BB36" s="504" t="str">
        <f>IF('Pon-Bat'!AH36="","",+(SUM('Pon-Bat'!$AH$8:AH36)/SUM('Pon-Bat'!$AG$8:AG36)))</f>
        <v/>
      </c>
      <c r="BC36" s="494" t="str">
        <f>IF('Pon-Bat'!AI36="","",+'Pon-Bat'!AI36/'Pon-Bat'!AG36)</f>
        <v/>
      </c>
      <c r="BD36" s="504" t="str">
        <f>IF('Pon-Bat'!AI36="","",+(SUM('Pon-Bat'!$AI$8:AI36)/SUM('Pon-Bat'!$AG$8:AG36)))</f>
        <v/>
      </c>
      <c r="BE36" s="494" t="str">
        <f>IF('Pon-Bat'!AJ36="","",+'Pon-Bat'!AJ36/'Pon-Bat'!AG36)</f>
        <v/>
      </c>
      <c r="BF36" s="504" t="str">
        <f>IF('Pon-Bat'!AJ36="","",+(SUM('Pon-Bat'!$AJ$8:AJ36)/SUM('Pon-Bat'!$AG$8:AG36)))</f>
        <v/>
      </c>
      <c r="BG36" s="494" t="str">
        <f>IF('Pon-Bat'!AK36="","",+'Pon-Bat'!AK36/'Pon-Bat'!AG36)</f>
        <v/>
      </c>
      <c r="BH36" s="504" t="str">
        <f>IF('Pon-Bat'!AK36="","",+(SUM('Pon-Bat'!$AK$8:AK36)/SUM('Pon-Bat'!$AG$8:AG36)))</f>
        <v/>
      </c>
      <c r="BI36" s="494" t="str">
        <f>IF('Pon-Bat'!AL36="","",+'Pon-Bat'!AL36/'Pon-Bat'!AG36)</f>
        <v/>
      </c>
      <c r="BJ36" s="496" t="str">
        <f>IF('Pon-Bat'!AL36="","",+(SUM('Pon-Bat'!$AL$8:AL36)/SUM('Pon-Bat'!$AG$8:AG36)))</f>
        <v/>
      </c>
      <c r="BK36" s="501" t="str">
        <f>IF('Pon-Bat'!AN36="","",+'Pon-Bat'!AN36/'Pon-Bat'!AM36)</f>
        <v/>
      </c>
      <c r="BL36" s="504" t="str">
        <f>IF('Pon-Bat'!AN36="","",+(SUM('Pon-Bat'!$AN$8:AN36)/SUM('Pon-Bat'!$AM$8:AM36)))</f>
        <v/>
      </c>
      <c r="BM36" s="499" t="str">
        <f>IF('Pon-Bat'!AO36="","",+'Pon-Bat'!AO36/'Pon-Bat'!AM36)</f>
        <v/>
      </c>
      <c r="BN36" s="504" t="str">
        <f>IF('Pon-Bat'!AO36="","",+(SUM('Pon-Bat'!$AO$8:AO36)/SUM('Pon-Bat'!$AM$8:AM36)))</f>
        <v/>
      </c>
      <c r="BO36" s="499" t="str">
        <f>IF('Pon-Bat'!AP36="","",+'Pon-Bat'!AP36/'Pon-Bat'!AM36)</f>
        <v/>
      </c>
      <c r="BP36" s="504" t="str">
        <f>IF('Pon-Bat'!AP36="","",+(SUM('Pon-Bat'!$AP$8:AP36)/SUM('Pon-Bat'!$AM$8:AM36)))</f>
        <v/>
      </c>
      <c r="BQ36" s="499" t="str">
        <f>IF('Pon-Bat'!AQ36="","",+'Pon-Bat'!AQ36/'Pon-Bat'!AM36)</f>
        <v/>
      </c>
      <c r="BR36" s="504" t="str">
        <f>IF('Pon-Bat'!AQ36="","",+(SUM('Pon-Bat'!$AQ$8:AQ36)/SUM('Pon-Bat'!$AM$8:AM36)))</f>
        <v/>
      </c>
      <c r="BS36" s="499" t="str">
        <f>IF('Pon-Bat'!AR36="","",+'Pon-Bat'!AR36/'Pon-Bat'!AM36)</f>
        <v/>
      </c>
      <c r="BT36" s="496" t="str">
        <f>IF('Pon-Bat'!AR36="","",+(SUM('Pon-Bat'!$AR$8:AR36)/SUM('Pon-Bat'!$AM$8:AM36)))</f>
        <v/>
      </c>
      <c r="BU36" s="501" t="str">
        <f>IF('Pon-Bat'!AT36="","",+'Pon-Bat'!AT36/'Pon-Bat'!AS36)</f>
        <v/>
      </c>
      <c r="BV36" s="504" t="str">
        <f>IF('Pon-Bat'!AT36="","",+(SUM('Pon-Bat'!$AT$8:AT36)/SUM('Pon-Bat'!$AS$8:AS36)))</f>
        <v/>
      </c>
      <c r="BW36" s="499" t="str">
        <f>IF('Pon-Bat'!AU36="","",+'Pon-Bat'!AU36/'Pon-Bat'!AS36)</f>
        <v/>
      </c>
      <c r="BX36" s="504" t="str">
        <f>IF('Pon-Bat'!AU36="","",+(SUM('Pon-Bat'!$AU$8:AU36)/SUM('Pon-Bat'!$AS$8:AS36)))</f>
        <v/>
      </c>
      <c r="BY36" s="499" t="str">
        <f>IF('Pon-Bat'!AV36="","",+'Pon-Bat'!AV36/'Pon-Bat'!AS36)</f>
        <v/>
      </c>
      <c r="BZ36" s="504" t="str">
        <f>IF('Pon-Bat'!AV36="","",+(SUM('Pon-Bat'!$AV$8:AV36)/SUM('Pon-Bat'!$AS$8:AS36)))</f>
        <v/>
      </c>
      <c r="CA36" s="499" t="str">
        <f>IF('Pon-Bat'!AW36="","",+'Pon-Bat'!AW36/'Pon-Bat'!AS36)</f>
        <v/>
      </c>
      <c r="CB36" s="504" t="str">
        <f>IF('Pon-Bat'!AW36="","",+(SUM('Pon-Bat'!$AW$8:AW36)/SUM('Pon-Bat'!$AS$8:AS36)))</f>
        <v/>
      </c>
      <c r="CC36" s="499" t="str">
        <f>IF('Pon-Bat'!AX36="","",+'Pon-Bat'!AX36/'Pon-Bat'!AS36)</f>
        <v/>
      </c>
      <c r="CD36" s="496" t="str">
        <f>IF('Pon-Bat'!AX36="","",+(SUM('Pon-Bat'!$AX$8:AX36)/SUM('Pon-Bat'!$AS$8:AS36)))</f>
        <v/>
      </c>
      <c r="CE36" s="503" t="str">
        <f>IF('Pon-Bat'!AZ36="","",+'Pon-Bat'!AZ36/'Pon-Bat'!AY36)</f>
        <v/>
      </c>
      <c r="CF36" s="504" t="str">
        <f>IF('Pon-Bat'!AZ36="","",+(SUM('Pon-Bat'!$AZ$8:AZ36)/SUM('Pon-Bat'!$AY$8:AY36)))</f>
        <v/>
      </c>
      <c r="CG36" s="494" t="str">
        <f>IF('Pon-Bat'!BA36="","",+'Pon-Bat'!BA36/'Pon-Bat'!AY36)</f>
        <v/>
      </c>
      <c r="CH36" s="504" t="str">
        <f>IF('Pon-Bat'!BA36="","",+(SUM('Pon-Bat'!$BA$8:BA36)/SUM('Pon-Bat'!$AY$8:AY36)))</f>
        <v/>
      </c>
      <c r="CI36" s="499" t="str">
        <f>IF('Pon-Bat'!BB36="","",+'Pon-Bat'!BB36/'Pon-Bat'!AY36)</f>
        <v/>
      </c>
      <c r="CJ36" s="504" t="str">
        <f>IF('Pon-Bat'!BB36="","",+(SUM('Pon-Bat'!$BB$8:BB36)/SUM('Pon-Bat'!$AY$8:AY36)))</f>
        <v/>
      </c>
      <c r="CK36" s="494" t="str">
        <f>IF('Pon-Bat'!BC36="","",+'Pon-Bat'!BC36/'Pon-Bat'!AY36)</f>
        <v/>
      </c>
      <c r="CL36" s="504" t="str">
        <f>IF('Pon-Bat'!BC36="","",+(SUM('Pon-Bat'!$BC$8:BC36)/SUM('Pon-Bat'!$AY$8:AY36)))</f>
        <v/>
      </c>
      <c r="CM36" s="494" t="str">
        <f>IF('Pon-Bat'!BD36="","",+'Pon-Bat'!BD36/'Pon-Bat'!AY36)</f>
        <v/>
      </c>
      <c r="CN36" s="496" t="str">
        <f>IF('Pon-Bat'!BD36="","",+(SUM('Pon-Bat'!$BD$8:BD36)/SUM('Pon-Bat'!$AY$8:AY36)))</f>
        <v/>
      </c>
    </row>
    <row r="37" spans="1:92" ht="24" customHeight="1" thickBot="1" x14ac:dyDescent="0.25">
      <c r="A37" s="453">
        <f t="shared" si="2"/>
        <v>43614</v>
      </c>
      <c r="B37" s="465">
        <f t="shared" si="3"/>
        <v>52</v>
      </c>
      <c r="C37" s="503" t="str">
        <f>IF('Pon-Bat'!D37="","",+'Pon-Bat'!D37/'Pon-Bat'!C37)</f>
        <v/>
      </c>
      <c r="D37" s="504" t="str">
        <f>IF('Pon-Bat'!D37="","",+(SUM('Pon-Bat'!$D$8:D37)/SUM('Pon-Bat'!$C$8:C37)))</f>
        <v/>
      </c>
      <c r="E37" s="494" t="str">
        <f>IF('Pon-Bat'!E37="","",+'Pon-Bat'!E37/'Pon-Bat'!C37)</f>
        <v/>
      </c>
      <c r="F37" s="504" t="str">
        <f>IF('Pon-Bat'!E37="","",+(SUM('Pon-Bat'!$E$8:E37)/SUM('Pon-Bat'!$C$8:C37)))</f>
        <v/>
      </c>
      <c r="G37" s="494" t="str">
        <f>IF('Pon-Bat'!F37="","",+'Pon-Bat'!F37/'Pon-Bat'!C37)</f>
        <v/>
      </c>
      <c r="H37" s="504" t="str">
        <f>IF('Pon-Bat'!F37="","",+(SUM('Pon-Bat'!$F$8:F37)/SUM('Pon-Bat'!$C$8:C37)))</f>
        <v/>
      </c>
      <c r="I37" s="494" t="str">
        <f>IF('Pon-Bat'!G37="","",+'Pon-Bat'!G37/'Pon-Bat'!C37)</f>
        <v/>
      </c>
      <c r="J37" s="504" t="str">
        <f>IF('Pon-Bat'!G37="","",+(SUM('Pon-Bat'!$G$8:G37)/SUM('Pon-Bat'!$C$8:C37)))</f>
        <v/>
      </c>
      <c r="K37" s="494" t="str">
        <f>IF('Pon-Bat'!H37="","",+'Pon-Bat'!H37/'Pon-Bat'!C37)</f>
        <v/>
      </c>
      <c r="L37" s="496" t="str">
        <f>IF('Pon-Bat'!H37="","",+(SUM('Pon-Bat'!$H$8:H37)/SUM('Pon-Bat'!$C$8:C37)))</f>
        <v/>
      </c>
      <c r="M37" s="503" t="str">
        <f>IF('Pon-Bat'!J37="","",+'Pon-Bat'!J37/'Pon-Bat'!I37)</f>
        <v/>
      </c>
      <c r="N37" s="504" t="str">
        <f>IF('Pon-Bat'!J37="","",+(SUM('Pon-Bat'!$J$8:J37)/SUM('Pon-Bat'!$I$8:I37)))</f>
        <v/>
      </c>
      <c r="O37" s="494" t="str">
        <f>IF('Pon-Bat'!K37="","",+'Pon-Bat'!K37/'Pon-Bat'!I37)</f>
        <v/>
      </c>
      <c r="P37" s="504" t="str">
        <f>IF('Pon-Bat'!K37="","",+(SUM('Pon-Bat'!$K$8:K37)/SUM('Pon-Bat'!$I$8:I37)))</f>
        <v/>
      </c>
      <c r="Q37" s="494" t="str">
        <f>IF('Pon-Bat'!L37="","",+'Pon-Bat'!L37/'Pon-Bat'!I37)</f>
        <v/>
      </c>
      <c r="R37" s="504" t="str">
        <f>IF('Pon-Bat'!L37="","",+(SUM('Pon-Bat'!$L$8:L37)/SUM('Pon-Bat'!$I$8:I37)))</f>
        <v/>
      </c>
      <c r="S37" s="494" t="str">
        <f>IF('Pon-Bat'!M37="","",+'Pon-Bat'!M37/'Pon-Bat'!I37)</f>
        <v/>
      </c>
      <c r="T37" s="504" t="str">
        <f>IF('Pon-Bat'!M37="","",+(SUM('Pon-Bat'!$M$8:M37)/SUM('Pon-Bat'!$I$8:I37)))</f>
        <v/>
      </c>
      <c r="U37" s="494" t="str">
        <f>IF('Pon-Bat'!N37="","",+'Pon-Bat'!N37/'Pon-Bat'!I37)</f>
        <v/>
      </c>
      <c r="V37" s="496" t="str">
        <f>IF('Pon-Bat'!N37="","",+(SUM('Pon-Bat'!$N$8:N37)/SUM('Pon-Bat'!$I$8:I37)))</f>
        <v/>
      </c>
      <c r="W37" s="503" t="str">
        <f>IF('Pon-Bat'!P37="","",+'Pon-Bat'!P37/'Pon-Bat'!O37)</f>
        <v/>
      </c>
      <c r="X37" s="504" t="str">
        <f>IF('Pon-Bat'!P37="","",+(SUM('Pon-Bat'!$P$8:P37)/SUM('Pon-Bat'!$O$8:O37)))</f>
        <v/>
      </c>
      <c r="Y37" s="494" t="str">
        <f>IF('Pon-Bat'!Q37="","",+'Pon-Bat'!Q37/'Pon-Bat'!O37)</f>
        <v/>
      </c>
      <c r="Z37" s="504" t="str">
        <f>IF('Pon-Bat'!Q37="","",+(SUM('Pon-Bat'!$Q$8:Q37)/SUM('Pon-Bat'!$O$8:O37)))</f>
        <v/>
      </c>
      <c r="AA37" s="494" t="str">
        <f>IF('Pon-Bat'!R37="","",+'Pon-Bat'!R37/'Pon-Bat'!O37)</f>
        <v/>
      </c>
      <c r="AB37" s="504" t="str">
        <f>IF('Pon-Bat'!R37="","",+(SUM('Pon-Bat'!$R$8:R37)/SUM('Pon-Bat'!$O$8:O37)))</f>
        <v/>
      </c>
      <c r="AC37" s="494" t="str">
        <f>IF('Pon-Bat'!S37="","",+'Pon-Bat'!S37/'Pon-Bat'!O37)</f>
        <v/>
      </c>
      <c r="AD37" s="504" t="str">
        <f>IF('Pon-Bat'!S37="","",+(SUM('Pon-Bat'!$S$8:S37)/SUM('Pon-Bat'!$O$8:O37)))</f>
        <v/>
      </c>
      <c r="AE37" s="494" t="str">
        <f>IF('Pon-Bat'!T37="","",+'Pon-Bat'!T37/'Pon-Bat'!O37)</f>
        <v/>
      </c>
      <c r="AF37" s="496" t="str">
        <f>IF('Pon-Bat'!T37="","",+(SUM('Pon-Bat'!$T$8:T37)/SUM('Pon-Bat'!$O$8:O37)))</f>
        <v/>
      </c>
      <c r="AG37" s="503" t="str">
        <f>IF('Pon-Bat'!V37="","",+'Pon-Bat'!V37/'Pon-Bat'!U37)</f>
        <v/>
      </c>
      <c r="AH37" s="504" t="str">
        <f>IF('Pon-Bat'!V37="","",+(SUM('Pon-Bat'!$V$8:V37)/SUM('Pon-Bat'!$U$8:U37)))</f>
        <v/>
      </c>
      <c r="AI37" s="494" t="str">
        <f>IF('Pon-Bat'!W37="","",+'Pon-Bat'!W37/'Pon-Bat'!U37)</f>
        <v/>
      </c>
      <c r="AJ37" s="504" t="str">
        <f>IF('Pon-Bat'!W37="","",+(SUM('Pon-Bat'!$W$8:W37)/SUM('Pon-Bat'!$U$8:U37)))</f>
        <v/>
      </c>
      <c r="AK37" s="494" t="str">
        <f>IF('Pon-Bat'!X37="","",+'Pon-Bat'!X37/'Pon-Bat'!U37)</f>
        <v/>
      </c>
      <c r="AL37" s="504" t="str">
        <f>IF('Pon-Bat'!X37="","",+(SUM('Pon-Bat'!$X$8:X37)/SUM('Pon-Bat'!$U$8:U37)))</f>
        <v/>
      </c>
      <c r="AM37" s="494" t="str">
        <f>IF('Pon-Bat'!Y37="","",+'Pon-Bat'!Y37/'Pon-Bat'!U37)</f>
        <v/>
      </c>
      <c r="AN37" s="504" t="str">
        <f>IF('Pon-Bat'!Y37="","",+(SUM('Pon-Bat'!$Y$8:Y37)/SUM('Pon-Bat'!$U$8:U37)))</f>
        <v/>
      </c>
      <c r="AO37" s="494" t="str">
        <f>IF('Pon-Bat'!Z37="","",+'Pon-Bat'!Z37/'Pon-Bat'!U37)</f>
        <v/>
      </c>
      <c r="AP37" s="496" t="str">
        <f>IF('Pon-Bat'!Z37="","",+(SUM('Pon-Bat'!$Z$8:Z37)/SUM('Pon-Bat'!$U$8:U37)))</f>
        <v/>
      </c>
      <c r="AQ37" s="503" t="str">
        <f>IF('Pon-Bat'!AB37="","",+'Pon-Bat'!AB37/'Pon-Bat'!AA37)</f>
        <v/>
      </c>
      <c r="AR37" s="504" t="str">
        <f>IF('Pon-Bat'!AB37="","",+(SUM('Pon-Bat'!$AB$8:AB37)/SUM('Pon-Bat'!$AA$8:AA37)))</f>
        <v/>
      </c>
      <c r="AS37" s="494" t="str">
        <f>IF('Pon-Bat'!AC37="","",+'Pon-Bat'!AC37/'Pon-Bat'!AA37)</f>
        <v/>
      </c>
      <c r="AT37" s="504" t="str">
        <f>IF('Pon-Bat'!AC37="","",+(SUM('Pon-Bat'!$AC$8:AC37)/SUM('Pon-Bat'!$AA$8:AA37)))</f>
        <v/>
      </c>
      <c r="AU37" s="494" t="str">
        <f>IF('Pon-Bat'!AD37="","",+'Pon-Bat'!AD37/'Pon-Bat'!AA37)</f>
        <v/>
      </c>
      <c r="AV37" s="504" t="str">
        <f>IF('Pon-Bat'!AD37="","",+(SUM('Pon-Bat'!$AD$8:AD37)/SUM('Pon-Bat'!$AA$8:AA37)))</f>
        <v/>
      </c>
      <c r="AW37" s="494" t="str">
        <f>IF('Pon-Bat'!AE37="","",+'Pon-Bat'!AE37/'Pon-Bat'!AA37)</f>
        <v/>
      </c>
      <c r="AX37" s="504" t="str">
        <f>IF('Pon-Bat'!AE37="","",+(SUM('Pon-Bat'!$AE$8:AE37)/SUM('Pon-Bat'!$AA$8:AA37)))</f>
        <v/>
      </c>
      <c r="AY37" s="494" t="str">
        <f>IF('Pon-Bat'!AF37="","",+'Pon-Bat'!AF37/'Pon-Bat'!AA37)</f>
        <v/>
      </c>
      <c r="AZ37" s="496" t="str">
        <f>IF('Pon-Bat'!AF37="","",+(SUM('Pon-Bat'!$AF$8:AF37)/SUM('Pon-Bat'!$AA$8:AA37)))</f>
        <v/>
      </c>
      <c r="BA37" s="503" t="str">
        <f>IF('Pon-Bat'!AH37="","",+'Pon-Bat'!AH37/'Pon-Bat'!AG37)</f>
        <v/>
      </c>
      <c r="BB37" s="504" t="str">
        <f>IF('Pon-Bat'!AH37="","",+(SUM('Pon-Bat'!$AH$8:AH37)/SUM('Pon-Bat'!$AG$8:AG37)))</f>
        <v/>
      </c>
      <c r="BC37" s="494" t="str">
        <f>IF('Pon-Bat'!AI37="","",+'Pon-Bat'!AI37/'Pon-Bat'!AG37)</f>
        <v/>
      </c>
      <c r="BD37" s="504" t="str">
        <f>IF('Pon-Bat'!AI37="","",+(SUM('Pon-Bat'!$AI$8:AI37)/SUM('Pon-Bat'!$AG$8:AG37)))</f>
        <v/>
      </c>
      <c r="BE37" s="494" t="str">
        <f>IF('Pon-Bat'!AJ37="","",+'Pon-Bat'!AJ37/'Pon-Bat'!AG37)</f>
        <v/>
      </c>
      <c r="BF37" s="504" t="str">
        <f>IF('Pon-Bat'!AJ37="","",+(SUM('Pon-Bat'!$AJ$8:AJ37)/SUM('Pon-Bat'!$AG$8:AG37)))</f>
        <v/>
      </c>
      <c r="BG37" s="494" t="str">
        <f>IF('Pon-Bat'!AK37="","",+'Pon-Bat'!AK37/'Pon-Bat'!AG37)</f>
        <v/>
      </c>
      <c r="BH37" s="504" t="str">
        <f>IF('Pon-Bat'!AK37="","",+(SUM('Pon-Bat'!$AK$8:AK37)/SUM('Pon-Bat'!$AG$8:AG37)))</f>
        <v/>
      </c>
      <c r="BI37" s="494" t="str">
        <f>IF('Pon-Bat'!AL37="","",+'Pon-Bat'!AL37/'Pon-Bat'!AG37)</f>
        <v/>
      </c>
      <c r="BJ37" s="496" t="str">
        <f>IF('Pon-Bat'!AL37="","",+(SUM('Pon-Bat'!$AL$8:AL37)/SUM('Pon-Bat'!$AG$8:AG37)))</f>
        <v/>
      </c>
      <c r="BK37" s="501" t="str">
        <f>IF('Pon-Bat'!AN37="","",+'Pon-Bat'!AN37/'Pon-Bat'!AM37)</f>
        <v/>
      </c>
      <c r="BL37" s="504" t="str">
        <f>IF('Pon-Bat'!AN37="","",+(SUM('Pon-Bat'!$AN$8:AN37)/SUM('Pon-Bat'!$AM$8:AM37)))</f>
        <v/>
      </c>
      <c r="BM37" s="499" t="str">
        <f>IF('Pon-Bat'!AO37="","",+'Pon-Bat'!AO37/'Pon-Bat'!AM37)</f>
        <v/>
      </c>
      <c r="BN37" s="504" t="str">
        <f>IF('Pon-Bat'!AO37="","",+(SUM('Pon-Bat'!$AO$8:AO37)/SUM('Pon-Bat'!$AM$8:AM37)))</f>
        <v/>
      </c>
      <c r="BO37" s="499" t="str">
        <f>IF('Pon-Bat'!AP37="","",+'Pon-Bat'!AP37/'Pon-Bat'!AM37)</f>
        <v/>
      </c>
      <c r="BP37" s="504" t="str">
        <f>IF('Pon-Bat'!AP37="","",+(SUM('Pon-Bat'!$AP$8:AP37)/SUM('Pon-Bat'!$AM$8:AM37)))</f>
        <v/>
      </c>
      <c r="BQ37" s="499" t="str">
        <f>IF('Pon-Bat'!AQ37="","",+'Pon-Bat'!AQ37/'Pon-Bat'!AM37)</f>
        <v/>
      </c>
      <c r="BR37" s="504" t="str">
        <f>IF('Pon-Bat'!AQ37="","",+(SUM('Pon-Bat'!$AQ$8:AQ37)/SUM('Pon-Bat'!$AM$8:AM37)))</f>
        <v/>
      </c>
      <c r="BS37" s="499" t="str">
        <f>IF('Pon-Bat'!AR37="","",+'Pon-Bat'!AR37/'Pon-Bat'!AM37)</f>
        <v/>
      </c>
      <c r="BT37" s="496" t="str">
        <f>IF('Pon-Bat'!AR37="","",+(SUM('Pon-Bat'!$AR$8:AR37)/SUM('Pon-Bat'!$AM$8:AM37)))</f>
        <v/>
      </c>
      <c r="BU37" s="501" t="str">
        <f>IF('Pon-Bat'!AT37="","",+'Pon-Bat'!AT37/'Pon-Bat'!AS37)</f>
        <v/>
      </c>
      <c r="BV37" s="504" t="str">
        <f>IF('Pon-Bat'!AT37="","",+(SUM('Pon-Bat'!$AT$8:AT37)/SUM('Pon-Bat'!$AS$8:AS37)))</f>
        <v/>
      </c>
      <c r="BW37" s="499" t="str">
        <f>IF('Pon-Bat'!AU37="","",+'Pon-Bat'!AU37/'Pon-Bat'!AS37)</f>
        <v/>
      </c>
      <c r="BX37" s="504" t="str">
        <f>IF('Pon-Bat'!AU37="","",+(SUM('Pon-Bat'!$AU$8:AU37)/SUM('Pon-Bat'!$AS$8:AS37)))</f>
        <v/>
      </c>
      <c r="BY37" s="499" t="str">
        <f>IF('Pon-Bat'!AV37="","",+'Pon-Bat'!AV37/'Pon-Bat'!AS37)</f>
        <v/>
      </c>
      <c r="BZ37" s="504" t="str">
        <f>IF('Pon-Bat'!AV37="","",+(SUM('Pon-Bat'!$AV$8:AV37)/SUM('Pon-Bat'!$AS$8:AS37)))</f>
        <v/>
      </c>
      <c r="CA37" s="499" t="str">
        <f>IF('Pon-Bat'!AW37="","",+'Pon-Bat'!AW37/'Pon-Bat'!AS37)</f>
        <v/>
      </c>
      <c r="CB37" s="504" t="str">
        <f>IF('Pon-Bat'!AW37="","",+(SUM('Pon-Bat'!$AW$8:AW37)/SUM('Pon-Bat'!$AS$8:AS37)))</f>
        <v/>
      </c>
      <c r="CC37" s="499" t="str">
        <f>IF('Pon-Bat'!AX37="","",+'Pon-Bat'!AX37/'Pon-Bat'!AS37)</f>
        <v/>
      </c>
      <c r="CD37" s="496" t="str">
        <f>IF('Pon-Bat'!AX37="","",+(SUM('Pon-Bat'!$AX$8:AX37)/SUM('Pon-Bat'!$AS$8:AS37)))</f>
        <v/>
      </c>
      <c r="CE37" s="503" t="str">
        <f>IF('Pon-Bat'!AZ37="","",+'Pon-Bat'!AZ37/'Pon-Bat'!AY37)</f>
        <v/>
      </c>
      <c r="CF37" s="504" t="str">
        <f>IF('Pon-Bat'!AZ37="","",+(SUM('Pon-Bat'!$AZ$8:AZ37)/SUM('Pon-Bat'!$AY$8:AY37)))</f>
        <v/>
      </c>
      <c r="CG37" s="494" t="str">
        <f>IF('Pon-Bat'!BA37="","",+'Pon-Bat'!BA37/'Pon-Bat'!AY37)</f>
        <v/>
      </c>
      <c r="CH37" s="504" t="str">
        <f>IF('Pon-Bat'!BA37="","",+(SUM('Pon-Bat'!$BA$8:BA37)/SUM('Pon-Bat'!$AY$8:AY37)))</f>
        <v/>
      </c>
      <c r="CI37" s="499" t="str">
        <f>IF('Pon-Bat'!BB37="","",+'Pon-Bat'!BB37/'Pon-Bat'!AY37)</f>
        <v/>
      </c>
      <c r="CJ37" s="504" t="str">
        <f>IF('Pon-Bat'!BB37="","",+(SUM('Pon-Bat'!$BB$8:BB37)/SUM('Pon-Bat'!$AY$8:AY37)))</f>
        <v/>
      </c>
      <c r="CK37" s="494" t="str">
        <f>IF('Pon-Bat'!BC37="","",+'Pon-Bat'!BC37/'Pon-Bat'!AY37)</f>
        <v/>
      </c>
      <c r="CL37" s="504" t="str">
        <f>IF('Pon-Bat'!BC37="","",+(SUM('Pon-Bat'!$BC$8:BC37)/SUM('Pon-Bat'!$AY$8:AY37)))</f>
        <v/>
      </c>
      <c r="CM37" s="494" t="str">
        <f>IF('Pon-Bat'!BD37="","",+'Pon-Bat'!BD37/'Pon-Bat'!AY37)</f>
        <v/>
      </c>
      <c r="CN37" s="496" t="str">
        <f>IF('Pon-Bat'!BD37="","",+(SUM('Pon-Bat'!$BD$8:BD37)/SUM('Pon-Bat'!$AY$8:AY37)))</f>
        <v/>
      </c>
    </row>
    <row r="38" spans="1:92" ht="24" customHeight="1" thickBot="1" x14ac:dyDescent="0.25">
      <c r="A38" s="453">
        <f t="shared" si="2"/>
        <v>43621</v>
      </c>
      <c r="B38" s="465">
        <f t="shared" si="3"/>
        <v>53</v>
      </c>
      <c r="C38" s="503" t="str">
        <f>IF('Pon-Bat'!D38="","",+'Pon-Bat'!D38/'Pon-Bat'!C38)</f>
        <v/>
      </c>
      <c r="D38" s="504" t="str">
        <f>IF('Pon-Bat'!D38="","",+(SUM('Pon-Bat'!$D$8:D38)/SUM('Pon-Bat'!$C$8:C38)))</f>
        <v/>
      </c>
      <c r="E38" s="494" t="str">
        <f>IF('Pon-Bat'!E38="","",+'Pon-Bat'!E38/'Pon-Bat'!C38)</f>
        <v/>
      </c>
      <c r="F38" s="504" t="str">
        <f>IF('Pon-Bat'!E38="","",+(SUM('Pon-Bat'!$E$8:E38)/SUM('Pon-Bat'!$C$8:C38)))</f>
        <v/>
      </c>
      <c r="G38" s="494" t="str">
        <f>IF('Pon-Bat'!F38="","",+'Pon-Bat'!F38/'Pon-Bat'!C38)</f>
        <v/>
      </c>
      <c r="H38" s="504" t="str">
        <f>IF('Pon-Bat'!F38="","",+(SUM('Pon-Bat'!$F$8:F38)/SUM('Pon-Bat'!$C$8:C38)))</f>
        <v/>
      </c>
      <c r="I38" s="494" t="str">
        <f>IF('Pon-Bat'!G38="","",+'Pon-Bat'!G38/'Pon-Bat'!C38)</f>
        <v/>
      </c>
      <c r="J38" s="504" t="str">
        <f>IF('Pon-Bat'!G38="","",+(SUM('Pon-Bat'!$G$8:G38)/SUM('Pon-Bat'!$C$8:C38)))</f>
        <v/>
      </c>
      <c r="K38" s="494" t="str">
        <f>IF('Pon-Bat'!H38="","",+'Pon-Bat'!H38/'Pon-Bat'!C38)</f>
        <v/>
      </c>
      <c r="L38" s="496" t="str">
        <f>IF('Pon-Bat'!H38="","",+(SUM('Pon-Bat'!$H$8:H38)/SUM('Pon-Bat'!$C$8:C38)))</f>
        <v/>
      </c>
      <c r="M38" s="503" t="str">
        <f>IF('Pon-Bat'!J38="","",+'Pon-Bat'!J38/'Pon-Bat'!I38)</f>
        <v/>
      </c>
      <c r="N38" s="504" t="str">
        <f>IF('Pon-Bat'!J38="","",+(SUM('Pon-Bat'!$J$8:J38)/SUM('Pon-Bat'!$I$8:I38)))</f>
        <v/>
      </c>
      <c r="O38" s="494" t="str">
        <f>IF('Pon-Bat'!K38="","",+'Pon-Bat'!K38/'Pon-Bat'!I38)</f>
        <v/>
      </c>
      <c r="P38" s="504" t="str">
        <f>IF('Pon-Bat'!K38="","",+(SUM('Pon-Bat'!$K$8:K38)/SUM('Pon-Bat'!$I$8:I38)))</f>
        <v/>
      </c>
      <c r="Q38" s="494" t="str">
        <f>IF('Pon-Bat'!L38="","",+'Pon-Bat'!L38/'Pon-Bat'!I38)</f>
        <v/>
      </c>
      <c r="R38" s="504" t="str">
        <f>IF('Pon-Bat'!L38="","",+(SUM('Pon-Bat'!$L$8:L38)/SUM('Pon-Bat'!$I$8:I38)))</f>
        <v/>
      </c>
      <c r="S38" s="494" t="str">
        <f>IF('Pon-Bat'!M38="","",+'Pon-Bat'!M38/'Pon-Bat'!I38)</f>
        <v/>
      </c>
      <c r="T38" s="504" t="str">
        <f>IF('Pon-Bat'!M38="","",+(SUM('Pon-Bat'!$M$8:M38)/SUM('Pon-Bat'!$I$8:I38)))</f>
        <v/>
      </c>
      <c r="U38" s="494" t="str">
        <f>IF('Pon-Bat'!N38="","",+'Pon-Bat'!N38/'Pon-Bat'!I38)</f>
        <v/>
      </c>
      <c r="V38" s="496" t="str">
        <f>IF('Pon-Bat'!N38="","",+(SUM('Pon-Bat'!$N$8:N38)/SUM('Pon-Bat'!$I$8:I38)))</f>
        <v/>
      </c>
      <c r="W38" s="503" t="str">
        <f>IF('Pon-Bat'!P38="","",+'Pon-Bat'!P38/'Pon-Bat'!O38)</f>
        <v/>
      </c>
      <c r="X38" s="504" t="str">
        <f>IF('Pon-Bat'!P38="","",+(SUM('Pon-Bat'!$P$8:P38)/SUM('Pon-Bat'!$O$8:O38)))</f>
        <v/>
      </c>
      <c r="Y38" s="494" t="str">
        <f>IF('Pon-Bat'!Q38="","",+'Pon-Bat'!Q38/'Pon-Bat'!O38)</f>
        <v/>
      </c>
      <c r="Z38" s="504" t="str">
        <f>IF('Pon-Bat'!Q38="","",+(SUM('Pon-Bat'!$Q$8:Q38)/SUM('Pon-Bat'!$O$8:O38)))</f>
        <v/>
      </c>
      <c r="AA38" s="494" t="str">
        <f>IF('Pon-Bat'!R38="","",+'Pon-Bat'!R38/'Pon-Bat'!O38)</f>
        <v/>
      </c>
      <c r="AB38" s="504" t="str">
        <f>IF('Pon-Bat'!R38="","",+(SUM('Pon-Bat'!$R$8:R38)/SUM('Pon-Bat'!$O$8:O38)))</f>
        <v/>
      </c>
      <c r="AC38" s="494" t="str">
        <f>IF('Pon-Bat'!S38="","",+'Pon-Bat'!S38/'Pon-Bat'!O38)</f>
        <v/>
      </c>
      <c r="AD38" s="504" t="str">
        <f>IF('Pon-Bat'!S38="","",+(SUM('Pon-Bat'!$S$8:S38)/SUM('Pon-Bat'!$O$8:O38)))</f>
        <v/>
      </c>
      <c r="AE38" s="494" t="str">
        <f>IF('Pon-Bat'!T38="","",+'Pon-Bat'!T38/'Pon-Bat'!O38)</f>
        <v/>
      </c>
      <c r="AF38" s="496" t="str">
        <f>IF('Pon-Bat'!T38="","",+(SUM('Pon-Bat'!$T$8:T38)/SUM('Pon-Bat'!$O$8:O38)))</f>
        <v/>
      </c>
      <c r="AG38" s="503" t="str">
        <f>IF('Pon-Bat'!V38="","",+'Pon-Bat'!V38/'Pon-Bat'!U38)</f>
        <v/>
      </c>
      <c r="AH38" s="504" t="str">
        <f>IF('Pon-Bat'!V38="","",+(SUM('Pon-Bat'!$V$8:V38)/SUM('Pon-Bat'!$U$8:U38)))</f>
        <v/>
      </c>
      <c r="AI38" s="494" t="str">
        <f>IF('Pon-Bat'!W38="","",+'Pon-Bat'!W38/'Pon-Bat'!U38)</f>
        <v/>
      </c>
      <c r="AJ38" s="504" t="str">
        <f>IF('Pon-Bat'!W38="","",+(SUM('Pon-Bat'!$W$8:W38)/SUM('Pon-Bat'!$U$8:U38)))</f>
        <v/>
      </c>
      <c r="AK38" s="494" t="str">
        <f>IF('Pon-Bat'!X38="","",+'Pon-Bat'!X38/'Pon-Bat'!U38)</f>
        <v/>
      </c>
      <c r="AL38" s="504" t="str">
        <f>IF('Pon-Bat'!X38="","",+(SUM('Pon-Bat'!$X$8:X38)/SUM('Pon-Bat'!$U$8:U38)))</f>
        <v/>
      </c>
      <c r="AM38" s="494" t="str">
        <f>IF('Pon-Bat'!Y38="","",+'Pon-Bat'!Y38/'Pon-Bat'!U38)</f>
        <v/>
      </c>
      <c r="AN38" s="504" t="str">
        <f>IF('Pon-Bat'!Y38="","",+(SUM('Pon-Bat'!$Y$8:Y38)/SUM('Pon-Bat'!$U$8:U38)))</f>
        <v/>
      </c>
      <c r="AO38" s="494" t="str">
        <f>IF('Pon-Bat'!Z38="","",+'Pon-Bat'!Z38/'Pon-Bat'!U38)</f>
        <v/>
      </c>
      <c r="AP38" s="496" t="str">
        <f>IF('Pon-Bat'!Z38="","",+(SUM('Pon-Bat'!$Z$8:Z38)/SUM('Pon-Bat'!$U$8:U38)))</f>
        <v/>
      </c>
      <c r="AQ38" s="503" t="str">
        <f>IF('Pon-Bat'!AB38="","",+'Pon-Bat'!AB38/'Pon-Bat'!AA38)</f>
        <v/>
      </c>
      <c r="AR38" s="504" t="str">
        <f>IF('Pon-Bat'!AB38="","",+(SUM('Pon-Bat'!$AB$8:AB38)/SUM('Pon-Bat'!$AA$8:AA38)))</f>
        <v/>
      </c>
      <c r="AS38" s="494" t="str">
        <f>IF('Pon-Bat'!AC38="","",+'Pon-Bat'!AC38/'Pon-Bat'!AA38)</f>
        <v/>
      </c>
      <c r="AT38" s="504" t="str">
        <f>IF('Pon-Bat'!AC38="","",+(SUM('Pon-Bat'!$AC$8:AC38)/SUM('Pon-Bat'!$AA$8:AA38)))</f>
        <v/>
      </c>
      <c r="AU38" s="494" t="str">
        <f>IF('Pon-Bat'!AD38="","",+'Pon-Bat'!AD38/'Pon-Bat'!AA38)</f>
        <v/>
      </c>
      <c r="AV38" s="504" t="str">
        <f>IF('Pon-Bat'!AD38="","",+(SUM('Pon-Bat'!$AD$8:AD38)/SUM('Pon-Bat'!$AA$8:AA38)))</f>
        <v/>
      </c>
      <c r="AW38" s="494" t="str">
        <f>IF('Pon-Bat'!AE38="","",+'Pon-Bat'!AE38/'Pon-Bat'!AA38)</f>
        <v/>
      </c>
      <c r="AX38" s="504" t="str">
        <f>IF('Pon-Bat'!AE38="","",+(SUM('Pon-Bat'!$AE$8:AE38)/SUM('Pon-Bat'!$AA$8:AA38)))</f>
        <v/>
      </c>
      <c r="AY38" s="494" t="str">
        <f>IF('Pon-Bat'!AF38="","",+'Pon-Bat'!AF38/'Pon-Bat'!AA38)</f>
        <v/>
      </c>
      <c r="AZ38" s="496" t="str">
        <f>IF('Pon-Bat'!AF38="","",+(SUM('Pon-Bat'!$AF$8:AF38)/SUM('Pon-Bat'!$AA$8:AA38)))</f>
        <v/>
      </c>
      <c r="BA38" s="503" t="str">
        <f>IF('Pon-Bat'!AH38="","",+'Pon-Bat'!AH38/'Pon-Bat'!AG38)</f>
        <v/>
      </c>
      <c r="BB38" s="504" t="str">
        <f>IF('Pon-Bat'!AH38="","",+(SUM('Pon-Bat'!$AH$8:AH38)/SUM('Pon-Bat'!$AG$8:AG38)))</f>
        <v/>
      </c>
      <c r="BC38" s="494" t="str">
        <f>IF('Pon-Bat'!AI38="","",+'Pon-Bat'!AI38/'Pon-Bat'!AG38)</f>
        <v/>
      </c>
      <c r="BD38" s="504" t="str">
        <f>IF('Pon-Bat'!AI38="","",+(SUM('Pon-Bat'!$AI$8:AI38)/SUM('Pon-Bat'!$AG$8:AG38)))</f>
        <v/>
      </c>
      <c r="BE38" s="494" t="str">
        <f>IF('Pon-Bat'!AJ38="","",+'Pon-Bat'!AJ38/'Pon-Bat'!AG38)</f>
        <v/>
      </c>
      <c r="BF38" s="504" t="str">
        <f>IF('Pon-Bat'!AJ38="","",+(SUM('Pon-Bat'!$AJ$8:AJ38)/SUM('Pon-Bat'!$AG$8:AG38)))</f>
        <v/>
      </c>
      <c r="BG38" s="494" t="str">
        <f>IF('Pon-Bat'!AK38="","",+'Pon-Bat'!AK38/'Pon-Bat'!AG38)</f>
        <v/>
      </c>
      <c r="BH38" s="504" t="str">
        <f>IF('Pon-Bat'!AK38="","",+(SUM('Pon-Bat'!$AK$8:AK38)/SUM('Pon-Bat'!$AG$8:AG38)))</f>
        <v/>
      </c>
      <c r="BI38" s="494" t="str">
        <f>IF('Pon-Bat'!AL38="","",+'Pon-Bat'!AL38/'Pon-Bat'!AG38)</f>
        <v/>
      </c>
      <c r="BJ38" s="496" t="str">
        <f>IF('Pon-Bat'!AL38="","",+(SUM('Pon-Bat'!$AL$8:AL38)/SUM('Pon-Bat'!$AG$8:AG38)))</f>
        <v/>
      </c>
      <c r="BK38" s="501" t="str">
        <f>IF('Pon-Bat'!AN38="","",+'Pon-Bat'!AN38/'Pon-Bat'!AM38)</f>
        <v/>
      </c>
      <c r="BL38" s="504" t="str">
        <f>IF('Pon-Bat'!AN38="","",+(SUM('Pon-Bat'!$AN$8:AN38)/SUM('Pon-Bat'!$AM$8:AM38)))</f>
        <v/>
      </c>
      <c r="BM38" s="499" t="str">
        <f>IF('Pon-Bat'!AO38="","",+'Pon-Bat'!AO38/'Pon-Bat'!AM38)</f>
        <v/>
      </c>
      <c r="BN38" s="504" t="str">
        <f>IF('Pon-Bat'!AO38="","",+(SUM('Pon-Bat'!$AO$8:AO38)/SUM('Pon-Bat'!$AM$8:AM38)))</f>
        <v/>
      </c>
      <c r="BO38" s="499" t="str">
        <f>IF('Pon-Bat'!AP38="","",+'Pon-Bat'!AP38/'Pon-Bat'!AM38)</f>
        <v/>
      </c>
      <c r="BP38" s="504" t="str">
        <f>IF('Pon-Bat'!AP38="","",+(SUM('Pon-Bat'!$AP$8:AP38)/SUM('Pon-Bat'!$AM$8:AM38)))</f>
        <v/>
      </c>
      <c r="BQ38" s="499" t="str">
        <f>IF('Pon-Bat'!AQ38="","",+'Pon-Bat'!AQ38/'Pon-Bat'!AM38)</f>
        <v/>
      </c>
      <c r="BR38" s="504" t="str">
        <f>IF('Pon-Bat'!AQ38="","",+(SUM('Pon-Bat'!$AQ$8:AQ38)/SUM('Pon-Bat'!$AM$8:AM38)))</f>
        <v/>
      </c>
      <c r="BS38" s="499" t="str">
        <f>IF('Pon-Bat'!AR38="","",+'Pon-Bat'!AR38/'Pon-Bat'!AM38)</f>
        <v/>
      </c>
      <c r="BT38" s="496" t="str">
        <f>IF('Pon-Bat'!AR38="","",+(SUM('Pon-Bat'!$AR$8:AR38)/SUM('Pon-Bat'!$AM$8:AM38)))</f>
        <v/>
      </c>
      <c r="BU38" s="501" t="str">
        <f>IF('Pon-Bat'!AT38="","",+'Pon-Bat'!AT38/'Pon-Bat'!AS38)</f>
        <v/>
      </c>
      <c r="BV38" s="504" t="str">
        <f>IF('Pon-Bat'!AT38="","",+(SUM('Pon-Bat'!$AT$8:AT38)/SUM('Pon-Bat'!$AS$8:AS38)))</f>
        <v/>
      </c>
      <c r="BW38" s="499" t="str">
        <f>IF('Pon-Bat'!AU38="","",+'Pon-Bat'!AU38/'Pon-Bat'!AS38)</f>
        <v/>
      </c>
      <c r="BX38" s="504" t="str">
        <f>IF('Pon-Bat'!AU38="","",+(SUM('Pon-Bat'!$AU$8:AU38)/SUM('Pon-Bat'!$AS$8:AS38)))</f>
        <v/>
      </c>
      <c r="BY38" s="499" t="str">
        <f>IF('Pon-Bat'!AV38="","",+'Pon-Bat'!AV38/'Pon-Bat'!AS38)</f>
        <v/>
      </c>
      <c r="BZ38" s="504" t="str">
        <f>IF('Pon-Bat'!AV38="","",+(SUM('Pon-Bat'!$AV$8:AV38)/SUM('Pon-Bat'!$AS$8:AS38)))</f>
        <v/>
      </c>
      <c r="CA38" s="499" t="str">
        <f>IF('Pon-Bat'!AW38="","",+'Pon-Bat'!AW38/'Pon-Bat'!AS38)</f>
        <v/>
      </c>
      <c r="CB38" s="504" t="str">
        <f>IF('Pon-Bat'!AW38="","",+(SUM('Pon-Bat'!$AW$8:AW38)/SUM('Pon-Bat'!$AS$8:AS38)))</f>
        <v/>
      </c>
      <c r="CC38" s="499" t="str">
        <f>IF('Pon-Bat'!AX38="","",+'Pon-Bat'!AX38/'Pon-Bat'!AS38)</f>
        <v/>
      </c>
      <c r="CD38" s="496" t="str">
        <f>IF('Pon-Bat'!AX38="","",+(SUM('Pon-Bat'!$AX$8:AX38)/SUM('Pon-Bat'!$AS$8:AS38)))</f>
        <v/>
      </c>
      <c r="CE38" s="503" t="str">
        <f>IF('Pon-Bat'!AZ38="","",+'Pon-Bat'!AZ38/'Pon-Bat'!AY38)</f>
        <v/>
      </c>
      <c r="CF38" s="504" t="str">
        <f>IF('Pon-Bat'!AZ38="","",+(SUM('Pon-Bat'!$AZ$8:AZ38)/SUM('Pon-Bat'!$AY$8:AY38)))</f>
        <v/>
      </c>
      <c r="CG38" s="494" t="str">
        <f>IF('Pon-Bat'!BA38="","",+'Pon-Bat'!BA38/'Pon-Bat'!AY38)</f>
        <v/>
      </c>
      <c r="CH38" s="504" t="str">
        <f>IF('Pon-Bat'!BA38="","",+(SUM('Pon-Bat'!$BA$8:BA38)/SUM('Pon-Bat'!$AY$8:AY38)))</f>
        <v/>
      </c>
      <c r="CI38" s="499" t="str">
        <f>IF('Pon-Bat'!BB38="","",+'Pon-Bat'!BB38/'Pon-Bat'!AY38)</f>
        <v/>
      </c>
      <c r="CJ38" s="504" t="str">
        <f>IF('Pon-Bat'!BB38="","",+(SUM('Pon-Bat'!$BB$8:BB38)/SUM('Pon-Bat'!$AY$8:AY38)))</f>
        <v/>
      </c>
      <c r="CK38" s="494" t="str">
        <f>IF('Pon-Bat'!BC38="","",+'Pon-Bat'!BC38/'Pon-Bat'!AY38)</f>
        <v/>
      </c>
      <c r="CL38" s="504" t="str">
        <f>IF('Pon-Bat'!BC38="","",+(SUM('Pon-Bat'!$BC$8:BC38)/SUM('Pon-Bat'!$AY$8:AY38)))</f>
        <v/>
      </c>
      <c r="CM38" s="494" t="str">
        <f>IF('Pon-Bat'!BD38="","",+'Pon-Bat'!BD38/'Pon-Bat'!AY38)</f>
        <v/>
      </c>
      <c r="CN38" s="496" t="str">
        <f>IF('Pon-Bat'!BD38="","",+(SUM('Pon-Bat'!$BD$8:BD38)/SUM('Pon-Bat'!$AY$8:AY38)))</f>
        <v/>
      </c>
    </row>
    <row r="39" spans="1:92" ht="24" customHeight="1" thickBot="1" x14ac:dyDescent="0.25">
      <c r="A39" s="453">
        <f t="shared" si="2"/>
        <v>43628</v>
      </c>
      <c r="B39" s="465">
        <f t="shared" si="3"/>
        <v>54</v>
      </c>
      <c r="C39" s="503" t="str">
        <f>IF('Pon-Bat'!D39="","",+'Pon-Bat'!D39/'Pon-Bat'!C39)</f>
        <v/>
      </c>
      <c r="D39" s="504" t="str">
        <f>IF('Pon-Bat'!D39="","",+(SUM('Pon-Bat'!$D$8:D39)/SUM('Pon-Bat'!$C$8:C39)))</f>
        <v/>
      </c>
      <c r="E39" s="494" t="str">
        <f>IF('Pon-Bat'!E39="","",+'Pon-Bat'!E39/'Pon-Bat'!C39)</f>
        <v/>
      </c>
      <c r="F39" s="504" t="str">
        <f>IF('Pon-Bat'!E39="","",+(SUM('Pon-Bat'!$E$8:E39)/SUM('Pon-Bat'!$C$8:C39)))</f>
        <v/>
      </c>
      <c r="G39" s="494" t="str">
        <f>IF('Pon-Bat'!F39="","",+'Pon-Bat'!F39/'Pon-Bat'!C39)</f>
        <v/>
      </c>
      <c r="H39" s="504" t="str">
        <f>IF('Pon-Bat'!F39="","",+(SUM('Pon-Bat'!$F$8:F39)/SUM('Pon-Bat'!$C$8:C39)))</f>
        <v/>
      </c>
      <c r="I39" s="494" t="str">
        <f>IF('Pon-Bat'!G39="","",+'Pon-Bat'!G39/'Pon-Bat'!C39)</f>
        <v/>
      </c>
      <c r="J39" s="504" t="str">
        <f>IF('Pon-Bat'!G39="","",+(SUM('Pon-Bat'!$G$8:G39)/SUM('Pon-Bat'!$C$8:C39)))</f>
        <v/>
      </c>
      <c r="K39" s="494" t="str">
        <f>IF('Pon-Bat'!H39="","",+'Pon-Bat'!H39/'Pon-Bat'!C39)</f>
        <v/>
      </c>
      <c r="L39" s="496" t="str">
        <f>IF('Pon-Bat'!H39="","",+(SUM('Pon-Bat'!$H$8:H39)/SUM('Pon-Bat'!$C$8:C39)))</f>
        <v/>
      </c>
      <c r="M39" s="503" t="str">
        <f>IF('Pon-Bat'!J39="","",+'Pon-Bat'!J39/'Pon-Bat'!I39)</f>
        <v/>
      </c>
      <c r="N39" s="504" t="str">
        <f>IF('Pon-Bat'!J39="","",+(SUM('Pon-Bat'!$J$8:J39)/SUM('Pon-Bat'!$I$8:I39)))</f>
        <v/>
      </c>
      <c r="O39" s="494" t="str">
        <f>IF('Pon-Bat'!K39="","",+'Pon-Bat'!K39/'Pon-Bat'!I39)</f>
        <v/>
      </c>
      <c r="P39" s="504" t="str">
        <f>IF('Pon-Bat'!K39="","",+(SUM('Pon-Bat'!$K$8:K39)/SUM('Pon-Bat'!$I$8:I39)))</f>
        <v/>
      </c>
      <c r="Q39" s="494" t="str">
        <f>IF('Pon-Bat'!L39="","",+'Pon-Bat'!L39/'Pon-Bat'!I39)</f>
        <v/>
      </c>
      <c r="R39" s="504" t="str">
        <f>IF('Pon-Bat'!L39="","",+(SUM('Pon-Bat'!$L$8:L39)/SUM('Pon-Bat'!$I$8:I39)))</f>
        <v/>
      </c>
      <c r="S39" s="494" t="str">
        <f>IF('Pon-Bat'!M39="","",+'Pon-Bat'!M39/'Pon-Bat'!I39)</f>
        <v/>
      </c>
      <c r="T39" s="504" t="str">
        <f>IF('Pon-Bat'!M39="","",+(SUM('Pon-Bat'!$M$8:M39)/SUM('Pon-Bat'!$I$8:I39)))</f>
        <v/>
      </c>
      <c r="U39" s="494" t="str">
        <f>IF('Pon-Bat'!N39="","",+'Pon-Bat'!N39/'Pon-Bat'!I39)</f>
        <v/>
      </c>
      <c r="V39" s="496" t="str">
        <f>IF('Pon-Bat'!N39="","",+(SUM('Pon-Bat'!$N$8:N39)/SUM('Pon-Bat'!$I$8:I39)))</f>
        <v/>
      </c>
      <c r="W39" s="503" t="str">
        <f>IF('Pon-Bat'!P39="","",+'Pon-Bat'!P39/'Pon-Bat'!O39)</f>
        <v/>
      </c>
      <c r="X39" s="504" t="str">
        <f>IF('Pon-Bat'!P39="","",+(SUM('Pon-Bat'!$P$8:P39)/SUM('Pon-Bat'!$O$8:O39)))</f>
        <v/>
      </c>
      <c r="Y39" s="494" t="str">
        <f>IF('Pon-Bat'!Q39="","",+'Pon-Bat'!Q39/'Pon-Bat'!O39)</f>
        <v/>
      </c>
      <c r="Z39" s="504" t="str">
        <f>IF('Pon-Bat'!Q39="","",+(SUM('Pon-Bat'!$Q$8:Q39)/SUM('Pon-Bat'!$O$8:O39)))</f>
        <v/>
      </c>
      <c r="AA39" s="494" t="str">
        <f>IF('Pon-Bat'!R39="","",+'Pon-Bat'!R39/'Pon-Bat'!O39)</f>
        <v/>
      </c>
      <c r="AB39" s="504" t="str">
        <f>IF('Pon-Bat'!R39="","",+(SUM('Pon-Bat'!$R$8:R39)/SUM('Pon-Bat'!$O$8:O39)))</f>
        <v/>
      </c>
      <c r="AC39" s="494" t="str">
        <f>IF('Pon-Bat'!S39="","",+'Pon-Bat'!S39/'Pon-Bat'!O39)</f>
        <v/>
      </c>
      <c r="AD39" s="504" t="str">
        <f>IF('Pon-Bat'!S39="","",+(SUM('Pon-Bat'!$S$8:S39)/SUM('Pon-Bat'!$O$8:O39)))</f>
        <v/>
      </c>
      <c r="AE39" s="494" t="str">
        <f>IF('Pon-Bat'!T39="","",+'Pon-Bat'!T39/'Pon-Bat'!O39)</f>
        <v/>
      </c>
      <c r="AF39" s="496" t="str">
        <f>IF('Pon-Bat'!T39="","",+(SUM('Pon-Bat'!$T$8:T39)/SUM('Pon-Bat'!$O$8:O39)))</f>
        <v/>
      </c>
      <c r="AG39" s="503" t="str">
        <f>IF('Pon-Bat'!V39="","",+'Pon-Bat'!V39/'Pon-Bat'!U39)</f>
        <v/>
      </c>
      <c r="AH39" s="504" t="str">
        <f>IF('Pon-Bat'!V39="","",+(SUM('Pon-Bat'!$V$8:V39)/SUM('Pon-Bat'!$U$8:U39)))</f>
        <v/>
      </c>
      <c r="AI39" s="494" t="str">
        <f>IF('Pon-Bat'!W39="","",+'Pon-Bat'!W39/'Pon-Bat'!U39)</f>
        <v/>
      </c>
      <c r="AJ39" s="504" t="str">
        <f>IF('Pon-Bat'!W39="","",+(SUM('Pon-Bat'!$W$8:W39)/SUM('Pon-Bat'!$U$8:U39)))</f>
        <v/>
      </c>
      <c r="AK39" s="494" t="str">
        <f>IF('Pon-Bat'!X39="","",+'Pon-Bat'!X39/'Pon-Bat'!U39)</f>
        <v/>
      </c>
      <c r="AL39" s="504" t="str">
        <f>IF('Pon-Bat'!X39="","",+(SUM('Pon-Bat'!$X$8:X39)/SUM('Pon-Bat'!$U$8:U39)))</f>
        <v/>
      </c>
      <c r="AM39" s="494" t="str">
        <f>IF('Pon-Bat'!Y39="","",+'Pon-Bat'!Y39/'Pon-Bat'!U39)</f>
        <v/>
      </c>
      <c r="AN39" s="504" t="str">
        <f>IF('Pon-Bat'!Y39="","",+(SUM('Pon-Bat'!$Y$8:Y39)/SUM('Pon-Bat'!$U$8:U39)))</f>
        <v/>
      </c>
      <c r="AO39" s="494" t="str">
        <f>IF('Pon-Bat'!Z39="","",+'Pon-Bat'!Z39/'Pon-Bat'!U39)</f>
        <v/>
      </c>
      <c r="AP39" s="496" t="str">
        <f>IF('Pon-Bat'!Z39="","",+(SUM('Pon-Bat'!$Z$8:Z39)/SUM('Pon-Bat'!$U$8:U39)))</f>
        <v/>
      </c>
      <c r="AQ39" s="503" t="str">
        <f>IF('Pon-Bat'!AB39="","",+'Pon-Bat'!AB39/'Pon-Bat'!AA39)</f>
        <v/>
      </c>
      <c r="AR39" s="504" t="str">
        <f>IF('Pon-Bat'!AB39="","",+(SUM('Pon-Bat'!$AB$8:AB39)/SUM('Pon-Bat'!$AA$8:AA39)))</f>
        <v/>
      </c>
      <c r="AS39" s="494" t="str">
        <f>IF('Pon-Bat'!AC39="","",+'Pon-Bat'!AC39/'Pon-Bat'!AA39)</f>
        <v/>
      </c>
      <c r="AT39" s="504" t="str">
        <f>IF('Pon-Bat'!AC39="","",+(SUM('Pon-Bat'!$AC$8:AC39)/SUM('Pon-Bat'!$AA$8:AA39)))</f>
        <v/>
      </c>
      <c r="AU39" s="494" t="str">
        <f>IF('Pon-Bat'!AD39="","",+'Pon-Bat'!AD39/'Pon-Bat'!AA39)</f>
        <v/>
      </c>
      <c r="AV39" s="504" t="str">
        <f>IF('Pon-Bat'!AD39="","",+(SUM('Pon-Bat'!$AD$8:AD39)/SUM('Pon-Bat'!$AA$8:AA39)))</f>
        <v/>
      </c>
      <c r="AW39" s="494" t="str">
        <f>IF('Pon-Bat'!AE39="","",+'Pon-Bat'!AE39/'Pon-Bat'!AA39)</f>
        <v/>
      </c>
      <c r="AX39" s="504" t="str">
        <f>IF('Pon-Bat'!AE39="","",+(SUM('Pon-Bat'!$AE$8:AE39)/SUM('Pon-Bat'!$AA$8:AA39)))</f>
        <v/>
      </c>
      <c r="AY39" s="494" t="str">
        <f>IF('Pon-Bat'!AF39="","",+'Pon-Bat'!AF39/'Pon-Bat'!AA39)</f>
        <v/>
      </c>
      <c r="AZ39" s="496" t="str">
        <f>IF('Pon-Bat'!AF39="","",+(SUM('Pon-Bat'!$AF$8:AF39)/SUM('Pon-Bat'!$AA$8:AA39)))</f>
        <v/>
      </c>
      <c r="BA39" s="503" t="str">
        <f>IF('Pon-Bat'!AH39="","",+'Pon-Bat'!AH39/'Pon-Bat'!AG39)</f>
        <v/>
      </c>
      <c r="BB39" s="504" t="str">
        <f>IF('Pon-Bat'!AH39="","",+(SUM('Pon-Bat'!$AH$8:AH39)/SUM('Pon-Bat'!$AG$8:AG39)))</f>
        <v/>
      </c>
      <c r="BC39" s="494" t="str">
        <f>IF('Pon-Bat'!AI39="","",+'Pon-Bat'!AI39/'Pon-Bat'!AG39)</f>
        <v/>
      </c>
      <c r="BD39" s="504" t="str">
        <f>IF('Pon-Bat'!AI39="","",+(SUM('Pon-Bat'!$AI$8:AI39)/SUM('Pon-Bat'!$AG$8:AG39)))</f>
        <v/>
      </c>
      <c r="BE39" s="494" t="str">
        <f>IF('Pon-Bat'!AJ39="","",+'Pon-Bat'!AJ39/'Pon-Bat'!AG39)</f>
        <v/>
      </c>
      <c r="BF39" s="504" t="str">
        <f>IF('Pon-Bat'!AJ39="","",+(SUM('Pon-Bat'!$AJ$8:AJ39)/SUM('Pon-Bat'!$AG$8:AG39)))</f>
        <v/>
      </c>
      <c r="BG39" s="494" t="str">
        <f>IF('Pon-Bat'!AK39="","",+'Pon-Bat'!AK39/'Pon-Bat'!AG39)</f>
        <v/>
      </c>
      <c r="BH39" s="504" t="str">
        <f>IF('Pon-Bat'!AK39="","",+(SUM('Pon-Bat'!$AK$8:AK39)/SUM('Pon-Bat'!$AG$8:AG39)))</f>
        <v/>
      </c>
      <c r="BI39" s="494" t="str">
        <f>IF('Pon-Bat'!AL39="","",+'Pon-Bat'!AL39/'Pon-Bat'!AG39)</f>
        <v/>
      </c>
      <c r="BJ39" s="496" t="str">
        <f>IF('Pon-Bat'!AL39="","",+(SUM('Pon-Bat'!$AL$8:AL39)/SUM('Pon-Bat'!$AG$8:AG39)))</f>
        <v/>
      </c>
      <c r="BK39" s="501" t="str">
        <f>IF('Pon-Bat'!AN39="","",+'Pon-Bat'!AN39/'Pon-Bat'!AM39)</f>
        <v/>
      </c>
      <c r="BL39" s="504" t="str">
        <f>IF('Pon-Bat'!AN39="","",+(SUM('Pon-Bat'!$AN$8:AN39)/SUM('Pon-Bat'!$AM$8:AM39)))</f>
        <v/>
      </c>
      <c r="BM39" s="499" t="str">
        <f>IF('Pon-Bat'!AO39="","",+'Pon-Bat'!AO39/'Pon-Bat'!AM39)</f>
        <v/>
      </c>
      <c r="BN39" s="504" t="str">
        <f>IF('Pon-Bat'!AO39="","",+(SUM('Pon-Bat'!$AO$8:AO39)/SUM('Pon-Bat'!$AM$8:AM39)))</f>
        <v/>
      </c>
      <c r="BO39" s="499" t="str">
        <f>IF('Pon-Bat'!AP39="","",+'Pon-Bat'!AP39/'Pon-Bat'!AM39)</f>
        <v/>
      </c>
      <c r="BP39" s="504" t="str">
        <f>IF('Pon-Bat'!AP39="","",+(SUM('Pon-Bat'!$AP$8:AP39)/SUM('Pon-Bat'!$AM$8:AM39)))</f>
        <v/>
      </c>
      <c r="BQ39" s="499" t="str">
        <f>IF('Pon-Bat'!AQ39="","",+'Pon-Bat'!AQ39/'Pon-Bat'!AM39)</f>
        <v/>
      </c>
      <c r="BR39" s="504" t="str">
        <f>IF('Pon-Bat'!AQ39="","",+(SUM('Pon-Bat'!$AQ$8:AQ39)/SUM('Pon-Bat'!$AM$8:AM39)))</f>
        <v/>
      </c>
      <c r="BS39" s="499" t="str">
        <f>IF('Pon-Bat'!AR39="","",+'Pon-Bat'!AR39/'Pon-Bat'!AM39)</f>
        <v/>
      </c>
      <c r="BT39" s="496" t="str">
        <f>IF('Pon-Bat'!AR39="","",+(SUM('Pon-Bat'!$AR$8:AR39)/SUM('Pon-Bat'!$AM$8:AM39)))</f>
        <v/>
      </c>
      <c r="BU39" s="501" t="str">
        <f>IF('Pon-Bat'!AT39="","",+'Pon-Bat'!AT39/'Pon-Bat'!AS39)</f>
        <v/>
      </c>
      <c r="BV39" s="504" t="str">
        <f>IF('Pon-Bat'!AT39="","",+(SUM('Pon-Bat'!$AT$8:AT39)/SUM('Pon-Bat'!$AS$8:AS39)))</f>
        <v/>
      </c>
      <c r="BW39" s="499" t="str">
        <f>IF('Pon-Bat'!AU39="","",+'Pon-Bat'!AU39/'Pon-Bat'!AS39)</f>
        <v/>
      </c>
      <c r="BX39" s="504" t="str">
        <f>IF('Pon-Bat'!AU39="","",+(SUM('Pon-Bat'!$AU$8:AU39)/SUM('Pon-Bat'!$AS$8:AS39)))</f>
        <v/>
      </c>
      <c r="BY39" s="499" t="str">
        <f>IF('Pon-Bat'!AV39="","",+'Pon-Bat'!AV39/'Pon-Bat'!AS39)</f>
        <v/>
      </c>
      <c r="BZ39" s="504" t="str">
        <f>IF('Pon-Bat'!AV39="","",+(SUM('Pon-Bat'!$AV$8:AV39)/SUM('Pon-Bat'!$AS$8:AS39)))</f>
        <v/>
      </c>
      <c r="CA39" s="499" t="str">
        <f>IF('Pon-Bat'!AW39="","",+'Pon-Bat'!AW39/'Pon-Bat'!AS39)</f>
        <v/>
      </c>
      <c r="CB39" s="504" t="str">
        <f>IF('Pon-Bat'!AW39="","",+(SUM('Pon-Bat'!$AW$8:AW39)/SUM('Pon-Bat'!$AS$8:AS39)))</f>
        <v/>
      </c>
      <c r="CC39" s="499" t="str">
        <f>IF('Pon-Bat'!AX39="","",+'Pon-Bat'!AX39/'Pon-Bat'!AS39)</f>
        <v/>
      </c>
      <c r="CD39" s="496" t="str">
        <f>IF('Pon-Bat'!AX39="","",+(SUM('Pon-Bat'!$AX$8:AX39)/SUM('Pon-Bat'!$AS$8:AS39)))</f>
        <v/>
      </c>
      <c r="CE39" s="503" t="str">
        <f>IF('Pon-Bat'!AZ39="","",+'Pon-Bat'!AZ39/'Pon-Bat'!AY39)</f>
        <v/>
      </c>
      <c r="CF39" s="504" t="str">
        <f>IF('Pon-Bat'!AZ39="","",+(SUM('Pon-Bat'!$AZ$8:AZ39)/SUM('Pon-Bat'!$AY$8:AY39)))</f>
        <v/>
      </c>
      <c r="CG39" s="494" t="str">
        <f>IF('Pon-Bat'!BA39="","",+'Pon-Bat'!BA39/'Pon-Bat'!AY39)</f>
        <v/>
      </c>
      <c r="CH39" s="504" t="str">
        <f>IF('Pon-Bat'!BA39="","",+(SUM('Pon-Bat'!$BA$8:BA39)/SUM('Pon-Bat'!$AY$8:AY39)))</f>
        <v/>
      </c>
      <c r="CI39" s="499" t="str">
        <f>IF('Pon-Bat'!BB39="","",+'Pon-Bat'!BB39/'Pon-Bat'!AY39)</f>
        <v/>
      </c>
      <c r="CJ39" s="504" t="str">
        <f>IF('Pon-Bat'!BB39="","",+(SUM('Pon-Bat'!$BB$8:BB39)/SUM('Pon-Bat'!$AY$8:AY39)))</f>
        <v/>
      </c>
      <c r="CK39" s="494" t="str">
        <f>IF('Pon-Bat'!BC39="","",+'Pon-Bat'!BC39/'Pon-Bat'!AY39)</f>
        <v/>
      </c>
      <c r="CL39" s="504" t="str">
        <f>IF('Pon-Bat'!BC39="","",+(SUM('Pon-Bat'!$BC$8:BC39)/SUM('Pon-Bat'!$AY$8:AY39)))</f>
        <v/>
      </c>
      <c r="CM39" s="494" t="str">
        <f>IF('Pon-Bat'!BD39="","",+'Pon-Bat'!BD39/'Pon-Bat'!AY39)</f>
        <v/>
      </c>
      <c r="CN39" s="496" t="str">
        <f>IF('Pon-Bat'!BD39="","",+(SUM('Pon-Bat'!$BD$8:BD39)/SUM('Pon-Bat'!$AY$8:AY39)))</f>
        <v/>
      </c>
    </row>
    <row r="40" spans="1:92" ht="24" customHeight="1" thickBot="1" x14ac:dyDescent="0.25">
      <c r="A40" s="453">
        <f t="shared" si="2"/>
        <v>43635</v>
      </c>
      <c r="B40" s="465">
        <f t="shared" si="3"/>
        <v>55</v>
      </c>
      <c r="C40" s="503" t="str">
        <f>IF('Pon-Bat'!D40="","",+'Pon-Bat'!D40/'Pon-Bat'!C40)</f>
        <v/>
      </c>
      <c r="D40" s="504" t="str">
        <f>IF('Pon-Bat'!D40="","",+(SUM('Pon-Bat'!$D$8:D40)/SUM('Pon-Bat'!$C$8:C40)))</f>
        <v/>
      </c>
      <c r="E40" s="494" t="str">
        <f>IF('Pon-Bat'!E40="","",+'Pon-Bat'!E40/'Pon-Bat'!C40)</f>
        <v/>
      </c>
      <c r="F40" s="504" t="str">
        <f>IF('Pon-Bat'!E40="","",+(SUM('Pon-Bat'!$E$8:E40)/SUM('Pon-Bat'!$C$8:C40)))</f>
        <v/>
      </c>
      <c r="G40" s="494" t="str">
        <f>IF('Pon-Bat'!F40="","",+'Pon-Bat'!F40/'Pon-Bat'!C40)</f>
        <v/>
      </c>
      <c r="H40" s="504" t="str">
        <f>IF('Pon-Bat'!F40="","",+(SUM('Pon-Bat'!$F$8:F40)/SUM('Pon-Bat'!$C$8:C40)))</f>
        <v/>
      </c>
      <c r="I40" s="494" t="str">
        <f>IF('Pon-Bat'!G40="","",+'Pon-Bat'!G40/'Pon-Bat'!C40)</f>
        <v/>
      </c>
      <c r="J40" s="504" t="str">
        <f>IF('Pon-Bat'!G40="","",+(SUM('Pon-Bat'!$G$8:G40)/SUM('Pon-Bat'!$C$8:C40)))</f>
        <v/>
      </c>
      <c r="K40" s="494" t="str">
        <f>IF('Pon-Bat'!H40="","",+'Pon-Bat'!H40/'Pon-Bat'!C40)</f>
        <v/>
      </c>
      <c r="L40" s="496" t="str">
        <f>IF('Pon-Bat'!H40="","",+(SUM('Pon-Bat'!$H$8:H40)/SUM('Pon-Bat'!$C$8:C40)))</f>
        <v/>
      </c>
      <c r="M40" s="503" t="str">
        <f>IF('Pon-Bat'!J40="","",+'Pon-Bat'!J40/'Pon-Bat'!I40)</f>
        <v/>
      </c>
      <c r="N40" s="504" t="str">
        <f>IF('Pon-Bat'!J40="","",+(SUM('Pon-Bat'!$J$8:J40)/SUM('Pon-Bat'!$I$8:I40)))</f>
        <v/>
      </c>
      <c r="O40" s="494" t="str">
        <f>IF('Pon-Bat'!K40="","",+'Pon-Bat'!K40/'Pon-Bat'!I40)</f>
        <v/>
      </c>
      <c r="P40" s="504" t="str">
        <f>IF('Pon-Bat'!K40="","",+(SUM('Pon-Bat'!$K$8:K40)/SUM('Pon-Bat'!$I$8:I40)))</f>
        <v/>
      </c>
      <c r="Q40" s="494" t="str">
        <f>IF('Pon-Bat'!L40="","",+'Pon-Bat'!L40/'Pon-Bat'!I40)</f>
        <v/>
      </c>
      <c r="R40" s="504" t="str">
        <f>IF('Pon-Bat'!L40="","",+(SUM('Pon-Bat'!$L$8:L40)/SUM('Pon-Bat'!$I$8:I40)))</f>
        <v/>
      </c>
      <c r="S40" s="494" t="str">
        <f>IF('Pon-Bat'!M40="","",+'Pon-Bat'!M40/'Pon-Bat'!I40)</f>
        <v/>
      </c>
      <c r="T40" s="504" t="str">
        <f>IF('Pon-Bat'!M40="","",+(SUM('Pon-Bat'!$M$8:M40)/SUM('Pon-Bat'!$I$8:I40)))</f>
        <v/>
      </c>
      <c r="U40" s="494" t="str">
        <f>IF('Pon-Bat'!N40="","",+'Pon-Bat'!N40/'Pon-Bat'!I40)</f>
        <v/>
      </c>
      <c r="V40" s="496" t="str">
        <f>IF('Pon-Bat'!N40="","",+(SUM('Pon-Bat'!$N$8:N40)/SUM('Pon-Bat'!$I$8:I40)))</f>
        <v/>
      </c>
      <c r="W40" s="503" t="str">
        <f>IF('Pon-Bat'!P40="","",+'Pon-Bat'!P40/'Pon-Bat'!O40)</f>
        <v/>
      </c>
      <c r="X40" s="504" t="str">
        <f>IF('Pon-Bat'!P40="","",+(SUM('Pon-Bat'!$P$8:P40)/SUM('Pon-Bat'!$O$8:O40)))</f>
        <v/>
      </c>
      <c r="Y40" s="494" t="str">
        <f>IF('Pon-Bat'!Q40="","",+'Pon-Bat'!Q40/'Pon-Bat'!O40)</f>
        <v/>
      </c>
      <c r="Z40" s="504" t="str">
        <f>IF('Pon-Bat'!Q40="","",+(SUM('Pon-Bat'!$Q$8:Q40)/SUM('Pon-Bat'!$O$8:O40)))</f>
        <v/>
      </c>
      <c r="AA40" s="494" t="str">
        <f>IF('Pon-Bat'!R40="","",+'Pon-Bat'!R40/'Pon-Bat'!O40)</f>
        <v/>
      </c>
      <c r="AB40" s="504" t="str">
        <f>IF('Pon-Bat'!R40="","",+(SUM('Pon-Bat'!$R$8:R40)/SUM('Pon-Bat'!$O$8:O40)))</f>
        <v/>
      </c>
      <c r="AC40" s="494" t="str">
        <f>IF('Pon-Bat'!S40="","",+'Pon-Bat'!S40/'Pon-Bat'!O40)</f>
        <v/>
      </c>
      <c r="AD40" s="504" t="str">
        <f>IF('Pon-Bat'!S40="","",+(SUM('Pon-Bat'!$S$8:S40)/SUM('Pon-Bat'!$O$8:O40)))</f>
        <v/>
      </c>
      <c r="AE40" s="494" t="str">
        <f>IF('Pon-Bat'!T40="","",+'Pon-Bat'!T40/'Pon-Bat'!O40)</f>
        <v/>
      </c>
      <c r="AF40" s="496" t="str">
        <f>IF('Pon-Bat'!T40="","",+(SUM('Pon-Bat'!$T$8:T40)/SUM('Pon-Bat'!$O$8:O40)))</f>
        <v/>
      </c>
      <c r="AG40" s="503" t="str">
        <f>IF('Pon-Bat'!V40="","",+'Pon-Bat'!V40/'Pon-Bat'!U40)</f>
        <v/>
      </c>
      <c r="AH40" s="504" t="str">
        <f>IF('Pon-Bat'!V40="","",+(SUM('Pon-Bat'!$V$8:V40)/SUM('Pon-Bat'!$U$8:U40)))</f>
        <v/>
      </c>
      <c r="AI40" s="494" t="str">
        <f>IF('Pon-Bat'!W40="","",+'Pon-Bat'!W40/'Pon-Bat'!U40)</f>
        <v/>
      </c>
      <c r="AJ40" s="504" t="str">
        <f>IF('Pon-Bat'!W40="","",+(SUM('Pon-Bat'!$W$8:W40)/SUM('Pon-Bat'!$U$8:U40)))</f>
        <v/>
      </c>
      <c r="AK40" s="494" t="str">
        <f>IF('Pon-Bat'!X40="","",+'Pon-Bat'!X40/'Pon-Bat'!U40)</f>
        <v/>
      </c>
      <c r="AL40" s="504" t="str">
        <f>IF('Pon-Bat'!X40="","",+(SUM('Pon-Bat'!$X$8:X40)/SUM('Pon-Bat'!$U$8:U40)))</f>
        <v/>
      </c>
      <c r="AM40" s="494" t="str">
        <f>IF('Pon-Bat'!Y40="","",+'Pon-Bat'!Y40/'Pon-Bat'!U40)</f>
        <v/>
      </c>
      <c r="AN40" s="504" t="str">
        <f>IF('Pon-Bat'!Y40="","",+(SUM('Pon-Bat'!$Y$8:Y40)/SUM('Pon-Bat'!$U$8:U40)))</f>
        <v/>
      </c>
      <c r="AO40" s="494" t="str">
        <f>IF('Pon-Bat'!Z40="","",+'Pon-Bat'!Z40/'Pon-Bat'!U40)</f>
        <v/>
      </c>
      <c r="AP40" s="496" t="str">
        <f>IF('Pon-Bat'!Z40="","",+(SUM('Pon-Bat'!$Z$8:Z40)/SUM('Pon-Bat'!$U$8:U40)))</f>
        <v/>
      </c>
      <c r="AQ40" s="503" t="str">
        <f>IF('Pon-Bat'!AB40="","",+'Pon-Bat'!AB40/'Pon-Bat'!AA40)</f>
        <v/>
      </c>
      <c r="AR40" s="504" t="str">
        <f>IF('Pon-Bat'!AB40="","",+(SUM('Pon-Bat'!$AB$8:AB40)/SUM('Pon-Bat'!$AA$8:AA40)))</f>
        <v/>
      </c>
      <c r="AS40" s="494" t="str">
        <f>IF('Pon-Bat'!AC40="","",+'Pon-Bat'!AC40/'Pon-Bat'!AA40)</f>
        <v/>
      </c>
      <c r="AT40" s="504" t="str">
        <f>IF('Pon-Bat'!AC40="","",+(SUM('Pon-Bat'!$AC$8:AC40)/SUM('Pon-Bat'!$AA$8:AA40)))</f>
        <v/>
      </c>
      <c r="AU40" s="494" t="str">
        <f>IF('Pon-Bat'!AD40="","",+'Pon-Bat'!AD40/'Pon-Bat'!AA40)</f>
        <v/>
      </c>
      <c r="AV40" s="504" t="str">
        <f>IF('Pon-Bat'!AD40="","",+(SUM('Pon-Bat'!$AD$8:AD40)/SUM('Pon-Bat'!$AA$8:AA40)))</f>
        <v/>
      </c>
      <c r="AW40" s="494" t="str">
        <f>IF('Pon-Bat'!AE40="","",+'Pon-Bat'!AE40/'Pon-Bat'!AA40)</f>
        <v/>
      </c>
      <c r="AX40" s="504" t="str">
        <f>IF('Pon-Bat'!AE40="","",+(SUM('Pon-Bat'!$AE$8:AE40)/SUM('Pon-Bat'!$AA$8:AA40)))</f>
        <v/>
      </c>
      <c r="AY40" s="494" t="str">
        <f>IF('Pon-Bat'!AF40="","",+'Pon-Bat'!AF40/'Pon-Bat'!AA40)</f>
        <v/>
      </c>
      <c r="AZ40" s="496" t="str">
        <f>IF('Pon-Bat'!AF40="","",+(SUM('Pon-Bat'!$AF$8:AF40)/SUM('Pon-Bat'!$AA$8:AA40)))</f>
        <v/>
      </c>
      <c r="BA40" s="503" t="str">
        <f>IF('Pon-Bat'!AH40="","",+'Pon-Bat'!AH40/'Pon-Bat'!AG40)</f>
        <v/>
      </c>
      <c r="BB40" s="504" t="str">
        <f>IF('Pon-Bat'!AH40="","",+(SUM('Pon-Bat'!$AH$8:AH40)/SUM('Pon-Bat'!$AG$8:AG40)))</f>
        <v/>
      </c>
      <c r="BC40" s="494" t="str">
        <f>IF('Pon-Bat'!AI40="","",+'Pon-Bat'!AI40/'Pon-Bat'!AG40)</f>
        <v/>
      </c>
      <c r="BD40" s="504" t="str">
        <f>IF('Pon-Bat'!AI40="","",+(SUM('Pon-Bat'!$AI$8:AI40)/SUM('Pon-Bat'!$AG$8:AG40)))</f>
        <v/>
      </c>
      <c r="BE40" s="494" t="str">
        <f>IF('Pon-Bat'!AJ40="","",+'Pon-Bat'!AJ40/'Pon-Bat'!AG40)</f>
        <v/>
      </c>
      <c r="BF40" s="504" t="str">
        <f>IF('Pon-Bat'!AJ40="","",+(SUM('Pon-Bat'!$AJ$8:AJ40)/SUM('Pon-Bat'!$AG$8:AG40)))</f>
        <v/>
      </c>
      <c r="BG40" s="494" t="str">
        <f>IF('Pon-Bat'!AK40="","",+'Pon-Bat'!AK40/'Pon-Bat'!AG40)</f>
        <v/>
      </c>
      <c r="BH40" s="504" t="str">
        <f>IF('Pon-Bat'!AK40="","",+(SUM('Pon-Bat'!$AK$8:AK40)/SUM('Pon-Bat'!$AG$8:AG40)))</f>
        <v/>
      </c>
      <c r="BI40" s="494" t="str">
        <f>IF('Pon-Bat'!AL40="","",+'Pon-Bat'!AL40/'Pon-Bat'!AG40)</f>
        <v/>
      </c>
      <c r="BJ40" s="496" t="str">
        <f>IF('Pon-Bat'!AL40="","",+(SUM('Pon-Bat'!$AL$8:AL40)/SUM('Pon-Bat'!$AG$8:AG40)))</f>
        <v/>
      </c>
      <c r="BK40" s="501" t="str">
        <f>IF('Pon-Bat'!AN40="","",+'Pon-Bat'!AN40/'Pon-Bat'!AM40)</f>
        <v/>
      </c>
      <c r="BL40" s="504" t="str">
        <f>IF('Pon-Bat'!AN40="","",+(SUM('Pon-Bat'!$AN$8:AN40)/SUM('Pon-Bat'!$AM$8:AM40)))</f>
        <v/>
      </c>
      <c r="BM40" s="499" t="str">
        <f>IF('Pon-Bat'!AO40="","",+'Pon-Bat'!AO40/'Pon-Bat'!AM40)</f>
        <v/>
      </c>
      <c r="BN40" s="504" t="str">
        <f>IF('Pon-Bat'!AO40="","",+(SUM('Pon-Bat'!$AO$8:AO40)/SUM('Pon-Bat'!$AM$8:AM40)))</f>
        <v/>
      </c>
      <c r="BO40" s="499" t="str">
        <f>IF('Pon-Bat'!AP40="","",+'Pon-Bat'!AP40/'Pon-Bat'!AM40)</f>
        <v/>
      </c>
      <c r="BP40" s="504" t="str">
        <f>IF('Pon-Bat'!AP40="","",+(SUM('Pon-Bat'!$AP$8:AP40)/SUM('Pon-Bat'!$AM$8:AM40)))</f>
        <v/>
      </c>
      <c r="BQ40" s="499" t="str">
        <f>IF('Pon-Bat'!AQ40="","",+'Pon-Bat'!AQ40/'Pon-Bat'!AM40)</f>
        <v/>
      </c>
      <c r="BR40" s="504" t="str">
        <f>IF('Pon-Bat'!AQ40="","",+(SUM('Pon-Bat'!$AQ$8:AQ40)/SUM('Pon-Bat'!$AM$8:AM40)))</f>
        <v/>
      </c>
      <c r="BS40" s="499" t="str">
        <f>IF('Pon-Bat'!AR40="","",+'Pon-Bat'!AR40/'Pon-Bat'!AM40)</f>
        <v/>
      </c>
      <c r="BT40" s="496" t="str">
        <f>IF('Pon-Bat'!AR40="","",+(SUM('Pon-Bat'!$AR$8:AR40)/SUM('Pon-Bat'!$AM$8:AM40)))</f>
        <v/>
      </c>
      <c r="BU40" s="501" t="str">
        <f>IF('Pon-Bat'!AT40="","",+'Pon-Bat'!AT40/'Pon-Bat'!AS40)</f>
        <v/>
      </c>
      <c r="BV40" s="504" t="str">
        <f>IF('Pon-Bat'!AT40="","",+(SUM('Pon-Bat'!$AT$8:AT40)/SUM('Pon-Bat'!$AS$8:AS40)))</f>
        <v/>
      </c>
      <c r="BW40" s="499" t="str">
        <f>IF('Pon-Bat'!AU40="","",+'Pon-Bat'!AU40/'Pon-Bat'!AS40)</f>
        <v/>
      </c>
      <c r="BX40" s="504" t="str">
        <f>IF('Pon-Bat'!AU40="","",+(SUM('Pon-Bat'!$AU$8:AU40)/SUM('Pon-Bat'!$AS$8:AS40)))</f>
        <v/>
      </c>
      <c r="BY40" s="499" t="str">
        <f>IF('Pon-Bat'!AV40="","",+'Pon-Bat'!AV40/'Pon-Bat'!AS40)</f>
        <v/>
      </c>
      <c r="BZ40" s="504" t="str">
        <f>IF('Pon-Bat'!AV40="","",+(SUM('Pon-Bat'!$AV$8:AV40)/SUM('Pon-Bat'!$AS$8:AS40)))</f>
        <v/>
      </c>
      <c r="CA40" s="499" t="str">
        <f>IF('Pon-Bat'!AW40="","",+'Pon-Bat'!AW40/'Pon-Bat'!AS40)</f>
        <v/>
      </c>
      <c r="CB40" s="504" t="str">
        <f>IF('Pon-Bat'!AW40="","",+(SUM('Pon-Bat'!$AW$8:AW40)/SUM('Pon-Bat'!$AS$8:AS40)))</f>
        <v/>
      </c>
      <c r="CC40" s="499" t="str">
        <f>IF('Pon-Bat'!AX40="","",+'Pon-Bat'!AX40/'Pon-Bat'!AS40)</f>
        <v/>
      </c>
      <c r="CD40" s="496" t="str">
        <f>IF('Pon-Bat'!AX40="","",+(SUM('Pon-Bat'!$AX$8:AX40)/SUM('Pon-Bat'!$AS$8:AS40)))</f>
        <v/>
      </c>
      <c r="CE40" s="503" t="str">
        <f>IF('Pon-Bat'!AZ40="","",+'Pon-Bat'!AZ40/'Pon-Bat'!AY40)</f>
        <v/>
      </c>
      <c r="CF40" s="504" t="str">
        <f>IF('Pon-Bat'!AZ40="","",+(SUM('Pon-Bat'!$AZ$8:AZ40)/SUM('Pon-Bat'!$AY$8:AY40)))</f>
        <v/>
      </c>
      <c r="CG40" s="494" t="str">
        <f>IF('Pon-Bat'!BA40="","",+'Pon-Bat'!BA40/'Pon-Bat'!AY40)</f>
        <v/>
      </c>
      <c r="CH40" s="504" t="str">
        <f>IF('Pon-Bat'!BA40="","",+(SUM('Pon-Bat'!$BA$8:BA40)/SUM('Pon-Bat'!$AY$8:AY40)))</f>
        <v/>
      </c>
      <c r="CI40" s="499" t="str">
        <f>IF('Pon-Bat'!BB40="","",+'Pon-Bat'!BB40/'Pon-Bat'!AY40)</f>
        <v/>
      </c>
      <c r="CJ40" s="504" t="str">
        <f>IF('Pon-Bat'!BB40="","",+(SUM('Pon-Bat'!$BB$8:BB40)/SUM('Pon-Bat'!$AY$8:AY40)))</f>
        <v/>
      </c>
      <c r="CK40" s="494" t="str">
        <f>IF('Pon-Bat'!BC40="","",+'Pon-Bat'!BC40/'Pon-Bat'!AY40)</f>
        <v/>
      </c>
      <c r="CL40" s="504" t="str">
        <f>IF('Pon-Bat'!BC40="","",+(SUM('Pon-Bat'!$BC$8:BC40)/SUM('Pon-Bat'!$AY$8:AY40)))</f>
        <v/>
      </c>
      <c r="CM40" s="494" t="str">
        <f>IF('Pon-Bat'!BD40="","",+'Pon-Bat'!BD40/'Pon-Bat'!AY40)</f>
        <v/>
      </c>
      <c r="CN40" s="496" t="str">
        <f>IF('Pon-Bat'!BD40="","",+(SUM('Pon-Bat'!$BD$8:BD40)/SUM('Pon-Bat'!$AY$8:AY40)))</f>
        <v/>
      </c>
    </row>
    <row r="41" spans="1:92" ht="24" customHeight="1" thickBot="1" x14ac:dyDescent="0.25">
      <c r="A41" s="453">
        <f t="shared" si="2"/>
        <v>43642</v>
      </c>
      <c r="B41" s="465">
        <f t="shared" si="3"/>
        <v>56</v>
      </c>
      <c r="C41" s="503" t="str">
        <f>IF('Pon-Bat'!D41="","",+'Pon-Bat'!D41/'Pon-Bat'!C41)</f>
        <v/>
      </c>
      <c r="D41" s="504" t="str">
        <f>IF('Pon-Bat'!D41="","",+(SUM('Pon-Bat'!$D$8:D41)/SUM('Pon-Bat'!$C$8:C41)))</f>
        <v/>
      </c>
      <c r="E41" s="494" t="str">
        <f>IF('Pon-Bat'!E41="","",+'Pon-Bat'!E41/'Pon-Bat'!C41)</f>
        <v/>
      </c>
      <c r="F41" s="504" t="str">
        <f>IF('Pon-Bat'!E41="","",+(SUM('Pon-Bat'!$E$8:E41)/SUM('Pon-Bat'!$C$8:C41)))</f>
        <v/>
      </c>
      <c r="G41" s="494" t="str">
        <f>IF('Pon-Bat'!F41="","",+'Pon-Bat'!F41/'Pon-Bat'!C41)</f>
        <v/>
      </c>
      <c r="H41" s="504" t="str">
        <f>IF('Pon-Bat'!F41="","",+(SUM('Pon-Bat'!$F$8:F41)/SUM('Pon-Bat'!$C$8:C41)))</f>
        <v/>
      </c>
      <c r="I41" s="494" t="str">
        <f>IF('Pon-Bat'!G41="","",+'Pon-Bat'!G41/'Pon-Bat'!C41)</f>
        <v/>
      </c>
      <c r="J41" s="504" t="str">
        <f>IF('Pon-Bat'!G41="","",+(SUM('Pon-Bat'!$G$8:G41)/SUM('Pon-Bat'!$C$8:C41)))</f>
        <v/>
      </c>
      <c r="K41" s="494" t="str">
        <f>IF('Pon-Bat'!H41="","",+'Pon-Bat'!H41/'Pon-Bat'!C41)</f>
        <v/>
      </c>
      <c r="L41" s="496" t="str">
        <f>IF('Pon-Bat'!H41="","",+(SUM('Pon-Bat'!$H$8:H41)/SUM('Pon-Bat'!$C$8:C41)))</f>
        <v/>
      </c>
      <c r="M41" s="503" t="str">
        <f>IF('Pon-Bat'!J41="","",+'Pon-Bat'!J41/'Pon-Bat'!I41)</f>
        <v/>
      </c>
      <c r="N41" s="504" t="str">
        <f>IF('Pon-Bat'!J41="","",+(SUM('Pon-Bat'!$J$8:J41)/SUM('Pon-Bat'!$I$8:I41)))</f>
        <v/>
      </c>
      <c r="O41" s="494" t="str">
        <f>IF('Pon-Bat'!K41="","",+'Pon-Bat'!K41/'Pon-Bat'!I41)</f>
        <v/>
      </c>
      <c r="P41" s="504" t="str">
        <f>IF('Pon-Bat'!K41="","",+(SUM('Pon-Bat'!$K$8:K41)/SUM('Pon-Bat'!$I$8:I41)))</f>
        <v/>
      </c>
      <c r="Q41" s="494" t="str">
        <f>IF('Pon-Bat'!L41="","",+'Pon-Bat'!L41/'Pon-Bat'!I41)</f>
        <v/>
      </c>
      <c r="R41" s="504" t="str">
        <f>IF('Pon-Bat'!L41="","",+(SUM('Pon-Bat'!$L$8:L41)/SUM('Pon-Bat'!$I$8:I41)))</f>
        <v/>
      </c>
      <c r="S41" s="494" t="str">
        <f>IF('Pon-Bat'!M41="","",+'Pon-Bat'!M41/'Pon-Bat'!I41)</f>
        <v/>
      </c>
      <c r="T41" s="504" t="str">
        <f>IF('Pon-Bat'!M41="","",+(SUM('Pon-Bat'!$M$8:M41)/SUM('Pon-Bat'!$I$8:I41)))</f>
        <v/>
      </c>
      <c r="U41" s="494" t="str">
        <f>IF('Pon-Bat'!N41="","",+'Pon-Bat'!N41/'Pon-Bat'!I41)</f>
        <v/>
      </c>
      <c r="V41" s="496" t="str">
        <f>IF('Pon-Bat'!N41="","",+(SUM('Pon-Bat'!$N$8:N41)/SUM('Pon-Bat'!$I$8:I41)))</f>
        <v/>
      </c>
      <c r="W41" s="503" t="str">
        <f>IF('Pon-Bat'!P41="","",+'Pon-Bat'!P41/'Pon-Bat'!O41)</f>
        <v/>
      </c>
      <c r="X41" s="504" t="str">
        <f>IF('Pon-Bat'!P41="","",+(SUM('Pon-Bat'!$P$8:P41)/SUM('Pon-Bat'!$O$8:O41)))</f>
        <v/>
      </c>
      <c r="Y41" s="494" t="str">
        <f>IF('Pon-Bat'!Q41="","",+'Pon-Bat'!Q41/'Pon-Bat'!O41)</f>
        <v/>
      </c>
      <c r="Z41" s="504" t="str">
        <f>IF('Pon-Bat'!Q41="","",+(SUM('Pon-Bat'!$Q$8:Q41)/SUM('Pon-Bat'!$O$8:O41)))</f>
        <v/>
      </c>
      <c r="AA41" s="494" t="str">
        <f>IF('Pon-Bat'!R41="","",+'Pon-Bat'!R41/'Pon-Bat'!O41)</f>
        <v/>
      </c>
      <c r="AB41" s="504" t="str">
        <f>IF('Pon-Bat'!R41="","",+(SUM('Pon-Bat'!$R$8:R41)/SUM('Pon-Bat'!$O$8:O41)))</f>
        <v/>
      </c>
      <c r="AC41" s="494" t="str">
        <f>IF('Pon-Bat'!S41="","",+'Pon-Bat'!S41/'Pon-Bat'!O41)</f>
        <v/>
      </c>
      <c r="AD41" s="504" t="str">
        <f>IF('Pon-Bat'!S41="","",+(SUM('Pon-Bat'!$S$8:S41)/SUM('Pon-Bat'!$O$8:O41)))</f>
        <v/>
      </c>
      <c r="AE41" s="494" t="str">
        <f>IF('Pon-Bat'!T41="","",+'Pon-Bat'!T41/'Pon-Bat'!O41)</f>
        <v/>
      </c>
      <c r="AF41" s="496" t="str">
        <f>IF('Pon-Bat'!T41="","",+(SUM('Pon-Bat'!$T$8:T41)/SUM('Pon-Bat'!$O$8:O41)))</f>
        <v/>
      </c>
      <c r="AG41" s="503" t="str">
        <f>IF('Pon-Bat'!V41="","",+'Pon-Bat'!V41/'Pon-Bat'!U41)</f>
        <v/>
      </c>
      <c r="AH41" s="504" t="str">
        <f>IF('Pon-Bat'!V41="","",+(SUM('Pon-Bat'!$V$8:V41)/SUM('Pon-Bat'!$U$8:U41)))</f>
        <v/>
      </c>
      <c r="AI41" s="494" t="str">
        <f>IF('Pon-Bat'!W41="","",+'Pon-Bat'!W41/'Pon-Bat'!U41)</f>
        <v/>
      </c>
      <c r="AJ41" s="504" t="str">
        <f>IF('Pon-Bat'!W41="","",+(SUM('Pon-Bat'!$W$8:W41)/SUM('Pon-Bat'!$U$8:U41)))</f>
        <v/>
      </c>
      <c r="AK41" s="494" t="str">
        <f>IF('Pon-Bat'!X41="","",+'Pon-Bat'!X41/'Pon-Bat'!U41)</f>
        <v/>
      </c>
      <c r="AL41" s="504" t="str">
        <f>IF('Pon-Bat'!X41="","",+(SUM('Pon-Bat'!$X$8:X41)/SUM('Pon-Bat'!$U$8:U41)))</f>
        <v/>
      </c>
      <c r="AM41" s="494" t="str">
        <f>IF('Pon-Bat'!Y41="","",+'Pon-Bat'!Y41/'Pon-Bat'!U41)</f>
        <v/>
      </c>
      <c r="AN41" s="504" t="str">
        <f>IF('Pon-Bat'!Y41="","",+(SUM('Pon-Bat'!$Y$8:Y41)/SUM('Pon-Bat'!$U$8:U41)))</f>
        <v/>
      </c>
      <c r="AO41" s="494" t="str">
        <f>IF('Pon-Bat'!Z41="","",+'Pon-Bat'!Z41/'Pon-Bat'!U41)</f>
        <v/>
      </c>
      <c r="AP41" s="496" t="str">
        <f>IF('Pon-Bat'!Z41="","",+(SUM('Pon-Bat'!$Z$8:Z41)/SUM('Pon-Bat'!$U$8:U41)))</f>
        <v/>
      </c>
      <c r="AQ41" s="503" t="str">
        <f>IF('Pon-Bat'!AB41="","",+'Pon-Bat'!AB41/'Pon-Bat'!AA41)</f>
        <v/>
      </c>
      <c r="AR41" s="504" t="str">
        <f>IF('Pon-Bat'!AB41="","",+(SUM('Pon-Bat'!$AB$8:AB41)/SUM('Pon-Bat'!$AA$8:AA41)))</f>
        <v/>
      </c>
      <c r="AS41" s="494" t="str">
        <f>IF('Pon-Bat'!AC41="","",+'Pon-Bat'!AC41/'Pon-Bat'!AA41)</f>
        <v/>
      </c>
      <c r="AT41" s="504" t="str">
        <f>IF('Pon-Bat'!AC41="","",+(SUM('Pon-Bat'!$AC$8:AC41)/SUM('Pon-Bat'!$AA$8:AA41)))</f>
        <v/>
      </c>
      <c r="AU41" s="494" t="str">
        <f>IF('Pon-Bat'!AD41="","",+'Pon-Bat'!AD41/'Pon-Bat'!AA41)</f>
        <v/>
      </c>
      <c r="AV41" s="504" t="str">
        <f>IF('Pon-Bat'!AD41="","",+(SUM('Pon-Bat'!$AD$8:AD41)/SUM('Pon-Bat'!$AA$8:AA41)))</f>
        <v/>
      </c>
      <c r="AW41" s="494" t="str">
        <f>IF('Pon-Bat'!AE41="","",+'Pon-Bat'!AE41/'Pon-Bat'!AA41)</f>
        <v/>
      </c>
      <c r="AX41" s="504" t="str">
        <f>IF('Pon-Bat'!AE41="","",+(SUM('Pon-Bat'!$AE$8:AE41)/SUM('Pon-Bat'!$AA$8:AA41)))</f>
        <v/>
      </c>
      <c r="AY41" s="494" t="str">
        <f>IF('Pon-Bat'!AF41="","",+'Pon-Bat'!AF41/'Pon-Bat'!AA41)</f>
        <v/>
      </c>
      <c r="AZ41" s="496" t="str">
        <f>IF('Pon-Bat'!AF41="","",+(SUM('Pon-Bat'!$AF$8:AF41)/SUM('Pon-Bat'!$AA$8:AA41)))</f>
        <v/>
      </c>
      <c r="BA41" s="503" t="str">
        <f>IF('Pon-Bat'!AH41="","",+'Pon-Bat'!AH41/'Pon-Bat'!AG41)</f>
        <v/>
      </c>
      <c r="BB41" s="504" t="str">
        <f>IF('Pon-Bat'!AH41="","",+(SUM('Pon-Bat'!$AH$8:AH41)/SUM('Pon-Bat'!$AG$8:AG41)))</f>
        <v/>
      </c>
      <c r="BC41" s="494" t="str">
        <f>IF('Pon-Bat'!AI41="","",+'Pon-Bat'!AI41/'Pon-Bat'!AG41)</f>
        <v/>
      </c>
      <c r="BD41" s="504" t="str">
        <f>IF('Pon-Bat'!AI41="","",+(SUM('Pon-Bat'!$AI$8:AI41)/SUM('Pon-Bat'!$AG$8:AG41)))</f>
        <v/>
      </c>
      <c r="BE41" s="494" t="str">
        <f>IF('Pon-Bat'!AJ41="","",+'Pon-Bat'!AJ41/'Pon-Bat'!AG41)</f>
        <v/>
      </c>
      <c r="BF41" s="504" t="str">
        <f>IF('Pon-Bat'!AJ41="","",+(SUM('Pon-Bat'!$AJ$8:AJ41)/SUM('Pon-Bat'!$AG$8:AG41)))</f>
        <v/>
      </c>
      <c r="BG41" s="494" t="str">
        <f>IF('Pon-Bat'!AK41="","",+'Pon-Bat'!AK41/'Pon-Bat'!AG41)</f>
        <v/>
      </c>
      <c r="BH41" s="504" t="str">
        <f>IF('Pon-Bat'!AK41="","",+(SUM('Pon-Bat'!$AK$8:AK41)/SUM('Pon-Bat'!$AG$8:AG41)))</f>
        <v/>
      </c>
      <c r="BI41" s="494" t="str">
        <f>IF('Pon-Bat'!AL41="","",+'Pon-Bat'!AL41/'Pon-Bat'!AG41)</f>
        <v/>
      </c>
      <c r="BJ41" s="496" t="str">
        <f>IF('Pon-Bat'!AL41="","",+(SUM('Pon-Bat'!$AL$8:AL41)/SUM('Pon-Bat'!$AG$8:AG41)))</f>
        <v/>
      </c>
      <c r="BK41" s="501" t="str">
        <f>IF('Pon-Bat'!AN41="","",+'Pon-Bat'!AN41/'Pon-Bat'!AM41)</f>
        <v/>
      </c>
      <c r="BL41" s="504" t="str">
        <f>IF('Pon-Bat'!AN41="","",+(SUM('Pon-Bat'!$AN$8:AN41)/SUM('Pon-Bat'!$AM$8:AM41)))</f>
        <v/>
      </c>
      <c r="BM41" s="499" t="str">
        <f>IF('Pon-Bat'!AO41="","",+'Pon-Bat'!AO41/'Pon-Bat'!AM41)</f>
        <v/>
      </c>
      <c r="BN41" s="504" t="str">
        <f>IF('Pon-Bat'!AO41="","",+(SUM('Pon-Bat'!$AO$8:AO41)/SUM('Pon-Bat'!$AM$8:AM41)))</f>
        <v/>
      </c>
      <c r="BO41" s="499" t="str">
        <f>IF('Pon-Bat'!AP41="","",+'Pon-Bat'!AP41/'Pon-Bat'!AM41)</f>
        <v/>
      </c>
      <c r="BP41" s="504" t="str">
        <f>IF('Pon-Bat'!AP41="","",+(SUM('Pon-Bat'!$AP$8:AP41)/SUM('Pon-Bat'!$AM$8:AM41)))</f>
        <v/>
      </c>
      <c r="BQ41" s="499" t="str">
        <f>IF('Pon-Bat'!AQ41="","",+'Pon-Bat'!AQ41/'Pon-Bat'!AM41)</f>
        <v/>
      </c>
      <c r="BR41" s="504" t="str">
        <f>IF('Pon-Bat'!AQ41="","",+(SUM('Pon-Bat'!$AQ$8:AQ41)/SUM('Pon-Bat'!$AM$8:AM41)))</f>
        <v/>
      </c>
      <c r="BS41" s="499" t="str">
        <f>IF('Pon-Bat'!AR41="","",+'Pon-Bat'!AR41/'Pon-Bat'!AM41)</f>
        <v/>
      </c>
      <c r="BT41" s="496" t="str">
        <f>IF('Pon-Bat'!AR41="","",+(SUM('Pon-Bat'!$AR$8:AR41)/SUM('Pon-Bat'!$AM$8:AM41)))</f>
        <v/>
      </c>
      <c r="BU41" s="501" t="str">
        <f>IF('Pon-Bat'!AT41="","",+'Pon-Bat'!AT41/'Pon-Bat'!AS41)</f>
        <v/>
      </c>
      <c r="BV41" s="504" t="str">
        <f>IF('Pon-Bat'!AT41="","",+(SUM('Pon-Bat'!$AT$8:AT41)/SUM('Pon-Bat'!$AS$8:AS41)))</f>
        <v/>
      </c>
      <c r="BW41" s="499" t="str">
        <f>IF('Pon-Bat'!AU41="","",+'Pon-Bat'!AU41/'Pon-Bat'!AS41)</f>
        <v/>
      </c>
      <c r="BX41" s="504" t="str">
        <f>IF('Pon-Bat'!AU41="","",+(SUM('Pon-Bat'!$AU$8:AU41)/SUM('Pon-Bat'!$AS$8:AS41)))</f>
        <v/>
      </c>
      <c r="BY41" s="499" t="str">
        <f>IF('Pon-Bat'!AV41="","",+'Pon-Bat'!AV41/'Pon-Bat'!AS41)</f>
        <v/>
      </c>
      <c r="BZ41" s="504" t="str">
        <f>IF('Pon-Bat'!AV41="","",+(SUM('Pon-Bat'!$AV$8:AV41)/SUM('Pon-Bat'!$AS$8:AS41)))</f>
        <v/>
      </c>
      <c r="CA41" s="499" t="str">
        <f>IF('Pon-Bat'!AW41="","",+'Pon-Bat'!AW41/'Pon-Bat'!AS41)</f>
        <v/>
      </c>
      <c r="CB41" s="504" t="str">
        <f>IF('Pon-Bat'!AW41="","",+(SUM('Pon-Bat'!$AW$8:AW41)/SUM('Pon-Bat'!$AS$8:AS41)))</f>
        <v/>
      </c>
      <c r="CC41" s="499" t="str">
        <f>IF('Pon-Bat'!AX41="","",+'Pon-Bat'!AX41/'Pon-Bat'!AS41)</f>
        <v/>
      </c>
      <c r="CD41" s="496" t="str">
        <f>IF('Pon-Bat'!AX41="","",+(SUM('Pon-Bat'!$AX$8:AX41)/SUM('Pon-Bat'!$AS$8:AS41)))</f>
        <v/>
      </c>
      <c r="CE41" s="503" t="str">
        <f>IF('Pon-Bat'!AZ41="","",+'Pon-Bat'!AZ41/'Pon-Bat'!AY41)</f>
        <v/>
      </c>
      <c r="CF41" s="504" t="str">
        <f>IF('Pon-Bat'!AZ41="","",+(SUM('Pon-Bat'!$AZ$8:AZ41)/SUM('Pon-Bat'!$AY$8:AY41)))</f>
        <v/>
      </c>
      <c r="CG41" s="494" t="str">
        <f>IF('Pon-Bat'!BA41="","",+'Pon-Bat'!BA41/'Pon-Bat'!AY41)</f>
        <v/>
      </c>
      <c r="CH41" s="504" t="str">
        <f>IF('Pon-Bat'!BA41="","",+(SUM('Pon-Bat'!$BA$8:BA41)/SUM('Pon-Bat'!$AY$8:AY41)))</f>
        <v/>
      </c>
      <c r="CI41" s="499" t="str">
        <f>IF('Pon-Bat'!BB41="","",+'Pon-Bat'!BB41/'Pon-Bat'!AY41)</f>
        <v/>
      </c>
      <c r="CJ41" s="504" t="str">
        <f>IF('Pon-Bat'!BB41="","",+(SUM('Pon-Bat'!$BB$8:BB41)/SUM('Pon-Bat'!$AY$8:AY41)))</f>
        <v/>
      </c>
      <c r="CK41" s="494" t="str">
        <f>IF('Pon-Bat'!BC41="","",+'Pon-Bat'!BC41/'Pon-Bat'!AY41)</f>
        <v/>
      </c>
      <c r="CL41" s="504" t="str">
        <f>IF('Pon-Bat'!BC41="","",+(SUM('Pon-Bat'!$BC$8:BC41)/SUM('Pon-Bat'!$AY$8:AY41)))</f>
        <v/>
      </c>
      <c r="CM41" s="494" t="str">
        <f>IF('Pon-Bat'!BD41="","",+'Pon-Bat'!BD41/'Pon-Bat'!AY41)</f>
        <v/>
      </c>
      <c r="CN41" s="496" t="str">
        <f>IF('Pon-Bat'!BD41="","",+(SUM('Pon-Bat'!$BD$8:BD41)/SUM('Pon-Bat'!$AY$8:AY41)))</f>
        <v/>
      </c>
    </row>
    <row r="42" spans="1:92" ht="24" customHeight="1" thickBot="1" x14ac:dyDescent="0.25">
      <c r="A42" s="453">
        <f t="shared" si="2"/>
        <v>43649</v>
      </c>
      <c r="B42" s="465">
        <f t="shared" si="3"/>
        <v>57</v>
      </c>
      <c r="C42" s="503" t="str">
        <f>IF('Pon-Bat'!D42="","",+'Pon-Bat'!D42/'Pon-Bat'!C42)</f>
        <v/>
      </c>
      <c r="D42" s="504" t="str">
        <f>IF('Pon-Bat'!D42="","",+(SUM('Pon-Bat'!$D$8:D42)/SUM('Pon-Bat'!$C$8:C42)))</f>
        <v/>
      </c>
      <c r="E42" s="494" t="str">
        <f>IF('Pon-Bat'!E42="","",+'Pon-Bat'!E42/'Pon-Bat'!C42)</f>
        <v/>
      </c>
      <c r="F42" s="504" t="str">
        <f>IF('Pon-Bat'!E42="","",+(SUM('Pon-Bat'!$E$8:E42)/SUM('Pon-Bat'!$C$8:C42)))</f>
        <v/>
      </c>
      <c r="G42" s="494" t="str">
        <f>IF('Pon-Bat'!F42="","",+'Pon-Bat'!F42/'Pon-Bat'!C42)</f>
        <v/>
      </c>
      <c r="H42" s="504" t="str">
        <f>IF('Pon-Bat'!F42="","",+(SUM('Pon-Bat'!$F$8:F42)/SUM('Pon-Bat'!$C$8:C42)))</f>
        <v/>
      </c>
      <c r="I42" s="494" t="str">
        <f>IF('Pon-Bat'!G42="","",+'Pon-Bat'!G42/'Pon-Bat'!C42)</f>
        <v/>
      </c>
      <c r="J42" s="504" t="str">
        <f>IF('Pon-Bat'!G42="","",+(SUM('Pon-Bat'!$G$8:G42)/SUM('Pon-Bat'!$C$8:C42)))</f>
        <v/>
      </c>
      <c r="K42" s="494" t="str">
        <f>IF('Pon-Bat'!H42="","",+'Pon-Bat'!H42/'Pon-Bat'!C42)</f>
        <v/>
      </c>
      <c r="L42" s="496" t="str">
        <f>IF('Pon-Bat'!H42="","",+(SUM('Pon-Bat'!$H$8:H42)/SUM('Pon-Bat'!$C$8:C42)))</f>
        <v/>
      </c>
      <c r="M42" s="503" t="str">
        <f>IF('Pon-Bat'!J42="","",+'Pon-Bat'!J42/'Pon-Bat'!I42)</f>
        <v/>
      </c>
      <c r="N42" s="504" t="str">
        <f>IF('Pon-Bat'!J42="","",+(SUM('Pon-Bat'!$J$8:J42)/SUM('Pon-Bat'!$I$8:I42)))</f>
        <v/>
      </c>
      <c r="O42" s="494" t="str">
        <f>IF('Pon-Bat'!K42="","",+'Pon-Bat'!K42/'Pon-Bat'!I42)</f>
        <v/>
      </c>
      <c r="P42" s="504" t="str">
        <f>IF('Pon-Bat'!K42="","",+(SUM('Pon-Bat'!$K$8:K42)/SUM('Pon-Bat'!$I$8:I42)))</f>
        <v/>
      </c>
      <c r="Q42" s="494" t="str">
        <f>IF('Pon-Bat'!L42="","",+'Pon-Bat'!L42/'Pon-Bat'!I42)</f>
        <v/>
      </c>
      <c r="R42" s="504" t="str">
        <f>IF('Pon-Bat'!L42="","",+(SUM('Pon-Bat'!$L$8:L42)/SUM('Pon-Bat'!$I$8:I42)))</f>
        <v/>
      </c>
      <c r="S42" s="494" t="str">
        <f>IF('Pon-Bat'!M42="","",+'Pon-Bat'!M42/'Pon-Bat'!I42)</f>
        <v/>
      </c>
      <c r="T42" s="504" t="str">
        <f>IF('Pon-Bat'!M42="","",+(SUM('Pon-Bat'!$M$8:M42)/SUM('Pon-Bat'!$I$8:I42)))</f>
        <v/>
      </c>
      <c r="U42" s="494" t="str">
        <f>IF('Pon-Bat'!N42="","",+'Pon-Bat'!N42/'Pon-Bat'!I42)</f>
        <v/>
      </c>
      <c r="V42" s="496" t="str">
        <f>IF('Pon-Bat'!N42="","",+(SUM('Pon-Bat'!$N$8:N42)/SUM('Pon-Bat'!$I$8:I42)))</f>
        <v/>
      </c>
      <c r="W42" s="503" t="str">
        <f>IF('Pon-Bat'!P42="","",+'Pon-Bat'!P42/'Pon-Bat'!O42)</f>
        <v/>
      </c>
      <c r="X42" s="504" t="str">
        <f>IF('Pon-Bat'!P42="","",+(SUM('Pon-Bat'!$P$8:P42)/SUM('Pon-Bat'!$O$8:O42)))</f>
        <v/>
      </c>
      <c r="Y42" s="494" t="str">
        <f>IF('Pon-Bat'!Q42="","",+'Pon-Bat'!Q42/'Pon-Bat'!O42)</f>
        <v/>
      </c>
      <c r="Z42" s="504" t="str">
        <f>IF('Pon-Bat'!Q42="","",+(SUM('Pon-Bat'!$Q$8:Q42)/SUM('Pon-Bat'!$O$8:O42)))</f>
        <v/>
      </c>
      <c r="AA42" s="494" t="str">
        <f>IF('Pon-Bat'!R42="","",+'Pon-Bat'!R42/'Pon-Bat'!O42)</f>
        <v/>
      </c>
      <c r="AB42" s="504" t="str">
        <f>IF('Pon-Bat'!R42="","",+(SUM('Pon-Bat'!$R$8:R42)/SUM('Pon-Bat'!$O$8:O42)))</f>
        <v/>
      </c>
      <c r="AC42" s="494" t="str">
        <f>IF('Pon-Bat'!S42="","",+'Pon-Bat'!S42/'Pon-Bat'!O42)</f>
        <v/>
      </c>
      <c r="AD42" s="504" t="str">
        <f>IF('Pon-Bat'!S42="","",+(SUM('Pon-Bat'!$S$8:S42)/SUM('Pon-Bat'!$O$8:O42)))</f>
        <v/>
      </c>
      <c r="AE42" s="494" t="str">
        <f>IF('Pon-Bat'!T42="","",+'Pon-Bat'!T42/'Pon-Bat'!O42)</f>
        <v/>
      </c>
      <c r="AF42" s="496" t="str">
        <f>IF('Pon-Bat'!T42="","",+(SUM('Pon-Bat'!$T$8:T42)/SUM('Pon-Bat'!$O$8:O42)))</f>
        <v/>
      </c>
      <c r="AG42" s="503" t="str">
        <f>IF('Pon-Bat'!V42="","",+'Pon-Bat'!V42/'Pon-Bat'!U42)</f>
        <v/>
      </c>
      <c r="AH42" s="504" t="str">
        <f>IF('Pon-Bat'!V42="","",+(SUM('Pon-Bat'!$V$8:V42)/SUM('Pon-Bat'!$U$8:U42)))</f>
        <v/>
      </c>
      <c r="AI42" s="494" t="str">
        <f>IF('Pon-Bat'!W42="","",+'Pon-Bat'!W42/'Pon-Bat'!U42)</f>
        <v/>
      </c>
      <c r="AJ42" s="504" t="str">
        <f>IF('Pon-Bat'!W42="","",+(SUM('Pon-Bat'!$W$8:W42)/SUM('Pon-Bat'!$U$8:U42)))</f>
        <v/>
      </c>
      <c r="AK42" s="494" t="str">
        <f>IF('Pon-Bat'!X42="","",+'Pon-Bat'!X42/'Pon-Bat'!U42)</f>
        <v/>
      </c>
      <c r="AL42" s="504" t="str">
        <f>IF('Pon-Bat'!X42="","",+(SUM('Pon-Bat'!$X$8:X42)/SUM('Pon-Bat'!$U$8:U42)))</f>
        <v/>
      </c>
      <c r="AM42" s="494" t="str">
        <f>IF('Pon-Bat'!Y42="","",+'Pon-Bat'!Y42/'Pon-Bat'!U42)</f>
        <v/>
      </c>
      <c r="AN42" s="504" t="str">
        <f>IF('Pon-Bat'!Y42="","",+(SUM('Pon-Bat'!$Y$8:Y42)/SUM('Pon-Bat'!$U$8:U42)))</f>
        <v/>
      </c>
      <c r="AO42" s="494" t="str">
        <f>IF('Pon-Bat'!Z42="","",+'Pon-Bat'!Z42/'Pon-Bat'!U42)</f>
        <v/>
      </c>
      <c r="AP42" s="496" t="str">
        <f>IF('Pon-Bat'!Z42="","",+(SUM('Pon-Bat'!$Z$8:Z42)/SUM('Pon-Bat'!$U$8:U42)))</f>
        <v/>
      </c>
      <c r="AQ42" s="503" t="str">
        <f>IF('Pon-Bat'!AB42="","",+'Pon-Bat'!AB42/'Pon-Bat'!AA42)</f>
        <v/>
      </c>
      <c r="AR42" s="504" t="str">
        <f>IF('Pon-Bat'!AB42="","",+(SUM('Pon-Bat'!$AB$8:AB42)/SUM('Pon-Bat'!$AA$8:AA42)))</f>
        <v/>
      </c>
      <c r="AS42" s="494" t="str">
        <f>IF('Pon-Bat'!AC42="","",+'Pon-Bat'!AC42/'Pon-Bat'!AA42)</f>
        <v/>
      </c>
      <c r="AT42" s="504" t="str">
        <f>IF('Pon-Bat'!AC42="","",+(SUM('Pon-Bat'!$AC$8:AC42)/SUM('Pon-Bat'!$AA$8:AA42)))</f>
        <v/>
      </c>
      <c r="AU42" s="494" t="str">
        <f>IF('Pon-Bat'!AD42="","",+'Pon-Bat'!AD42/'Pon-Bat'!AA42)</f>
        <v/>
      </c>
      <c r="AV42" s="504" t="str">
        <f>IF('Pon-Bat'!AD42="","",+(SUM('Pon-Bat'!$AD$8:AD42)/SUM('Pon-Bat'!$AA$8:AA42)))</f>
        <v/>
      </c>
      <c r="AW42" s="494" t="str">
        <f>IF('Pon-Bat'!AE42="","",+'Pon-Bat'!AE42/'Pon-Bat'!AA42)</f>
        <v/>
      </c>
      <c r="AX42" s="504" t="str">
        <f>IF('Pon-Bat'!AE42="","",+(SUM('Pon-Bat'!$AE$8:AE42)/SUM('Pon-Bat'!$AA$8:AA42)))</f>
        <v/>
      </c>
      <c r="AY42" s="494" t="str">
        <f>IF('Pon-Bat'!AF42="","",+'Pon-Bat'!AF42/'Pon-Bat'!AA42)</f>
        <v/>
      </c>
      <c r="AZ42" s="496" t="str">
        <f>IF('Pon-Bat'!AF42="","",+(SUM('Pon-Bat'!$AF$8:AF42)/SUM('Pon-Bat'!$AA$8:AA42)))</f>
        <v/>
      </c>
      <c r="BA42" s="503" t="str">
        <f>IF('Pon-Bat'!AH42="","",+'Pon-Bat'!AH42/'Pon-Bat'!AG42)</f>
        <v/>
      </c>
      <c r="BB42" s="504" t="str">
        <f>IF('Pon-Bat'!AH42="","",+(SUM('Pon-Bat'!$AH$8:AH42)/SUM('Pon-Bat'!$AG$8:AG42)))</f>
        <v/>
      </c>
      <c r="BC42" s="494" t="str">
        <f>IF('Pon-Bat'!AI42="","",+'Pon-Bat'!AI42/'Pon-Bat'!AG42)</f>
        <v/>
      </c>
      <c r="BD42" s="504" t="str">
        <f>IF('Pon-Bat'!AI42="","",+(SUM('Pon-Bat'!$AI$8:AI42)/SUM('Pon-Bat'!$AG$8:AG42)))</f>
        <v/>
      </c>
      <c r="BE42" s="494" t="str">
        <f>IF('Pon-Bat'!AJ42="","",+'Pon-Bat'!AJ42/'Pon-Bat'!AG42)</f>
        <v/>
      </c>
      <c r="BF42" s="504" t="str">
        <f>IF('Pon-Bat'!AJ42="","",+(SUM('Pon-Bat'!$AJ$8:AJ42)/SUM('Pon-Bat'!$AG$8:AG42)))</f>
        <v/>
      </c>
      <c r="BG42" s="494" t="str">
        <f>IF('Pon-Bat'!AK42="","",+'Pon-Bat'!AK42/'Pon-Bat'!AG42)</f>
        <v/>
      </c>
      <c r="BH42" s="504" t="str">
        <f>IF('Pon-Bat'!AK42="","",+(SUM('Pon-Bat'!$AK$8:AK42)/SUM('Pon-Bat'!$AG$8:AG42)))</f>
        <v/>
      </c>
      <c r="BI42" s="494" t="str">
        <f>IF('Pon-Bat'!AL42="","",+'Pon-Bat'!AL42/'Pon-Bat'!AG42)</f>
        <v/>
      </c>
      <c r="BJ42" s="496" t="str">
        <f>IF('Pon-Bat'!AL42="","",+(SUM('Pon-Bat'!$AL$8:AL42)/SUM('Pon-Bat'!$AG$8:AG42)))</f>
        <v/>
      </c>
      <c r="BK42" s="501" t="str">
        <f>IF('Pon-Bat'!AN42="","",+'Pon-Bat'!AN42/'Pon-Bat'!AM42)</f>
        <v/>
      </c>
      <c r="BL42" s="504" t="str">
        <f>IF('Pon-Bat'!AN42="","",+(SUM('Pon-Bat'!$AN$8:AN42)/SUM('Pon-Bat'!$AM$8:AM42)))</f>
        <v/>
      </c>
      <c r="BM42" s="499" t="str">
        <f>IF('Pon-Bat'!AO42="","",+'Pon-Bat'!AO42/'Pon-Bat'!AM42)</f>
        <v/>
      </c>
      <c r="BN42" s="504" t="str">
        <f>IF('Pon-Bat'!AO42="","",+(SUM('Pon-Bat'!$AO$8:AO42)/SUM('Pon-Bat'!$AM$8:AM42)))</f>
        <v/>
      </c>
      <c r="BO42" s="499" t="str">
        <f>IF('Pon-Bat'!AP42="","",+'Pon-Bat'!AP42/'Pon-Bat'!AM42)</f>
        <v/>
      </c>
      <c r="BP42" s="504" t="str">
        <f>IF('Pon-Bat'!AP42="","",+(SUM('Pon-Bat'!$AP$8:AP42)/SUM('Pon-Bat'!$AM$8:AM42)))</f>
        <v/>
      </c>
      <c r="BQ42" s="499" t="str">
        <f>IF('Pon-Bat'!AQ42="","",+'Pon-Bat'!AQ42/'Pon-Bat'!AM42)</f>
        <v/>
      </c>
      <c r="BR42" s="504" t="str">
        <f>IF('Pon-Bat'!AQ42="","",+(SUM('Pon-Bat'!$AQ$8:AQ42)/SUM('Pon-Bat'!$AM$8:AM42)))</f>
        <v/>
      </c>
      <c r="BS42" s="499" t="str">
        <f>IF('Pon-Bat'!AR42="","",+'Pon-Bat'!AR42/'Pon-Bat'!AM42)</f>
        <v/>
      </c>
      <c r="BT42" s="496" t="str">
        <f>IF('Pon-Bat'!AR42="","",+(SUM('Pon-Bat'!$AR$8:AR42)/SUM('Pon-Bat'!$AM$8:AM42)))</f>
        <v/>
      </c>
      <c r="BU42" s="501" t="str">
        <f>IF('Pon-Bat'!AT42="","",+'Pon-Bat'!AT42/'Pon-Bat'!AS42)</f>
        <v/>
      </c>
      <c r="BV42" s="504" t="str">
        <f>IF('Pon-Bat'!AT42="","",+(SUM('Pon-Bat'!$AT$8:AT42)/SUM('Pon-Bat'!$AS$8:AS42)))</f>
        <v/>
      </c>
      <c r="BW42" s="499" t="str">
        <f>IF('Pon-Bat'!AU42="","",+'Pon-Bat'!AU42/'Pon-Bat'!AS42)</f>
        <v/>
      </c>
      <c r="BX42" s="504" t="str">
        <f>IF('Pon-Bat'!AU42="","",+(SUM('Pon-Bat'!$AU$8:AU42)/SUM('Pon-Bat'!$AS$8:AS42)))</f>
        <v/>
      </c>
      <c r="BY42" s="499" t="str">
        <f>IF('Pon-Bat'!AV42="","",+'Pon-Bat'!AV42/'Pon-Bat'!AS42)</f>
        <v/>
      </c>
      <c r="BZ42" s="504" t="str">
        <f>IF('Pon-Bat'!AV42="","",+(SUM('Pon-Bat'!$AV$8:AV42)/SUM('Pon-Bat'!$AS$8:AS42)))</f>
        <v/>
      </c>
      <c r="CA42" s="499" t="str">
        <f>IF('Pon-Bat'!AW42="","",+'Pon-Bat'!AW42/'Pon-Bat'!AS42)</f>
        <v/>
      </c>
      <c r="CB42" s="504" t="str">
        <f>IF('Pon-Bat'!AW42="","",+(SUM('Pon-Bat'!$AW$8:AW42)/SUM('Pon-Bat'!$AS$8:AS42)))</f>
        <v/>
      </c>
      <c r="CC42" s="499" t="str">
        <f>IF('Pon-Bat'!AX42="","",+'Pon-Bat'!AX42/'Pon-Bat'!AS42)</f>
        <v/>
      </c>
      <c r="CD42" s="496" t="str">
        <f>IF('Pon-Bat'!AX42="","",+(SUM('Pon-Bat'!$AX$8:AX42)/SUM('Pon-Bat'!$AS$8:AS42)))</f>
        <v/>
      </c>
      <c r="CE42" s="503" t="str">
        <f>IF('Pon-Bat'!AZ42="","",+'Pon-Bat'!AZ42/'Pon-Bat'!AY42)</f>
        <v/>
      </c>
      <c r="CF42" s="504" t="str">
        <f>IF('Pon-Bat'!AZ42="","",+(SUM('Pon-Bat'!$AZ$8:AZ42)/SUM('Pon-Bat'!$AY$8:AY42)))</f>
        <v/>
      </c>
      <c r="CG42" s="494" t="str">
        <f>IF('Pon-Bat'!BA42="","",+'Pon-Bat'!BA42/'Pon-Bat'!AY42)</f>
        <v/>
      </c>
      <c r="CH42" s="504" t="str">
        <f>IF('Pon-Bat'!BA42="","",+(SUM('Pon-Bat'!$BA$8:BA42)/SUM('Pon-Bat'!$AY$8:AY42)))</f>
        <v/>
      </c>
      <c r="CI42" s="499" t="str">
        <f>IF('Pon-Bat'!BB42="","",+'Pon-Bat'!BB42/'Pon-Bat'!AY42)</f>
        <v/>
      </c>
      <c r="CJ42" s="504" t="str">
        <f>IF('Pon-Bat'!BB42="","",+(SUM('Pon-Bat'!$BB$8:BB42)/SUM('Pon-Bat'!$AY$8:AY42)))</f>
        <v/>
      </c>
      <c r="CK42" s="494" t="str">
        <f>IF('Pon-Bat'!BC42="","",+'Pon-Bat'!BC42/'Pon-Bat'!AY42)</f>
        <v/>
      </c>
      <c r="CL42" s="504" t="str">
        <f>IF('Pon-Bat'!BC42="","",+(SUM('Pon-Bat'!$BC$8:BC42)/SUM('Pon-Bat'!$AY$8:AY42)))</f>
        <v/>
      </c>
      <c r="CM42" s="494" t="str">
        <f>IF('Pon-Bat'!BD42="","",+'Pon-Bat'!BD42/'Pon-Bat'!AY42)</f>
        <v/>
      </c>
      <c r="CN42" s="496" t="str">
        <f>IF('Pon-Bat'!BD42="","",+(SUM('Pon-Bat'!$BD$8:BD42)/SUM('Pon-Bat'!$AY$8:AY42)))</f>
        <v/>
      </c>
    </row>
    <row r="43" spans="1:92" ht="24" customHeight="1" thickBot="1" x14ac:dyDescent="0.25">
      <c r="A43" s="453">
        <f t="shared" si="2"/>
        <v>43656</v>
      </c>
      <c r="B43" s="465">
        <f t="shared" si="3"/>
        <v>58</v>
      </c>
      <c r="C43" s="503" t="str">
        <f>IF('Pon-Bat'!D43="","",+'Pon-Bat'!D43/'Pon-Bat'!C43)</f>
        <v/>
      </c>
      <c r="D43" s="504" t="str">
        <f>IF('Pon-Bat'!D43="","",+(SUM('Pon-Bat'!$D$8:D43)/SUM('Pon-Bat'!$C$8:C43)))</f>
        <v/>
      </c>
      <c r="E43" s="494" t="str">
        <f>IF('Pon-Bat'!E43="","",+'Pon-Bat'!E43/'Pon-Bat'!C43)</f>
        <v/>
      </c>
      <c r="F43" s="504" t="str">
        <f>IF('Pon-Bat'!E43="","",+(SUM('Pon-Bat'!$E$8:E43)/SUM('Pon-Bat'!$C$8:C43)))</f>
        <v/>
      </c>
      <c r="G43" s="494" t="str">
        <f>IF('Pon-Bat'!F43="","",+'Pon-Bat'!F43/'Pon-Bat'!C43)</f>
        <v/>
      </c>
      <c r="H43" s="504" t="str">
        <f>IF('Pon-Bat'!F43="","",+(SUM('Pon-Bat'!$F$8:F43)/SUM('Pon-Bat'!$C$8:C43)))</f>
        <v/>
      </c>
      <c r="I43" s="494" t="str">
        <f>IF('Pon-Bat'!G43="","",+'Pon-Bat'!G43/'Pon-Bat'!C43)</f>
        <v/>
      </c>
      <c r="J43" s="504" t="str">
        <f>IF('Pon-Bat'!G43="","",+(SUM('Pon-Bat'!$G$8:G43)/SUM('Pon-Bat'!$C$8:C43)))</f>
        <v/>
      </c>
      <c r="K43" s="494" t="str">
        <f>IF('Pon-Bat'!H43="","",+'Pon-Bat'!H43/'Pon-Bat'!C43)</f>
        <v/>
      </c>
      <c r="L43" s="496" t="str">
        <f>IF('Pon-Bat'!H43="","",+(SUM('Pon-Bat'!$H$8:H43)/SUM('Pon-Bat'!$C$8:C43)))</f>
        <v/>
      </c>
      <c r="M43" s="503" t="str">
        <f>IF('Pon-Bat'!J43="","",+'Pon-Bat'!J43/'Pon-Bat'!I43)</f>
        <v/>
      </c>
      <c r="N43" s="504" t="str">
        <f>IF('Pon-Bat'!J43="","",+(SUM('Pon-Bat'!$J$8:J43)/SUM('Pon-Bat'!$I$8:I43)))</f>
        <v/>
      </c>
      <c r="O43" s="494" t="str">
        <f>IF('Pon-Bat'!K43="","",+'Pon-Bat'!K43/'Pon-Bat'!I43)</f>
        <v/>
      </c>
      <c r="P43" s="504" t="str">
        <f>IF('Pon-Bat'!K43="","",+(SUM('Pon-Bat'!$K$8:K43)/SUM('Pon-Bat'!$I$8:I43)))</f>
        <v/>
      </c>
      <c r="Q43" s="494" t="str">
        <f>IF('Pon-Bat'!L43="","",+'Pon-Bat'!L43/'Pon-Bat'!I43)</f>
        <v/>
      </c>
      <c r="R43" s="504" t="str">
        <f>IF('Pon-Bat'!L43="","",+(SUM('Pon-Bat'!$L$8:L43)/SUM('Pon-Bat'!$I$8:I43)))</f>
        <v/>
      </c>
      <c r="S43" s="494" t="str">
        <f>IF('Pon-Bat'!M43="","",+'Pon-Bat'!M43/'Pon-Bat'!I43)</f>
        <v/>
      </c>
      <c r="T43" s="504" t="str">
        <f>IF('Pon-Bat'!M43="","",+(SUM('Pon-Bat'!$M$8:M43)/SUM('Pon-Bat'!$I$8:I43)))</f>
        <v/>
      </c>
      <c r="U43" s="494" t="str">
        <f>IF('Pon-Bat'!N43="","",+'Pon-Bat'!N43/'Pon-Bat'!I43)</f>
        <v/>
      </c>
      <c r="V43" s="496" t="str">
        <f>IF('Pon-Bat'!N43="","",+(SUM('Pon-Bat'!$N$8:N43)/SUM('Pon-Bat'!$I$8:I43)))</f>
        <v/>
      </c>
      <c r="W43" s="503" t="str">
        <f>IF('Pon-Bat'!P43="","",+'Pon-Bat'!P43/'Pon-Bat'!O43)</f>
        <v/>
      </c>
      <c r="X43" s="504" t="str">
        <f>IF('Pon-Bat'!P43="","",+(SUM('Pon-Bat'!$P$8:P43)/SUM('Pon-Bat'!$O$8:O43)))</f>
        <v/>
      </c>
      <c r="Y43" s="494" t="str">
        <f>IF('Pon-Bat'!Q43="","",+'Pon-Bat'!Q43/'Pon-Bat'!O43)</f>
        <v/>
      </c>
      <c r="Z43" s="504" t="str">
        <f>IF('Pon-Bat'!Q43="","",+(SUM('Pon-Bat'!$Q$8:Q43)/SUM('Pon-Bat'!$O$8:O43)))</f>
        <v/>
      </c>
      <c r="AA43" s="494" t="str">
        <f>IF('Pon-Bat'!R43="","",+'Pon-Bat'!R43/'Pon-Bat'!O43)</f>
        <v/>
      </c>
      <c r="AB43" s="504" t="str">
        <f>IF('Pon-Bat'!R43="","",+(SUM('Pon-Bat'!$R$8:R43)/SUM('Pon-Bat'!$O$8:O43)))</f>
        <v/>
      </c>
      <c r="AC43" s="494" t="str">
        <f>IF('Pon-Bat'!S43="","",+'Pon-Bat'!S43/'Pon-Bat'!O43)</f>
        <v/>
      </c>
      <c r="AD43" s="504" t="str">
        <f>IF('Pon-Bat'!S43="","",+(SUM('Pon-Bat'!$S$8:S43)/SUM('Pon-Bat'!$O$8:O43)))</f>
        <v/>
      </c>
      <c r="AE43" s="494" t="str">
        <f>IF('Pon-Bat'!T43="","",+'Pon-Bat'!T43/'Pon-Bat'!O43)</f>
        <v/>
      </c>
      <c r="AF43" s="496" t="str">
        <f>IF('Pon-Bat'!T43="","",+(SUM('Pon-Bat'!$T$8:T43)/SUM('Pon-Bat'!$O$8:O43)))</f>
        <v/>
      </c>
      <c r="AG43" s="503" t="str">
        <f>IF('Pon-Bat'!V43="","",+'Pon-Bat'!V43/'Pon-Bat'!U43)</f>
        <v/>
      </c>
      <c r="AH43" s="504" t="str">
        <f>IF('Pon-Bat'!V43="","",+(SUM('Pon-Bat'!$V$8:V43)/SUM('Pon-Bat'!$U$8:U43)))</f>
        <v/>
      </c>
      <c r="AI43" s="494" t="str">
        <f>IF('Pon-Bat'!W43="","",+'Pon-Bat'!W43/'Pon-Bat'!U43)</f>
        <v/>
      </c>
      <c r="AJ43" s="504" t="str">
        <f>IF('Pon-Bat'!W43="","",+(SUM('Pon-Bat'!$W$8:W43)/SUM('Pon-Bat'!$U$8:U43)))</f>
        <v/>
      </c>
      <c r="AK43" s="494" t="str">
        <f>IF('Pon-Bat'!X43="","",+'Pon-Bat'!X43/'Pon-Bat'!U43)</f>
        <v/>
      </c>
      <c r="AL43" s="504" t="str">
        <f>IF('Pon-Bat'!X43="","",+(SUM('Pon-Bat'!$X$8:X43)/SUM('Pon-Bat'!$U$8:U43)))</f>
        <v/>
      </c>
      <c r="AM43" s="494" t="str">
        <f>IF('Pon-Bat'!Y43="","",+'Pon-Bat'!Y43/'Pon-Bat'!U43)</f>
        <v/>
      </c>
      <c r="AN43" s="504" t="str">
        <f>IF('Pon-Bat'!Y43="","",+(SUM('Pon-Bat'!$Y$8:Y43)/SUM('Pon-Bat'!$U$8:U43)))</f>
        <v/>
      </c>
      <c r="AO43" s="494" t="str">
        <f>IF('Pon-Bat'!Z43="","",+'Pon-Bat'!Z43/'Pon-Bat'!U43)</f>
        <v/>
      </c>
      <c r="AP43" s="496" t="str">
        <f>IF('Pon-Bat'!Z43="","",+(SUM('Pon-Bat'!$Z$8:Z43)/SUM('Pon-Bat'!$U$8:U43)))</f>
        <v/>
      </c>
      <c r="AQ43" s="503" t="str">
        <f>IF('Pon-Bat'!AB43="","",+'Pon-Bat'!AB43/'Pon-Bat'!AA43)</f>
        <v/>
      </c>
      <c r="AR43" s="504" t="str">
        <f>IF('Pon-Bat'!AB43="","",+(SUM('Pon-Bat'!$AB$8:AB43)/SUM('Pon-Bat'!$AA$8:AA43)))</f>
        <v/>
      </c>
      <c r="AS43" s="494" t="str">
        <f>IF('Pon-Bat'!AC43="","",+'Pon-Bat'!AC43/'Pon-Bat'!AA43)</f>
        <v/>
      </c>
      <c r="AT43" s="504" t="str">
        <f>IF('Pon-Bat'!AC43="","",+(SUM('Pon-Bat'!$AC$8:AC43)/SUM('Pon-Bat'!$AA$8:AA43)))</f>
        <v/>
      </c>
      <c r="AU43" s="494" t="str">
        <f>IF('Pon-Bat'!AD43="","",+'Pon-Bat'!AD43/'Pon-Bat'!AA43)</f>
        <v/>
      </c>
      <c r="AV43" s="504" t="str">
        <f>IF('Pon-Bat'!AD43="","",+(SUM('Pon-Bat'!$AD$8:AD43)/SUM('Pon-Bat'!$AA$8:AA43)))</f>
        <v/>
      </c>
      <c r="AW43" s="494" t="str">
        <f>IF('Pon-Bat'!AE43="","",+'Pon-Bat'!AE43/'Pon-Bat'!AA43)</f>
        <v/>
      </c>
      <c r="AX43" s="504" t="str">
        <f>IF('Pon-Bat'!AE43="","",+(SUM('Pon-Bat'!$AE$8:AE43)/SUM('Pon-Bat'!$AA$8:AA43)))</f>
        <v/>
      </c>
      <c r="AY43" s="494" t="str">
        <f>IF('Pon-Bat'!AF43="","",+'Pon-Bat'!AF43/'Pon-Bat'!AA43)</f>
        <v/>
      </c>
      <c r="AZ43" s="496" t="str">
        <f>IF('Pon-Bat'!AF43="","",+(SUM('Pon-Bat'!$AF$8:AF43)/SUM('Pon-Bat'!$AA$8:AA43)))</f>
        <v/>
      </c>
      <c r="BA43" s="503" t="str">
        <f>IF('Pon-Bat'!AH43="","",+'Pon-Bat'!AH43/'Pon-Bat'!AG43)</f>
        <v/>
      </c>
      <c r="BB43" s="504" t="str">
        <f>IF('Pon-Bat'!AH43="","",+(SUM('Pon-Bat'!$AH$8:AH43)/SUM('Pon-Bat'!$AG$8:AG43)))</f>
        <v/>
      </c>
      <c r="BC43" s="494" t="str">
        <f>IF('Pon-Bat'!AI43="","",+'Pon-Bat'!AI43/'Pon-Bat'!AG43)</f>
        <v/>
      </c>
      <c r="BD43" s="504" t="str">
        <f>IF('Pon-Bat'!AI43="","",+(SUM('Pon-Bat'!$AI$8:AI43)/SUM('Pon-Bat'!$AG$8:AG43)))</f>
        <v/>
      </c>
      <c r="BE43" s="494" t="str">
        <f>IF('Pon-Bat'!AJ43="","",+'Pon-Bat'!AJ43/'Pon-Bat'!AG43)</f>
        <v/>
      </c>
      <c r="BF43" s="504" t="str">
        <f>IF('Pon-Bat'!AJ43="","",+(SUM('Pon-Bat'!$AJ$8:AJ43)/SUM('Pon-Bat'!$AG$8:AG43)))</f>
        <v/>
      </c>
      <c r="BG43" s="494" t="str">
        <f>IF('Pon-Bat'!AK43="","",+'Pon-Bat'!AK43/'Pon-Bat'!AG43)</f>
        <v/>
      </c>
      <c r="BH43" s="504" t="str">
        <f>IF('Pon-Bat'!AK43="","",+(SUM('Pon-Bat'!$AK$8:AK43)/SUM('Pon-Bat'!$AG$8:AG43)))</f>
        <v/>
      </c>
      <c r="BI43" s="494" t="str">
        <f>IF('Pon-Bat'!AL43="","",+'Pon-Bat'!AL43/'Pon-Bat'!AG43)</f>
        <v/>
      </c>
      <c r="BJ43" s="496" t="str">
        <f>IF('Pon-Bat'!AL43="","",+(SUM('Pon-Bat'!$AL$8:AL43)/SUM('Pon-Bat'!$AG$8:AG43)))</f>
        <v/>
      </c>
      <c r="BK43" s="501" t="str">
        <f>IF('Pon-Bat'!AN43="","",+'Pon-Bat'!AN43/'Pon-Bat'!AM43)</f>
        <v/>
      </c>
      <c r="BL43" s="504" t="str">
        <f>IF('Pon-Bat'!AN43="","",+(SUM('Pon-Bat'!$AN$8:AN43)/SUM('Pon-Bat'!$AM$8:AM43)))</f>
        <v/>
      </c>
      <c r="BM43" s="499" t="str">
        <f>IF('Pon-Bat'!AO43="","",+'Pon-Bat'!AO43/'Pon-Bat'!AM43)</f>
        <v/>
      </c>
      <c r="BN43" s="504" t="str">
        <f>IF('Pon-Bat'!AO43="","",+(SUM('Pon-Bat'!$AO$8:AO43)/SUM('Pon-Bat'!$AM$8:AM43)))</f>
        <v/>
      </c>
      <c r="BO43" s="499" t="str">
        <f>IF('Pon-Bat'!AP43="","",+'Pon-Bat'!AP43/'Pon-Bat'!AM43)</f>
        <v/>
      </c>
      <c r="BP43" s="504" t="str">
        <f>IF('Pon-Bat'!AP43="","",+(SUM('Pon-Bat'!$AP$8:AP43)/SUM('Pon-Bat'!$AM$8:AM43)))</f>
        <v/>
      </c>
      <c r="BQ43" s="499" t="str">
        <f>IF('Pon-Bat'!AQ43="","",+'Pon-Bat'!AQ43/'Pon-Bat'!AM43)</f>
        <v/>
      </c>
      <c r="BR43" s="504" t="str">
        <f>IF('Pon-Bat'!AQ43="","",+(SUM('Pon-Bat'!$AQ$8:AQ43)/SUM('Pon-Bat'!$AM$8:AM43)))</f>
        <v/>
      </c>
      <c r="BS43" s="499" t="str">
        <f>IF('Pon-Bat'!AR43="","",+'Pon-Bat'!AR43/'Pon-Bat'!AM43)</f>
        <v/>
      </c>
      <c r="BT43" s="496" t="str">
        <f>IF('Pon-Bat'!AR43="","",+(SUM('Pon-Bat'!$AR$8:AR43)/SUM('Pon-Bat'!$AM$8:AM43)))</f>
        <v/>
      </c>
      <c r="BU43" s="501" t="str">
        <f>IF('Pon-Bat'!AT43="","",+'Pon-Bat'!AT43/'Pon-Bat'!AS43)</f>
        <v/>
      </c>
      <c r="BV43" s="504" t="str">
        <f>IF('Pon-Bat'!AT43="","",+(SUM('Pon-Bat'!$AT$8:AT43)/SUM('Pon-Bat'!$AS$8:AS43)))</f>
        <v/>
      </c>
      <c r="BW43" s="499" t="str">
        <f>IF('Pon-Bat'!AU43="","",+'Pon-Bat'!AU43/'Pon-Bat'!AS43)</f>
        <v/>
      </c>
      <c r="BX43" s="504" t="str">
        <f>IF('Pon-Bat'!AU43="","",+(SUM('Pon-Bat'!$AU$8:AU43)/SUM('Pon-Bat'!$AS$8:AS43)))</f>
        <v/>
      </c>
      <c r="BY43" s="499" t="str">
        <f>IF('Pon-Bat'!AV43="","",+'Pon-Bat'!AV43/'Pon-Bat'!AS43)</f>
        <v/>
      </c>
      <c r="BZ43" s="504" t="str">
        <f>IF('Pon-Bat'!AV43="","",+(SUM('Pon-Bat'!$AV$8:AV43)/SUM('Pon-Bat'!$AS$8:AS43)))</f>
        <v/>
      </c>
      <c r="CA43" s="499" t="str">
        <f>IF('Pon-Bat'!AW43="","",+'Pon-Bat'!AW43/'Pon-Bat'!AS43)</f>
        <v/>
      </c>
      <c r="CB43" s="504" t="str">
        <f>IF('Pon-Bat'!AW43="","",+(SUM('Pon-Bat'!$AW$8:AW43)/SUM('Pon-Bat'!$AS$8:AS43)))</f>
        <v/>
      </c>
      <c r="CC43" s="499" t="str">
        <f>IF('Pon-Bat'!AX43="","",+'Pon-Bat'!AX43/'Pon-Bat'!AS43)</f>
        <v/>
      </c>
      <c r="CD43" s="496" t="str">
        <f>IF('Pon-Bat'!AX43="","",+(SUM('Pon-Bat'!$AX$8:AX43)/SUM('Pon-Bat'!$AS$8:AS43)))</f>
        <v/>
      </c>
      <c r="CE43" s="503" t="str">
        <f>IF('Pon-Bat'!AZ43="","",+'Pon-Bat'!AZ43/'Pon-Bat'!AY43)</f>
        <v/>
      </c>
      <c r="CF43" s="504" t="str">
        <f>IF('Pon-Bat'!AZ43="","",+(SUM('Pon-Bat'!$AZ$8:AZ43)/SUM('Pon-Bat'!$AY$8:AY43)))</f>
        <v/>
      </c>
      <c r="CG43" s="494" t="str">
        <f>IF('Pon-Bat'!BA43="","",+'Pon-Bat'!BA43/'Pon-Bat'!AY43)</f>
        <v/>
      </c>
      <c r="CH43" s="504" t="str">
        <f>IF('Pon-Bat'!BA43="","",+(SUM('Pon-Bat'!$BA$8:BA43)/SUM('Pon-Bat'!$AY$8:AY43)))</f>
        <v/>
      </c>
      <c r="CI43" s="499" t="str">
        <f>IF('Pon-Bat'!BB43="","",+'Pon-Bat'!BB43/'Pon-Bat'!AY43)</f>
        <v/>
      </c>
      <c r="CJ43" s="504" t="str">
        <f>IF('Pon-Bat'!BB43="","",+(SUM('Pon-Bat'!$BB$8:BB43)/SUM('Pon-Bat'!$AY$8:AY43)))</f>
        <v/>
      </c>
      <c r="CK43" s="494" t="str">
        <f>IF('Pon-Bat'!BC43="","",+'Pon-Bat'!BC43/'Pon-Bat'!AY43)</f>
        <v/>
      </c>
      <c r="CL43" s="504" t="str">
        <f>IF('Pon-Bat'!BC43="","",+(SUM('Pon-Bat'!$BC$8:BC43)/SUM('Pon-Bat'!$AY$8:AY43)))</f>
        <v/>
      </c>
      <c r="CM43" s="494" t="str">
        <f>IF('Pon-Bat'!BD43="","",+'Pon-Bat'!BD43/'Pon-Bat'!AY43)</f>
        <v/>
      </c>
      <c r="CN43" s="496" t="str">
        <f>IF('Pon-Bat'!BD43="","",+(SUM('Pon-Bat'!$BD$8:BD43)/SUM('Pon-Bat'!$AY$8:AY43)))</f>
        <v/>
      </c>
    </row>
    <row r="44" spans="1:92" ht="24" customHeight="1" thickBot="1" x14ac:dyDescent="0.25">
      <c r="A44" s="453">
        <f t="shared" si="2"/>
        <v>43663</v>
      </c>
      <c r="B44" s="465">
        <f t="shared" si="3"/>
        <v>59</v>
      </c>
      <c r="C44" s="503" t="str">
        <f>IF('Pon-Bat'!D44="","",+'Pon-Bat'!D44/'Pon-Bat'!C44)</f>
        <v/>
      </c>
      <c r="D44" s="504" t="str">
        <f>IF('Pon-Bat'!D44="","",+(SUM('Pon-Bat'!$D$8:D44)/SUM('Pon-Bat'!$C$8:C44)))</f>
        <v/>
      </c>
      <c r="E44" s="494" t="str">
        <f>IF('Pon-Bat'!E44="","",+'Pon-Bat'!E44/'Pon-Bat'!C44)</f>
        <v/>
      </c>
      <c r="F44" s="504" t="str">
        <f>IF('Pon-Bat'!E44="","",+(SUM('Pon-Bat'!$E$8:E44)/SUM('Pon-Bat'!$C$8:C44)))</f>
        <v/>
      </c>
      <c r="G44" s="494" t="str">
        <f>IF('Pon-Bat'!F44="","",+'Pon-Bat'!F44/'Pon-Bat'!C44)</f>
        <v/>
      </c>
      <c r="H44" s="504" t="str">
        <f>IF('Pon-Bat'!F44="","",+(SUM('Pon-Bat'!$F$8:F44)/SUM('Pon-Bat'!$C$8:C44)))</f>
        <v/>
      </c>
      <c r="I44" s="494" t="str">
        <f>IF('Pon-Bat'!G44="","",+'Pon-Bat'!G44/'Pon-Bat'!C44)</f>
        <v/>
      </c>
      <c r="J44" s="504" t="str">
        <f>IF('Pon-Bat'!G44="","",+(SUM('Pon-Bat'!$G$8:G44)/SUM('Pon-Bat'!$C$8:C44)))</f>
        <v/>
      </c>
      <c r="K44" s="494" t="str">
        <f>IF('Pon-Bat'!H44="","",+'Pon-Bat'!H44/'Pon-Bat'!C44)</f>
        <v/>
      </c>
      <c r="L44" s="496" t="str">
        <f>IF('Pon-Bat'!H44="","",+(SUM('Pon-Bat'!$H$8:H44)/SUM('Pon-Bat'!$C$8:C44)))</f>
        <v/>
      </c>
      <c r="M44" s="503" t="str">
        <f>IF('Pon-Bat'!J44="","",+'Pon-Bat'!J44/'Pon-Bat'!I44)</f>
        <v/>
      </c>
      <c r="N44" s="504" t="str">
        <f>IF('Pon-Bat'!J44="","",+(SUM('Pon-Bat'!$J$8:J44)/SUM('Pon-Bat'!$I$8:I44)))</f>
        <v/>
      </c>
      <c r="O44" s="494" t="str">
        <f>IF('Pon-Bat'!K44="","",+'Pon-Bat'!K44/'Pon-Bat'!I44)</f>
        <v/>
      </c>
      <c r="P44" s="504" t="str">
        <f>IF('Pon-Bat'!K44="","",+(SUM('Pon-Bat'!$K$8:K44)/SUM('Pon-Bat'!$I$8:I44)))</f>
        <v/>
      </c>
      <c r="Q44" s="494" t="str">
        <f>IF('Pon-Bat'!L44="","",+'Pon-Bat'!L44/'Pon-Bat'!I44)</f>
        <v/>
      </c>
      <c r="R44" s="504" t="str">
        <f>IF('Pon-Bat'!L44="","",+(SUM('Pon-Bat'!$L$8:L44)/SUM('Pon-Bat'!$I$8:I44)))</f>
        <v/>
      </c>
      <c r="S44" s="494" t="str">
        <f>IF('Pon-Bat'!M44="","",+'Pon-Bat'!M44/'Pon-Bat'!I44)</f>
        <v/>
      </c>
      <c r="T44" s="504" t="str">
        <f>IF('Pon-Bat'!M44="","",+(SUM('Pon-Bat'!$M$8:M44)/SUM('Pon-Bat'!$I$8:I44)))</f>
        <v/>
      </c>
      <c r="U44" s="494" t="str">
        <f>IF('Pon-Bat'!N44="","",+'Pon-Bat'!N44/'Pon-Bat'!I44)</f>
        <v/>
      </c>
      <c r="V44" s="496" t="str">
        <f>IF('Pon-Bat'!N44="","",+(SUM('Pon-Bat'!$N$8:N44)/SUM('Pon-Bat'!$I$8:I44)))</f>
        <v/>
      </c>
      <c r="W44" s="503" t="str">
        <f>IF('Pon-Bat'!P44="","",+'Pon-Bat'!P44/'Pon-Bat'!O44)</f>
        <v/>
      </c>
      <c r="X44" s="504" t="str">
        <f>IF('Pon-Bat'!P44="","",+(SUM('Pon-Bat'!$P$8:P44)/SUM('Pon-Bat'!$O$8:O44)))</f>
        <v/>
      </c>
      <c r="Y44" s="494" t="str">
        <f>IF('Pon-Bat'!Q44="","",+'Pon-Bat'!Q44/'Pon-Bat'!O44)</f>
        <v/>
      </c>
      <c r="Z44" s="504" t="str">
        <f>IF('Pon-Bat'!Q44="","",+(SUM('Pon-Bat'!$Q$8:Q44)/SUM('Pon-Bat'!$O$8:O44)))</f>
        <v/>
      </c>
      <c r="AA44" s="494" t="str">
        <f>IF('Pon-Bat'!R44="","",+'Pon-Bat'!R44/'Pon-Bat'!O44)</f>
        <v/>
      </c>
      <c r="AB44" s="504" t="str">
        <f>IF('Pon-Bat'!R44="","",+(SUM('Pon-Bat'!$R$8:R44)/SUM('Pon-Bat'!$O$8:O44)))</f>
        <v/>
      </c>
      <c r="AC44" s="494" t="str">
        <f>IF('Pon-Bat'!S44="","",+'Pon-Bat'!S44/'Pon-Bat'!O44)</f>
        <v/>
      </c>
      <c r="AD44" s="504" t="str">
        <f>IF('Pon-Bat'!S44="","",+(SUM('Pon-Bat'!$S$8:S44)/SUM('Pon-Bat'!$O$8:O44)))</f>
        <v/>
      </c>
      <c r="AE44" s="494" t="str">
        <f>IF('Pon-Bat'!T44="","",+'Pon-Bat'!T44/'Pon-Bat'!O44)</f>
        <v/>
      </c>
      <c r="AF44" s="496" t="str">
        <f>IF('Pon-Bat'!T44="","",+(SUM('Pon-Bat'!$T$8:T44)/SUM('Pon-Bat'!$O$8:O44)))</f>
        <v/>
      </c>
      <c r="AG44" s="503" t="str">
        <f>IF('Pon-Bat'!V44="","",+'Pon-Bat'!V44/'Pon-Bat'!U44)</f>
        <v/>
      </c>
      <c r="AH44" s="504" t="str">
        <f>IF('Pon-Bat'!V44="","",+(SUM('Pon-Bat'!$V$8:V44)/SUM('Pon-Bat'!$U$8:U44)))</f>
        <v/>
      </c>
      <c r="AI44" s="494" t="str">
        <f>IF('Pon-Bat'!W44="","",+'Pon-Bat'!W44/'Pon-Bat'!U44)</f>
        <v/>
      </c>
      <c r="AJ44" s="504" t="str">
        <f>IF('Pon-Bat'!W44="","",+(SUM('Pon-Bat'!$W$8:W44)/SUM('Pon-Bat'!$U$8:U44)))</f>
        <v/>
      </c>
      <c r="AK44" s="494" t="str">
        <f>IF('Pon-Bat'!X44="","",+'Pon-Bat'!X44/'Pon-Bat'!U44)</f>
        <v/>
      </c>
      <c r="AL44" s="504" t="str">
        <f>IF('Pon-Bat'!X44="","",+(SUM('Pon-Bat'!$X$8:X44)/SUM('Pon-Bat'!$U$8:U44)))</f>
        <v/>
      </c>
      <c r="AM44" s="494" t="str">
        <f>IF('Pon-Bat'!Y44="","",+'Pon-Bat'!Y44/'Pon-Bat'!U44)</f>
        <v/>
      </c>
      <c r="AN44" s="504" t="str">
        <f>IF('Pon-Bat'!Y44="","",+(SUM('Pon-Bat'!$Y$8:Y44)/SUM('Pon-Bat'!$U$8:U44)))</f>
        <v/>
      </c>
      <c r="AO44" s="494" t="str">
        <f>IF('Pon-Bat'!Z44="","",+'Pon-Bat'!Z44/'Pon-Bat'!U44)</f>
        <v/>
      </c>
      <c r="AP44" s="496" t="str">
        <f>IF('Pon-Bat'!Z44="","",+(SUM('Pon-Bat'!$Z$8:Z44)/SUM('Pon-Bat'!$U$8:U44)))</f>
        <v/>
      </c>
      <c r="AQ44" s="503" t="str">
        <f>IF('Pon-Bat'!AB44="","",+'Pon-Bat'!AB44/'Pon-Bat'!AA44)</f>
        <v/>
      </c>
      <c r="AR44" s="504" t="str">
        <f>IF('Pon-Bat'!AB44="","",+(SUM('Pon-Bat'!$AB$8:AB44)/SUM('Pon-Bat'!$AA$8:AA44)))</f>
        <v/>
      </c>
      <c r="AS44" s="494" t="str">
        <f>IF('Pon-Bat'!AC44="","",+'Pon-Bat'!AC44/'Pon-Bat'!AA44)</f>
        <v/>
      </c>
      <c r="AT44" s="504" t="str">
        <f>IF('Pon-Bat'!AC44="","",+(SUM('Pon-Bat'!$AC$8:AC44)/SUM('Pon-Bat'!$AA$8:AA44)))</f>
        <v/>
      </c>
      <c r="AU44" s="494" t="str">
        <f>IF('Pon-Bat'!AD44="","",+'Pon-Bat'!AD44/'Pon-Bat'!AA44)</f>
        <v/>
      </c>
      <c r="AV44" s="504" t="str">
        <f>IF('Pon-Bat'!AD44="","",+(SUM('Pon-Bat'!$AD$8:AD44)/SUM('Pon-Bat'!$AA$8:AA44)))</f>
        <v/>
      </c>
      <c r="AW44" s="494" t="str">
        <f>IF('Pon-Bat'!AE44="","",+'Pon-Bat'!AE44/'Pon-Bat'!AA44)</f>
        <v/>
      </c>
      <c r="AX44" s="504" t="str">
        <f>IF('Pon-Bat'!AE44="","",+(SUM('Pon-Bat'!$AE$8:AE44)/SUM('Pon-Bat'!$AA$8:AA44)))</f>
        <v/>
      </c>
      <c r="AY44" s="494" t="str">
        <f>IF('Pon-Bat'!AF44="","",+'Pon-Bat'!AF44/'Pon-Bat'!AA44)</f>
        <v/>
      </c>
      <c r="AZ44" s="496" t="str">
        <f>IF('Pon-Bat'!AF44="","",+(SUM('Pon-Bat'!$AF$8:AF44)/SUM('Pon-Bat'!$AA$8:AA44)))</f>
        <v/>
      </c>
      <c r="BA44" s="503" t="str">
        <f>IF('Pon-Bat'!AH44="","",+'Pon-Bat'!AH44/'Pon-Bat'!AG44)</f>
        <v/>
      </c>
      <c r="BB44" s="504" t="str">
        <f>IF('Pon-Bat'!AH44="","",+(SUM('Pon-Bat'!$AH$8:AH44)/SUM('Pon-Bat'!$AG$8:AG44)))</f>
        <v/>
      </c>
      <c r="BC44" s="494" t="str">
        <f>IF('Pon-Bat'!AI44="","",+'Pon-Bat'!AI44/'Pon-Bat'!AG44)</f>
        <v/>
      </c>
      <c r="BD44" s="504" t="str">
        <f>IF('Pon-Bat'!AI44="","",+(SUM('Pon-Bat'!$AI$8:AI44)/SUM('Pon-Bat'!$AG$8:AG44)))</f>
        <v/>
      </c>
      <c r="BE44" s="494" t="str">
        <f>IF('Pon-Bat'!AJ44="","",+'Pon-Bat'!AJ44/'Pon-Bat'!AG44)</f>
        <v/>
      </c>
      <c r="BF44" s="504" t="str">
        <f>IF('Pon-Bat'!AJ44="","",+(SUM('Pon-Bat'!$AJ$8:AJ44)/SUM('Pon-Bat'!$AG$8:AG44)))</f>
        <v/>
      </c>
      <c r="BG44" s="494" t="str">
        <f>IF('Pon-Bat'!AK44="","",+'Pon-Bat'!AK44/'Pon-Bat'!AG44)</f>
        <v/>
      </c>
      <c r="BH44" s="504" t="str">
        <f>IF('Pon-Bat'!AK44="","",+(SUM('Pon-Bat'!$AK$8:AK44)/SUM('Pon-Bat'!$AG$8:AG44)))</f>
        <v/>
      </c>
      <c r="BI44" s="494" t="str">
        <f>IF('Pon-Bat'!AL44="","",+'Pon-Bat'!AL44/'Pon-Bat'!AG44)</f>
        <v/>
      </c>
      <c r="BJ44" s="496" t="str">
        <f>IF('Pon-Bat'!AL44="","",+(SUM('Pon-Bat'!$AL$8:AL44)/SUM('Pon-Bat'!$AG$8:AG44)))</f>
        <v/>
      </c>
      <c r="BK44" s="501" t="str">
        <f>IF('Pon-Bat'!AN44="","",+'Pon-Bat'!AN44/'Pon-Bat'!AM44)</f>
        <v/>
      </c>
      <c r="BL44" s="504" t="str">
        <f>IF('Pon-Bat'!AN44="","",+(SUM('Pon-Bat'!$AN$8:AN44)/SUM('Pon-Bat'!$AM$8:AM44)))</f>
        <v/>
      </c>
      <c r="BM44" s="499" t="str">
        <f>IF('Pon-Bat'!AO44="","",+'Pon-Bat'!AO44/'Pon-Bat'!AM44)</f>
        <v/>
      </c>
      <c r="BN44" s="504" t="str">
        <f>IF('Pon-Bat'!AO44="","",+(SUM('Pon-Bat'!$AO$8:AO44)/SUM('Pon-Bat'!$AM$8:AM44)))</f>
        <v/>
      </c>
      <c r="BO44" s="499" t="str">
        <f>IF('Pon-Bat'!AP44="","",+'Pon-Bat'!AP44/'Pon-Bat'!AM44)</f>
        <v/>
      </c>
      <c r="BP44" s="504" t="str">
        <f>IF('Pon-Bat'!AP44="","",+(SUM('Pon-Bat'!$AP$8:AP44)/SUM('Pon-Bat'!$AM$8:AM44)))</f>
        <v/>
      </c>
      <c r="BQ44" s="499" t="str">
        <f>IF('Pon-Bat'!AQ44="","",+'Pon-Bat'!AQ44/'Pon-Bat'!AM44)</f>
        <v/>
      </c>
      <c r="BR44" s="504" t="str">
        <f>IF('Pon-Bat'!AQ44="","",+(SUM('Pon-Bat'!$AQ$8:AQ44)/SUM('Pon-Bat'!$AM$8:AM44)))</f>
        <v/>
      </c>
      <c r="BS44" s="499" t="str">
        <f>IF('Pon-Bat'!AR44="","",+'Pon-Bat'!AR44/'Pon-Bat'!AM44)</f>
        <v/>
      </c>
      <c r="BT44" s="496" t="str">
        <f>IF('Pon-Bat'!AR44="","",+(SUM('Pon-Bat'!$AR$8:AR44)/SUM('Pon-Bat'!$AM$8:AM44)))</f>
        <v/>
      </c>
      <c r="BU44" s="501" t="str">
        <f>IF('Pon-Bat'!AT44="","",+'Pon-Bat'!AT44/'Pon-Bat'!AS44)</f>
        <v/>
      </c>
      <c r="BV44" s="504" t="str">
        <f>IF('Pon-Bat'!AT44="","",+(SUM('Pon-Bat'!$AT$8:AT44)/SUM('Pon-Bat'!$AS$8:AS44)))</f>
        <v/>
      </c>
      <c r="BW44" s="499" t="str">
        <f>IF('Pon-Bat'!AU44="","",+'Pon-Bat'!AU44/'Pon-Bat'!AS44)</f>
        <v/>
      </c>
      <c r="BX44" s="504" t="str">
        <f>IF('Pon-Bat'!AU44="","",+(SUM('Pon-Bat'!$AU$8:AU44)/SUM('Pon-Bat'!$AS$8:AS44)))</f>
        <v/>
      </c>
      <c r="BY44" s="499" t="str">
        <f>IF('Pon-Bat'!AV44="","",+'Pon-Bat'!AV44/'Pon-Bat'!AS44)</f>
        <v/>
      </c>
      <c r="BZ44" s="504" t="str">
        <f>IF('Pon-Bat'!AV44="","",+(SUM('Pon-Bat'!$AV$8:AV44)/SUM('Pon-Bat'!$AS$8:AS44)))</f>
        <v/>
      </c>
      <c r="CA44" s="499" t="str">
        <f>IF('Pon-Bat'!AW44="","",+'Pon-Bat'!AW44/'Pon-Bat'!AS44)</f>
        <v/>
      </c>
      <c r="CB44" s="504" t="str">
        <f>IF('Pon-Bat'!AW44="","",+(SUM('Pon-Bat'!$AW$8:AW44)/SUM('Pon-Bat'!$AS$8:AS44)))</f>
        <v/>
      </c>
      <c r="CC44" s="499" t="str">
        <f>IF('Pon-Bat'!AX44="","",+'Pon-Bat'!AX44/'Pon-Bat'!AS44)</f>
        <v/>
      </c>
      <c r="CD44" s="496" t="str">
        <f>IF('Pon-Bat'!AX44="","",+(SUM('Pon-Bat'!$AX$8:AX44)/SUM('Pon-Bat'!$AS$8:AS44)))</f>
        <v/>
      </c>
      <c r="CE44" s="503" t="str">
        <f>IF('Pon-Bat'!AZ44="","",+'Pon-Bat'!AZ44/'Pon-Bat'!AY44)</f>
        <v/>
      </c>
      <c r="CF44" s="504" t="str">
        <f>IF('Pon-Bat'!AZ44="","",+(SUM('Pon-Bat'!$AZ$8:AZ44)/SUM('Pon-Bat'!$AY$8:AY44)))</f>
        <v/>
      </c>
      <c r="CG44" s="494" t="str">
        <f>IF('Pon-Bat'!BA44="","",+'Pon-Bat'!BA44/'Pon-Bat'!AY44)</f>
        <v/>
      </c>
      <c r="CH44" s="504" t="str">
        <f>IF('Pon-Bat'!BA44="","",+(SUM('Pon-Bat'!$BA$8:BA44)/SUM('Pon-Bat'!$AY$8:AY44)))</f>
        <v/>
      </c>
      <c r="CI44" s="499" t="str">
        <f>IF('Pon-Bat'!BB44="","",+'Pon-Bat'!BB44/'Pon-Bat'!AY44)</f>
        <v/>
      </c>
      <c r="CJ44" s="504" t="str">
        <f>IF('Pon-Bat'!BB44="","",+(SUM('Pon-Bat'!$BB$8:BB44)/SUM('Pon-Bat'!$AY$8:AY44)))</f>
        <v/>
      </c>
      <c r="CK44" s="494" t="str">
        <f>IF('Pon-Bat'!BC44="","",+'Pon-Bat'!BC44/'Pon-Bat'!AY44)</f>
        <v/>
      </c>
      <c r="CL44" s="504" t="str">
        <f>IF('Pon-Bat'!BC44="","",+(SUM('Pon-Bat'!$BC$8:BC44)/SUM('Pon-Bat'!$AY$8:AY44)))</f>
        <v/>
      </c>
      <c r="CM44" s="494" t="str">
        <f>IF('Pon-Bat'!BD44="","",+'Pon-Bat'!BD44/'Pon-Bat'!AY44)</f>
        <v/>
      </c>
      <c r="CN44" s="496" t="str">
        <f>IF('Pon-Bat'!BD44="","",+(SUM('Pon-Bat'!$BD$8:BD44)/SUM('Pon-Bat'!$AY$8:AY44)))</f>
        <v/>
      </c>
    </row>
    <row r="45" spans="1:92" ht="24" customHeight="1" thickBot="1" x14ac:dyDescent="0.25">
      <c r="A45" s="453">
        <f t="shared" si="2"/>
        <v>43670</v>
      </c>
      <c r="B45" s="465">
        <f t="shared" si="3"/>
        <v>60</v>
      </c>
      <c r="C45" s="503" t="str">
        <f>IF('Pon-Bat'!D45="","",+'Pon-Bat'!D45/'Pon-Bat'!C45)</f>
        <v/>
      </c>
      <c r="D45" s="504" t="str">
        <f>IF('Pon-Bat'!D45="","",+(SUM('Pon-Bat'!$D$8:D45)/SUM('Pon-Bat'!$C$8:C45)))</f>
        <v/>
      </c>
      <c r="E45" s="494" t="str">
        <f>IF('Pon-Bat'!E45="","",+'Pon-Bat'!E45/'Pon-Bat'!C45)</f>
        <v/>
      </c>
      <c r="F45" s="504" t="str">
        <f>IF('Pon-Bat'!E45="","",+(SUM('Pon-Bat'!$E$8:E45)/SUM('Pon-Bat'!$C$8:C45)))</f>
        <v/>
      </c>
      <c r="G45" s="494" t="str">
        <f>IF('Pon-Bat'!F45="","",+'Pon-Bat'!F45/'Pon-Bat'!C45)</f>
        <v/>
      </c>
      <c r="H45" s="504" t="str">
        <f>IF('Pon-Bat'!F45="","",+(SUM('Pon-Bat'!$F$8:F45)/SUM('Pon-Bat'!$C$8:C45)))</f>
        <v/>
      </c>
      <c r="I45" s="494" t="str">
        <f>IF('Pon-Bat'!G45="","",+'Pon-Bat'!G45/'Pon-Bat'!C45)</f>
        <v/>
      </c>
      <c r="J45" s="504" t="str">
        <f>IF('Pon-Bat'!G45="","",+(SUM('Pon-Bat'!$G$8:G45)/SUM('Pon-Bat'!$C$8:C45)))</f>
        <v/>
      </c>
      <c r="K45" s="494" t="str">
        <f>IF('Pon-Bat'!H45="","",+'Pon-Bat'!H45/'Pon-Bat'!C45)</f>
        <v/>
      </c>
      <c r="L45" s="496" t="str">
        <f>IF('Pon-Bat'!H45="","",+(SUM('Pon-Bat'!$H$8:H45)/SUM('Pon-Bat'!$C$8:C45)))</f>
        <v/>
      </c>
      <c r="M45" s="503" t="str">
        <f>IF('Pon-Bat'!J45="","",+'Pon-Bat'!J45/'Pon-Bat'!I45)</f>
        <v/>
      </c>
      <c r="N45" s="504" t="str">
        <f>IF('Pon-Bat'!J45="","",+(SUM('Pon-Bat'!$J$8:J45)/SUM('Pon-Bat'!$I$8:I45)))</f>
        <v/>
      </c>
      <c r="O45" s="494" t="str">
        <f>IF('Pon-Bat'!K45="","",+'Pon-Bat'!K45/'Pon-Bat'!I45)</f>
        <v/>
      </c>
      <c r="P45" s="504" t="str">
        <f>IF('Pon-Bat'!K45="","",+(SUM('Pon-Bat'!$K$8:K45)/SUM('Pon-Bat'!$I$8:I45)))</f>
        <v/>
      </c>
      <c r="Q45" s="494" t="str">
        <f>IF('Pon-Bat'!L45="","",+'Pon-Bat'!L45/'Pon-Bat'!I45)</f>
        <v/>
      </c>
      <c r="R45" s="504" t="str">
        <f>IF('Pon-Bat'!L45="","",+(SUM('Pon-Bat'!$L$8:L45)/SUM('Pon-Bat'!$I$8:I45)))</f>
        <v/>
      </c>
      <c r="S45" s="494" t="str">
        <f>IF('Pon-Bat'!M45="","",+'Pon-Bat'!M45/'Pon-Bat'!I45)</f>
        <v/>
      </c>
      <c r="T45" s="504" t="str">
        <f>IF('Pon-Bat'!M45="","",+(SUM('Pon-Bat'!$M$8:M45)/SUM('Pon-Bat'!$I$8:I45)))</f>
        <v/>
      </c>
      <c r="U45" s="494" t="str">
        <f>IF('Pon-Bat'!N45="","",+'Pon-Bat'!N45/'Pon-Bat'!I45)</f>
        <v/>
      </c>
      <c r="V45" s="496" t="str">
        <f>IF('Pon-Bat'!N45="","",+(SUM('Pon-Bat'!$N$8:N45)/SUM('Pon-Bat'!$I$8:I45)))</f>
        <v/>
      </c>
      <c r="W45" s="503" t="str">
        <f>IF('Pon-Bat'!P45="","",+'Pon-Bat'!P45/'Pon-Bat'!O45)</f>
        <v/>
      </c>
      <c r="X45" s="504" t="str">
        <f>IF('Pon-Bat'!P45="","",+(SUM('Pon-Bat'!$P$8:P45)/SUM('Pon-Bat'!$O$8:O45)))</f>
        <v/>
      </c>
      <c r="Y45" s="494" t="str">
        <f>IF('Pon-Bat'!Q45="","",+'Pon-Bat'!Q45/'Pon-Bat'!O45)</f>
        <v/>
      </c>
      <c r="Z45" s="504" t="str">
        <f>IF('Pon-Bat'!Q45="","",+(SUM('Pon-Bat'!$Q$8:Q45)/SUM('Pon-Bat'!$O$8:O45)))</f>
        <v/>
      </c>
      <c r="AA45" s="494" t="str">
        <f>IF('Pon-Bat'!R45="","",+'Pon-Bat'!R45/'Pon-Bat'!O45)</f>
        <v/>
      </c>
      <c r="AB45" s="504" t="str">
        <f>IF('Pon-Bat'!R45="","",+(SUM('Pon-Bat'!$R$8:R45)/SUM('Pon-Bat'!$O$8:O45)))</f>
        <v/>
      </c>
      <c r="AC45" s="494" t="str">
        <f>IF('Pon-Bat'!S45="","",+'Pon-Bat'!S45/'Pon-Bat'!O45)</f>
        <v/>
      </c>
      <c r="AD45" s="504" t="str">
        <f>IF('Pon-Bat'!S45="","",+(SUM('Pon-Bat'!$S$8:S45)/SUM('Pon-Bat'!$O$8:O45)))</f>
        <v/>
      </c>
      <c r="AE45" s="494" t="str">
        <f>IF('Pon-Bat'!T45="","",+'Pon-Bat'!T45/'Pon-Bat'!O45)</f>
        <v/>
      </c>
      <c r="AF45" s="496" t="str">
        <f>IF('Pon-Bat'!T45="","",+(SUM('Pon-Bat'!$T$8:T45)/SUM('Pon-Bat'!$O$8:O45)))</f>
        <v/>
      </c>
      <c r="AG45" s="503" t="str">
        <f>IF('Pon-Bat'!V45="","",+'Pon-Bat'!V45/'Pon-Bat'!U45)</f>
        <v/>
      </c>
      <c r="AH45" s="504" t="str">
        <f>IF('Pon-Bat'!V45="","",+(SUM('Pon-Bat'!$V$8:V45)/SUM('Pon-Bat'!$U$8:U45)))</f>
        <v/>
      </c>
      <c r="AI45" s="494" t="str">
        <f>IF('Pon-Bat'!W45="","",+'Pon-Bat'!W45/'Pon-Bat'!U45)</f>
        <v/>
      </c>
      <c r="AJ45" s="504" t="str">
        <f>IF('Pon-Bat'!W45="","",+(SUM('Pon-Bat'!$W$8:W45)/SUM('Pon-Bat'!$U$8:U45)))</f>
        <v/>
      </c>
      <c r="AK45" s="494" t="str">
        <f>IF('Pon-Bat'!X45="","",+'Pon-Bat'!X45/'Pon-Bat'!U45)</f>
        <v/>
      </c>
      <c r="AL45" s="504" t="str">
        <f>IF('Pon-Bat'!X45="","",+(SUM('Pon-Bat'!$X$8:X45)/SUM('Pon-Bat'!$U$8:U45)))</f>
        <v/>
      </c>
      <c r="AM45" s="494" t="str">
        <f>IF('Pon-Bat'!Y45="","",+'Pon-Bat'!Y45/'Pon-Bat'!U45)</f>
        <v/>
      </c>
      <c r="AN45" s="504" t="str">
        <f>IF('Pon-Bat'!Y45="","",+(SUM('Pon-Bat'!$Y$8:Y45)/SUM('Pon-Bat'!$U$8:U45)))</f>
        <v/>
      </c>
      <c r="AO45" s="494" t="str">
        <f>IF('Pon-Bat'!Z45="","",+'Pon-Bat'!Z45/'Pon-Bat'!U45)</f>
        <v/>
      </c>
      <c r="AP45" s="496" t="str">
        <f>IF('Pon-Bat'!Z45="","",+(SUM('Pon-Bat'!$Z$8:Z45)/SUM('Pon-Bat'!$U$8:U45)))</f>
        <v/>
      </c>
      <c r="AQ45" s="503" t="str">
        <f>IF('Pon-Bat'!AB45="","",+'Pon-Bat'!AB45/'Pon-Bat'!AA45)</f>
        <v/>
      </c>
      <c r="AR45" s="504" t="str">
        <f>IF('Pon-Bat'!AB45="","",+(SUM('Pon-Bat'!$AB$8:AB45)/SUM('Pon-Bat'!$AA$8:AA45)))</f>
        <v/>
      </c>
      <c r="AS45" s="494" t="str">
        <f>IF('Pon-Bat'!AC45="","",+'Pon-Bat'!AC45/'Pon-Bat'!AA45)</f>
        <v/>
      </c>
      <c r="AT45" s="504" t="str">
        <f>IF('Pon-Bat'!AC45="","",+(SUM('Pon-Bat'!$AC$8:AC45)/SUM('Pon-Bat'!$AA$8:AA45)))</f>
        <v/>
      </c>
      <c r="AU45" s="494" t="str">
        <f>IF('Pon-Bat'!AD45="","",+'Pon-Bat'!AD45/'Pon-Bat'!AA45)</f>
        <v/>
      </c>
      <c r="AV45" s="504" t="str">
        <f>IF('Pon-Bat'!AD45="","",+(SUM('Pon-Bat'!$AD$8:AD45)/SUM('Pon-Bat'!$AA$8:AA45)))</f>
        <v/>
      </c>
      <c r="AW45" s="494" t="str">
        <f>IF('Pon-Bat'!AE45="","",+'Pon-Bat'!AE45/'Pon-Bat'!AA45)</f>
        <v/>
      </c>
      <c r="AX45" s="504" t="str">
        <f>IF('Pon-Bat'!AE45="","",+(SUM('Pon-Bat'!$AE$8:AE45)/SUM('Pon-Bat'!$AA$8:AA45)))</f>
        <v/>
      </c>
      <c r="AY45" s="494" t="str">
        <f>IF('Pon-Bat'!AF45="","",+'Pon-Bat'!AF45/'Pon-Bat'!AA45)</f>
        <v/>
      </c>
      <c r="AZ45" s="496" t="str">
        <f>IF('Pon-Bat'!AF45="","",+(SUM('Pon-Bat'!$AF$8:AF45)/SUM('Pon-Bat'!$AA$8:AA45)))</f>
        <v/>
      </c>
      <c r="BA45" s="503" t="str">
        <f>IF('Pon-Bat'!AH45="","",+'Pon-Bat'!AH45/'Pon-Bat'!AG45)</f>
        <v/>
      </c>
      <c r="BB45" s="504" t="str">
        <f>IF('Pon-Bat'!AH45="","",+(SUM('Pon-Bat'!$AH$8:AH45)/SUM('Pon-Bat'!$AG$8:AG45)))</f>
        <v/>
      </c>
      <c r="BC45" s="494" t="str">
        <f>IF('Pon-Bat'!AI45="","",+'Pon-Bat'!AI45/'Pon-Bat'!AG45)</f>
        <v/>
      </c>
      <c r="BD45" s="504" t="str">
        <f>IF('Pon-Bat'!AI45="","",+(SUM('Pon-Bat'!$AI$8:AI45)/SUM('Pon-Bat'!$AG$8:AG45)))</f>
        <v/>
      </c>
      <c r="BE45" s="494" t="str">
        <f>IF('Pon-Bat'!AJ45="","",+'Pon-Bat'!AJ45/'Pon-Bat'!AG45)</f>
        <v/>
      </c>
      <c r="BF45" s="504" t="str">
        <f>IF('Pon-Bat'!AJ45="","",+(SUM('Pon-Bat'!$AJ$8:AJ45)/SUM('Pon-Bat'!$AG$8:AG45)))</f>
        <v/>
      </c>
      <c r="BG45" s="494" t="str">
        <f>IF('Pon-Bat'!AK45="","",+'Pon-Bat'!AK45/'Pon-Bat'!AG45)</f>
        <v/>
      </c>
      <c r="BH45" s="504" t="str">
        <f>IF('Pon-Bat'!AK45="","",+(SUM('Pon-Bat'!$AK$8:AK45)/SUM('Pon-Bat'!$AG$8:AG45)))</f>
        <v/>
      </c>
      <c r="BI45" s="494" t="str">
        <f>IF('Pon-Bat'!AL45="","",+'Pon-Bat'!AL45/'Pon-Bat'!AG45)</f>
        <v/>
      </c>
      <c r="BJ45" s="496" t="str">
        <f>IF('Pon-Bat'!AL45="","",+(SUM('Pon-Bat'!$AL$8:AL45)/SUM('Pon-Bat'!$AG$8:AG45)))</f>
        <v/>
      </c>
      <c r="BK45" s="501" t="str">
        <f>IF('Pon-Bat'!AN45="","",+'Pon-Bat'!AN45/'Pon-Bat'!AM45)</f>
        <v/>
      </c>
      <c r="BL45" s="504" t="str">
        <f>IF('Pon-Bat'!AN45="","",+(SUM('Pon-Bat'!$AN$8:AN45)/SUM('Pon-Bat'!$AM$8:AM45)))</f>
        <v/>
      </c>
      <c r="BM45" s="499" t="str">
        <f>IF('Pon-Bat'!AO45="","",+'Pon-Bat'!AO45/'Pon-Bat'!AM45)</f>
        <v/>
      </c>
      <c r="BN45" s="504" t="str">
        <f>IF('Pon-Bat'!AO45="","",+(SUM('Pon-Bat'!$AO$8:AO45)/SUM('Pon-Bat'!$AM$8:AM45)))</f>
        <v/>
      </c>
      <c r="BO45" s="499" t="str">
        <f>IF('Pon-Bat'!AP45="","",+'Pon-Bat'!AP45/'Pon-Bat'!AM45)</f>
        <v/>
      </c>
      <c r="BP45" s="504" t="str">
        <f>IF('Pon-Bat'!AP45="","",+(SUM('Pon-Bat'!$AP$8:AP45)/SUM('Pon-Bat'!$AM$8:AM45)))</f>
        <v/>
      </c>
      <c r="BQ45" s="499" t="str">
        <f>IF('Pon-Bat'!AQ45="","",+'Pon-Bat'!AQ45/'Pon-Bat'!AM45)</f>
        <v/>
      </c>
      <c r="BR45" s="504" t="str">
        <f>IF('Pon-Bat'!AQ45="","",+(SUM('Pon-Bat'!$AQ$8:AQ45)/SUM('Pon-Bat'!$AM$8:AM45)))</f>
        <v/>
      </c>
      <c r="BS45" s="499" t="str">
        <f>IF('Pon-Bat'!AR45="","",+'Pon-Bat'!AR45/'Pon-Bat'!AM45)</f>
        <v/>
      </c>
      <c r="BT45" s="496" t="str">
        <f>IF('Pon-Bat'!AR45="","",+(SUM('Pon-Bat'!$AR$8:AR45)/SUM('Pon-Bat'!$AM$8:AM45)))</f>
        <v/>
      </c>
      <c r="BU45" s="501" t="str">
        <f>IF('Pon-Bat'!AT45="","",+'Pon-Bat'!AT45/'Pon-Bat'!AS45)</f>
        <v/>
      </c>
      <c r="BV45" s="504" t="str">
        <f>IF('Pon-Bat'!AT45="","",+(SUM('Pon-Bat'!$AT$8:AT45)/SUM('Pon-Bat'!$AS$8:AS45)))</f>
        <v/>
      </c>
      <c r="BW45" s="499" t="str">
        <f>IF('Pon-Bat'!AU45="","",+'Pon-Bat'!AU45/'Pon-Bat'!AS45)</f>
        <v/>
      </c>
      <c r="BX45" s="504" t="str">
        <f>IF('Pon-Bat'!AU45="","",+(SUM('Pon-Bat'!$AU$8:AU45)/SUM('Pon-Bat'!$AS$8:AS45)))</f>
        <v/>
      </c>
      <c r="BY45" s="499" t="str">
        <f>IF('Pon-Bat'!AV45="","",+'Pon-Bat'!AV45/'Pon-Bat'!AS45)</f>
        <v/>
      </c>
      <c r="BZ45" s="504" t="str">
        <f>IF('Pon-Bat'!AV45="","",+(SUM('Pon-Bat'!$AV$8:AV45)/SUM('Pon-Bat'!$AS$8:AS45)))</f>
        <v/>
      </c>
      <c r="CA45" s="499" t="str">
        <f>IF('Pon-Bat'!AW45="","",+'Pon-Bat'!AW45/'Pon-Bat'!AS45)</f>
        <v/>
      </c>
      <c r="CB45" s="504" t="str">
        <f>IF('Pon-Bat'!AW45="","",+(SUM('Pon-Bat'!$AW$8:AW45)/SUM('Pon-Bat'!$AS$8:AS45)))</f>
        <v/>
      </c>
      <c r="CC45" s="499" t="str">
        <f>IF('Pon-Bat'!AX45="","",+'Pon-Bat'!AX45/'Pon-Bat'!AS45)</f>
        <v/>
      </c>
      <c r="CD45" s="496" t="str">
        <f>IF('Pon-Bat'!AX45="","",+(SUM('Pon-Bat'!$AX$8:AX45)/SUM('Pon-Bat'!$AS$8:AS45)))</f>
        <v/>
      </c>
      <c r="CE45" s="503" t="str">
        <f>IF('Pon-Bat'!AZ45="","",+'Pon-Bat'!AZ45/'Pon-Bat'!AY45)</f>
        <v/>
      </c>
      <c r="CF45" s="504" t="str">
        <f>IF('Pon-Bat'!AZ45="","",+(SUM('Pon-Bat'!$AZ$8:AZ45)/SUM('Pon-Bat'!$AY$8:AY45)))</f>
        <v/>
      </c>
      <c r="CG45" s="494" t="str">
        <f>IF('Pon-Bat'!BA45="","",+'Pon-Bat'!BA45/'Pon-Bat'!AY45)</f>
        <v/>
      </c>
      <c r="CH45" s="504" t="str">
        <f>IF('Pon-Bat'!BA45="","",+(SUM('Pon-Bat'!$BA$8:BA45)/SUM('Pon-Bat'!$AY$8:AY45)))</f>
        <v/>
      </c>
      <c r="CI45" s="499" t="str">
        <f>IF('Pon-Bat'!BB45="","",+'Pon-Bat'!BB45/'Pon-Bat'!AY45)</f>
        <v/>
      </c>
      <c r="CJ45" s="504" t="str">
        <f>IF('Pon-Bat'!BB45="","",+(SUM('Pon-Bat'!$BB$8:BB45)/SUM('Pon-Bat'!$AY$8:AY45)))</f>
        <v/>
      </c>
      <c r="CK45" s="494" t="str">
        <f>IF('Pon-Bat'!BC45="","",+'Pon-Bat'!BC45/'Pon-Bat'!AY45)</f>
        <v/>
      </c>
      <c r="CL45" s="504" t="str">
        <f>IF('Pon-Bat'!BC45="","",+(SUM('Pon-Bat'!$BC$8:BC45)/SUM('Pon-Bat'!$AY$8:AY45)))</f>
        <v/>
      </c>
      <c r="CM45" s="494" t="str">
        <f>IF('Pon-Bat'!BD45="","",+'Pon-Bat'!BD45/'Pon-Bat'!AY45)</f>
        <v/>
      </c>
      <c r="CN45" s="496" t="str">
        <f>IF('Pon-Bat'!BD45="","",+(SUM('Pon-Bat'!$BD$8:BD45)/SUM('Pon-Bat'!$AY$8:AY45)))</f>
        <v/>
      </c>
    </row>
    <row r="46" spans="1:92" ht="24" customHeight="1" thickBot="1" x14ac:dyDescent="0.25">
      <c r="A46" s="453">
        <f t="shared" si="2"/>
        <v>43677</v>
      </c>
      <c r="B46" s="465">
        <f t="shared" si="3"/>
        <v>61</v>
      </c>
      <c r="C46" s="503" t="str">
        <f>IF('Pon-Bat'!D46="","",+'Pon-Bat'!D46/'Pon-Bat'!C46)</f>
        <v/>
      </c>
      <c r="D46" s="504" t="str">
        <f>IF('Pon-Bat'!D46="","",+(SUM('Pon-Bat'!$D$8:D46)/SUM('Pon-Bat'!$C$8:C46)))</f>
        <v/>
      </c>
      <c r="E46" s="494" t="str">
        <f>IF('Pon-Bat'!E46="","",+'Pon-Bat'!E46/'Pon-Bat'!C46)</f>
        <v/>
      </c>
      <c r="F46" s="504" t="str">
        <f>IF('Pon-Bat'!E46="","",+(SUM('Pon-Bat'!$E$8:E46)/SUM('Pon-Bat'!$C$8:C46)))</f>
        <v/>
      </c>
      <c r="G46" s="494" t="str">
        <f>IF('Pon-Bat'!F46="","",+'Pon-Bat'!F46/'Pon-Bat'!C46)</f>
        <v/>
      </c>
      <c r="H46" s="504" t="str">
        <f>IF('Pon-Bat'!F46="","",+(SUM('Pon-Bat'!$F$8:F46)/SUM('Pon-Bat'!$C$8:C46)))</f>
        <v/>
      </c>
      <c r="I46" s="494" t="str">
        <f>IF('Pon-Bat'!G46="","",+'Pon-Bat'!G46/'Pon-Bat'!C46)</f>
        <v/>
      </c>
      <c r="J46" s="504" t="str">
        <f>IF('Pon-Bat'!G46="","",+(SUM('Pon-Bat'!$G$8:G46)/SUM('Pon-Bat'!$C$8:C46)))</f>
        <v/>
      </c>
      <c r="K46" s="494" t="str">
        <f>IF('Pon-Bat'!H46="","",+'Pon-Bat'!H46/'Pon-Bat'!C46)</f>
        <v/>
      </c>
      <c r="L46" s="496" t="str">
        <f>IF('Pon-Bat'!H46="","",+(SUM('Pon-Bat'!$H$8:H46)/SUM('Pon-Bat'!$C$8:C46)))</f>
        <v/>
      </c>
      <c r="M46" s="503" t="str">
        <f>IF('Pon-Bat'!J46="","",+'Pon-Bat'!J46/'Pon-Bat'!I46)</f>
        <v/>
      </c>
      <c r="N46" s="504" t="str">
        <f>IF('Pon-Bat'!J46="","",+(SUM('Pon-Bat'!$J$8:J46)/SUM('Pon-Bat'!$I$8:I46)))</f>
        <v/>
      </c>
      <c r="O46" s="494" t="str">
        <f>IF('Pon-Bat'!K46="","",+'Pon-Bat'!K46/'Pon-Bat'!I46)</f>
        <v/>
      </c>
      <c r="P46" s="504" t="str">
        <f>IF('Pon-Bat'!K46="","",+(SUM('Pon-Bat'!$K$8:K46)/SUM('Pon-Bat'!$I$8:I46)))</f>
        <v/>
      </c>
      <c r="Q46" s="494" t="str">
        <f>IF('Pon-Bat'!L46="","",+'Pon-Bat'!L46/'Pon-Bat'!I46)</f>
        <v/>
      </c>
      <c r="R46" s="504" t="str">
        <f>IF('Pon-Bat'!L46="","",+(SUM('Pon-Bat'!$L$8:L46)/SUM('Pon-Bat'!$I$8:I46)))</f>
        <v/>
      </c>
      <c r="S46" s="494" t="str">
        <f>IF('Pon-Bat'!M46="","",+'Pon-Bat'!M46/'Pon-Bat'!I46)</f>
        <v/>
      </c>
      <c r="T46" s="504" t="str">
        <f>IF('Pon-Bat'!M46="","",+(SUM('Pon-Bat'!$M$8:M46)/SUM('Pon-Bat'!$I$8:I46)))</f>
        <v/>
      </c>
      <c r="U46" s="494" t="str">
        <f>IF('Pon-Bat'!N46="","",+'Pon-Bat'!N46/'Pon-Bat'!I46)</f>
        <v/>
      </c>
      <c r="V46" s="496" t="str">
        <f>IF('Pon-Bat'!N46="","",+(SUM('Pon-Bat'!$N$8:N46)/SUM('Pon-Bat'!$I$8:I46)))</f>
        <v/>
      </c>
      <c r="W46" s="503" t="str">
        <f>IF('Pon-Bat'!P46="","",+'Pon-Bat'!P46/'Pon-Bat'!O46)</f>
        <v/>
      </c>
      <c r="X46" s="504" t="str">
        <f>IF('Pon-Bat'!P46="","",+(SUM('Pon-Bat'!$P$8:P46)/SUM('Pon-Bat'!$O$8:O46)))</f>
        <v/>
      </c>
      <c r="Y46" s="494" t="str">
        <f>IF('Pon-Bat'!Q46="","",+'Pon-Bat'!Q46/'Pon-Bat'!O46)</f>
        <v/>
      </c>
      <c r="Z46" s="504" t="str">
        <f>IF('Pon-Bat'!Q46="","",+(SUM('Pon-Bat'!$Q$8:Q46)/SUM('Pon-Bat'!$O$8:O46)))</f>
        <v/>
      </c>
      <c r="AA46" s="494" t="str">
        <f>IF('Pon-Bat'!R46="","",+'Pon-Bat'!R46/'Pon-Bat'!O46)</f>
        <v/>
      </c>
      <c r="AB46" s="504" t="str">
        <f>IF('Pon-Bat'!R46="","",+(SUM('Pon-Bat'!$R$8:R46)/SUM('Pon-Bat'!$O$8:O46)))</f>
        <v/>
      </c>
      <c r="AC46" s="494" t="str">
        <f>IF('Pon-Bat'!S46="","",+'Pon-Bat'!S46/'Pon-Bat'!O46)</f>
        <v/>
      </c>
      <c r="AD46" s="504" t="str">
        <f>IF('Pon-Bat'!S46="","",+(SUM('Pon-Bat'!$S$8:S46)/SUM('Pon-Bat'!$O$8:O46)))</f>
        <v/>
      </c>
      <c r="AE46" s="494" t="str">
        <f>IF('Pon-Bat'!T46="","",+'Pon-Bat'!T46/'Pon-Bat'!O46)</f>
        <v/>
      </c>
      <c r="AF46" s="496" t="str">
        <f>IF('Pon-Bat'!T46="","",+(SUM('Pon-Bat'!$T$8:T46)/SUM('Pon-Bat'!$O$8:O46)))</f>
        <v/>
      </c>
      <c r="AG46" s="503" t="str">
        <f>IF('Pon-Bat'!V46="","",+'Pon-Bat'!V46/'Pon-Bat'!U46)</f>
        <v/>
      </c>
      <c r="AH46" s="504" t="str">
        <f>IF('Pon-Bat'!V46="","",+(SUM('Pon-Bat'!$V$8:V46)/SUM('Pon-Bat'!$U$8:U46)))</f>
        <v/>
      </c>
      <c r="AI46" s="494" t="str">
        <f>IF('Pon-Bat'!W46="","",+'Pon-Bat'!W46/'Pon-Bat'!U46)</f>
        <v/>
      </c>
      <c r="AJ46" s="504" t="str">
        <f>IF('Pon-Bat'!W46="","",+(SUM('Pon-Bat'!$W$8:W46)/SUM('Pon-Bat'!$U$8:U46)))</f>
        <v/>
      </c>
      <c r="AK46" s="494" t="str">
        <f>IF('Pon-Bat'!X46="","",+'Pon-Bat'!X46/'Pon-Bat'!U46)</f>
        <v/>
      </c>
      <c r="AL46" s="504" t="str">
        <f>IF('Pon-Bat'!X46="","",+(SUM('Pon-Bat'!$X$8:X46)/SUM('Pon-Bat'!$U$8:U46)))</f>
        <v/>
      </c>
      <c r="AM46" s="494" t="str">
        <f>IF('Pon-Bat'!Y46="","",+'Pon-Bat'!Y46/'Pon-Bat'!U46)</f>
        <v/>
      </c>
      <c r="AN46" s="504" t="str">
        <f>IF('Pon-Bat'!Y46="","",+(SUM('Pon-Bat'!$Y$8:Y46)/SUM('Pon-Bat'!$U$8:U46)))</f>
        <v/>
      </c>
      <c r="AO46" s="494" t="str">
        <f>IF('Pon-Bat'!Z46="","",+'Pon-Bat'!Z46/'Pon-Bat'!U46)</f>
        <v/>
      </c>
      <c r="AP46" s="496" t="str">
        <f>IF('Pon-Bat'!Z46="","",+(SUM('Pon-Bat'!$Z$8:Z46)/SUM('Pon-Bat'!$U$8:U46)))</f>
        <v/>
      </c>
      <c r="AQ46" s="503" t="str">
        <f>IF('Pon-Bat'!AB46="","",+'Pon-Bat'!AB46/'Pon-Bat'!AA46)</f>
        <v/>
      </c>
      <c r="AR46" s="504" t="str">
        <f>IF('Pon-Bat'!AB46="","",+(SUM('Pon-Bat'!$AB$8:AB46)/SUM('Pon-Bat'!$AA$8:AA46)))</f>
        <v/>
      </c>
      <c r="AS46" s="494" t="str">
        <f>IF('Pon-Bat'!AC46="","",+'Pon-Bat'!AC46/'Pon-Bat'!AA46)</f>
        <v/>
      </c>
      <c r="AT46" s="504" t="str">
        <f>IF('Pon-Bat'!AC46="","",+(SUM('Pon-Bat'!$AC$8:AC46)/SUM('Pon-Bat'!$AA$8:AA46)))</f>
        <v/>
      </c>
      <c r="AU46" s="494" t="str">
        <f>IF('Pon-Bat'!AD46="","",+'Pon-Bat'!AD46/'Pon-Bat'!AA46)</f>
        <v/>
      </c>
      <c r="AV46" s="504" t="str">
        <f>IF('Pon-Bat'!AD46="","",+(SUM('Pon-Bat'!$AD$8:AD46)/SUM('Pon-Bat'!$AA$8:AA46)))</f>
        <v/>
      </c>
      <c r="AW46" s="494" t="str">
        <f>IF('Pon-Bat'!AE46="","",+'Pon-Bat'!AE46/'Pon-Bat'!AA46)</f>
        <v/>
      </c>
      <c r="AX46" s="504" t="str">
        <f>IF('Pon-Bat'!AE46="","",+(SUM('Pon-Bat'!$AE$8:AE46)/SUM('Pon-Bat'!$AA$8:AA46)))</f>
        <v/>
      </c>
      <c r="AY46" s="494" t="str">
        <f>IF('Pon-Bat'!AF46="","",+'Pon-Bat'!AF46/'Pon-Bat'!AA46)</f>
        <v/>
      </c>
      <c r="AZ46" s="496" t="str">
        <f>IF('Pon-Bat'!AF46="","",+(SUM('Pon-Bat'!$AF$8:AF46)/SUM('Pon-Bat'!$AA$8:AA46)))</f>
        <v/>
      </c>
      <c r="BA46" s="503" t="str">
        <f>IF('Pon-Bat'!AH46="","",+'Pon-Bat'!AH46/'Pon-Bat'!AG46)</f>
        <v/>
      </c>
      <c r="BB46" s="504" t="str">
        <f>IF('Pon-Bat'!AH46="","",+(SUM('Pon-Bat'!$AH$8:AH46)/SUM('Pon-Bat'!$AG$8:AG46)))</f>
        <v/>
      </c>
      <c r="BC46" s="494" t="str">
        <f>IF('Pon-Bat'!AI46="","",+'Pon-Bat'!AI46/'Pon-Bat'!AG46)</f>
        <v/>
      </c>
      <c r="BD46" s="504" t="str">
        <f>IF('Pon-Bat'!AI46="","",+(SUM('Pon-Bat'!$AI$8:AI46)/SUM('Pon-Bat'!$AG$8:AG46)))</f>
        <v/>
      </c>
      <c r="BE46" s="494" t="str">
        <f>IF('Pon-Bat'!AJ46="","",+'Pon-Bat'!AJ46/'Pon-Bat'!AG46)</f>
        <v/>
      </c>
      <c r="BF46" s="504" t="str">
        <f>IF('Pon-Bat'!AJ46="","",+(SUM('Pon-Bat'!$AJ$8:AJ46)/SUM('Pon-Bat'!$AG$8:AG46)))</f>
        <v/>
      </c>
      <c r="BG46" s="494" t="str">
        <f>IF('Pon-Bat'!AK46="","",+'Pon-Bat'!AK46/'Pon-Bat'!AG46)</f>
        <v/>
      </c>
      <c r="BH46" s="504" t="str">
        <f>IF('Pon-Bat'!AK46="","",+(SUM('Pon-Bat'!$AK$8:AK46)/SUM('Pon-Bat'!$AG$8:AG46)))</f>
        <v/>
      </c>
      <c r="BI46" s="494" t="str">
        <f>IF('Pon-Bat'!AL46="","",+'Pon-Bat'!AL46/'Pon-Bat'!AG46)</f>
        <v/>
      </c>
      <c r="BJ46" s="496" t="str">
        <f>IF('Pon-Bat'!AL46="","",+(SUM('Pon-Bat'!$AL$8:AL46)/SUM('Pon-Bat'!$AG$8:AG46)))</f>
        <v/>
      </c>
      <c r="BK46" s="501" t="str">
        <f>IF('Pon-Bat'!AN46="","",+'Pon-Bat'!AN46/'Pon-Bat'!AM46)</f>
        <v/>
      </c>
      <c r="BL46" s="504" t="str">
        <f>IF('Pon-Bat'!AN46="","",+(SUM('Pon-Bat'!$AN$8:AN46)/SUM('Pon-Bat'!$AM$8:AM46)))</f>
        <v/>
      </c>
      <c r="BM46" s="499" t="str">
        <f>IF('Pon-Bat'!AO46="","",+'Pon-Bat'!AO46/'Pon-Bat'!AM46)</f>
        <v/>
      </c>
      <c r="BN46" s="504" t="str">
        <f>IF('Pon-Bat'!AO46="","",+(SUM('Pon-Bat'!$AO$8:AO46)/SUM('Pon-Bat'!$AM$8:AM46)))</f>
        <v/>
      </c>
      <c r="BO46" s="499" t="str">
        <f>IF('Pon-Bat'!AP46="","",+'Pon-Bat'!AP46/'Pon-Bat'!AM46)</f>
        <v/>
      </c>
      <c r="BP46" s="504" t="str">
        <f>IF('Pon-Bat'!AP46="","",+(SUM('Pon-Bat'!$AP$8:AP46)/SUM('Pon-Bat'!$AM$8:AM46)))</f>
        <v/>
      </c>
      <c r="BQ46" s="499" t="str">
        <f>IF('Pon-Bat'!AQ46="","",+'Pon-Bat'!AQ46/'Pon-Bat'!AM46)</f>
        <v/>
      </c>
      <c r="BR46" s="504" t="str">
        <f>IF('Pon-Bat'!AQ46="","",+(SUM('Pon-Bat'!$AQ$8:AQ46)/SUM('Pon-Bat'!$AM$8:AM46)))</f>
        <v/>
      </c>
      <c r="BS46" s="499" t="str">
        <f>IF('Pon-Bat'!AR46="","",+'Pon-Bat'!AR46/'Pon-Bat'!AM46)</f>
        <v/>
      </c>
      <c r="BT46" s="496" t="str">
        <f>IF('Pon-Bat'!AR46="","",+(SUM('Pon-Bat'!$AR$8:AR46)/SUM('Pon-Bat'!$AM$8:AM46)))</f>
        <v/>
      </c>
      <c r="BU46" s="501" t="str">
        <f>IF('Pon-Bat'!AT46="","",+'Pon-Bat'!AT46/'Pon-Bat'!AS46)</f>
        <v/>
      </c>
      <c r="BV46" s="504" t="str">
        <f>IF('Pon-Bat'!AT46="","",+(SUM('Pon-Bat'!$AT$8:AT46)/SUM('Pon-Bat'!$AS$8:AS46)))</f>
        <v/>
      </c>
      <c r="BW46" s="499" t="str">
        <f>IF('Pon-Bat'!AU46="","",+'Pon-Bat'!AU46/'Pon-Bat'!AS46)</f>
        <v/>
      </c>
      <c r="BX46" s="504" t="str">
        <f>IF('Pon-Bat'!AU46="","",+(SUM('Pon-Bat'!$AU$8:AU46)/SUM('Pon-Bat'!$AS$8:AS46)))</f>
        <v/>
      </c>
      <c r="BY46" s="499" t="str">
        <f>IF('Pon-Bat'!AV46="","",+'Pon-Bat'!AV46/'Pon-Bat'!AS46)</f>
        <v/>
      </c>
      <c r="BZ46" s="504" t="str">
        <f>IF('Pon-Bat'!AV46="","",+(SUM('Pon-Bat'!$AV$8:AV46)/SUM('Pon-Bat'!$AS$8:AS46)))</f>
        <v/>
      </c>
      <c r="CA46" s="499" t="str">
        <f>IF('Pon-Bat'!AW46="","",+'Pon-Bat'!AW46/'Pon-Bat'!AS46)</f>
        <v/>
      </c>
      <c r="CB46" s="504" t="str">
        <f>IF('Pon-Bat'!AW46="","",+(SUM('Pon-Bat'!$AW$8:AW46)/SUM('Pon-Bat'!$AS$8:AS46)))</f>
        <v/>
      </c>
      <c r="CC46" s="499" t="str">
        <f>IF('Pon-Bat'!AX46="","",+'Pon-Bat'!AX46/'Pon-Bat'!AS46)</f>
        <v/>
      </c>
      <c r="CD46" s="496" t="str">
        <f>IF('Pon-Bat'!AX46="","",+(SUM('Pon-Bat'!$AX$8:AX46)/SUM('Pon-Bat'!$AS$8:AS46)))</f>
        <v/>
      </c>
      <c r="CE46" s="503" t="str">
        <f>IF('Pon-Bat'!AZ46="","",+'Pon-Bat'!AZ46/'Pon-Bat'!AY46)</f>
        <v/>
      </c>
      <c r="CF46" s="504" t="str">
        <f>IF('Pon-Bat'!AZ46="","",+(SUM('Pon-Bat'!$AZ$8:AZ46)/SUM('Pon-Bat'!$AY$8:AY46)))</f>
        <v/>
      </c>
      <c r="CG46" s="494" t="str">
        <f>IF('Pon-Bat'!BA46="","",+'Pon-Bat'!BA46/'Pon-Bat'!AY46)</f>
        <v/>
      </c>
      <c r="CH46" s="504" t="str">
        <f>IF('Pon-Bat'!BA46="","",+(SUM('Pon-Bat'!$BA$8:BA46)/SUM('Pon-Bat'!$AY$8:AY46)))</f>
        <v/>
      </c>
      <c r="CI46" s="499" t="str">
        <f>IF('Pon-Bat'!BB46="","",+'Pon-Bat'!BB46/'Pon-Bat'!AY46)</f>
        <v/>
      </c>
      <c r="CJ46" s="504" t="str">
        <f>IF('Pon-Bat'!BB46="","",+(SUM('Pon-Bat'!$BB$8:BB46)/SUM('Pon-Bat'!$AY$8:AY46)))</f>
        <v/>
      </c>
      <c r="CK46" s="494" t="str">
        <f>IF('Pon-Bat'!BC46="","",+'Pon-Bat'!BC46/'Pon-Bat'!AY46)</f>
        <v/>
      </c>
      <c r="CL46" s="504" t="str">
        <f>IF('Pon-Bat'!BC46="","",+(SUM('Pon-Bat'!$BC$8:BC46)/SUM('Pon-Bat'!$AY$8:AY46)))</f>
        <v/>
      </c>
      <c r="CM46" s="494" t="str">
        <f>IF('Pon-Bat'!BD46="","",+'Pon-Bat'!BD46/'Pon-Bat'!AY46)</f>
        <v/>
      </c>
      <c r="CN46" s="496" t="str">
        <f>IF('Pon-Bat'!BD46="","",+(SUM('Pon-Bat'!$BD$8:BD46)/SUM('Pon-Bat'!$AY$8:AY46)))</f>
        <v/>
      </c>
    </row>
    <row r="47" spans="1:92" ht="24" customHeight="1" thickBot="1" x14ac:dyDescent="0.25">
      <c r="A47" s="453">
        <f t="shared" si="2"/>
        <v>43684</v>
      </c>
      <c r="B47" s="465">
        <f t="shared" si="3"/>
        <v>62</v>
      </c>
      <c r="C47" s="503" t="str">
        <f>IF('Pon-Bat'!D47="","",+'Pon-Bat'!D47/'Pon-Bat'!C47)</f>
        <v/>
      </c>
      <c r="D47" s="504" t="str">
        <f>IF('Pon-Bat'!D47="","",+(SUM('Pon-Bat'!$D$8:D47)/SUM('Pon-Bat'!$C$8:C47)))</f>
        <v/>
      </c>
      <c r="E47" s="494" t="str">
        <f>IF('Pon-Bat'!E47="","",+'Pon-Bat'!E47/'Pon-Bat'!C47)</f>
        <v/>
      </c>
      <c r="F47" s="504" t="str">
        <f>IF('Pon-Bat'!E47="","",+(SUM('Pon-Bat'!$E$8:E47)/SUM('Pon-Bat'!$C$8:C47)))</f>
        <v/>
      </c>
      <c r="G47" s="494" t="str">
        <f>IF('Pon-Bat'!F47="","",+'Pon-Bat'!F47/'Pon-Bat'!C47)</f>
        <v/>
      </c>
      <c r="H47" s="504" t="str">
        <f>IF('Pon-Bat'!F47="","",+(SUM('Pon-Bat'!$F$8:F47)/SUM('Pon-Bat'!$C$8:C47)))</f>
        <v/>
      </c>
      <c r="I47" s="494" t="str">
        <f>IF('Pon-Bat'!G47="","",+'Pon-Bat'!G47/'Pon-Bat'!C47)</f>
        <v/>
      </c>
      <c r="J47" s="504" t="str">
        <f>IF('Pon-Bat'!G47="","",+(SUM('Pon-Bat'!$G$8:G47)/SUM('Pon-Bat'!$C$8:C47)))</f>
        <v/>
      </c>
      <c r="K47" s="494" t="str">
        <f>IF('Pon-Bat'!H47="","",+'Pon-Bat'!H47/'Pon-Bat'!C47)</f>
        <v/>
      </c>
      <c r="L47" s="496" t="str">
        <f>IF('Pon-Bat'!H47="","",+(SUM('Pon-Bat'!$H$8:H47)/SUM('Pon-Bat'!$C$8:C47)))</f>
        <v/>
      </c>
      <c r="M47" s="503" t="str">
        <f>IF('Pon-Bat'!J47="","",+'Pon-Bat'!J47/'Pon-Bat'!I47)</f>
        <v/>
      </c>
      <c r="N47" s="504" t="str">
        <f>IF('Pon-Bat'!J47="","",+(SUM('Pon-Bat'!$J$8:J47)/SUM('Pon-Bat'!$I$8:I47)))</f>
        <v/>
      </c>
      <c r="O47" s="494" t="str">
        <f>IF('Pon-Bat'!K47="","",+'Pon-Bat'!K47/'Pon-Bat'!I47)</f>
        <v/>
      </c>
      <c r="P47" s="504" t="str">
        <f>IF('Pon-Bat'!K47="","",+(SUM('Pon-Bat'!$K$8:K47)/SUM('Pon-Bat'!$I$8:I47)))</f>
        <v/>
      </c>
      <c r="Q47" s="494" t="str">
        <f>IF('Pon-Bat'!L47="","",+'Pon-Bat'!L47/'Pon-Bat'!I47)</f>
        <v/>
      </c>
      <c r="R47" s="504" t="str">
        <f>IF('Pon-Bat'!L47="","",+(SUM('Pon-Bat'!$L$8:L47)/SUM('Pon-Bat'!$I$8:I47)))</f>
        <v/>
      </c>
      <c r="S47" s="494" t="str">
        <f>IF('Pon-Bat'!M47="","",+'Pon-Bat'!M47/'Pon-Bat'!I47)</f>
        <v/>
      </c>
      <c r="T47" s="504" t="str">
        <f>IF('Pon-Bat'!M47="","",+(SUM('Pon-Bat'!$M$8:M47)/SUM('Pon-Bat'!$I$8:I47)))</f>
        <v/>
      </c>
      <c r="U47" s="494" t="str">
        <f>IF('Pon-Bat'!N47="","",+'Pon-Bat'!N47/'Pon-Bat'!I47)</f>
        <v/>
      </c>
      <c r="V47" s="496" t="str">
        <f>IF('Pon-Bat'!N47="","",+(SUM('Pon-Bat'!$N$8:N47)/SUM('Pon-Bat'!$I$8:I47)))</f>
        <v/>
      </c>
      <c r="W47" s="503" t="str">
        <f>IF('Pon-Bat'!P47="","",+'Pon-Bat'!P47/'Pon-Bat'!O47)</f>
        <v/>
      </c>
      <c r="X47" s="504" t="str">
        <f>IF('Pon-Bat'!P47="","",+(SUM('Pon-Bat'!$P$8:P47)/SUM('Pon-Bat'!$O$8:O47)))</f>
        <v/>
      </c>
      <c r="Y47" s="494" t="str">
        <f>IF('Pon-Bat'!Q47="","",+'Pon-Bat'!Q47/'Pon-Bat'!O47)</f>
        <v/>
      </c>
      <c r="Z47" s="504" t="str">
        <f>IF('Pon-Bat'!Q47="","",+(SUM('Pon-Bat'!$Q$8:Q47)/SUM('Pon-Bat'!$O$8:O47)))</f>
        <v/>
      </c>
      <c r="AA47" s="494" t="str">
        <f>IF('Pon-Bat'!R47="","",+'Pon-Bat'!R47/'Pon-Bat'!O47)</f>
        <v/>
      </c>
      <c r="AB47" s="504" t="str">
        <f>IF('Pon-Bat'!R47="","",+(SUM('Pon-Bat'!$R$8:R47)/SUM('Pon-Bat'!$O$8:O47)))</f>
        <v/>
      </c>
      <c r="AC47" s="494" t="str">
        <f>IF('Pon-Bat'!S47="","",+'Pon-Bat'!S47/'Pon-Bat'!O47)</f>
        <v/>
      </c>
      <c r="AD47" s="504" t="str">
        <f>IF('Pon-Bat'!S47="","",+(SUM('Pon-Bat'!$S$8:S47)/SUM('Pon-Bat'!$O$8:O47)))</f>
        <v/>
      </c>
      <c r="AE47" s="494" t="str">
        <f>IF('Pon-Bat'!T47="","",+'Pon-Bat'!T47/'Pon-Bat'!O47)</f>
        <v/>
      </c>
      <c r="AF47" s="496" t="str">
        <f>IF('Pon-Bat'!T47="","",+(SUM('Pon-Bat'!$T$8:T47)/SUM('Pon-Bat'!$O$8:O47)))</f>
        <v/>
      </c>
      <c r="AG47" s="503" t="str">
        <f>IF('Pon-Bat'!V47="","",+'Pon-Bat'!V47/'Pon-Bat'!U47)</f>
        <v/>
      </c>
      <c r="AH47" s="504" t="str">
        <f>IF('Pon-Bat'!V47="","",+(SUM('Pon-Bat'!$V$8:V47)/SUM('Pon-Bat'!$U$8:U47)))</f>
        <v/>
      </c>
      <c r="AI47" s="494" t="str">
        <f>IF('Pon-Bat'!W47="","",+'Pon-Bat'!W47/'Pon-Bat'!U47)</f>
        <v/>
      </c>
      <c r="AJ47" s="504" t="str">
        <f>IF('Pon-Bat'!W47="","",+(SUM('Pon-Bat'!$W$8:W47)/SUM('Pon-Bat'!$U$8:U47)))</f>
        <v/>
      </c>
      <c r="AK47" s="494" t="str">
        <f>IF('Pon-Bat'!X47="","",+'Pon-Bat'!X47/'Pon-Bat'!U47)</f>
        <v/>
      </c>
      <c r="AL47" s="504" t="str">
        <f>IF('Pon-Bat'!X47="","",+(SUM('Pon-Bat'!$X$8:X47)/SUM('Pon-Bat'!$U$8:U47)))</f>
        <v/>
      </c>
      <c r="AM47" s="494" t="str">
        <f>IF('Pon-Bat'!Y47="","",+'Pon-Bat'!Y47/'Pon-Bat'!U47)</f>
        <v/>
      </c>
      <c r="AN47" s="504" t="str">
        <f>IF('Pon-Bat'!Y47="","",+(SUM('Pon-Bat'!$Y$8:Y47)/SUM('Pon-Bat'!$U$8:U47)))</f>
        <v/>
      </c>
      <c r="AO47" s="494" t="str">
        <f>IF('Pon-Bat'!Z47="","",+'Pon-Bat'!Z47/'Pon-Bat'!U47)</f>
        <v/>
      </c>
      <c r="AP47" s="496" t="str">
        <f>IF('Pon-Bat'!Z47="","",+(SUM('Pon-Bat'!$Z$8:Z47)/SUM('Pon-Bat'!$U$8:U47)))</f>
        <v/>
      </c>
      <c r="AQ47" s="503" t="str">
        <f>IF('Pon-Bat'!AB47="","",+'Pon-Bat'!AB47/'Pon-Bat'!AA47)</f>
        <v/>
      </c>
      <c r="AR47" s="504" t="str">
        <f>IF('Pon-Bat'!AB47="","",+(SUM('Pon-Bat'!$AB$8:AB47)/SUM('Pon-Bat'!$AA$8:AA47)))</f>
        <v/>
      </c>
      <c r="AS47" s="494" t="str">
        <f>IF('Pon-Bat'!AC47="","",+'Pon-Bat'!AC47/'Pon-Bat'!AA47)</f>
        <v/>
      </c>
      <c r="AT47" s="504" t="str">
        <f>IF('Pon-Bat'!AC47="","",+(SUM('Pon-Bat'!$AC$8:AC47)/SUM('Pon-Bat'!$AA$8:AA47)))</f>
        <v/>
      </c>
      <c r="AU47" s="494" t="str">
        <f>IF('Pon-Bat'!AD47="","",+'Pon-Bat'!AD47/'Pon-Bat'!AA47)</f>
        <v/>
      </c>
      <c r="AV47" s="504" t="str">
        <f>IF('Pon-Bat'!AD47="","",+(SUM('Pon-Bat'!$AD$8:AD47)/SUM('Pon-Bat'!$AA$8:AA47)))</f>
        <v/>
      </c>
      <c r="AW47" s="494" t="str">
        <f>IF('Pon-Bat'!AE47="","",+'Pon-Bat'!AE47/'Pon-Bat'!AA47)</f>
        <v/>
      </c>
      <c r="AX47" s="504" t="str">
        <f>IF('Pon-Bat'!AE47="","",+(SUM('Pon-Bat'!$AE$8:AE47)/SUM('Pon-Bat'!$AA$8:AA47)))</f>
        <v/>
      </c>
      <c r="AY47" s="494" t="str">
        <f>IF('Pon-Bat'!AF47="","",+'Pon-Bat'!AF47/'Pon-Bat'!AA47)</f>
        <v/>
      </c>
      <c r="AZ47" s="496" t="str">
        <f>IF('Pon-Bat'!AF47="","",+(SUM('Pon-Bat'!$AF$8:AF47)/SUM('Pon-Bat'!$AA$8:AA47)))</f>
        <v/>
      </c>
      <c r="BA47" s="503" t="str">
        <f>IF('Pon-Bat'!AH47="","",+'Pon-Bat'!AH47/'Pon-Bat'!AG47)</f>
        <v/>
      </c>
      <c r="BB47" s="504" t="str">
        <f>IF('Pon-Bat'!AH47="","",+(SUM('Pon-Bat'!$AH$8:AH47)/SUM('Pon-Bat'!$AG$8:AG47)))</f>
        <v/>
      </c>
      <c r="BC47" s="494" t="str">
        <f>IF('Pon-Bat'!AI47="","",+'Pon-Bat'!AI47/'Pon-Bat'!AG47)</f>
        <v/>
      </c>
      <c r="BD47" s="504" t="str">
        <f>IF('Pon-Bat'!AI47="","",+(SUM('Pon-Bat'!$AI$8:AI47)/SUM('Pon-Bat'!$AG$8:AG47)))</f>
        <v/>
      </c>
      <c r="BE47" s="494" t="str">
        <f>IF('Pon-Bat'!AJ47="","",+'Pon-Bat'!AJ47/'Pon-Bat'!AG47)</f>
        <v/>
      </c>
      <c r="BF47" s="504" t="str">
        <f>IF('Pon-Bat'!AJ47="","",+(SUM('Pon-Bat'!$AJ$8:AJ47)/SUM('Pon-Bat'!$AG$8:AG47)))</f>
        <v/>
      </c>
      <c r="BG47" s="494" t="str">
        <f>IF('Pon-Bat'!AK47="","",+'Pon-Bat'!AK47/'Pon-Bat'!AG47)</f>
        <v/>
      </c>
      <c r="BH47" s="504" t="str">
        <f>IF('Pon-Bat'!AK47="","",+(SUM('Pon-Bat'!$AK$8:AK47)/SUM('Pon-Bat'!$AG$8:AG47)))</f>
        <v/>
      </c>
      <c r="BI47" s="494" t="str">
        <f>IF('Pon-Bat'!AL47="","",+'Pon-Bat'!AL47/'Pon-Bat'!AG47)</f>
        <v/>
      </c>
      <c r="BJ47" s="496" t="str">
        <f>IF('Pon-Bat'!AL47="","",+(SUM('Pon-Bat'!$AL$8:AL47)/SUM('Pon-Bat'!$AG$8:AG47)))</f>
        <v/>
      </c>
      <c r="BK47" s="501" t="str">
        <f>IF('Pon-Bat'!AN47="","",+'Pon-Bat'!AN47/'Pon-Bat'!AM47)</f>
        <v/>
      </c>
      <c r="BL47" s="504" t="str">
        <f>IF('Pon-Bat'!AN47="","",+(SUM('Pon-Bat'!$AN$8:AN47)/SUM('Pon-Bat'!$AM$8:AM47)))</f>
        <v/>
      </c>
      <c r="BM47" s="499" t="str">
        <f>IF('Pon-Bat'!AO47="","",+'Pon-Bat'!AO47/'Pon-Bat'!AM47)</f>
        <v/>
      </c>
      <c r="BN47" s="504" t="str">
        <f>IF('Pon-Bat'!AO47="","",+(SUM('Pon-Bat'!$AO$8:AO47)/SUM('Pon-Bat'!$AM$8:AM47)))</f>
        <v/>
      </c>
      <c r="BO47" s="499" t="str">
        <f>IF('Pon-Bat'!AP47="","",+'Pon-Bat'!AP47/'Pon-Bat'!AM47)</f>
        <v/>
      </c>
      <c r="BP47" s="504" t="str">
        <f>IF('Pon-Bat'!AP47="","",+(SUM('Pon-Bat'!$AP$8:AP47)/SUM('Pon-Bat'!$AM$8:AM47)))</f>
        <v/>
      </c>
      <c r="BQ47" s="499" t="str">
        <f>IF('Pon-Bat'!AQ47="","",+'Pon-Bat'!AQ47/'Pon-Bat'!AM47)</f>
        <v/>
      </c>
      <c r="BR47" s="504" t="str">
        <f>IF('Pon-Bat'!AQ47="","",+(SUM('Pon-Bat'!$AQ$8:AQ47)/SUM('Pon-Bat'!$AM$8:AM47)))</f>
        <v/>
      </c>
      <c r="BS47" s="499" t="str">
        <f>IF('Pon-Bat'!AR47="","",+'Pon-Bat'!AR47/'Pon-Bat'!AM47)</f>
        <v/>
      </c>
      <c r="BT47" s="496" t="str">
        <f>IF('Pon-Bat'!AR47="","",+(SUM('Pon-Bat'!$AR$8:AR47)/SUM('Pon-Bat'!$AM$8:AM47)))</f>
        <v/>
      </c>
      <c r="BU47" s="501" t="str">
        <f>IF('Pon-Bat'!AT47="","",+'Pon-Bat'!AT47/'Pon-Bat'!AS47)</f>
        <v/>
      </c>
      <c r="BV47" s="504" t="str">
        <f>IF('Pon-Bat'!AT47="","",+(SUM('Pon-Bat'!$AT$8:AT47)/SUM('Pon-Bat'!$AS$8:AS47)))</f>
        <v/>
      </c>
      <c r="BW47" s="499" t="str">
        <f>IF('Pon-Bat'!AU47="","",+'Pon-Bat'!AU47/'Pon-Bat'!AS47)</f>
        <v/>
      </c>
      <c r="BX47" s="504" t="str">
        <f>IF('Pon-Bat'!AU47="","",+(SUM('Pon-Bat'!$AU$8:AU47)/SUM('Pon-Bat'!$AS$8:AS47)))</f>
        <v/>
      </c>
      <c r="BY47" s="499" t="str">
        <f>IF('Pon-Bat'!AV47="","",+'Pon-Bat'!AV47/'Pon-Bat'!AS47)</f>
        <v/>
      </c>
      <c r="BZ47" s="504" t="str">
        <f>IF('Pon-Bat'!AV47="","",+(SUM('Pon-Bat'!$AV$8:AV47)/SUM('Pon-Bat'!$AS$8:AS47)))</f>
        <v/>
      </c>
      <c r="CA47" s="499" t="str">
        <f>IF('Pon-Bat'!AW47="","",+'Pon-Bat'!AW47/'Pon-Bat'!AS47)</f>
        <v/>
      </c>
      <c r="CB47" s="504" t="str">
        <f>IF('Pon-Bat'!AW47="","",+(SUM('Pon-Bat'!$AW$8:AW47)/SUM('Pon-Bat'!$AS$8:AS47)))</f>
        <v/>
      </c>
      <c r="CC47" s="499" t="str">
        <f>IF('Pon-Bat'!AX47="","",+'Pon-Bat'!AX47/'Pon-Bat'!AS47)</f>
        <v/>
      </c>
      <c r="CD47" s="496" t="str">
        <f>IF('Pon-Bat'!AX47="","",+(SUM('Pon-Bat'!$AX$8:AX47)/SUM('Pon-Bat'!$AS$8:AS47)))</f>
        <v/>
      </c>
      <c r="CE47" s="503" t="str">
        <f>IF('Pon-Bat'!AZ47="","",+'Pon-Bat'!AZ47/'Pon-Bat'!AY47)</f>
        <v/>
      </c>
      <c r="CF47" s="504" t="str">
        <f>IF('Pon-Bat'!AZ47="","",+(SUM('Pon-Bat'!$AZ$8:AZ47)/SUM('Pon-Bat'!$AY$8:AY47)))</f>
        <v/>
      </c>
      <c r="CG47" s="494" t="str">
        <f>IF('Pon-Bat'!BA47="","",+'Pon-Bat'!BA47/'Pon-Bat'!AY47)</f>
        <v/>
      </c>
      <c r="CH47" s="504" t="str">
        <f>IF('Pon-Bat'!BA47="","",+(SUM('Pon-Bat'!$BA$8:BA47)/SUM('Pon-Bat'!$AY$8:AY47)))</f>
        <v/>
      </c>
      <c r="CI47" s="499" t="str">
        <f>IF('Pon-Bat'!BB47="","",+'Pon-Bat'!BB47/'Pon-Bat'!AY47)</f>
        <v/>
      </c>
      <c r="CJ47" s="504" t="str">
        <f>IF('Pon-Bat'!BB47="","",+(SUM('Pon-Bat'!$BB$8:BB47)/SUM('Pon-Bat'!$AY$8:AY47)))</f>
        <v/>
      </c>
      <c r="CK47" s="494" t="str">
        <f>IF('Pon-Bat'!BC47="","",+'Pon-Bat'!BC47/'Pon-Bat'!AY47)</f>
        <v/>
      </c>
      <c r="CL47" s="504" t="str">
        <f>IF('Pon-Bat'!BC47="","",+(SUM('Pon-Bat'!$BC$8:BC47)/SUM('Pon-Bat'!$AY$8:AY47)))</f>
        <v/>
      </c>
      <c r="CM47" s="494" t="str">
        <f>IF('Pon-Bat'!BD47="","",+'Pon-Bat'!BD47/'Pon-Bat'!AY47)</f>
        <v/>
      </c>
      <c r="CN47" s="496" t="str">
        <f>IF('Pon-Bat'!BD47="","",+(SUM('Pon-Bat'!$BD$8:BD47)/SUM('Pon-Bat'!$AY$8:AY47)))</f>
        <v/>
      </c>
    </row>
    <row r="48" spans="1:92" ht="24" customHeight="1" thickBot="1" x14ac:dyDescent="0.25">
      <c r="A48" s="453">
        <f t="shared" si="2"/>
        <v>43691</v>
      </c>
      <c r="B48" s="465">
        <f t="shared" si="3"/>
        <v>63</v>
      </c>
      <c r="C48" s="503" t="str">
        <f>IF('Pon-Bat'!D48="","",+'Pon-Bat'!D48/'Pon-Bat'!C48)</f>
        <v/>
      </c>
      <c r="D48" s="504" t="str">
        <f>IF('Pon-Bat'!D48="","",+(SUM('Pon-Bat'!$D$8:D48)/SUM('Pon-Bat'!$C$8:C48)))</f>
        <v/>
      </c>
      <c r="E48" s="494" t="str">
        <f>IF('Pon-Bat'!E48="","",+'Pon-Bat'!E48/'Pon-Bat'!C48)</f>
        <v/>
      </c>
      <c r="F48" s="504" t="str">
        <f>IF('Pon-Bat'!E48="","",+(SUM('Pon-Bat'!$E$8:E48)/SUM('Pon-Bat'!$C$8:C48)))</f>
        <v/>
      </c>
      <c r="G48" s="494" t="str">
        <f>IF('Pon-Bat'!F48="","",+'Pon-Bat'!F48/'Pon-Bat'!C48)</f>
        <v/>
      </c>
      <c r="H48" s="504" t="str">
        <f>IF('Pon-Bat'!F48="","",+(SUM('Pon-Bat'!$F$8:F48)/SUM('Pon-Bat'!$C$8:C48)))</f>
        <v/>
      </c>
      <c r="I48" s="494" t="str">
        <f>IF('Pon-Bat'!G48="","",+'Pon-Bat'!G48/'Pon-Bat'!C48)</f>
        <v/>
      </c>
      <c r="J48" s="504" t="str">
        <f>IF('Pon-Bat'!G48="","",+(SUM('Pon-Bat'!$G$8:G48)/SUM('Pon-Bat'!$C$8:C48)))</f>
        <v/>
      </c>
      <c r="K48" s="494" t="str">
        <f>IF('Pon-Bat'!H48="","",+'Pon-Bat'!H48/'Pon-Bat'!C48)</f>
        <v/>
      </c>
      <c r="L48" s="496" t="str">
        <f>IF('Pon-Bat'!H48="","",+(SUM('Pon-Bat'!$H$8:H48)/SUM('Pon-Bat'!$C$8:C48)))</f>
        <v/>
      </c>
      <c r="M48" s="503" t="str">
        <f>IF('Pon-Bat'!J48="","",+'Pon-Bat'!J48/'Pon-Bat'!I48)</f>
        <v/>
      </c>
      <c r="N48" s="504" t="str">
        <f>IF('Pon-Bat'!J48="","",+(SUM('Pon-Bat'!$J$8:J48)/SUM('Pon-Bat'!$I$8:I48)))</f>
        <v/>
      </c>
      <c r="O48" s="494" t="str">
        <f>IF('Pon-Bat'!K48="","",+'Pon-Bat'!K48/'Pon-Bat'!I48)</f>
        <v/>
      </c>
      <c r="P48" s="504" t="str">
        <f>IF('Pon-Bat'!K48="","",+(SUM('Pon-Bat'!$K$8:K48)/SUM('Pon-Bat'!$I$8:I48)))</f>
        <v/>
      </c>
      <c r="Q48" s="494" t="str">
        <f>IF('Pon-Bat'!L48="","",+'Pon-Bat'!L48/'Pon-Bat'!I48)</f>
        <v/>
      </c>
      <c r="R48" s="504" t="str">
        <f>IF('Pon-Bat'!L48="","",+(SUM('Pon-Bat'!$L$8:L48)/SUM('Pon-Bat'!$I$8:I48)))</f>
        <v/>
      </c>
      <c r="S48" s="494" t="str">
        <f>IF('Pon-Bat'!M48="","",+'Pon-Bat'!M48/'Pon-Bat'!I48)</f>
        <v/>
      </c>
      <c r="T48" s="504" t="str">
        <f>IF('Pon-Bat'!M48="","",+(SUM('Pon-Bat'!$M$8:M48)/SUM('Pon-Bat'!$I$8:I48)))</f>
        <v/>
      </c>
      <c r="U48" s="494" t="str">
        <f>IF('Pon-Bat'!N48="","",+'Pon-Bat'!N48/'Pon-Bat'!I48)</f>
        <v/>
      </c>
      <c r="V48" s="496" t="str">
        <f>IF('Pon-Bat'!N48="","",+(SUM('Pon-Bat'!$N$8:N48)/SUM('Pon-Bat'!$I$8:I48)))</f>
        <v/>
      </c>
      <c r="W48" s="503" t="str">
        <f>IF('Pon-Bat'!P48="","",+'Pon-Bat'!P48/'Pon-Bat'!O48)</f>
        <v/>
      </c>
      <c r="X48" s="504" t="str">
        <f>IF('Pon-Bat'!P48="","",+(SUM('Pon-Bat'!$P$8:P48)/SUM('Pon-Bat'!$O$8:O48)))</f>
        <v/>
      </c>
      <c r="Y48" s="494" t="str">
        <f>IF('Pon-Bat'!Q48="","",+'Pon-Bat'!Q48/'Pon-Bat'!O48)</f>
        <v/>
      </c>
      <c r="Z48" s="504" t="str">
        <f>IF('Pon-Bat'!Q48="","",+(SUM('Pon-Bat'!$Q$8:Q48)/SUM('Pon-Bat'!$O$8:O48)))</f>
        <v/>
      </c>
      <c r="AA48" s="494" t="str">
        <f>IF('Pon-Bat'!R48="","",+'Pon-Bat'!R48/'Pon-Bat'!O48)</f>
        <v/>
      </c>
      <c r="AB48" s="504" t="str">
        <f>IF('Pon-Bat'!R48="","",+(SUM('Pon-Bat'!$R$8:R48)/SUM('Pon-Bat'!$O$8:O48)))</f>
        <v/>
      </c>
      <c r="AC48" s="494" t="str">
        <f>IF('Pon-Bat'!S48="","",+'Pon-Bat'!S48/'Pon-Bat'!O48)</f>
        <v/>
      </c>
      <c r="AD48" s="504" t="str">
        <f>IF('Pon-Bat'!S48="","",+(SUM('Pon-Bat'!$S$8:S48)/SUM('Pon-Bat'!$O$8:O48)))</f>
        <v/>
      </c>
      <c r="AE48" s="494" t="str">
        <f>IF('Pon-Bat'!T48="","",+'Pon-Bat'!T48/'Pon-Bat'!O48)</f>
        <v/>
      </c>
      <c r="AF48" s="496" t="str">
        <f>IF('Pon-Bat'!T48="","",+(SUM('Pon-Bat'!$T$8:T48)/SUM('Pon-Bat'!$O$8:O48)))</f>
        <v/>
      </c>
      <c r="AG48" s="503" t="str">
        <f>IF('Pon-Bat'!V48="","",+'Pon-Bat'!V48/'Pon-Bat'!U48)</f>
        <v/>
      </c>
      <c r="AH48" s="504" t="str">
        <f>IF('Pon-Bat'!V48="","",+(SUM('Pon-Bat'!$V$8:V48)/SUM('Pon-Bat'!$U$8:U48)))</f>
        <v/>
      </c>
      <c r="AI48" s="494" t="str">
        <f>IF('Pon-Bat'!W48="","",+'Pon-Bat'!W48/'Pon-Bat'!U48)</f>
        <v/>
      </c>
      <c r="AJ48" s="504" t="str">
        <f>IF('Pon-Bat'!W48="","",+(SUM('Pon-Bat'!$W$8:W48)/SUM('Pon-Bat'!$U$8:U48)))</f>
        <v/>
      </c>
      <c r="AK48" s="494" t="str">
        <f>IF('Pon-Bat'!X48="","",+'Pon-Bat'!X48/'Pon-Bat'!U48)</f>
        <v/>
      </c>
      <c r="AL48" s="504" t="str">
        <f>IF('Pon-Bat'!X48="","",+(SUM('Pon-Bat'!$X$8:X48)/SUM('Pon-Bat'!$U$8:U48)))</f>
        <v/>
      </c>
      <c r="AM48" s="494" t="str">
        <f>IF('Pon-Bat'!Y48="","",+'Pon-Bat'!Y48/'Pon-Bat'!U48)</f>
        <v/>
      </c>
      <c r="AN48" s="504" t="str">
        <f>IF('Pon-Bat'!Y48="","",+(SUM('Pon-Bat'!$Y$8:Y48)/SUM('Pon-Bat'!$U$8:U48)))</f>
        <v/>
      </c>
      <c r="AO48" s="494" t="str">
        <f>IF('Pon-Bat'!Z48="","",+'Pon-Bat'!Z48/'Pon-Bat'!U48)</f>
        <v/>
      </c>
      <c r="AP48" s="496" t="str">
        <f>IF('Pon-Bat'!Z48="","",+(SUM('Pon-Bat'!$Z$8:Z48)/SUM('Pon-Bat'!$U$8:U48)))</f>
        <v/>
      </c>
      <c r="AQ48" s="503" t="str">
        <f>IF('Pon-Bat'!AB48="","",+'Pon-Bat'!AB48/'Pon-Bat'!AA48)</f>
        <v/>
      </c>
      <c r="AR48" s="504" t="str">
        <f>IF('Pon-Bat'!AB48="","",+(SUM('Pon-Bat'!$AB$8:AB48)/SUM('Pon-Bat'!$AA$8:AA48)))</f>
        <v/>
      </c>
      <c r="AS48" s="494" t="str">
        <f>IF('Pon-Bat'!AC48="","",+'Pon-Bat'!AC48/'Pon-Bat'!AA48)</f>
        <v/>
      </c>
      <c r="AT48" s="504" t="str">
        <f>IF('Pon-Bat'!AC48="","",+(SUM('Pon-Bat'!$AC$8:AC48)/SUM('Pon-Bat'!$AA$8:AA48)))</f>
        <v/>
      </c>
      <c r="AU48" s="494" t="str">
        <f>IF('Pon-Bat'!AD48="","",+'Pon-Bat'!AD48/'Pon-Bat'!AA48)</f>
        <v/>
      </c>
      <c r="AV48" s="504" t="str">
        <f>IF('Pon-Bat'!AD48="","",+(SUM('Pon-Bat'!$AD$8:AD48)/SUM('Pon-Bat'!$AA$8:AA48)))</f>
        <v/>
      </c>
      <c r="AW48" s="494" t="str">
        <f>IF('Pon-Bat'!AE48="","",+'Pon-Bat'!AE48/'Pon-Bat'!AA48)</f>
        <v/>
      </c>
      <c r="AX48" s="504" t="str">
        <f>IF('Pon-Bat'!AE48="","",+(SUM('Pon-Bat'!$AE$8:AE48)/SUM('Pon-Bat'!$AA$8:AA48)))</f>
        <v/>
      </c>
      <c r="AY48" s="494" t="str">
        <f>IF('Pon-Bat'!AF48="","",+'Pon-Bat'!AF48/'Pon-Bat'!AA48)</f>
        <v/>
      </c>
      <c r="AZ48" s="496" t="str">
        <f>IF('Pon-Bat'!AF48="","",+(SUM('Pon-Bat'!$AF$8:AF48)/SUM('Pon-Bat'!$AA$8:AA48)))</f>
        <v/>
      </c>
      <c r="BA48" s="503" t="str">
        <f>IF('Pon-Bat'!AH48="","",+'Pon-Bat'!AH48/'Pon-Bat'!AG48)</f>
        <v/>
      </c>
      <c r="BB48" s="504" t="str">
        <f>IF('Pon-Bat'!AH48="","",+(SUM('Pon-Bat'!$AH$8:AH48)/SUM('Pon-Bat'!$AG$8:AG48)))</f>
        <v/>
      </c>
      <c r="BC48" s="494" t="str">
        <f>IF('Pon-Bat'!AI48="","",+'Pon-Bat'!AI48/'Pon-Bat'!AG48)</f>
        <v/>
      </c>
      <c r="BD48" s="504" t="str">
        <f>IF('Pon-Bat'!AI48="","",+(SUM('Pon-Bat'!$AI$8:AI48)/SUM('Pon-Bat'!$AG$8:AG48)))</f>
        <v/>
      </c>
      <c r="BE48" s="494" t="str">
        <f>IF('Pon-Bat'!AJ48="","",+'Pon-Bat'!AJ48/'Pon-Bat'!AG48)</f>
        <v/>
      </c>
      <c r="BF48" s="504" t="str">
        <f>IF('Pon-Bat'!AJ48="","",+(SUM('Pon-Bat'!$AJ$8:AJ48)/SUM('Pon-Bat'!$AG$8:AG48)))</f>
        <v/>
      </c>
      <c r="BG48" s="494" t="str">
        <f>IF('Pon-Bat'!AK48="","",+'Pon-Bat'!AK48/'Pon-Bat'!AG48)</f>
        <v/>
      </c>
      <c r="BH48" s="504" t="str">
        <f>IF('Pon-Bat'!AK48="","",+(SUM('Pon-Bat'!$AK$8:AK48)/SUM('Pon-Bat'!$AG$8:AG48)))</f>
        <v/>
      </c>
      <c r="BI48" s="494" t="str">
        <f>IF('Pon-Bat'!AL48="","",+'Pon-Bat'!AL48/'Pon-Bat'!AG48)</f>
        <v/>
      </c>
      <c r="BJ48" s="496" t="str">
        <f>IF('Pon-Bat'!AL48="","",+(SUM('Pon-Bat'!$AL$8:AL48)/SUM('Pon-Bat'!$AG$8:AG48)))</f>
        <v/>
      </c>
      <c r="BK48" s="501" t="str">
        <f>IF('Pon-Bat'!AN48="","",+'Pon-Bat'!AN48/'Pon-Bat'!AM48)</f>
        <v/>
      </c>
      <c r="BL48" s="504" t="str">
        <f>IF('Pon-Bat'!AN48="","",+(SUM('Pon-Bat'!$AN$8:AN48)/SUM('Pon-Bat'!$AM$8:AM48)))</f>
        <v/>
      </c>
      <c r="BM48" s="499" t="str">
        <f>IF('Pon-Bat'!AO48="","",+'Pon-Bat'!AO48/'Pon-Bat'!AM48)</f>
        <v/>
      </c>
      <c r="BN48" s="504" t="str">
        <f>IF('Pon-Bat'!AO48="","",+(SUM('Pon-Bat'!$AO$8:AO48)/SUM('Pon-Bat'!$AM$8:AM48)))</f>
        <v/>
      </c>
      <c r="BO48" s="499" t="str">
        <f>IF('Pon-Bat'!AP48="","",+'Pon-Bat'!AP48/'Pon-Bat'!AM48)</f>
        <v/>
      </c>
      <c r="BP48" s="504" t="str">
        <f>IF('Pon-Bat'!AP48="","",+(SUM('Pon-Bat'!$AP$8:AP48)/SUM('Pon-Bat'!$AM$8:AM48)))</f>
        <v/>
      </c>
      <c r="BQ48" s="499" t="str">
        <f>IF('Pon-Bat'!AQ48="","",+'Pon-Bat'!AQ48/'Pon-Bat'!AM48)</f>
        <v/>
      </c>
      <c r="BR48" s="504" t="str">
        <f>IF('Pon-Bat'!AQ48="","",+(SUM('Pon-Bat'!$AQ$8:AQ48)/SUM('Pon-Bat'!$AM$8:AM48)))</f>
        <v/>
      </c>
      <c r="BS48" s="499" t="str">
        <f>IF('Pon-Bat'!AR48="","",+'Pon-Bat'!AR48/'Pon-Bat'!AM48)</f>
        <v/>
      </c>
      <c r="BT48" s="496" t="str">
        <f>IF('Pon-Bat'!AR48="","",+(SUM('Pon-Bat'!$AR$8:AR48)/SUM('Pon-Bat'!$AM$8:AM48)))</f>
        <v/>
      </c>
      <c r="BU48" s="501" t="str">
        <f>IF('Pon-Bat'!AT48="","",+'Pon-Bat'!AT48/'Pon-Bat'!AS48)</f>
        <v/>
      </c>
      <c r="BV48" s="504" t="str">
        <f>IF('Pon-Bat'!AT48="","",+(SUM('Pon-Bat'!$AT$8:AT48)/SUM('Pon-Bat'!$AS$8:AS48)))</f>
        <v/>
      </c>
      <c r="BW48" s="499" t="str">
        <f>IF('Pon-Bat'!AU48="","",+'Pon-Bat'!AU48/'Pon-Bat'!AS48)</f>
        <v/>
      </c>
      <c r="BX48" s="504" t="str">
        <f>IF('Pon-Bat'!AU48="","",+(SUM('Pon-Bat'!$AU$8:AU48)/SUM('Pon-Bat'!$AS$8:AS48)))</f>
        <v/>
      </c>
      <c r="BY48" s="499" t="str">
        <f>IF('Pon-Bat'!AV48="","",+'Pon-Bat'!AV48/'Pon-Bat'!AS48)</f>
        <v/>
      </c>
      <c r="BZ48" s="504" t="str">
        <f>IF('Pon-Bat'!AV48="","",+(SUM('Pon-Bat'!$AV$8:AV48)/SUM('Pon-Bat'!$AS$8:AS48)))</f>
        <v/>
      </c>
      <c r="CA48" s="499" t="str">
        <f>IF('Pon-Bat'!AW48="","",+'Pon-Bat'!AW48/'Pon-Bat'!AS48)</f>
        <v/>
      </c>
      <c r="CB48" s="504" t="str">
        <f>IF('Pon-Bat'!AW48="","",+(SUM('Pon-Bat'!$AW$8:AW48)/SUM('Pon-Bat'!$AS$8:AS48)))</f>
        <v/>
      </c>
      <c r="CC48" s="499" t="str">
        <f>IF('Pon-Bat'!AX48="","",+'Pon-Bat'!AX48/'Pon-Bat'!AS48)</f>
        <v/>
      </c>
      <c r="CD48" s="496" t="str">
        <f>IF('Pon-Bat'!AX48="","",+(SUM('Pon-Bat'!$AX$8:AX48)/SUM('Pon-Bat'!$AS$8:AS48)))</f>
        <v/>
      </c>
      <c r="CE48" s="503" t="str">
        <f>IF('Pon-Bat'!AZ48="","",+'Pon-Bat'!AZ48/'Pon-Bat'!AY48)</f>
        <v/>
      </c>
      <c r="CF48" s="504" t="str">
        <f>IF('Pon-Bat'!AZ48="","",+(SUM('Pon-Bat'!$AZ$8:AZ48)/SUM('Pon-Bat'!$AY$8:AY48)))</f>
        <v/>
      </c>
      <c r="CG48" s="494" t="str">
        <f>IF('Pon-Bat'!BA48="","",+'Pon-Bat'!BA48/'Pon-Bat'!AY48)</f>
        <v/>
      </c>
      <c r="CH48" s="504" t="str">
        <f>IF('Pon-Bat'!BA48="","",+(SUM('Pon-Bat'!$BA$8:BA48)/SUM('Pon-Bat'!$AY$8:AY48)))</f>
        <v/>
      </c>
      <c r="CI48" s="499" t="str">
        <f>IF('Pon-Bat'!BB48="","",+'Pon-Bat'!BB48/'Pon-Bat'!AY48)</f>
        <v/>
      </c>
      <c r="CJ48" s="504" t="str">
        <f>IF('Pon-Bat'!BB48="","",+(SUM('Pon-Bat'!$BB$8:BB48)/SUM('Pon-Bat'!$AY$8:AY48)))</f>
        <v/>
      </c>
      <c r="CK48" s="494" t="str">
        <f>IF('Pon-Bat'!BC48="","",+'Pon-Bat'!BC48/'Pon-Bat'!AY48)</f>
        <v/>
      </c>
      <c r="CL48" s="504" t="str">
        <f>IF('Pon-Bat'!BC48="","",+(SUM('Pon-Bat'!$BC$8:BC48)/SUM('Pon-Bat'!$AY$8:AY48)))</f>
        <v/>
      </c>
      <c r="CM48" s="494" t="str">
        <f>IF('Pon-Bat'!BD48="","",+'Pon-Bat'!BD48/'Pon-Bat'!AY48)</f>
        <v/>
      </c>
      <c r="CN48" s="496" t="str">
        <f>IF('Pon-Bat'!BD48="","",+(SUM('Pon-Bat'!$BD$8:BD48)/SUM('Pon-Bat'!$AY$8:AY48)))</f>
        <v/>
      </c>
    </row>
    <row r="49" spans="1:92" ht="24" customHeight="1" thickBot="1" x14ac:dyDescent="0.25">
      <c r="A49" s="453">
        <f t="shared" si="2"/>
        <v>43698</v>
      </c>
      <c r="B49" s="465">
        <f t="shared" si="3"/>
        <v>64</v>
      </c>
      <c r="C49" s="503" t="str">
        <f>IF('Pon-Bat'!D49="","",+'Pon-Bat'!D49/'Pon-Bat'!C49)</f>
        <v/>
      </c>
      <c r="D49" s="504" t="str">
        <f>IF('Pon-Bat'!D49="","",+(SUM('Pon-Bat'!$D$8:D49)/SUM('Pon-Bat'!$C$8:C49)))</f>
        <v/>
      </c>
      <c r="E49" s="494" t="str">
        <f>IF('Pon-Bat'!E49="","",+'Pon-Bat'!E49/'Pon-Bat'!C49)</f>
        <v/>
      </c>
      <c r="F49" s="504" t="str">
        <f>IF('Pon-Bat'!E49="","",+(SUM('Pon-Bat'!$E$8:E49)/SUM('Pon-Bat'!$C$8:C49)))</f>
        <v/>
      </c>
      <c r="G49" s="494" t="str">
        <f>IF('Pon-Bat'!F49="","",+'Pon-Bat'!F49/'Pon-Bat'!C49)</f>
        <v/>
      </c>
      <c r="H49" s="504" t="str">
        <f>IF('Pon-Bat'!F49="","",+(SUM('Pon-Bat'!$F$8:F49)/SUM('Pon-Bat'!$C$8:C49)))</f>
        <v/>
      </c>
      <c r="I49" s="494" t="str">
        <f>IF('Pon-Bat'!G49="","",+'Pon-Bat'!G49/'Pon-Bat'!C49)</f>
        <v/>
      </c>
      <c r="J49" s="504" t="str">
        <f>IF('Pon-Bat'!G49="","",+(SUM('Pon-Bat'!$G$8:G49)/SUM('Pon-Bat'!$C$8:C49)))</f>
        <v/>
      </c>
      <c r="K49" s="494" t="str">
        <f>IF('Pon-Bat'!H49="","",+'Pon-Bat'!H49/'Pon-Bat'!C49)</f>
        <v/>
      </c>
      <c r="L49" s="496" t="str">
        <f>IF('Pon-Bat'!H49="","",+(SUM('Pon-Bat'!$H$8:H49)/SUM('Pon-Bat'!$C$8:C49)))</f>
        <v/>
      </c>
      <c r="M49" s="503" t="str">
        <f>IF('Pon-Bat'!J49="","",+'Pon-Bat'!J49/'Pon-Bat'!I49)</f>
        <v/>
      </c>
      <c r="N49" s="504" t="str">
        <f>IF('Pon-Bat'!J49="","",+(SUM('Pon-Bat'!$J$8:J49)/SUM('Pon-Bat'!$I$8:I49)))</f>
        <v/>
      </c>
      <c r="O49" s="494" t="str">
        <f>IF('Pon-Bat'!K49="","",+'Pon-Bat'!K49/'Pon-Bat'!I49)</f>
        <v/>
      </c>
      <c r="P49" s="504" t="str">
        <f>IF('Pon-Bat'!K49="","",+(SUM('Pon-Bat'!$K$8:K49)/SUM('Pon-Bat'!$I$8:I49)))</f>
        <v/>
      </c>
      <c r="Q49" s="494" t="str">
        <f>IF('Pon-Bat'!L49="","",+'Pon-Bat'!L49/'Pon-Bat'!I49)</f>
        <v/>
      </c>
      <c r="R49" s="504" t="str">
        <f>IF('Pon-Bat'!L49="","",+(SUM('Pon-Bat'!$L$8:L49)/SUM('Pon-Bat'!$I$8:I49)))</f>
        <v/>
      </c>
      <c r="S49" s="494" t="str">
        <f>IF('Pon-Bat'!M49="","",+'Pon-Bat'!M49/'Pon-Bat'!I49)</f>
        <v/>
      </c>
      <c r="T49" s="504" t="str">
        <f>IF('Pon-Bat'!M49="","",+(SUM('Pon-Bat'!$M$8:M49)/SUM('Pon-Bat'!$I$8:I49)))</f>
        <v/>
      </c>
      <c r="U49" s="494" t="str">
        <f>IF('Pon-Bat'!N49="","",+'Pon-Bat'!N49/'Pon-Bat'!I49)</f>
        <v/>
      </c>
      <c r="V49" s="496" t="str">
        <f>IF('Pon-Bat'!N49="","",+(SUM('Pon-Bat'!$N$8:N49)/SUM('Pon-Bat'!$I$8:I49)))</f>
        <v/>
      </c>
      <c r="W49" s="503" t="str">
        <f>IF('Pon-Bat'!P49="","",+'Pon-Bat'!P49/'Pon-Bat'!O49)</f>
        <v/>
      </c>
      <c r="X49" s="504" t="str">
        <f>IF('Pon-Bat'!P49="","",+(SUM('Pon-Bat'!$P$8:P49)/SUM('Pon-Bat'!$O$8:O49)))</f>
        <v/>
      </c>
      <c r="Y49" s="494" t="str">
        <f>IF('Pon-Bat'!Q49="","",+'Pon-Bat'!Q49/'Pon-Bat'!O49)</f>
        <v/>
      </c>
      <c r="Z49" s="504" t="str">
        <f>IF('Pon-Bat'!Q49="","",+(SUM('Pon-Bat'!$Q$8:Q49)/SUM('Pon-Bat'!$O$8:O49)))</f>
        <v/>
      </c>
      <c r="AA49" s="494" t="str">
        <f>IF('Pon-Bat'!R49="","",+'Pon-Bat'!R49/'Pon-Bat'!O49)</f>
        <v/>
      </c>
      <c r="AB49" s="504" t="str">
        <f>IF('Pon-Bat'!R49="","",+(SUM('Pon-Bat'!$R$8:R49)/SUM('Pon-Bat'!$O$8:O49)))</f>
        <v/>
      </c>
      <c r="AC49" s="494" t="str">
        <f>IF('Pon-Bat'!S49="","",+'Pon-Bat'!S49/'Pon-Bat'!O49)</f>
        <v/>
      </c>
      <c r="AD49" s="504" t="str">
        <f>IF('Pon-Bat'!S49="","",+(SUM('Pon-Bat'!$S$8:S49)/SUM('Pon-Bat'!$O$8:O49)))</f>
        <v/>
      </c>
      <c r="AE49" s="494" t="str">
        <f>IF('Pon-Bat'!T49="","",+'Pon-Bat'!T49/'Pon-Bat'!O49)</f>
        <v/>
      </c>
      <c r="AF49" s="496" t="str">
        <f>IF('Pon-Bat'!T49="","",+(SUM('Pon-Bat'!$T$8:T49)/SUM('Pon-Bat'!$O$8:O49)))</f>
        <v/>
      </c>
      <c r="AG49" s="503" t="str">
        <f>IF('Pon-Bat'!V49="","",+'Pon-Bat'!V49/'Pon-Bat'!U49)</f>
        <v/>
      </c>
      <c r="AH49" s="504" t="str">
        <f>IF('Pon-Bat'!V49="","",+(SUM('Pon-Bat'!$V$8:V49)/SUM('Pon-Bat'!$U$8:U49)))</f>
        <v/>
      </c>
      <c r="AI49" s="494" t="str">
        <f>IF('Pon-Bat'!W49="","",+'Pon-Bat'!W49/'Pon-Bat'!U49)</f>
        <v/>
      </c>
      <c r="AJ49" s="504" t="str">
        <f>IF('Pon-Bat'!W49="","",+(SUM('Pon-Bat'!$W$8:W49)/SUM('Pon-Bat'!$U$8:U49)))</f>
        <v/>
      </c>
      <c r="AK49" s="494" t="str">
        <f>IF('Pon-Bat'!X49="","",+'Pon-Bat'!X49/'Pon-Bat'!U49)</f>
        <v/>
      </c>
      <c r="AL49" s="504" t="str">
        <f>IF('Pon-Bat'!X49="","",+(SUM('Pon-Bat'!$X$8:X49)/SUM('Pon-Bat'!$U$8:U49)))</f>
        <v/>
      </c>
      <c r="AM49" s="494" t="str">
        <f>IF('Pon-Bat'!Y49="","",+'Pon-Bat'!Y49/'Pon-Bat'!U49)</f>
        <v/>
      </c>
      <c r="AN49" s="504" t="str">
        <f>IF('Pon-Bat'!Y49="","",+(SUM('Pon-Bat'!$Y$8:Y49)/SUM('Pon-Bat'!$U$8:U49)))</f>
        <v/>
      </c>
      <c r="AO49" s="494" t="str">
        <f>IF('Pon-Bat'!Z49="","",+'Pon-Bat'!Z49/'Pon-Bat'!U49)</f>
        <v/>
      </c>
      <c r="AP49" s="496" t="str">
        <f>IF('Pon-Bat'!Z49="","",+(SUM('Pon-Bat'!$Z$8:Z49)/SUM('Pon-Bat'!$U$8:U49)))</f>
        <v/>
      </c>
      <c r="AQ49" s="503" t="str">
        <f>IF('Pon-Bat'!AB49="","",+'Pon-Bat'!AB49/'Pon-Bat'!AA49)</f>
        <v/>
      </c>
      <c r="AR49" s="504" t="str">
        <f>IF('Pon-Bat'!AB49="","",+(SUM('Pon-Bat'!$AB$8:AB49)/SUM('Pon-Bat'!$AA$8:AA49)))</f>
        <v/>
      </c>
      <c r="AS49" s="494" t="str">
        <f>IF('Pon-Bat'!AC49="","",+'Pon-Bat'!AC49/'Pon-Bat'!AA49)</f>
        <v/>
      </c>
      <c r="AT49" s="504" t="str">
        <f>IF('Pon-Bat'!AC49="","",+(SUM('Pon-Bat'!$AC$8:AC49)/SUM('Pon-Bat'!$AA$8:AA49)))</f>
        <v/>
      </c>
      <c r="AU49" s="494" t="str">
        <f>IF('Pon-Bat'!AD49="","",+'Pon-Bat'!AD49/'Pon-Bat'!AA49)</f>
        <v/>
      </c>
      <c r="AV49" s="504" t="str">
        <f>IF('Pon-Bat'!AD49="","",+(SUM('Pon-Bat'!$AD$8:AD49)/SUM('Pon-Bat'!$AA$8:AA49)))</f>
        <v/>
      </c>
      <c r="AW49" s="494" t="str">
        <f>IF('Pon-Bat'!AE49="","",+'Pon-Bat'!AE49/'Pon-Bat'!AA49)</f>
        <v/>
      </c>
      <c r="AX49" s="504" t="str">
        <f>IF('Pon-Bat'!AE49="","",+(SUM('Pon-Bat'!$AE$8:AE49)/SUM('Pon-Bat'!$AA$8:AA49)))</f>
        <v/>
      </c>
      <c r="AY49" s="494" t="str">
        <f>IF('Pon-Bat'!AF49="","",+'Pon-Bat'!AF49/'Pon-Bat'!AA49)</f>
        <v/>
      </c>
      <c r="AZ49" s="496" t="str">
        <f>IF('Pon-Bat'!AF49="","",+(SUM('Pon-Bat'!$AF$8:AF49)/SUM('Pon-Bat'!$AA$8:AA49)))</f>
        <v/>
      </c>
      <c r="BA49" s="503" t="str">
        <f>IF('Pon-Bat'!AH49="","",+'Pon-Bat'!AH49/'Pon-Bat'!AG49)</f>
        <v/>
      </c>
      <c r="BB49" s="504" t="str">
        <f>IF('Pon-Bat'!AH49="","",+(SUM('Pon-Bat'!$AH$8:AH49)/SUM('Pon-Bat'!$AG$8:AG49)))</f>
        <v/>
      </c>
      <c r="BC49" s="494" t="str">
        <f>IF('Pon-Bat'!AI49="","",+'Pon-Bat'!AI49/'Pon-Bat'!AG49)</f>
        <v/>
      </c>
      <c r="BD49" s="504" t="str">
        <f>IF('Pon-Bat'!AI49="","",+(SUM('Pon-Bat'!$AI$8:AI49)/SUM('Pon-Bat'!$AG$8:AG49)))</f>
        <v/>
      </c>
      <c r="BE49" s="494" t="str">
        <f>IF('Pon-Bat'!AJ49="","",+'Pon-Bat'!AJ49/'Pon-Bat'!AG49)</f>
        <v/>
      </c>
      <c r="BF49" s="504" t="str">
        <f>IF('Pon-Bat'!AJ49="","",+(SUM('Pon-Bat'!$AJ$8:AJ49)/SUM('Pon-Bat'!$AG$8:AG49)))</f>
        <v/>
      </c>
      <c r="BG49" s="494" t="str">
        <f>IF('Pon-Bat'!AK49="","",+'Pon-Bat'!AK49/'Pon-Bat'!AG49)</f>
        <v/>
      </c>
      <c r="BH49" s="504" t="str">
        <f>IF('Pon-Bat'!AK49="","",+(SUM('Pon-Bat'!$AK$8:AK49)/SUM('Pon-Bat'!$AG$8:AG49)))</f>
        <v/>
      </c>
      <c r="BI49" s="494" t="str">
        <f>IF('Pon-Bat'!AL49="","",+'Pon-Bat'!AL49/'Pon-Bat'!AG49)</f>
        <v/>
      </c>
      <c r="BJ49" s="496" t="str">
        <f>IF('Pon-Bat'!AL49="","",+(SUM('Pon-Bat'!$AL$8:AL49)/SUM('Pon-Bat'!$AG$8:AG49)))</f>
        <v/>
      </c>
      <c r="BK49" s="501" t="str">
        <f>IF('Pon-Bat'!AN49="","",+'Pon-Bat'!AN49/'Pon-Bat'!AM49)</f>
        <v/>
      </c>
      <c r="BL49" s="504" t="str">
        <f>IF('Pon-Bat'!AN49="","",+(SUM('Pon-Bat'!$AN$8:AN49)/SUM('Pon-Bat'!$AM$8:AM49)))</f>
        <v/>
      </c>
      <c r="BM49" s="499" t="str">
        <f>IF('Pon-Bat'!AO49="","",+'Pon-Bat'!AO49/'Pon-Bat'!AM49)</f>
        <v/>
      </c>
      <c r="BN49" s="504" t="str">
        <f>IF('Pon-Bat'!AO49="","",+(SUM('Pon-Bat'!$AO$8:AO49)/SUM('Pon-Bat'!$AM$8:AM49)))</f>
        <v/>
      </c>
      <c r="BO49" s="499" t="str">
        <f>IF('Pon-Bat'!AP49="","",+'Pon-Bat'!AP49/'Pon-Bat'!AM49)</f>
        <v/>
      </c>
      <c r="BP49" s="504" t="str">
        <f>IF('Pon-Bat'!AP49="","",+(SUM('Pon-Bat'!$AP$8:AP49)/SUM('Pon-Bat'!$AM$8:AM49)))</f>
        <v/>
      </c>
      <c r="BQ49" s="499" t="str">
        <f>IF('Pon-Bat'!AQ49="","",+'Pon-Bat'!AQ49/'Pon-Bat'!AM49)</f>
        <v/>
      </c>
      <c r="BR49" s="504" t="str">
        <f>IF('Pon-Bat'!AQ49="","",+(SUM('Pon-Bat'!$AQ$8:AQ49)/SUM('Pon-Bat'!$AM$8:AM49)))</f>
        <v/>
      </c>
      <c r="BS49" s="499" t="str">
        <f>IF('Pon-Bat'!AR49="","",+'Pon-Bat'!AR49/'Pon-Bat'!AM49)</f>
        <v/>
      </c>
      <c r="BT49" s="496" t="str">
        <f>IF('Pon-Bat'!AR49="","",+(SUM('Pon-Bat'!$AR$8:AR49)/SUM('Pon-Bat'!$AM$8:AM49)))</f>
        <v/>
      </c>
      <c r="BU49" s="501" t="str">
        <f>IF('Pon-Bat'!AT49="","",+'Pon-Bat'!AT49/'Pon-Bat'!AS49)</f>
        <v/>
      </c>
      <c r="BV49" s="504" t="str">
        <f>IF('Pon-Bat'!AT49="","",+(SUM('Pon-Bat'!$AT$8:AT49)/SUM('Pon-Bat'!$AS$8:AS49)))</f>
        <v/>
      </c>
      <c r="BW49" s="499" t="str">
        <f>IF('Pon-Bat'!AU49="","",+'Pon-Bat'!AU49/'Pon-Bat'!AS49)</f>
        <v/>
      </c>
      <c r="BX49" s="504" t="str">
        <f>IF('Pon-Bat'!AU49="","",+(SUM('Pon-Bat'!$AU$8:AU49)/SUM('Pon-Bat'!$AS$8:AS49)))</f>
        <v/>
      </c>
      <c r="BY49" s="499" t="str">
        <f>IF('Pon-Bat'!AV49="","",+'Pon-Bat'!AV49/'Pon-Bat'!AS49)</f>
        <v/>
      </c>
      <c r="BZ49" s="504" t="str">
        <f>IF('Pon-Bat'!AV49="","",+(SUM('Pon-Bat'!$AV$8:AV49)/SUM('Pon-Bat'!$AS$8:AS49)))</f>
        <v/>
      </c>
      <c r="CA49" s="499" t="str">
        <f>IF('Pon-Bat'!AW49="","",+'Pon-Bat'!AW49/'Pon-Bat'!AS49)</f>
        <v/>
      </c>
      <c r="CB49" s="504" t="str">
        <f>IF('Pon-Bat'!AW49="","",+(SUM('Pon-Bat'!$AW$8:AW49)/SUM('Pon-Bat'!$AS$8:AS49)))</f>
        <v/>
      </c>
      <c r="CC49" s="499" t="str">
        <f>IF('Pon-Bat'!AX49="","",+'Pon-Bat'!AX49/'Pon-Bat'!AS49)</f>
        <v/>
      </c>
      <c r="CD49" s="496" t="str">
        <f>IF('Pon-Bat'!AX49="","",+(SUM('Pon-Bat'!$AX$8:AX49)/SUM('Pon-Bat'!$AS$8:AS49)))</f>
        <v/>
      </c>
      <c r="CE49" s="503" t="str">
        <f>IF('Pon-Bat'!AZ49="","",+'Pon-Bat'!AZ49/'Pon-Bat'!AY49)</f>
        <v/>
      </c>
      <c r="CF49" s="504" t="str">
        <f>IF('Pon-Bat'!AZ49="","",+(SUM('Pon-Bat'!$AZ$8:AZ49)/SUM('Pon-Bat'!$AY$8:AY49)))</f>
        <v/>
      </c>
      <c r="CG49" s="494" t="str">
        <f>IF('Pon-Bat'!BA49="","",+'Pon-Bat'!BA49/'Pon-Bat'!AY49)</f>
        <v/>
      </c>
      <c r="CH49" s="504" t="str">
        <f>IF('Pon-Bat'!BA49="","",+(SUM('Pon-Bat'!$BA$8:BA49)/SUM('Pon-Bat'!$AY$8:AY49)))</f>
        <v/>
      </c>
      <c r="CI49" s="499" t="str">
        <f>IF('Pon-Bat'!BB49="","",+'Pon-Bat'!BB49/'Pon-Bat'!AY49)</f>
        <v/>
      </c>
      <c r="CJ49" s="504" t="str">
        <f>IF('Pon-Bat'!BB49="","",+(SUM('Pon-Bat'!$BB$8:BB49)/SUM('Pon-Bat'!$AY$8:AY49)))</f>
        <v/>
      </c>
      <c r="CK49" s="494" t="str">
        <f>IF('Pon-Bat'!BC49="","",+'Pon-Bat'!BC49/'Pon-Bat'!AY49)</f>
        <v/>
      </c>
      <c r="CL49" s="504" t="str">
        <f>IF('Pon-Bat'!BC49="","",+(SUM('Pon-Bat'!$BC$8:BC49)/SUM('Pon-Bat'!$AY$8:AY49)))</f>
        <v/>
      </c>
      <c r="CM49" s="494" t="str">
        <f>IF('Pon-Bat'!BD49="","",+'Pon-Bat'!BD49/'Pon-Bat'!AY49)</f>
        <v/>
      </c>
      <c r="CN49" s="496" t="str">
        <f>IF('Pon-Bat'!BD49="","",+(SUM('Pon-Bat'!$BD$8:BD49)/SUM('Pon-Bat'!$AY$8:AY49)))</f>
        <v/>
      </c>
    </row>
    <row r="50" spans="1:92" ht="24" customHeight="1" thickBot="1" x14ac:dyDescent="0.25">
      <c r="A50" s="453">
        <f t="shared" si="2"/>
        <v>43705</v>
      </c>
      <c r="B50" s="465">
        <f t="shared" si="3"/>
        <v>65</v>
      </c>
      <c r="C50" s="503" t="str">
        <f>IF('Pon-Bat'!D50="","",+'Pon-Bat'!D50/'Pon-Bat'!C50)</f>
        <v/>
      </c>
      <c r="D50" s="504" t="str">
        <f>IF('Pon-Bat'!D50="","",+(SUM('Pon-Bat'!$D$8:D50)/SUM('Pon-Bat'!$C$8:C50)))</f>
        <v/>
      </c>
      <c r="E50" s="494" t="str">
        <f>IF('Pon-Bat'!E50="","",+'Pon-Bat'!E50/'Pon-Bat'!C50)</f>
        <v/>
      </c>
      <c r="F50" s="504" t="str">
        <f>IF('Pon-Bat'!E50="","",+(SUM('Pon-Bat'!$E$8:E50)/SUM('Pon-Bat'!$C$8:C50)))</f>
        <v/>
      </c>
      <c r="G50" s="494" t="str">
        <f>IF('Pon-Bat'!F50="","",+'Pon-Bat'!F50/'Pon-Bat'!C50)</f>
        <v/>
      </c>
      <c r="H50" s="504" t="str">
        <f>IF('Pon-Bat'!F50="","",+(SUM('Pon-Bat'!$F$8:F50)/SUM('Pon-Bat'!$C$8:C50)))</f>
        <v/>
      </c>
      <c r="I50" s="494" t="str">
        <f>IF('Pon-Bat'!G50="","",+'Pon-Bat'!G50/'Pon-Bat'!C50)</f>
        <v/>
      </c>
      <c r="J50" s="504" t="str">
        <f>IF('Pon-Bat'!G50="","",+(SUM('Pon-Bat'!$G$8:G50)/SUM('Pon-Bat'!$C$8:C50)))</f>
        <v/>
      </c>
      <c r="K50" s="494" t="str">
        <f>IF('Pon-Bat'!H50="","",+'Pon-Bat'!H50/'Pon-Bat'!C50)</f>
        <v/>
      </c>
      <c r="L50" s="496" t="str">
        <f>IF('Pon-Bat'!H50="","",+(SUM('Pon-Bat'!$H$8:H50)/SUM('Pon-Bat'!$C$8:C50)))</f>
        <v/>
      </c>
      <c r="M50" s="503" t="str">
        <f>IF('Pon-Bat'!J50="","",+'Pon-Bat'!J50/'Pon-Bat'!I50)</f>
        <v/>
      </c>
      <c r="N50" s="504" t="str">
        <f>IF('Pon-Bat'!J50="","",+(SUM('Pon-Bat'!$J$8:J50)/SUM('Pon-Bat'!$I$8:I50)))</f>
        <v/>
      </c>
      <c r="O50" s="494" t="str">
        <f>IF('Pon-Bat'!K50="","",+'Pon-Bat'!K50/'Pon-Bat'!I50)</f>
        <v/>
      </c>
      <c r="P50" s="504" t="str">
        <f>IF('Pon-Bat'!K50="","",+(SUM('Pon-Bat'!$K$8:K50)/SUM('Pon-Bat'!$I$8:I50)))</f>
        <v/>
      </c>
      <c r="Q50" s="494" t="str">
        <f>IF('Pon-Bat'!L50="","",+'Pon-Bat'!L50/'Pon-Bat'!I50)</f>
        <v/>
      </c>
      <c r="R50" s="504" t="str">
        <f>IF('Pon-Bat'!L50="","",+(SUM('Pon-Bat'!$L$8:L50)/SUM('Pon-Bat'!$I$8:I50)))</f>
        <v/>
      </c>
      <c r="S50" s="494" t="str">
        <f>IF('Pon-Bat'!M50="","",+'Pon-Bat'!M50/'Pon-Bat'!I50)</f>
        <v/>
      </c>
      <c r="T50" s="504" t="str">
        <f>IF('Pon-Bat'!M50="","",+(SUM('Pon-Bat'!$M$8:M50)/SUM('Pon-Bat'!$I$8:I50)))</f>
        <v/>
      </c>
      <c r="U50" s="494" t="str">
        <f>IF('Pon-Bat'!N50="","",+'Pon-Bat'!N50/'Pon-Bat'!I50)</f>
        <v/>
      </c>
      <c r="V50" s="496" t="str">
        <f>IF('Pon-Bat'!N50="","",+(SUM('Pon-Bat'!$N$8:N50)/SUM('Pon-Bat'!$I$8:I50)))</f>
        <v/>
      </c>
      <c r="W50" s="503" t="str">
        <f>IF('Pon-Bat'!P50="","",+'Pon-Bat'!P50/'Pon-Bat'!O50)</f>
        <v/>
      </c>
      <c r="X50" s="504" t="str">
        <f>IF('Pon-Bat'!P50="","",+(SUM('Pon-Bat'!$P$8:P50)/SUM('Pon-Bat'!$O$8:O50)))</f>
        <v/>
      </c>
      <c r="Y50" s="494" t="str">
        <f>IF('Pon-Bat'!Q50="","",+'Pon-Bat'!Q50/'Pon-Bat'!O50)</f>
        <v/>
      </c>
      <c r="Z50" s="504" t="str">
        <f>IF('Pon-Bat'!Q50="","",+(SUM('Pon-Bat'!$Q$8:Q50)/SUM('Pon-Bat'!$O$8:O50)))</f>
        <v/>
      </c>
      <c r="AA50" s="494" t="str">
        <f>IF('Pon-Bat'!R50="","",+'Pon-Bat'!R50/'Pon-Bat'!O50)</f>
        <v/>
      </c>
      <c r="AB50" s="504" t="str">
        <f>IF('Pon-Bat'!R50="","",+(SUM('Pon-Bat'!$R$8:R50)/SUM('Pon-Bat'!$O$8:O50)))</f>
        <v/>
      </c>
      <c r="AC50" s="494" t="str">
        <f>IF('Pon-Bat'!S50="","",+'Pon-Bat'!S50/'Pon-Bat'!O50)</f>
        <v/>
      </c>
      <c r="AD50" s="504" t="str">
        <f>IF('Pon-Bat'!S50="","",+(SUM('Pon-Bat'!$S$8:S50)/SUM('Pon-Bat'!$O$8:O50)))</f>
        <v/>
      </c>
      <c r="AE50" s="494" t="str">
        <f>IF('Pon-Bat'!T50="","",+'Pon-Bat'!T50/'Pon-Bat'!O50)</f>
        <v/>
      </c>
      <c r="AF50" s="496" t="str">
        <f>IF('Pon-Bat'!T50="","",+(SUM('Pon-Bat'!$T$8:T50)/SUM('Pon-Bat'!$O$8:O50)))</f>
        <v/>
      </c>
      <c r="AG50" s="503" t="str">
        <f>IF('Pon-Bat'!V50="","",+'Pon-Bat'!V50/'Pon-Bat'!U50)</f>
        <v/>
      </c>
      <c r="AH50" s="504" t="str">
        <f>IF('Pon-Bat'!V50="","",+(SUM('Pon-Bat'!$V$8:V50)/SUM('Pon-Bat'!$U$8:U50)))</f>
        <v/>
      </c>
      <c r="AI50" s="494" t="str">
        <f>IF('Pon-Bat'!W50="","",+'Pon-Bat'!W50/'Pon-Bat'!U50)</f>
        <v/>
      </c>
      <c r="AJ50" s="504" t="str">
        <f>IF('Pon-Bat'!W50="","",+(SUM('Pon-Bat'!$W$8:W50)/SUM('Pon-Bat'!$U$8:U50)))</f>
        <v/>
      </c>
      <c r="AK50" s="494" t="str">
        <f>IF('Pon-Bat'!X50="","",+'Pon-Bat'!X50/'Pon-Bat'!U50)</f>
        <v/>
      </c>
      <c r="AL50" s="504" t="str">
        <f>IF('Pon-Bat'!X50="","",+(SUM('Pon-Bat'!$X$8:X50)/SUM('Pon-Bat'!$U$8:U50)))</f>
        <v/>
      </c>
      <c r="AM50" s="494" t="str">
        <f>IF('Pon-Bat'!Y50="","",+'Pon-Bat'!Y50/'Pon-Bat'!U50)</f>
        <v/>
      </c>
      <c r="AN50" s="504" t="str">
        <f>IF('Pon-Bat'!Y50="","",+(SUM('Pon-Bat'!$Y$8:Y50)/SUM('Pon-Bat'!$U$8:U50)))</f>
        <v/>
      </c>
      <c r="AO50" s="494" t="str">
        <f>IF('Pon-Bat'!Z50="","",+'Pon-Bat'!Z50/'Pon-Bat'!U50)</f>
        <v/>
      </c>
      <c r="AP50" s="496" t="str">
        <f>IF('Pon-Bat'!Z50="","",+(SUM('Pon-Bat'!$Z$8:Z50)/SUM('Pon-Bat'!$U$8:U50)))</f>
        <v/>
      </c>
      <c r="AQ50" s="503" t="str">
        <f>IF('Pon-Bat'!AB50="","",+'Pon-Bat'!AB50/'Pon-Bat'!AA50)</f>
        <v/>
      </c>
      <c r="AR50" s="504" t="str">
        <f>IF('Pon-Bat'!AB50="","",+(SUM('Pon-Bat'!$AB$8:AB50)/SUM('Pon-Bat'!$AA$8:AA50)))</f>
        <v/>
      </c>
      <c r="AS50" s="494" t="str">
        <f>IF('Pon-Bat'!AC50="","",+'Pon-Bat'!AC50/'Pon-Bat'!AA50)</f>
        <v/>
      </c>
      <c r="AT50" s="504" t="str">
        <f>IF('Pon-Bat'!AC50="","",+(SUM('Pon-Bat'!$AC$8:AC50)/SUM('Pon-Bat'!$AA$8:AA50)))</f>
        <v/>
      </c>
      <c r="AU50" s="494" t="str">
        <f>IF('Pon-Bat'!AD50="","",+'Pon-Bat'!AD50/'Pon-Bat'!AA50)</f>
        <v/>
      </c>
      <c r="AV50" s="504" t="str">
        <f>IF('Pon-Bat'!AD50="","",+(SUM('Pon-Bat'!$AD$8:AD50)/SUM('Pon-Bat'!$AA$8:AA50)))</f>
        <v/>
      </c>
      <c r="AW50" s="494" t="str">
        <f>IF('Pon-Bat'!AE50="","",+'Pon-Bat'!AE50/'Pon-Bat'!AA50)</f>
        <v/>
      </c>
      <c r="AX50" s="504" t="str">
        <f>IF('Pon-Bat'!AE50="","",+(SUM('Pon-Bat'!$AE$8:AE50)/SUM('Pon-Bat'!$AA$8:AA50)))</f>
        <v/>
      </c>
      <c r="AY50" s="494" t="str">
        <f>IF('Pon-Bat'!AF50="","",+'Pon-Bat'!AF50/'Pon-Bat'!AA50)</f>
        <v/>
      </c>
      <c r="AZ50" s="496" t="str">
        <f>IF('Pon-Bat'!AF50="","",+(SUM('Pon-Bat'!$AF$8:AF50)/SUM('Pon-Bat'!$AA$8:AA50)))</f>
        <v/>
      </c>
      <c r="BA50" s="503" t="str">
        <f>IF('Pon-Bat'!AH50="","",+'Pon-Bat'!AH50/'Pon-Bat'!AG50)</f>
        <v/>
      </c>
      <c r="BB50" s="504" t="str">
        <f>IF('Pon-Bat'!AH50="","",+(SUM('Pon-Bat'!$AH$8:AH50)/SUM('Pon-Bat'!$AG$8:AG50)))</f>
        <v/>
      </c>
      <c r="BC50" s="494" t="str">
        <f>IF('Pon-Bat'!AI50="","",+'Pon-Bat'!AI50/'Pon-Bat'!AG50)</f>
        <v/>
      </c>
      <c r="BD50" s="504" t="str">
        <f>IF('Pon-Bat'!AI50="","",+(SUM('Pon-Bat'!$AI$8:AI50)/SUM('Pon-Bat'!$AG$8:AG50)))</f>
        <v/>
      </c>
      <c r="BE50" s="494" t="str">
        <f>IF('Pon-Bat'!AJ50="","",+'Pon-Bat'!AJ50/'Pon-Bat'!AG50)</f>
        <v/>
      </c>
      <c r="BF50" s="504" t="str">
        <f>IF('Pon-Bat'!AJ50="","",+(SUM('Pon-Bat'!$AJ$8:AJ50)/SUM('Pon-Bat'!$AG$8:AG50)))</f>
        <v/>
      </c>
      <c r="BG50" s="494" t="str">
        <f>IF('Pon-Bat'!AK50="","",+'Pon-Bat'!AK50/'Pon-Bat'!AG50)</f>
        <v/>
      </c>
      <c r="BH50" s="504" t="str">
        <f>IF('Pon-Bat'!AK50="","",+(SUM('Pon-Bat'!$AK$8:AK50)/SUM('Pon-Bat'!$AG$8:AG50)))</f>
        <v/>
      </c>
      <c r="BI50" s="494" t="str">
        <f>IF('Pon-Bat'!AL50="","",+'Pon-Bat'!AL50/'Pon-Bat'!AG50)</f>
        <v/>
      </c>
      <c r="BJ50" s="496" t="str">
        <f>IF('Pon-Bat'!AL50="","",+(SUM('Pon-Bat'!$AL$8:AL50)/SUM('Pon-Bat'!$AG$8:AG50)))</f>
        <v/>
      </c>
      <c r="BK50" s="501" t="str">
        <f>IF('Pon-Bat'!AN50="","",+'Pon-Bat'!AN50/'Pon-Bat'!AM50)</f>
        <v/>
      </c>
      <c r="BL50" s="504" t="str">
        <f>IF('Pon-Bat'!AN50="","",+(SUM('Pon-Bat'!$AN$8:AN50)/SUM('Pon-Bat'!$AM$8:AM50)))</f>
        <v/>
      </c>
      <c r="BM50" s="499" t="str">
        <f>IF('Pon-Bat'!AO50="","",+'Pon-Bat'!AO50/'Pon-Bat'!AM50)</f>
        <v/>
      </c>
      <c r="BN50" s="504" t="str">
        <f>IF('Pon-Bat'!AO50="","",+(SUM('Pon-Bat'!$AO$8:AO50)/SUM('Pon-Bat'!$AM$8:AM50)))</f>
        <v/>
      </c>
      <c r="BO50" s="499" t="str">
        <f>IF('Pon-Bat'!AP50="","",+'Pon-Bat'!AP50/'Pon-Bat'!AM50)</f>
        <v/>
      </c>
      <c r="BP50" s="504" t="str">
        <f>IF('Pon-Bat'!AP50="","",+(SUM('Pon-Bat'!$AP$8:AP50)/SUM('Pon-Bat'!$AM$8:AM50)))</f>
        <v/>
      </c>
      <c r="BQ50" s="499" t="str">
        <f>IF('Pon-Bat'!AQ50="","",+'Pon-Bat'!AQ50/'Pon-Bat'!AM50)</f>
        <v/>
      </c>
      <c r="BR50" s="504" t="str">
        <f>IF('Pon-Bat'!AQ50="","",+(SUM('Pon-Bat'!$AQ$8:AQ50)/SUM('Pon-Bat'!$AM$8:AM50)))</f>
        <v/>
      </c>
      <c r="BS50" s="499" t="str">
        <f>IF('Pon-Bat'!AR50="","",+'Pon-Bat'!AR50/'Pon-Bat'!AM50)</f>
        <v/>
      </c>
      <c r="BT50" s="496" t="str">
        <f>IF('Pon-Bat'!AR50="","",+(SUM('Pon-Bat'!$AR$8:AR50)/SUM('Pon-Bat'!$AM$8:AM50)))</f>
        <v/>
      </c>
      <c r="BU50" s="501" t="str">
        <f>IF('Pon-Bat'!AT50="","",+'Pon-Bat'!AT50/'Pon-Bat'!AS50)</f>
        <v/>
      </c>
      <c r="BV50" s="504" t="str">
        <f>IF('Pon-Bat'!AT50="","",+(SUM('Pon-Bat'!$AT$8:AT50)/SUM('Pon-Bat'!$AS$8:AS50)))</f>
        <v/>
      </c>
      <c r="BW50" s="499" t="str">
        <f>IF('Pon-Bat'!AU50="","",+'Pon-Bat'!AU50/'Pon-Bat'!AS50)</f>
        <v/>
      </c>
      <c r="BX50" s="504" t="str">
        <f>IF('Pon-Bat'!AU50="","",+(SUM('Pon-Bat'!$AU$8:AU50)/SUM('Pon-Bat'!$AS$8:AS50)))</f>
        <v/>
      </c>
      <c r="BY50" s="499" t="str">
        <f>IF('Pon-Bat'!AV50="","",+'Pon-Bat'!AV50/'Pon-Bat'!AS50)</f>
        <v/>
      </c>
      <c r="BZ50" s="504" t="str">
        <f>IF('Pon-Bat'!AV50="","",+(SUM('Pon-Bat'!$AV$8:AV50)/SUM('Pon-Bat'!$AS$8:AS50)))</f>
        <v/>
      </c>
      <c r="CA50" s="499" t="str">
        <f>IF('Pon-Bat'!AW50="","",+'Pon-Bat'!AW50/'Pon-Bat'!AS50)</f>
        <v/>
      </c>
      <c r="CB50" s="504" t="str">
        <f>IF('Pon-Bat'!AW50="","",+(SUM('Pon-Bat'!$AW$8:AW50)/SUM('Pon-Bat'!$AS$8:AS50)))</f>
        <v/>
      </c>
      <c r="CC50" s="499" t="str">
        <f>IF('Pon-Bat'!AX50="","",+'Pon-Bat'!AX50/'Pon-Bat'!AS50)</f>
        <v/>
      </c>
      <c r="CD50" s="496" t="str">
        <f>IF('Pon-Bat'!AX50="","",+(SUM('Pon-Bat'!$AX$8:AX50)/SUM('Pon-Bat'!$AS$8:AS50)))</f>
        <v/>
      </c>
      <c r="CE50" s="503" t="str">
        <f>IF('Pon-Bat'!AZ50="","",+'Pon-Bat'!AZ50/'Pon-Bat'!AY50)</f>
        <v/>
      </c>
      <c r="CF50" s="504" t="str">
        <f>IF('Pon-Bat'!AZ50="","",+(SUM('Pon-Bat'!$AZ$8:AZ50)/SUM('Pon-Bat'!$AY$8:AY50)))</f>
        <v/>
      </c>
      <c r="CG50" s="494" t="str">
        <f>IF('Pon-Bat'!BA50="","",+'Pon-Bat'!BA50/'Pon-Bat'!AY50)</f>
        <v/>
      </c>
      <c r="CH50" s="504" t="str">
        <f>IF('Pon-Bat'!BA50="","",+(SUM('Pon-Bat'!$BA$8:BA50)/SUM('Pon-Bat'!$AY$8:AY50)))</f>
        <v/>
      </c>
      <c r="CI50" s="499" t="str">
        <f>IF('Pon-Bat'!BB50="","",+'Pon-Bat'!BB50/'Pon-Bat'!AY50)</f>
        <v/>
      </c>
      <c r="CJ50" s="504" t="str">
        <f>IF('Pon-Bat'!BB50="","",+(SUM('Pon-Bat'!$BB$8:BB50)/SUM('Pon-Bat'!$AY$8:AY50)))</f>
        <v/>
      </c>
      <c r="CK50" s="494" t="str">
        <f>IF('Pon-Bat'!BC50="","",+'Pon-Bat'!BC50/'Pon-Bat'!AY50)</f>
        <v/>
      </c>
      <c r="CL50" s="504" t="str">
        <f>IF('Pon-Bat'!BC50="","",+(SUM('Pon-Bat'!$BC$8:BC50)/SUM('Pon-Bat'!$AY$8:AY50)))</f>
        <v/>
      </c>
      <c r="CM50" s="494" t="str">
        <f>IF('Pon-Bat'!BD50="","",+'Pon-Bat'!BD50/'Pon-Bat'!AY50)</f>
        <v/>
      </c>
      <c r="CN50" s="496" t="str">
        <f>IF('Pon-Bat'!BD50="","",+(SUM('Pon-Bat'!$BD$8:BD50)/SUM('Pon-Bat'!$AY$8:AY50)))</f>
        <v/>
      </c>
    </row>
    <row r="51" spans="1:92" ht="24" customHeight="1" thickBot="1" x14ac:dyDescent="0.25">
      <c r="A51" s="453">
        <f t="shared" si="2"/>
        <v>43712</v>
      </c>
      <c r="B51" s="465">
        <f t="shared" si="3"/>
        <v>66</v>
      </c>
      <c r="C51" s="503" t="str">
        <f>IF('Pon-Bat'!D51="","",+'Pon-Bat'!D51/'Pon-Bat'!C51)</f>
        <v/>
      </c>
      <c r="D51" s="504" t="str">
        <f>IF('Pon-Bat'!D51="","",+(SUM('Pon-Bat'!$D$8:D51)/SUM('Pon-Bat'!$C$8:C51)))</f>
        <v/>
      </c>
      <c r="E51" s="494" t="str">
        <f>IF('Pon-Bat'!E51="","",+'Pon-Bat'!E51/'Pon-Bat'!C51)</f>
        <v/>
      </c>
      <c r="F51" s="504" t="str">
        <f>IF('Pon-Bat'!E51="","",+(SUM('Pon-Bat'!$E$8:E51)/SUM('Pon-Bat'!$C$8:C51)))</f>
        <v/>
      </c>
      <c r="G51" s="494" t="str">
        <f>IF('Pon-Bat'!F51="","",+'Pon-Bat'!F51/'Pon-Bat'!C51)</f>
        <v/>
      </c>
      <c r="H51" s="504" t="str">
        <f>IF('Pon-Bat'!F51="","",+(SUM('Pon-Bat'!$F$8:F51)/SUM('Pon-Bat'!$C$8:C51)))</f>
        <v/>
      </c>
      <c r="I51" s="494" t="str">
        <f>IF('Pon-Bat'!G51="","",+'Pon-Bat'!G51/'Pon-Bat'!C51)</f>
        <v/>
      </c>
      <c r="J51" s="504" t="str">
        <f>IF('Pon-Bat'!G51="","",+(SUM('Pon-Bat'!$G$8:G51)/SUM('Pon-Bat'!$C$8:C51)))</f>
        <v/>
      </c>
      <c r="K51" s="494" t="str">
        <f>IF('Pon-Bat'!H51="","",+'Pon-Bat'!H51/'Pon-Bat'!C51)</f>
        <v/>
      </c>
      <c r="L51" s="496" t="str">
        <f>IF('Pon-Bat'!H51="","",+(SUM('Pon-Bat'!$H$8:H51)/SUM('Pon-Bat'!$C$8:C51)))</f>
        <v/>
      </c>
      <c r="M51" s="503" t="str">
        <f>IF('Pon-Bat'!J51="","",+'Pon-Bat'!J51/'Pon-Bat'!I51)</f>
        <v/>
      </c>
      <c r="N51" s="504" t="str">
        <f>IF('Pon-Bat'!J51="","",+(SUM('Pon-Bat'!$J$8:J51)/SUM('Pon-Bat'!$I$8:I51)))</f>
        <v/>
      </c>
      <c r="O51" s="494" t="str">
        <f>IF('Pon-Bat'!K51="","",+'Pon-Bat'!K51/'Pon-Bat'!I51)</f>
        <v/>
      </c>
      <c r="P51" s="504" t="str">
        <f>IF('Pon-Bat'!K51="","",+(SUM('Pon-Bat'!$K$8:K51)/SUM('Pon-Bat'!$I$8:I51)))</f>
        <v/>
      </c>
      <c r="Q51" s="494" t="str">
        <f>IF('Pon-Bat'!L51="","",+'Pon-Bat'!L51/'Pon-Bat'!I51)</f>
        <v/>
      </c>
      <c r="R51" s="504" t="str">
        <f>IF('Pon-Bat'!L51="","",+(SUM('Pon-Bat'!$L$8:L51)/SUM('Pon-Bat'!$I$8:I51)))</f>
        <v/>
      </c>
      <c r="S51" s="494" t="str">
        <f>IF('Pon-Bat'!M51="","",+'Pon-Bat'!M51/'Pon-Bat'!I51)</f>
        <v/>
      </c>
      <c r="T51" s="504" t="str">
        <f>IF('Pon-Bat'!M51="","",+(SUM('Pon-Bat'!$M$8:M51)/SUM('Pon-Bat'!$I$8:I51)))</f>
        <v/>
      </c>
      <c r="U51" s="494" t="str">
        <f>IF('Pon-Bat'!N51="","",+'Pon-Bat'!N51/'Pon-Bat'!I51)</f>
        <v/>
      </c>
      <c r="V51" s="496" t="str">
        <f>IF('Pon-Bat'!N51="","",+(SUM('Pon-Bat'!$N$8:N51)/SUM('Pon-Bat'!$I$8:I51)))</f>
        <v/>
      </c>
      <c r="W51" s="503" t="str">
        <f>IF('Pon-Bat'!P51="","",+'Pon-Bat'!P51/'Pon-Bat'!O51)</f>
        <v/>
      </c>
      <c r="X51" s="504" t="str">
        <f>IF('Pon-Bat'!P51="","",+(SUM('Pon-Bat'!$P$8:P51)/SUM('Pon-Bat'!$O$8:O51)))</f>
        <v/>
      </c>
      <c r="Y51" s="494" t="str">
        <f>IF('Pon-Bat'!Q51="","",+'Pon-Bat'!Q51/'Pon-Bat'!O51)</f>
        <v/>
      </c>
      <c r="Z51" s="504" t="str">
        <f>IF('Pon-Bat'!Q51="","",+(SUM('Pon-Bat'!$Q$8:Q51)/SUM('Pon-Bat'!$O$8:O51)))</f>
        <v/>
      </c>
      <c r="AA51" s="494" t="str">
        <f>IF('Pon-Bat'!R51="","",+'Pon-Bat'!R51/'Pon-Bat'!O51)</f>
        <v/>
      </c>
      <c r="AB51" s="504" t="str">
        <f>IF('Pon-Bat'!R51="","",+(SUM('Pon-Bat'!$R$8:R51)/SUM('Pon-Bat'!$O$8:O51)))</f>
        <v/>
      </c>
      <c r="AC51" s="494" t="str">
        <f>IF('Pon-Bat'!S51="","",+'Pon-Bat'!S51/'Pon-Bat'!O51)</f>
        <v/>
      </c>
      <c r="AD51" s="504" t="str">
        <f>IF('Pon-Bat'!S51="","",+(SUM('Pon-Bat'!$S$8:S51)/SUM('Pon-Bat'!$O$8:O51)))</f>
        <v/>
      </c>
      <c r="AE51" s="494" t="str">
        <f>IF('Pon-Bat'!T51="","",+'Pon-Bat'!T51/'Pon-Bat'!O51)</f>
        <v/>
      </c>
      <c r="AF51" s="496" t="str">
        <f>IF('Pon-Bat'!T51="","",+(SUM('Pon-Bat'!$T$8:T51)/SUM('Pon-Bat'!$O$8:O51)))</f>
        <v/>
      </c>
      <c r="AG51" s="503" t="str">
        <f>IF('Pon-Bat'!V51="","",+'Pon-Bat'!V51/'Pon-Bat'!U51)</f>
        <v/>
      </c>
      <c r="AH51" s="504" t="str">
        <f>IF('Pon-Bat'!V51="","",+(SUM('Pon-Bat'!$V$8:V51)/SUM('Pon-Bat'!$U$8:U51)))</f>
        <v/>
      </c>
      <c r="AI51" s="494" t="str">
        <f>IF('Pon-Bat'!W51="","",+'Pon-Bat'!W51/'Pon-Bat'!U51)</f>
        <v/>
      </c>
      <c r="AJ51" s="504" t="str">
        <f>IF('Pon-Bat'!W51="","",+(SUM('Pon-Bat'!$W$8:W51)/SUM('Pon-Bat'!$U$8:U51)))</f>
        <v/>
      </c>
      <c r="AK51" s="494" t="str">
        <f>IF('Pon-Bat'!X51="","",+'Pon-Bat'!X51/'Pon-Bat'!U51)</f>
        <v/>
      </c>
      <c r="AL51" s="504" t="str">
        <f>IF('Pon-Bat'!X51="","",+(SUM('Pon-Bat'!$X$8:X51)/SUM('Pon-Bat'!$U$8:U51)))</f>
        <v/>
      </c>
      <c r="AM51" s="494" t="str">
        <f>IF('Pon-Bat'!Y51="","",+'Pon-Bat'!Y51/'Pon-Bat'!U51)</f>
        <v/>
      </c>
      <c r="AN51" s="504" t="str">
        <f>IF('Pon-Bat'!Y51="","",+(SUM('Pon-Bat'!$Y$8:Y51)/SUM('Pon-Bat'!$U$8:U51)))</f>
        <v/>
      </c>
      <c r="AO51" s="494" t="str">
        <f>IF('Pon-Bat'!Z51="","",+'Pon-Bat'!Z51/'Pon-Bat'!U51)</f>
        <v/>
      </c>
      <c r="AP51" s="496" t="str">
        <f>IF('Pon-Bat'!Z51="","",+(SUM('Pon-Bat'!$Z$8:Z51)/SUM('Pon-Bat'!$U$8:U51)))</f>
        <v/>
      </c>
      <c r="AQ51" s="503" t="str">
        <f>IF('Pon-Bat'!AB51="","",+'Pon-Bat'!AB51/'Pon-Bat'!AA51)</f>
        <v/>
      </c>
      <c r="AR51" s="504" t="str">
        <f>IF('Pon-Bat'!AB51="","",+(SUM('Pon-Bat'!$AB$8:AB51)/SUM('Pon-Bat'!$AA$8:AA51)))</f>
        <v/>
      </c>
      <c r="AS51" s="494" t="str">
        <f>IF('Pon-Bat'!AC51="","",+'Pon-Bat'!AC51/'Pon-Bat'!AA51)</f>
        <v/>
      </c>
      <c r="AT51" s="504" t="str">
        <f>IF('Pon-Bat'!AC51="","",+(SUM('Pon-Bat'!$AC$8:AC51)/SUM('Pon-Bat'!$AA$8:AA51)))</f>
        <v/>
      </c>
      <c r="AU51" s="494" t="str">
        <f>IF('Pon-Bat'!AD51="","",+'Pon-Bat'!AD51/'Pon-Bat'!AA51)</f>
        <v/>
      </c>
      <c r="AV51" s="504" t="str">
        <f>IF('Pon-Bat'!AD51="","",+(SUM('Pon-Bat'!$AD$8:AD51)/SUM('Pon-Bat'!$AA$8:AA51)))</f>
        <v/>
      </c>
      <c r="AW51" s="494" t="str">
        <f>IF('Pon-Bat'!AE51="","",+'Pon-Bat'!AE51/'Pon-Bat'!AA51)</f>
        <v/>
      </c>
      <c r="AX51" s="504" t="str">
        <f>IF('Pon-Bat'!AE51="","",+(SUM('Pon-Bat'!$AE$8:AE51)/SUM('Pon-Bat'!$AA$8:AA51)))</f>
        <v/>
      </c>
      <c r="AY51" s="494" t="str">
        <f>IF('Pon-Bat'!AF51="","",+'Pon-Bat'!AF51/'Pon-Bat'!AA51)</f>
        <v/>
      </c>
      <c r="AZ51" s="496" t="str">
        <f>IF('Pon-Bat'!AF51="","",+(SUM('Pon-Bat'!$AF$8:AF51)/SUM('Pon-Bat'!$AA$8:AA51)))</f>
        <v/>
      </c>
      <c r="BA51" s="503" t="str">
        <f>IF('Pon-Bat'!AH51="","",+'Pon-Bat'!AH51/'Pon-Bat'!AG51)</f>
        <v/>
      </c>
      <c r="BB51" s="504" t="str">
        <f>IF('Pon-Bat'!AH51="","",+(SUM('Pon-Bat'!$AH$8:AH51)/SUM('Pon-Bat'!$AG$8:AG51)))</f>
        <v/>
      </c>
      <c r="BC51" s="494" t="str">
        <f>IF('Pon-Bat'!AI51="","",+'Pon-Bat'!AI51/'Pon-Bat'!AG51)</f>
        <v/>
      </c>
      <c r="BD51" s="504" t="str">
        <f>IF('Pon-Bat'!AI51="","",+(SUM('Pon-Bat'!$AI$8:AI51)/SUM('Pon-Bat'!$AG$8:AG51)))</f>
        <v/>
      </c>
      <c r="BE51" s="494" t="str">
        <f>IF('Pon-Bat'!AJ51="","",+'Pon-Bat'!AJ51/'Pon-Bat'!AG51)</f>
        <v/>
      </c>
      <c r="BF51" s="504" t="str">
        <f>IF('Pon-Bat'!AJ51="","",+(SUM('Pon-Bat'!$AJ$8:AJ51)/SUM('Pon-Bat'!$AG$8:AG51)))</f>
        <v/>
      </c>
      <c r="BG51" s="494" t="str">
        <f>IF('Pon-Bat'!AK51="","",+'Pon-Bat'!AK51/'Pon-Bat'!AG51)</f>
        <v/>
      </c>
      <c r="BH51" s="504" t="str">
        <f>IF('Pon-Bat'!AK51="","",+(SUM('Pon-Bat'!$AK$8:AK51)/SUM('Pon-Bat'!$AG$8:AG51)))</f>
        <v/>
      </c>
      <c r="BI51" s="494" t="str">
        <f>IF('Pon-Bat'!AL51="","",+'Pon-Bat'!AL51/'Pon-Bat'!AG51)</f>
        <v/>
      </c>
      <c r="BJ51" s="496" t="str">
        <f>IF('Pon-Bat'!AL51="","",+(SUM('Pon-Bat'!$AL$8:AL51)/SUM('Pon-Bat'!$AG$8:AG51)))</f>
        <v/>
      </c>
      <c r="BK51" s="501" t="str">
        <f>IF('Pon-Bat'!AN51="","",+'Pon-Bat'!AN51/'Pon-Bat'!AM51)</f>
        <v/>
      </c>
      <c r="BL51" s="504" t="str">
        <f>IF('Pon-Bat'!AN51="","",+(SUM('Pon-Bat'!$AN$8:AN51)/SUM('Pon-Bat'!$AM$8:AM51)))</f>
        <v/>
      </c>
      <c r="BM51" s="499" t="str">
        <f>IF('Pon-Bat'!AO51="","",+'Pon-Bat'!AO51/'Pon-Bat'!AM51)</f>
        <v/>
      </c>
      <c r="BN51" s="504" t="str">
        <f>IF('Pon-Bat'!AO51="","",+(SUM('Pon-Bat'!$AO$8:AO51)/SUM('Pon-Bat'!$AM$8:AM51)))</f>
        <v/>
      </c>
      <c r="BO51" s="499" t="str">
        <f>IF('Pon-Bat'!AP51="","",+'Pon-Bat'!AP51/'Pon-Bat'!AM51)</f>
        <v/>
      </c>
      <c r="BP51" s="504" t="str">
        <f>IF('Pon-Bat'!AP51="","",+(SUM('Pon-Bat'!$AP$8:AP51)/SUM('Pon-Bat'!$AM$8:AM51)))</f>
        <v/>
      </c>
      <c r="BQ51" s="499" t="str">
        <f>IF('Pon-Bat'!AQ51="","",+'Pon-Bat'!AQ51/'Pon-Bat'!AM51)</f>
        <v/>
      </c>
      <c r="BR51" s="504" t="str">
        <f>IF('Pon-Bat'!AQ51="","",+(SUM('Pon-Bat'!$AQ$8:AQ51)/SUM('Pon-Bat'!$AM$8:AM51)))</f>
        <v/>
      </c>
      <c r="BS51" s="499" t="str">
        <f>IF('Pon-Bat'!AR51="","",+'Pon-Bat'!AR51/'Pon-Bat'!AM51)</f>
        <v/>
      </c>
      <c r="BT51" s="496" t="str">
        <f>IF('Pon-Bat'!AR51="","",+(SUM('Pon-Bat'!$AR$8:AR51)/SUM('Pon-Bat'!$AM$8:AM51)))</f>
        <v/>
      </c>
      <c r="BU51" s="501" t="str">
        <f>IF('Pon-Bat'!AT51="","",+'Pon-Bat'!AT51/'Pon-Bat'!AS51)</f>
        <v/>
      </c>
      <c r="BV51" s="504" t="str">
        <f>IF('Pon-Bat'!AT51="","",+(SUM('Pon-Bat'!$AT$8:AT51)/SUM('Pon-Bat'!$AS$8:AS51)))</f>
        <v/>
      </c>
      <c r="BW51" s="499" t="str">
        <f>IF('Pon-Bat'!AU51="","",+'Pon-Bat'!AU51/'Pon-Bat'!AS51)</f>
        <v/>
      </c>
      <c r="BX51" s="504" t="str">
        <f>IF('Pon-Bat'!AU51="","",+(SUM('Pon-Bat'!$AU$8:AU51)/SUM('Pon-Bat'!$AS$8:AS51)))</f>
        <v/>
      </c>
      <c r="BY51" s="499" t="str">
        <f>IF('Pon-Bat'!AV51="","",+'Pon-Bat'!AV51/'Pon-Bat'!AS51)</f>
        <v/>
      </c>
      <c r="BZ51" s="504" t="str">
        <f>IF('Pon-Bat'!AV51="","",+(SUM('Pon-Bat'!$AV$8:AV51)/SUM('Pon-Bat'!$AS$8:AS51)))</f>
        <v/>
      </c>
      <c r="CA51" s="499" t="str">
        <f>IF('Pon-Bat'!AW51="","",+'Pon-Bat'!AW51/'Pon-Bat'!AS51)</f>
        <v/>
      </c>
      <c r="CB51" s="504" t="str">
        <f>IF('Pon-Bat'!AW51="","",+(SUM('Pon-Bat'!$AW$8:AW51)/SUM('Pon-Bat'!$AS$8:AS51)))</f>
        <v/>
      </c>
      <c r="CC51" s="499" t="str">
        <f>IF('Pon-Bat'!AX51="","",+'Pon-Bat'!AX51/'Pon-Bat'!AS51)</f>
        <v/>
      </c>
      <c r="CD51" s="496" t="str">
        <f>IF('Pon-Bat'!AX51="","",+(SUM('Pon-Bat'!$AX$8:AX51)/SUM('Pon-Bat'!$AS$8:AS51)))</f>
        <v/>
      </c>
      <c r="CE51" s="503" t="str">
        <f>IF('Pon-Bat'!AZ51="","",+'Pon-Bat'!AZ51/'Pon-Bat'!AY51)</f>
        <v/>
      </c>
      <c r="CF51" s="504" t="str">
        <f>IF('Pon-Bat'!AZ51="","",+(SUM('Pon-Bat'!$AZ$8:AZ51)/SUM('Pon-Bat'!$AY$8:AY51)))</f>
        <v/>
      </c>
      <c r="CG51" s="494" t="str">
        <f>IF('Pon-Bat'!BA51="","",+'Pon-Bat'!BA51/'Pon-Bat'!AY51)</f>
        <v/>
      </c>
      <c r="CH51" s="504" t="str">
        <f>IF('Pon-Bat'!BA51="","",+(SUM('Pon-Bat'!$BA$8:BA51)/SUM('Pon-Bat'!$AY$8:AY51)))</f>
        <v/>
      </c>
      <c r="CI51" s="499" t="str">
        <f>IF('Pon-Bat'!BB51="","",+'Pon-Bat'!BB51/'Pon-Bat'!AY51)</f>
        <v/>
      </c>
      <c r="CJ51" s="504" t="str">
        <f>IF('Pon-Bat'!BB51="","",+(SUM('Pon-Bat'!$BB$8:BB51)/SUM('Pon-Bat'!$AY$8:AY51)))</f>
        <v/>
      </c>
      <c r="CK51" s="494" t="str">
        <f>IF('Pon-Bat'!BC51="","",+'Pon-Bat'!BC51/'Pon-Bat'!AY51)</f>
        <v/>
      </c>
      <c r="CL51" s="504" t="str">
        <f>IF('Pon-Bat'!BC51="","",+(SUM('Pon-Bat'!$BC$8:BC51)/SUM('Pon-Bat'!$AY$8:AY51)))</f>
        <v/>
      </c>
      <c r="CM51" s="494" t="str">
        <f>IF('Pon-Bat'!BD51="","",+'Pon-Bat'!BD51/'Pon-Bat'!AY51)</f>
        <v/>
      </c>
      <c r="CN51" s="496" t="str">
        <f>IF('Pon-Bat'!BD51="","",+(SUM('Pon-Bat'!$BD$8:BD51)/SUM('Pon-Bat'!$AY$8:AY51)))</f>
        <v/>
      </c>
    </row>
    <row r="52" spans="1:92" ht="24" customHeight="1" thickBot="1" x14ac:dyDescent="0.25">
      <c r="A52" s="453">
        <f t="shared" si="2"/>
        <v>43719</v>
      </c>
      <c r="B52" s="465">
        <f t="shared" si="3"/>
        <v>67</v>
      </c>
      <c r="C52" s="503" t="str">
        <f>IF('Pon-Bat'!D52="","",+'Pon-Bat'!D52/'Pon-Bat'!C52)</f>
        <v/>
      </c>
      <c r="D52" s="504" t="str">
        <f>IF('Pon-Bat'!D52="","",+(SUM('Pon-Bat'!$D$8:D52)/SUM('Pon-Bat'!$C$8:C52)))</f>
        <v/>
      </c>
      <c r="E52" s="494" t="str">
        <f>IF('Pon-Bat'!E52="","",+'Pon-Bat'!E52/'Pon-Bat'!C52)</f>
        <v/>
      </c>
      <c r="F52" s="504" t="str">
        <f>IF('Pon-Bat'!E52="","",+(SUM('Pon-Bat'!$E$8:E52)/SUM('Pon-Bat'!$C$8:C52)))</f>
        <v/>
      </c>
      <c r="G52" s="494" t="str">
        <f>IF('Pon-Bat'!F52="","",+'Pon-Bat'!F52/'Pon-Bat'!C52)</f>
        <v/>
      </c>
      <c r="H52" s="504" t="str">
        <f>IF('Pon-Bat'!F52="","",+(SUM('Pon-Bat'!$F$8:F52)/SUM('Pon-Bat'!$C$8:C52)))</f>
        <v/>
      </c>
      <c r="I52" s="494" t="str">
        <f>IF('Pon-Bat'!G52="","",+'Pon-Bat'!G52/'Pon-Bat'!C52)</f>
        <v/>
      </c>
      <c r="J52" s="504" t="str">
        <f>IF('Pon-Bat'!G52="","",+(SUM('Pon-Bat'!$G$8:G52)/SUM('Pon-Bat'!$C$8:C52)))</f>
        <v/>
      </c>
      <c r="K52" s="494" t="str">
        <f>IF('Pon-Bat'!H52="","",+'Pon-Bat'!H52/'Pon-Bat'!C52)</f>
        <v/>
      </c>
      <c r="L52" s="496" t="str">
        <f>IF('Pon-Bat'!H52="","",+(SUM('Pon-Bat'!$H$8:H52)/SUM('Pon-Bat'!$C$8:C52)))</f>
        <v/>
      </c>
      <c r="M52" s="503" t="str">
        <f>IF('Pon-Bat'!J52="","",+'Pon-Bat'!J52/'Pon-Bat'!I52)</f>
        <v/>
      </c>
      <c r="N52" s="504" t="str">
        <f>IF('Pon-Bat'!J52="","",+(SUM('Pon-Bat'!$J$8:J52)/SUM('Pon-Bat'!$I$8:I52)))</f>
        <v/>
      </c>
      <c r="O52" s="494" t="str">
        <f>IF('Pon-Bat'!K52="","",+'Pon-Bat'!K52/'Pon-Bat'!I52)</f>
        <v/>
      </c>
      <c r="P52" s="504" t="str">
        <f>IF('Pon-Bat'!K52="","",+(SUM('Pon-Bat'!$K$8:K52)/SUM('Pon-Bat'!$I$8:I52)))</f>
        <v/>
      </c>
      <c r="Q52" s="494" t="str">
        <f>IF('Pon-Bat'!L52="","",+'Pon-Bat'!L52/'Pon-Bat'!I52)</f>
        <v/>
      </c>
      <c r="R52" s="504" t="str">
        <f>IF('Pon-Bat'!L52="","",+(SUM('Pon-Bat'!$L$8:L52)/SUM('Pon-Bat'!$I$8:I52)))</f>
        <v/>
      </c>
      <c r="S52" s="494" t="str">
        <f>IF('Pon-Bat'!M52="","",+'Pon-Bat'!M52/'Pon-Bat'!I52)</f>
        <v/>
      </c>
      <c r="T52" s="504" t="str">
        <f>IF('Pon-Bat'!M52="","",+(SUM('Pon-Bat'!$M$8:M52)/SUM('Pon-Bat'!$I$8:I52)))</f>
        <v/>
      </c>
      <c r="U52" s="494" t="str">
        <f>IF('Pon-Bat'!N52="","",+'Pon-Bat'!N52/'Pon-Bat'!I52)</f>
        <v/>
      </c>
      <c r="V52" s="496" t="str">
        <f>IF('Pon-Bat'!N52="","",+(SUM('Pon-Bat'!$N$8:N52)/SUM('Pon-Bat'!$I$8:I52)))</f>
        <v/>
      </c>
      <c r="W52" s="503" t="str">
        <f>IF('Pon-Bat'!P52="","",+'Pon-Bat'!P52/'Pon-Bat'!O52)</f>
        <v/>
      </c>
      <c r="X52" s="504" t="str">
        <f>IF('Pon-Bat'!P52="","",+(SUM('Pon-Bat'!$P$8:P52)/SUM('Pon-Bat'!$O$8:O52)))</f>
        <v/>
      </c>
      <c r="Y52" s="494" t="str">
        <f>IF('Pon-Bat'!Q52="","",+'Pon-Bat'!Q52/'Pon-Bat'!O52)</f>
        <v/>
      </c>
      <c r="Z52" s="504" t="str">
        <f>IF('Pon-Bat'!Q52="","",+(SUM('Pon-Bat'!$Q$8:Q52)/SUM('Pon-Bat'!$O$8:O52)))</f>
        <v/>
      </c>
      <c r="AA52" s="494" t="str">
        <f>IF('Pon-Bat'!R52="","",+'Pon-Bat'!R52/'Pon-Bat'!O52)</f>
        <v/>
      </c>
      <c r="AB52" s="504" t="str">
        <f>IF('Pon-Bat'!R52="","",+(SUM('Pon-Bat'!$R$8:R52)/SUM('Pon-Bat'!$O$8:O52)))</f>
        <v/>
      </c>
      <c r="AC52" s="494" t="str">
        <f>IF('Pon-Bat'!S52="","",+'Pon-Bat'!S52/'Pon-Bat'!O52)</f>
        <v/>
      </c>
      <c r="AD52" s="504" t="str">
        <f>IF('Pon-Bat'!S52="","",+(SUM('Pon-Bat'!$S$8:S52)/SUM('Pon-Bat'!$O$8:O52)))</f>
        <v/>
      </c>
      <c r="AE52" s="494" t="str">
        <f>IF('Pon-Bat'!T52="","",+'Pon-Bat'!T52/'Pon-Bat'!O52)</f>
        <v/>
      </c>
      <c r="AF52" s="496" t="str">
        <f>IF('Pon-Bat'!T52="","",+(SUM('Pon-Bat'!$T$8:T52)/SUM('Pon-Bat'!$O$8:O52)))</f>
        <v/>
      </c>
      <c r="AG52" s="503" t="str">
        <f>IF('Pon-Bat'!V52="","",+'Pon-Bat'!V52/'Pon-Bat'!U52)</f>
        <v/>
      </c>
      <c r="AH52" s="504" t="str">
        <f>IF('Pon-Bat'!V52="","",+(SUM('Pon-Bat'!$V$8:V52)/SUM('Pon-Bat'!$U$8:U52)))</f>
        <v/>
      </c>
      <c r="AI52" s="494" t="str">
        <f>IF('Pon-Bat'!W52="","",+'Pon-Bat'!W52/'Pon-Bat'!U52)</f>
        <v/>
      </c>
      <c r="AJ52" s="504" t="str">
        <f>IF('Pon-Bat'!W52="","",+(SUM('Pon-Bat'!$W$8:W52)/SUM('Pon-Bat'!$U$8:U52)))</f>
        <v/>
      </c>
      <c r="AK52" s="494" t="str">
        <f>IF('Pon-Bat'!X52="","",+'Pon-Bat'!X52/'Pon-Bat'!U52)</f>
        <v/>
      </c>
      <c r="AL52" s="504" t="str">
        <f>IF('Pon-Bat'!X52="","",+(SUM('Pon-Bat'!$X$8:X52)/SUM('Pon-Bat'!$U$8:U52)))</f>
        <v/>
      </c>
      <c r="AM52" s="494" t="str">
        <f>IF('Pon-Bat'!Y52="","",+'Pon-Bat'!Y52/'Pon-Bat'!U52)</f>
        <v/>
      </c>
      <c r="AN52" s="504" t="str">
        <f>IF('Pon-Bat'!Y52="","",+(SUM('Pon-Bat'!$Y$8:Y52)/SUM('Pon-Bat'!$U$8:U52)))</f>
        <v/>
      </c>
      <c r="AO52" s="494" t="str">
        <f>IF('Pon-Bat'!Z52="","",+'Pon-Bat'!Z52/'Pon-Bat'!U52)</f>
        <v/>
      </c>
      <c r="AP52" s="496" t="str">
        <f>IF('Pon-Bat'!Z52="","",+(SUM('Pon-Bat'!$Z$8:Z52)/SUM('Pon-Bat'!$U$8:U52)))</f>
        <v/>
      </c>
      <c r="AQ52" s="503" t="str">
        <f>IF('Pon-Bat'!AB52="","",+'Pon-Bat'!AB52/'Pon-Bat'!AA52)</f>
        <v/>
      </c>
      <c r="AR52" s="504" t="str">
        <f>IF('Pon-Bat'!AB52="","",+(SUM('Pon-Bat'!$AB$8:AB52)/SUM('Pon-Bat'!$AA$8:AA52)))</f>
        <v/>
      </c>
      <c r="AS52" s="494" t="str">
        <f>IF('Pon-Bat'!AC52="","",+'Pon-Bat'!AC52/'Pon-Bat'!AA52)</f>
        <v/>
      </c>
      <c r="AT52" s="504" t="str">
        <f>IF('Pon-Bat'!AC52="","",+(SUM('Pon-Bat'!$AC$8:AC52)/SUM('Pon-Bat'!$AA$8:AA52)))</f>
        <v/>
      </c>
      <c r="AU52" s="494" t="str">
        <f>IF('Pon-Bat'!AD52="","",+'Pon-Bat'!AD52/'Pon-Bat'!AA52)</f>
        <v/>
      </c>
      <c r="AV52" s="504" t="str">
        <f>IF('Pon-Bat'!AD52="","",+(SUM('Pon-Bat'!$AD$8:AD52)/SUM('Pon-Bat'!$AA$8:AA52)))</f>
        <v/>
      </c>
      <c r="AW52" s="494" t="str">
        <f>IF('Pon-Bat'!AE52="","",+'Pon-Bat'!AE52/'Pon-Bat'!AA52)</f>
        <v/>
      </c>
      <c r="AX52" s="504" t="str">
        <f>IF('Pon-Bat'!AE52="","",+(SUM('Pon-Bat'!$AE$8:AE52)/SUM('Pon-Bat'!$AA$8:AA52)))</f>
        <v/>
      </c>
      <c r="AY52" s="494" t="str">
        <f>IF('Pon-Bat'!AF52="","",+'Pon-Bat'!AF52/'Pon-Bat'!AA52)</f>
        <v/>
      </c>
      <c r="AZ52" s="496" t="str">
        <f>IF('Pon-Bat'!AF52="","",+(SUM('Pon-Bat'!$AF$8:AF52)/SUM('Pon-Bat'!$AA$8:AA52)))</f>
        <v/>
      </c>
      <c r="BA52" s="503" t="str">
        <f>IF('Pon-Bat'!AH52="","",+'Pon-Bat'!AH52/'Pon-Bat'!AG52)</f>
        <v/>
      </c>
      <c r="BB52" s="504" t="str">
        <f>IF('Pon-Bat'!AH52="","",+(SUM('Pon-Bat'!$AH$8:AH52)/SUM('Pon-Bat'!$AG$8:AG52)))</f>
        <v/>
      </c>
      <c r="BC52" s="494" t="str">
        <f>IF('Pon-Bat'!AI52="","",+'Pon-Bat'!AI52/'Pon-Bat'!AG52)</f>
        <v/>
      </c>
      <c r="BD52" s="504" t="str">
        <f>IF('Pon-Bat'!AI52="","",+(SUM('Pon-Bat'!$AI$8:AI52)/SUM('Pon-Bat'!$AG$8:AG52)))</f>
        <v/>
      </c>
      <c r="BE52" s="494" t="str">
        <f>IF('Pon-Bat'!AJ52="","",+'Pon-Bat'!AJ52/'Pon-Bat'!AG52)</f>
        <v/>
      </c>
      <c r="BF52" s="504" t="str">
        <f>IF('Pon-Bat'!AJ52="","",+(SUM('Pon-Bat'!$AJ$8:AJ52)/SUM('Pon-Bat'!$AG$8:AG52)))</f>
        <v/>
      </c>
      <c r="BG52" s="494" t="str">
        <f>IF('Pon-Bat'!AK52="","",+'Pon-Bat'!AK52/'Pon-Bat'!AG52)</f>
        <v/>
      </c>
      <c r="BH52" s="504" t="str">
        <f>IF('Pon-Bat'!AK52="","",+(SUM('Pon-Bat'!$AK$8:AK52)/SUM('Pon-Bat'!$AG$8:AG52)))</f>
        <v/>
      </c>
      <c r="BI52" s="494" t="str">
        <f>IF('Pon-Bat'!AL52="","",+'Pon-Bat'!AL52/'Pon-Bat'!AG52)</f>
        <v/>
      </c>
      <c r="BJ52" s="496" t="str">
        <f>IF('Pon-Bat'!AL52="","",+(SUM('Pon-Bat'!$AL$8:AL52)/SUM('Pon-Bat'!$AG$8:AG52)))</f>
        <v/>
      </c>
      <c r="BK52" s="501" t="str">
        <f>IF('Pon-Bat'!AN52="","",+'Pon-Bat'!AN52/'Pon-Bat'!AM52)</f>
        <v/>
      </c>
      <c r="BL52" s="504" t="str">
        <f>IF('Pon-Bat'!AN52="","",+(SUM('Pon-Bat'!$AN$8:AN52)/SUM('Pon-Bat'!$AM$8:AM52)))</f>
        <v/>
      </c>
      <c r="BM52" s="499" t="str">
        <f>IF('Pon-Bat'!AO52="","",+'Pon-Bat'!AO52/'Pon-Bat'!AM52)</f>
        <v/>
      </c>
      <c r="BN52" s="504" t="str">
        <f>IF('Pon-Bat'!AO52="","",+(SUM('Pon-Bat'!$AO$8:AO52)/SUM('Pon-Bat'!$AM$8:AM52)))</f>
        <v/>
      </c>
      <c r="BO52" s="499" t="str">
        <f>IF('Pon-Bat'!AP52="","",+'Pon-Bat'!AP52/'Pon-Bat'!AM52)</f>
        <v/>
      </c>
      <c r="BP52" s="504" t="str">
        <f>IF('Pon-Bat'!AP52="","",+(SUM('Pon-Bat'!$AP$8:AP52)/SUM('Pon-Bat'!$AM$8:AM52)))</f>
        <v/>
      </c>
      <c r="BQ52" s="499" t="str">
        <f>IF('Pon-Bat'!AQ52="","",+'Pon-Bat'!AQ52/'Pon-Bat'!AM52)</f>
        <v/>
      </c>
      <c r="BR52" s="504" t="str">
        <f>IF('Pon-Bat'!AQ52="","",+(SUM('Pon-Bat'!$AQ$8:AQ52)/SUM('Pon-Bat'!$AM$8:AM52)))</f>
        <v/>
      </c>
      <c r="BS52" s="499" t="str">
        <f>IF('Pon-Bat'!AR52="","",+'Pon-Bat'!AR52/'Pon-Bat'!AM52)</f>
        <v/>
      </c>
      <c r="BT52" s="496" t="str">
        <f>IF('Pon-Bat'!AR52="","",+(SUM('Pon-Bat'!$AR$8:AR52)/SUM('Pon-Bat'!$AM$8:AM52)))</f>
        <v/>
      </c>
      <c r="BU52" s="501" t="str">
        <f>IF('Pon-Bat'!AT52="","",+'Pon-Bat'!AT52/'Pon-Bat'!AS52)</f>
        <v/>
      </c>
      <c r="BV52" s="504" t="str">
        <f>IF('Pon-Bat'!AT52="","",+(SUM('Pon-Bat'!$AT$8:AT52)/SUM('Pon-Bat'!$AS$8:AS52)))</f>
        <v/>
      </c>
      <c r="BW52" s="499" t="str">
        <f>IF('Pon-Bat'!AU52="","",+'Pon-Bat'!AU52/'Pon-Bat'!AS52)</f>
        <v/>
      </c>
      <c r="BX52" s="504" t="str">
        <f>IF('Pon-Bat'!AU52="","",+(SUM('Pon-Bat'!$AU$8:AU52)/SUM('Pon-Bat'!$AS$8:AS52)))</f>
        <v/>
      </c>
      <c r="BY52" s="499" t="str">
        <f>IF('Pon-Bat'!AV52="","",+'Pon-Bat'!AV52/'Pon-Bat'!AS52)</f>
        <v/>
      </c>
      <c r="BZ52" s="504" t="str">
        <f>IF('Pon-Bat'!AV52="","",+(SUM('Pon-Bat'!$AV$8:AV52)/SUM('Pon-Bat'!$AS$8:AS52)))</f>
        <v/>
      </c>
      <c r="CA52" s="499" t="str">
        <f>IF('Pon-Bat'!AW52="","",+'Pon-Bat'!AW52/'Pon-Bat'!AS52)</f>
        <v/>
      </c>
      <c r="CB52" s="504" t="str">
        <f>IF('Pon-Bat'!AW52="","",+(SUM('Pon-Bat'!$AW$8:AW52)/SUM('Pon-Bat'!$AS$8:AS52)))</f>
        <v/>
      </c>
      <c r="CC52" s="499" t="str">
        <f>IF('Pon-Bat'!AX52="","",+'Pon-Bat'!AX52/'Pon-Bat'!AS52)</f>
        <v/>
      </c>
      <c r="CD52" s="496" t="str">
        <f>IF('Pon-Bat'!AX52="","",+(SUM('Pon-Bat'!$AX$8:AX52)/SUM('Pon-Bat'!$AS$8:AS52)))</f>
        <v/>
      </c>
      <c r="CE52" s="503" t="str">
        <f>IF('Pon-Bat'!AZ52="","",+'Pon-Bat'!AZ52/'Pon-Bat'!AY52)</f>
        <v/>
      </c>
      <c r="CF52" s="504" t="str">
        <f>IF('Pon-Bat'!AZ52="","",+(SUM('Pon-Bat'!$AZ$8:AZ52)/SUM('Pon-Bat'!$AY$8:AY52)))</f>
        <v/>
      </c>
      <c r="CG52" s="494" t="str">
        <f>IF('Pon-Bat'!BA52="","",+'Pon-Bat'!BA52/'Pon-Bat'!AY52)</f>
        <v/>
      </c>
      <c r="CH52" s="504" t="str">
        <f>IF('Pon-Bat'!BA52="","",+(SUM('Pon-Bat'!$BA$8:BA52)/SUM('Pon-Bat'!$AY$8:AY52)))</f>
        <v/>
      </c>
      <c r="CI52" s="499" t="str">
        <f>IF('Pon-Bat'!BB52="","",+'Pon-Bat'!BB52/'Pon-Bat'!AY52)</f>
        <v/>
      </c>
      <c r="CJ52" s="504" t="str">
        <f>IF('Pon-Bat'!BB52="","",+(SUM('Pon-Bat'!$BB$8:BB52)/SUM('Pon-Bat'!$AY$8:AY52)))</f>
        <v/>
      </c>
      <c r="CK52" s="494" t="str">
        <f>IF('Pon-Bat'!BC52="","",+'Pon-Bat'!BC52/'Pon-Bat'!AY52)</f>
        <v/>
      </c>
      <c r="CL52" s="504" t="str">
        <f>IF('Pon-Bat'!BC52="","",+(SUM('Pon-Bat'!$BC$8:BC52)/SUM('Pon-Bat'!$AY$8:AY52)))</f>
        <v/>
      </c>
      <c r="CM52" s="494" t="str">
        <f>IF('Pon-Bat'!BD52="","",+'Pon-Bat'!BD52/'Pon-Bat'!AY52)</f>
        <v/>
      </c>
      <c r="CN52" s="496" t="str">
        <f>IF('Pon-Bat'!BD52="","",+(SUM('Pon-Bat'!$BD$8:BD52)/SUM('Pon-Bat'!$AY$8:AY52)))</f>
        <v/>
      </c>
    </row>
    <row r="53" spans="1:92" ht="24" customHeight="1" thickBot="1" x14ac:dyDescent="0.25">
      <c r="A53" s="453">
        <f t="shared" si="2"/>
        <v>43726</v>
      </c>
      <c r="B53" s="465">
        <f t="shared" si="3"/>
        <v>68</v>
      </c>
      <c r="C53" s="503" t="str">
        <f>IF('Pon-Bat'!D53="","",+'Pon-Bat'!D53/'Pon-Bat'!C53)</f>
        <v/>
      </c>
      <c r="D53" s="504" t="str">
        <f>IF('Pon-Bat'!D53="","",+(SUM('Pon-Bat'!$D$8:D53)/SUM('Pon-Bat'!$C$8:C53)))</f>
        <v/>
      </c>
      <c r="E53" s="494" t="str">
        <f>IF('Pon-Bat'!E53="","",+'Pon-Bat'!E53/'Pon-Bat'!C53)</f>
        <v/>
      </c>
      <c r="F53" s="504" t="str">
        <f>IF('Pon-Bat'!E53="","",+(SUM('Pon-Bat'!$E$8:E53)/SUM('Pon-Bat'!$C$8:C53)))</f>
        <v/>
      </c>
      <c r="G53" s="494" t="str">
        <f>IF('Pon-Bat'!F53="","",+'Pon-Bat'!F53/'Pon-Bat'!C53)</f>
        <v/>
      </c>
      <c r="H53" s="504" t="str">
        <f>IF('Pon-Bat'!F53="","",+(SUM('Pon-Bat'!$F$8:F53)/SUM('Pon-Bat'!$C$8:C53)))</f>
        <v/>
      </c>
      <c r="I53" s="494" t="str">
        <f>IF('Pon-Bat'!G53="","",+'Pon-Bat'!G53/'Pon-Bat'!C53)</f>
        <v/>
      </c>
      <c r="J53" s="504" t="str">
        <f>IF('Pon-Bat'!G53="","",+(SUM('Pon-Bat'!$G$8:G53)/SUM('Pon-Bat'!$C$8:C53)))</f>
        <v/>
      </c>
      <c r="K53" s="494" t="str">
        <f>IF('Pon-Bat'!H53="","",+'Pon-Bat'!H53/'Pon-Bat'!C53)</f>
        <v/>
      </c>
      <c r="L53" s="496" t="str">
        <f>IF('Pon-Bat'!H53="","",+(SUM('Pon-Bat'!$H$8:H53)/SUM('Pon-Bat'!$C$8:C53)))</f>
        <v/>
      </c>
      <c r="M53" s="503" t="str">
        <f>IF('Pon-Bat'!J53="","",+'Pon-Bat'!J53/'Pon-Bat'!I53)</f>
        <v/>
      </c>
      <c r="N53" s="504" t="str">
        <f>IF('Pon-Bat'!J53="","",+(SUM('Pon-Bat'!$J$8:J53)/SUM('Pon-Bat'!$I$8:I53)))</f>
        <v/>
      </c>
      <c r="O53" s="494" t="str">
        <f>IF('Pon-Bat'!K53="","",+'Pon-Bat'!K53/'Pon-Bat'!I53)</f>
        <v/>
      </c>
      <c r="P53" s="504" t="str">
        <f>IF('Pon-Bat'!K53="","",+(SUM('Pon-Bat'!$K$8:K53)/SUM('Pon-Bat'!$I$8:I53)))</f>
        <v/>
      </c>
      <c r="Q53" s="494" t="str">
        <f>IF('Pon-Bat'!L53="","",+'Pon-Bat'!L53/'Pon-Bat'!I53)</f>
        <v/>
      </c>
      <c r="R53" s="504" t="str">
        <f>IF('Pon-Bat'!L53="","",+(SUM('Pon-Bat'!$L$8:L53)/SUM('Pon-Bat'!$I$8:I53)))</f>
        <v/>
      </c>
      <c r="S53" s="494" t="str">
        <f>IF('Pon-Bat'!M53="","",+'Pon-Bat'!M53/'Pon-Bat'!I53)</f>
        <v/>
      </c>
      <c r="T53" s="504" t="str">
        <f>IF('Pon-Bat'!M53="","",+(SUM('Pon-Bat'!$M$8:M53)/SUM('Pon-Bat'!$I$8:I53)))</f>
        <v/>
      </c>
      <c r="U53" s="494" t="str">
        <f>IF('Pon-Bat'!N53="","",+'Pon-Bat'!N53/'Pon-Bat'!I53)</f>
        <v/>
      </c>
      <c r="V53" s="496" t="str">
        <f>IF('Pon-Bat'!N53="","",+(SUM('Pon-Bat'!$N$8:N53)/SUM('Pon-Bat'!$I$8:I53)))</f>
        <v/>
      </c>
      <c r="W53" s="503" t="str">
        <f>IF('Pon-Bat'!P53="","",+'Pon-Bat'!P53/'Pon-Bat'!O53)</f>
        <v/>
      </c>
      <c r="X53" s="504" t="str">
        <f>IF('Pon-Bat'!P53="","",+(SUM('Pon-Bat'!$P$8:P53)/SUM('Pon-Bat'!$O$8:O53)))</f>
        <v/>
      </c>
      <c r="Y53" s="494" t="str">
        <f>IF('Pon-Bat'!Q53="","",+'Pon-Bat'!Q53/'Pon-Bat'!O53)</f>
        <v/>
      </c>
      <c r="Z53" s="504" t="str">
        <f>IF('Pon-Bat'!Q53="","",+(SUM('Pon-Bat'!$Q$8:Q53)/SUM('Pon-Bat'!$O$8:O53)))</f>
        <v/>
      </c>
      <c r="AA53" s="494" t="str">
        <f>IF('Pon-Bat'!R53="","",+'Pon-Bat'!R53/'Pon-Bat'!O53)</f>
        <v/>
      </c>
      <c r="AB53" s="504" t="str">
        <f>IF('Pon-Bat'!R53="","",+(SUM('Pon-Bat'!$R$8:R53)/SUM('Pon-Bat'!$O$8:O53)))</f>
        <v/>
      </c>
      <c r="AC53" s="494" t="str">
        <f>IF('Pon-Bat'!S53="","",+'Pon-Bat'!S53/'Pon-Bat'!O53)</f>
        <v/>
      </c>
      <c r="AD53" s="504" t="str">
        <f>IF('Pon-Bat'!S53="","",+(SUM('Pon-Bat'!$S$8:S53)/SUM('Pon-Bat'!$O$8:O53)))</f>
        <v/>
      </c>
      <c r="AE53" s="494" t="str">
        <f>IF('Pon-Bat'!T53="","",+'Pon-Bat'!T53/'Pon-Bat'!O53)</f>
        <v/>
      </c>
      <c r="AF53" s="496" t="str">
        <f>IF('Pon-Bat'!T53="","",+(SUM('Pon-Bat'!$T$8:T53)/SUM('Pon-Bat'!$O$8:O53)))</f>
        <v/>
      </c>
      <c r="AG53" s="503" t="str">
        <f>IF('Pon-Bat'!V53="","",+'Pon-Bat'!V53/'Pon-Bat'!U53)</f>
        <v/>
      </c>
      <c r="AH53" s="504" t="str">
        <f>IF('Pon-Bat'!V53="","",+(SUM('Pon-Bat'!$V$8:V53)/SUM('Pon-Bat'!$U$8:U53)))</f>
        <v/>
      </c>
      <c r="AI53" s="494" t="str">
        <f>IF('Pon-Bat'!W53="","",+'Pon-Bat'!W53/'Pon-Bat'!U53)</f>
        <v/>
      </c>
      <c r="AJ53" s="504" t="str">
        <f>IF('Pon-Bat'!W53="","",+(SUM('Pon-Bat'!$W$8:W53)/SUM('Pon-Bat'!$U$8:U53)))</f>
        <v/>
      </c>
      <c r="AK53" s="494" t="str">
        <f>IF('Pon-Bat'!X53="","",+'Pon-Bat'!X53/'Pon-Bat'!U53)</f>
        <v/>
      </c>
      <c r="AL53" s="504" t="str">
        <f>IF('Pon-Bat'!X53="","",+(SUM('Pon-Bat'!$X$8:X53)/SUM('Pon-Bat'!$U$8:U53)))</f>
        <v/>
      </c>
      <c r="AM53" s="494" t="str">
        <f>IF('Pon-Bat'!Y53="","",+'Pon-Bat'!Y53/'Pon-Bat'!U53)</f>
        <v/>
      </c>
      <c r="AN53" s="504" t="str">
        <f>IF('Pon-Bat'!Y53="","",+(SUM('Pon-Bat'!$Y$8:Y53)/SUM('Pon-Bat'!$U$8:U53)))</f>
        <v/>
      </c>
      <c r="AO53" s="494" t="str">
        <f>IF('Pon-Bat'!Z53="","",+'Pon-Bat'!Z53/'Pon-Bat'!U53)</f>
        <v/>
      </c>
      <c r="AP53" s="496" t="str">
        <f>IF('Pon-Bat'!Z53="","",+(SUM('Pon-Bat'!$Z$8:Z53)/SUM('Pon-Bat'!$U$8:U53)))</f>
        <v/>
      </c>
      <c r="AQ53" s="503" t="str">
        <f>IF('Pon-Bat'!AB53="","",+'Pon-Bat'!AB53/'Pon-Bat'!AA53)</f>
        <v/>
      </c>
      <c r="AR53" s="504" t="str">
        <f>IF('Pon-Bat'!AB53="","",+(SUM('Pon-Bat'!$AB$8:AB53)/SUM('Pon-Bat'!$AA$8:AA53)))</f>
        <v/>
      </c>
      <c r="AS53" s="494" t="str">
        <f>IF('Pon-Bat'!AC53="","",+'Pon-Bat'!AC53/'Pon-Bat'!AA53)</f>
        <v/>
      </c>
      <c r="AT53" s="504" t="str">
        <f>IF('Pon-Bat'!AC53="","",+(SUM('Pon-Bat'!$AC$8:AC53)/SUM('Pon-Bat'!$AA$8:AA53)))</f>
        <v/>
      </c>
      <c r="AU53" s="494" t="str">
        <f>IF('Pon-Bat'!AD53="","",+'Pon-Bat'!AD53/'Pon-Bat'!AA53)</f>
        <v/>
      </c>
      <c r="AV53" s="504" t="str">
        <f>IF('Pon-Bat'!AD53="","",+(SUM('Pon-Bat'!$AD$8:AD53)/SUM('Pon-Bat'!$AA$8:AA53)))</f>
        <v/>
      </c>
      <c r="AW53" s="494" t="str">
        <f>IF('Pon-Bat'!AE53="","",+'Pon-Bat'!AE53/'Pon-Bat'!AA53)</f>
        <v/>
      </c>
      <c r="AX53" s="504" t="str">
        <f>IF('Pon-Bat'!AE53="","",+(SUM('Pon-Bat'!$AE$8:AE53)/SUM('Pon-Bat'!$AA$8:AA53)))</f>
        <v/>
      </c>
      <c r="AY53" s="494" t="str">
        <f>IF('Pon-Bat'!AF53="","",+'Pon-Bat'!AF53/'Pon-Bat'!AA53)</f>
        <v/>
      </c>
      <c r="AZ53" s="496" t="str">
        <f>IF('Pon-Bat'!AF53="","",+(SUM('Pon-Bat'!$AF$8:AF53)/SUM('Pon-Bat'!$AA$8:AA53)))</f>
        <v/>
      </c>
      <c r="BA53" s="503" t="str">
        <f>IF('Pon-Bat'!AH53="","",+'Pon-Bat'!AH53/'Pon-Bat'!AG53)</f>
        <v/>
      </c>
      <c r="BB53" s="504" t="str">
        <f>IF('Pon-Bat'!AH53="","",+(SUM('Pon-Bat'!$AH$8:AH53)/SUM('Pon-Bat'!$AG$8:AG53)))</f>
        <v/>
      </c>
      <c r="BC53" s="494" t="str">
        <f>IF('Pon-Bat'!AI53="","",+'Pon-Bat'!AI53/'Pon-Bat'!AG53)</f>
        <v/>
      </c>
      <c r="BD53" s="504" t="str">
        <f>IF('Pon-Bat'!AI53="","",+(SUM('Pon-Bat'!$AI$8:AI53)/SUM('Pon-Bat'!$AG$8:AG53)))</f>
        <v/>
      </c>
      <c r="BE53" s="494" t="str">
        <f>IF('Pon-Bat'!AJ53="","",+'Pon-Bat'!AJ53/'Pon-Bat'!AG53)</f>
        <v/>
      </c>
      <c r="BF53" s="504" t="str">
        <f>IF('Pon-Bat'!AJ53="","",+(SUM('Pon-Bat'!$AJ$8:AJ53)/SUM('Pon-Bat'!$AG$8:AG53)))</f>
        <v/>
      </c>
      <c r="BG53" s="494" t="str">
        <f>IF('Pon-Bat'!AK53="","",+'Pon-Bat'!AK53/'Pon-Bat'!AG53)</f>
        <v/>
      </c>
      <c r="BH53" s="504" t="str">
        <f>IF('Pon-Bat'!AK53="","",+(SUM('Pon-Bat'!$AK$8:AK53)/SUM('Pon-Bat'!$AG$8:AG53)))</f>
        <v/>
      </c>
      <c r="BI53" s="494" t="str">
        <f>IF('Pon-Bat'!AL53="","",+'Pon-Bat'!AL53/'Pon-Bat'!AG53)</f>
        <v/>
      </c>
      <c r="BJ53" s="496" t="str">
        <f>IF('Pon-Bat'!AL53="","",+(SUM('Pon-Bat'!$AL$8:AL53)/SUM('Pon-Bat'!$AG$8:AG53)))</f>
        <v/>
      </c>
      <c r="BK53" s="501" t="str">
        <f>IF('Pon-Bat'!AN53="","",+'Pon-Bat'!AN53/'Pon-Bat'!AM53)</f>
        <v/>
      </c>
      <c r="BL53" s="504" t="str">
        <f>IF('Pon-Bat'!AN53="","",+(SUM('Pon-Bat'!$AN$8:AN53)/SUM('Pon-Bat'!$AM$8:AM53)))</f>
        <v/>
      </c>
      <c r="BM53" s="499" t="str">
        <f>IF('Pon-Bat'!AO53="","",+'Pon-Bat'!AO53/'Pon-Bat'!AM53)</f>
        <v/>
      </c>
      <c r="BN53" s="504" t="str">
        <f>IF('Pon-Bat'!AO53="","",+(SUM('Pon-Bat'!$AO$8:AO53)/SUM('Pon-Bat'!$AM$8:AM53)))</f>
        <v/>
      </c>
      <c r="BO53" s="499" t="str">
        <f>IF('Pon-Bat'!AP53="","",+'Pon-Bat'!AP53/'Pon-Bat'!AM53)</f>
        <v/>
      </c>
      <c r="BP53" s="504" t="str">
        <f>IF('Pon-Bat'!AP53="","",+(SUM('Pon-Bat'!$AP$8:AP53)/SUM('Pon-Bat'!$AM$8:AM53)))</f>
        <v/>
      </c>
      <c r="BQ53" s="499" t="str">
        <f>IF('Pon-Bat'!AQ53="","",+'Pon-Bat'!AQ53/'Pon-Bat'!AM53)</f>
        <v/>
      </c>
      <c r="BR53" s="504" t="str">
        <f>IF('Pon-Bat'!AQ53="","",+(SUM('Pon-Bat'!$AQ$8:AQ53)/SUM('Pon-Bat'!$AM$8:AM53)))</f>
        <v/>
      </c>
      <c r="BS53" s="499" t="str">
        <f>IF('Pon-Bat'!AR53="","",+'Pon-Bat'!AR53/'Pon-Bat'!AM53)</f>
        <v/>
      </c>
      <c r="BT53" s="496" t="str">
        <f>IF('Pon-Bat'!AR53="","",+(SUM('Pon-Bat'!$AR$8:AR53)/SUM('Pon-Bat'!$AM$8:AM53)))</f>
        <v/>
      </c>
      <c r="BU53" s="501" t="str">
        <f>IF('Pon-Bat'!AT53="","",+'Pon-Bat'!AT53/'Pon-Bat'!AS53)</f>
        <v/>
      </c>
      <c r="BV53" s="504" t="str">
        <f>IF('Pon-Bat'!AT53="","",+(SUM('Pon-Bat'!$AT$8:AT53)/SUM('Pon-Bat'!$AS$8:AS53)))</f>
        <v/>
      </c>
      <c r="BW53" s="499" t="str">
        <f>IF('Pon-Bat'!AU53="","",+'Pon-Bat'!AU53/'Pon-Bat'!AS53)</f>
        <v/>
      </c>
      <c r="BX53" s="504" t="str">
        <f>IF('Pon-Bat'!AU53="","",+(SUM('Pon-Bat'!$AU$8:AU53)/SUM('Pon-Bat'!$AS$8:AS53)))</f>
        <v/>
      </c>
      <c r="BY53" s="499" t="str">
        <f>IF('Pon-Bat'!AV53="","",+'Pon-Bat'!AV53/'Pon-Bat'!AS53)</f>
        <v/>
      </c>
      <c r="BZ53" s="504" t="str">
        <f>IF('Pon-Bat'!AV53="","",+(SUM('Pon-Bat'!$AV$8:AV53)/SUM('Pon-Bat'!$AS$8:AS53)))</f>
        <v/>
      </c>
      <c r="CA53" s="499" t="str">
        <f>IF('Pon-Bat'!AW53="","",+'Pon-Bat'!AW53/'Pon-Bat'!AS53)</f>
        <v/>
      </c>
      <c r="CB53" s="504" t="str">
        <f>IF('Pon-Bat'!AW53="","",+(SUM('Pon-Bat'!$AW$8:AW53)/SUM('Pon-Bat'!$AS$8:AS53)))</f>
        <v/>
      </c>
      <c r="CC53" s="499" t="str">
        <f>IF('Pon-Bat'!AX53="","",+'Pon-Bat'!AX53/'Pon-Bat'!AS53)</f>
        <v/>
      </c>
      <c r="CD53" s="496" t="str">
        <f>IF('Pon-Bat'!AX53="","",+(SUM('Pon-Bat'!$AX$8:AX53)/SUM('Pon-Bat'!$AS$8:AS53)))</f>
        <v/>
      </c>
      <c r="CE53" s="503" t="str">
        <f>IF('Pon-Bat'!AZ53="","",+'Pon-Bat'!AZ53/'Pon-Bat'!AY53)</f>
        <v/>
      </c>
      <c r="CF53" s="504" t="str">
        <f>IF('Pon-Bat'!AZ53="","",+(SUM('Pon-Bat'!$AZ$8:AZ53)/SUM('Pon-Bat'!$AY$8:AY53)))</f>
        <v/>
      </c>
      <c r="CG53" s="494" t="str">
        <f>IF('Pon-Bat'!BA53="","",+'Pon-Bat'!BA53/'Pon-Bat'!AY53)</f>
        <v/>
      </c>
      <c r="CH53" s="504" t="str">
        <f>IF('Pon-Bat'!BA53="","",+(SUM('Pon-Bat'!$BA$8:BA53)/SUM('Pon-Bat'!$AY$8:AY53)))</f>
        <v/>
      </c>
      <c r="CI53" s="499" t="str">
        <f>IF('Pon-Bat'!BB53="","",+'Pon-Bat'!BB53/'Pon-Bat'!AY53)</f>
        <v/>
      </c>
      <c r="CJ53" s="504" t="str">
        <f>IF('Pon-Bat'!BB53="","",+(SUM('Pon-Bat'!$BB$8:BB53)/SUM('Pon-Bat'!$AY$8:AY53)))</f>
        <v/>
      </c>
      <c r="CK53" s="494" t="str">
        <f>IF('Pon-Bat'!BC53="","",+'Pon-Bat'!BC53/'Pon-Bat'!AY53)</f>
        <v/>
      </c>
      <c r="CL53" s="504" t="str">
        <f>IF('Pon-Bat'!BC53="","",+(SUM('Pon-Bat'!$BC$8:BC53)/SUM('Pon-Bat'!$AY$8:AY53)))</f>
        <v/>
      </c>
      <c r="CM53" s="494" t="str">
        <f>IF('Pon-Bat'!BD53="","",+'Pon-Bat'!BD53/'Pon-Bat'!AY53)</f>
        <v/>
      </c>
      <c r="CN53" s="496" t="str">
        <f>IF('Pon-Bat'!BD53="","",+(SUM('Pon-Bat'!$BD$8:BD53)/SUM('Pon-Bat'!$AY$8:AY53)))</f>
        <v/>
      </c>
    </row>
    <row r="54" spans="1:92" ht="24" customHeight="1" x14ac:dyDescent="0.2">
      <c r="A54" s="453">
        <f t="shared" si="2"/>
        <v>43733</v>
      </c>
      <c r="B54" s="465">
        <f t="shared" si="3"/>
        <v>69</v>
      </c>
      <c r="C54" s="503" t="str">
        <f>IF('Pon-Bat'!D54="","",+'Pon-Bat'!D54/'Pon-Bat'!C54)</f>
        <v/>
      </c>
      <c r="D54" s="504" t="str">
        <f>IF('Pon-Bat'!D54="","",+(SUM('Pon-Bat'!$D$8:D54)/SUM('Pon-Bat'!$C$8:C54)))</f>
        <v/>
      </c>
      <c r="E54" s="494" t="str">
        <f>IF('Pon-Bat'!E54="","",+'Pon-Bat'!E54/'Pon-Bat'!C54)</f>
        <v/>
      </c>
      <c r="F54" s="504" t="str">
        <f>IF('Pon-Bat'!E54="","",+(SUM('Pon-Bat'!$E$8:E54)/SUM('Pon-Bat'!$C$8:C54)))</f>
        <v/>
      </c>
      <c r="G54" s="494" t="str">
        <f>IF('Pon-Bat'!F54="","",+'Pon-Bat'!F54/'Pon-Bat'!C54)</f>
        <v/>
      </c>
      <c r="H54" s="504" t="str">
        <f>IF('Pon-Bat'!F54="","",+(SUM('Pon-Bat'!$F$8:F54)/SUM('Pon-Bat'!$C$8:C54)))</f>
        <v/>
      </c>
      <c r="I54" s="494" t="str">
        <f>IF('Pon-Bat'!G54="","",+'Pon-Bat'!G54/'Pon-Bat'!C54)</f>
        <v/>
      </c>
      <c r="J54" s="504" t="str">
        <f>IF('Pon-Bat'!G54="","",+(SUM('Pon-Bat'!$G$8:G54)/SUM('Pon-Bat'!$C$8:C54)))</f>
        <v/>
      </c>
      <c r="K54" s="494" t="str">
        <f>IF('Pon-Bat'!H54="","",+'Pon-Bat'!H54/'Pon-Bat'!C54)</f>
        <v/>
      </c>
      <c r="L54" s="496" t="str">
        <f>IF('Pon-Bat'!H54="","",+(SUM('Pon-Bat'!$H$8:H54)/SUM('Pon-Bat'!$C$8:C54)))</f>
        <v/>
      </c>
      <c r="M54" s="503" t="str">
        <f>IF('Pon-Bat'!J54="","",+'Pon-Bat'!J54/'Pon-Bat'!I54)</f>
        <v/>
      </c>
      <c r="N54" s="504" t="str">
        <f>IF('Pon-Bat'!J54="","",+(SUM('Pon-Bat'!$J$8:J54)/SUM('Pon-Bat'!$I$8:I54)))</f>
        <v/>
      </c>
      <c r="O54" s="494" t="str">
        <f>IF('Pon-Bat'!K54="","",+'Pon-Bat'!K54/'Pon-Bat'!I54)</f>
        <v/>
      </c>
      <c r="P54" s="504" t="str">
        <f>IF('Pon-Bat'!K54="","",+(SUM('Pon-Bat'!$K$8:K54)/SUM('Pon-Bat'!$I$8:I54)))</f>
        <v/>
      </c>
      <c r="Q54" s="494" t="str">
        <f>IF('Pon-Bat'!L54="","",+'Pon-Bat'!L54/'Pon-Bat'!I54)</f>
        <v/>
      </c>
      <c r="R54" s="504" t="str">
        <f>IF('Pon-Bat'!L54="","",+(SUM('Pon-Bat'!$L$8:L54)/SUM('Pon-Bat'!$I$8:I54)))</f>
        <v/>
      </c>
      <c r="S54" s="494" t="str">
        <f>IF('Pon-Bat'!M54="","",+'Pon-Bat'!M54/'Pon-Bat'!I54)</f>
        <v/>
      </c>
      <c r="T54" s="504" t="str">
        <f>IF('Pon-Bat'!M54="","",+(SUM('Pon-Bat'!$M$8:M54)/SUM('Pon-Bat'!$I$8:I54)))</f>
        <v/>
      </c>
      <c r="U54" s="494" t="str">
        <f>IF('Pon-Bat'!N54="","",+'Pon-Bat'!N54/'Pon-Bat'!I54)</f>
        <v/>
      </c>
      <c r="V54" s="496" t="str">
        <f>IF('Pon-Bat'!N54="","",+(SUM('Pon-Bat'!$N$8:N54)/SUM('Pon-Bat'!$I$8:I54)))</f>
        <v/>
      </c>
      <c r="W54" s="503" t="str">
        <f>IF('Pon-Bat'!P54="","",+'Pon-Bat'!P54/'Pon-Bat'!O54)</f>
        <v/>
      </c>
      <c r="X54" s="504" t="str">
        <f>IF('Pon-Bat'!P54="","",+(SUM('Pon-Bat'!$P$8:P54)/SUM('Pon-Bat'!$O$8:O54)))</f>
        <v/>
      </c>
      <c r="Y54" s="494" t="str">
        <f>IF('Pon-Bat'!Q54="","",+'Pon-Bat'!Q54/'Pon-Bat'!O54)</f>
        <v/>
      </c>
      <c r="Z54" s="504" t="str">
        <f>IF('Pon-Bat'!Q54="","",+(SUM('Pon-Bat'!$Q$8:Q54)/SUM('Pon-Bat'!$O$8:O54)))</f>
        <v/>
      </c>
      <c r="AA54" s="494" t="str">
        <f>IF('Pon-Bat'!R54="","",+'Pon-Bat'!R54/'Pon-Bat'!O54)</f>
        <v/>
      </c>
      <c r="AB54" s="504" t="str">
        <f>IF('Pon-Bat'!R54="","",+(SUM('Pon-Bat'!$R$8:R54)/SUM('Pon-Bat'!$O$8:O54)))</f>
        <v/>
      </c>
      <c r="AC54" s="494" t="str">
        <f>IF('Pon-Bat'!S54="","",+'Pon-Bat'!S54/'Pon-Bat'!O54)</f>
        <v/>
      </c>
      <c r="AD54" s="504" t="str">
        <f>IF('Pon-Bat'!S54="","",+(SUM('Pon-Bat'!$S$8:S54)/SUM('Pon-Bat'!$O$8:O54)))</f>
        <v/>
      </c>
      <c r="AE54" s="494" t="str">
        <f>IF('Pon-Bat'!T54="","",+'Pon-Bat'!T54/'Pon-Bat'!O54)</f>
        <v/>
      </c>
      <c r="AF54" s="496" t="str">
        <f>IF('Pon-Bat'!T54="","",+(SUM('Pon-Bat'!$T$8:T54)/SUM('Pon-Bat'!$O$8:O54)))</f>
        <v/>
      </c>
      <c r="AG54" s="503" t="str">
        <f>IF('Pon-Bat'!V54="","",+'Pon-Bat'!V54/'Pon-Bat'!U54)</f>
        <v/>
      </c>
      <c r="AH54" s="504" t="str">
        <f>IF('Pon-Bat'!V54="","",+(SUM('Pon-Bat'!$V$8:V54)/SUM('Pon-Bat'!$U$8:U54)))</f>
        <v/>
      </c>
      <c r="AI54" s="494" t="str">
        <f>IF('Pon-Bat'!W54="","",+'Pon-Bat'!W54/'Pon-Bat'!U54)</f>
        <v/>
      </c>
      <c r="AJ54" s="504" t="str">
        <f>IF('Pon-Bat'!W54="","",+(SUM('Pon-Bat'!$W$8:W54)/SUM('Pon-Bat'!$U$8:U54)))</f>
        <v/>
      </c>
      <c r="AK54" s="494" t="str">
        <f>IF('Pon-Bat'!X54="","",+'Pon-Bat'!X54/'Pon-Bat'!U54)</f>
        <v/>
      </c>
      <c r="AL54" s="504" t="str">
        <f>IF('Pon-Bat'!X54="","",+(SUM('Pon-Bat'!$X$8:X54)/SUM('Pon-Bat'!$U$8:U54)))</f>
        <v/>
      </c>
      <c r="AM54" s="494" t="str">
        <f>IF('Pon-Bat'!Y54="","",+'Pon-Bat'!Y54/'Pon-Bat'!U54)</f>
        <v/>
      </c>
      <c r="AN54" s="504" t="str">
        <f>IF('Pon-Bat'!Y54="","",+(SUM('Pon-Bat'!$Y$8:Y54)/SUM('Pon-Bat'!$U$8:U54)))</f>
        <v/>
      </c>
      <c r="AO54" s="494" t="str">
        <f>IF('Pon-Bat'!Z54="","",+'Pon-Bat'!Z54/'Pon-Bat'!U54)</f>
        <v/>
      </c>
      <c r="AP54" s="496" t="str">
        <f>IF('Pon-Bat'!Z54="","",+(SUM('Pon-Bat'!$Z$8:Z54)/SUM('Pon-Bat'!$U$8:U54)))</f>
        <v/>
      </c>
      <c r="AQ54" s="503" t="str">
        <f>IF('Pon-Bat'!AB54="","",+'Pon-Bat'!AB54/'Pon-Bat'!AA54)</f>
        <v/>
      </c>
      <c r="AR54" s="504" t="str">
        <f>IF('Pon-Bat'!AB54="","",+(SUM('Pon-Bat'!$AB$8:AB54)/SUM('Pon-Bat'!$AA$8:AA54)))</f>
        <v/>
      </c>
      <c r="AS54" s="494" t="str">
        <f>IF('Pon-Bat'!AC54="","",+'Pon-Bat'!AC54/'Pon-Bat'!AA54)</f>
        <v/>
      </c>
      <c r="AT54" s="504" t="str">
        <f>IF('Pon-Bat'!AC54="","",+(SUM('Pon-Bat'!$AC$8:AC54)/SUM('Pon-Bat'!$AA$8:AA54)))</f>
        <v/>
      </c>
      <c r="AU54" s="494" t="str">
        <f>IF('Pon-Bat'!AD54="","",+'Pon-Bat'!AD54/'Pon-Bat'!AA54)</f>
        <v/>
      </c>
      <c r="AV54" s="504" t="str">
        <f>IF('Pon-Bat'!AD54="","",+(SUM('Pon-Bat'!$AD$8:AD54)/SUM('Pon-Bat'!$AA$8:AA54)))</f>
        <v/>
      </c>
      <c r="AW54" s="494" t="str">
        <f>IF('Pon-Bat'!AE54="","",+'Pon-Bat'!AE54/'Pon-Bat'!AA54)</f>
        <v/>
      </c>
      <c r="AX54" s="504" t="str">
        <f>IF('Pon-Bat'!AE54="","",+(SUM('Pon-Bat'!$AE$8:AE54)/SUM('Pon-Bat'!$AA$8:AA54)))</f>
        <v/>
      </c>
      <c r="AY54" s="494" t="str">
        <f>IF('Pon-Bat'!AF54="","",+'Pon-Bat'!AF54/'Pon-Bat'!AA54)</f>
        <v/>
      </c>
      <c r="AZ54" s="496" t="str">
        <f>IF('Pon-Bat'!AF54="","",+(SUM('Pon-Bat'!$AF$8:AF54)/SUM('Pon-Bat'!$AA$8:AA54)))</f>
        <v/>
      </c>
      <c r="BA54" s="503" t="str">
        <f>IF('Pon-Bat'!AH54="","",+'Pon-Bat'!AH54/'Pon-Bat'!AG54)</f>
        <v/>
      </c>
      <c r="BB54" s="504" t="str">
        <f>IF('Pon-Bat'!AH54="","",+(SUM('Pon-Bat'!$AH$8:AH54)/SUM('Pon-Bat'!$AG$8:AG54)))</f>
        <v/>
      </c>
      <c r="BC54" s="494" t="str">
        <f>IF('Pon-Bat'!AI54="","",+'Pon-Bat'!AI54/'Pon-Bat'!AG54)</f>
        <v/>
      </c>
      <c r="BD54" s="504" t="str">
        <f>IF('Pon-Bat'!AI54="","",+(SUM('Pon-Bat'!$AI$8:AI54)/SUM('Pon-Bat'!$AG$8:AG54)))</f>
        <v/>
      </c>
      <c r="BE54" s="494" t="str">
        <f>IF('Pon-Bat'!AJ54="","",+'Pon-Bat'!AJ54/'Pon-Bat'!AG54)</f>
        <v/>
      </c>
      <c r="BF54" s="504" t="str">
        <f>IF('Pon-Bat'!AJ54="","",+(SUM('Pon-Bat'!$AJ$8:AJ54)/SUM('Pon-Bat'!$AG$8:AG54)))</f>
        <v/>
      </c>
      <c r="BG54" s="494" t="str">
        <f>IF('Pon-Bat'!AK54="","",+'Pon-Bat'!AK54/'Pon-Bat'!AG54)</f>
        <v/>
      </c>
      <c r="BH54" s="504" t="str">
        <f>IF('Pon-Bat'!AK54="","",+(SUM('Pon-Bat'!$AK$8:AK54)/SUM('Pon-Bat'!$AG$8:AG54)))</f>
        <v/>
      </c>
      <c r="BI54" s="494" t="str">
        <f>IF('Pon-Bat'!AL54="","",+'Pon-Bat'!AL54/'Pon-Bat'!AG54)</f>
        <v/>
      </c>
      <c r="BJ54" s="496" t="str">
        <f>IF('Pon-Bat'!AL54="","",+(SUM('Pon-Bat'!$AL$8:AL54)/SUM('Pon-Bat'!$AG$8:AG54)))</f>
        <v/>
      </c>
      <c r="BK54" s="501" t="str">
        <f>IF('Pon-Bat'!AN54="","",+'Pon-Bat'!AN54/'Pon-Bat'!AM54)</f>
        <v/>
      </c>
      <c r="BL54" s="504" t="str">
        <f>IF('Pon-Bat'!AN54="","",+(SUM('Pon-Bat'!$AN$8:AN54)/SUM('Pon-Bat'!$AM$8:AM54)))</f>
        <v/>
      </c>
      <c r="BM54" s="499" t="str">
        <f>IF('Pon-Bat'!AO54="","",+'Pon-Bat'!AO54/'Pon-Bat'!AM54)</f>
        <v/>
      </c>
      <c r="BN54" s="504" t="str">
        <f>IF('Pon-Bat'!AO54="","",+(SUM('Pon-Bat'!$AO$8:AO54)/SUM('Pon-Bat'!$AM$8:AM54)))</f>
        <v/>
      </c>
      <c r="BO54" s="499" t="str">
        <f>IF('Pon-Bat'!AP54="","",+'Pon-Bat'!AP54/'Pon-Bat'!AM54)</f>
        <v/>
      </c>
      <c r="BP54" s="504" t="str">
        <f>IF('Pon-Bat'!AP54="","",+(SUM('Pon-Bat'!$AP$8:AP54)/SUM('Pon-Bat'!$AM$8:AM54)))</f>
        <v/>
      </c>
      <c r="BQ54" s="499" t="str">
        <f>IF('Pon-Bat'!AQ54="","",+'Pon-Bat'!AQ54/'Pon-Bat'!AM54)</f>
        <v/>
      </c>
      <c r="BR54" s="504" t="str">
        <f>IF('Pon-Bat'!AQ54="","",+(SUM('Pon-Bat'!$AQ$8:AQ54)/SUM('Pon-Bat'!$AM$8:AM54)))</f>
        <v/>
      </c>
      <c r="BS54" s="499" t="str">
        <f>IF('Pon-Bat'!AR54="","",+'Pon-Bat'!AR54/'Pon-Bat'!AM54)</f>
        <v/>
      </c>
      <c r="BT54" s="496" t="str">
        <f>IF('Pon-Bat'!AR54="","",+(SUM('Pon-Bat'!$AR$8:AR54)/SUM('Pon-Bat'!$AM$8:AM54)))</f>
        <v/>
      </c>
      <c r="BU54" s="501" t="str">
        <f>IF('Pon-Bat'!AT54="","",+'Pon-Bat'!AT54/'Pon-Bat'!AS54)</f>
        <v/>
      </c>
      <c r="BV54" s="504" t="str">
        <f>IF('Pon-Bat'!AT54="","",+(SUM('Pon-Bat'!$AT$8:AT54)/SUM('Pon-Bat'!$AS$8:AS54)))</f>
        <v/>
      </c>
      <c r="BW54" s="499" t="str">
        <f>IF('Pon-Bat'!AU54="","",+'Pon-Bat'!AU54/'Pon-Bat'!AS54)</f>
        <v/>
      </c>
      <c r="BX54" s="504" t="str">
        <f>IF('Pon-Bat'!AU54="","",+(SUM('Pon-Bat'!$AU$8:AU54)/SUM('Pon-Bat'!$AS$8:AS54)))</f>
        <v/>
      </c>
      <c r="BY54" s="499" t="str">
        <f>IF('Pon-Bat'!AV54="","",+'Pon-Bat'!AV54/'Pon-Bat'!AS54)</f>
        <v/>
      </c>
      <c r="BZ54" s="504" t="str">
        <f>IF('Pon-Bat'!AV54="","",+(SUM('Pon-Bat'!$AV$8:AV54)/SUM('Pon-Bat'!$AS$8:AS54)))</f>
        <v/>
      </c>
      <c r="CA54" s="499" t="str">
        <f>IF('Pon-Bat'!AW54="","",+'Pon-Bat'!AW54/'Pon-Bat'!AS54)</f>
        <v/>
      </c>
      <c r="CB54" s="504" t="str">
        <f>IF('Pon-Bat'!AW54="","",+(SUM('Pon-Bat'!$AW$8:AW54)/SUM('Pon-Bat'!$AS$8:AS54)))</f>
        <v/>
      </c>
      <c r="CC54" s="499" t="str">
        <f>IF('Pon-Bat'!AX54="","",+'Pon-Bat'!AX54/'Pon-Bat'!AS54)</f>
        <v/>
      </c>
      <c r="CD54" s="496" t="str">
        <f>IF('Pon-Bat'!AX54="","",+(SUM('Pon-Bat'!$AX$8:AX54)/SUM('Pon-Bat'!$AS$8:AS54)))</f>
        <v/>
      </c>
      <c r="CE54" s="503" t="str">
        <f>IF('Pon-Bat'!AZ54="","",+'Pon-Bat'!AZ54/'Pon-Bat'!AY54)</f>
        <v/>
      </c>
      <c r="CF54" s="504" t="str">
        <f>IF('Pon-Bat'!AZ54="","",+(SUM('Pon-Bat'!$AZ$8:AZ54)/SUM('Pon-Bat'!$AY$8:AY54)))</f>
        <v/>
      </c>
      <c r="CG54" s="494" t="str">
        <f>IF('Pon-Bat'!BA54="","",+'Pon-Bat'!BA54/'Pon-Bat'!AY54)</f>
        <v/>
      </c>
      <c r="CH54" s="504" t="str">
        <f>IF('Pon-Bat'!BA54="","",+(SUM('Pon-Bat'!$BA$8:BA54)/SUM('Pon-Bat'!$AY$8:AY54)))</f>
        <v/>
      </c>
      <c r="CI54" s="499" t="str">
        <f>IF('Pon-Bat'!BB54="","",+'Pon-Bat'!BB54/'Pon-Bat'!AY54)</f>
        <v/>
      </c>
      <c r="CJ54" s="504" t="str">
        <f>IF('Pon-Bat'!BB54="","",+(SUM('Pon-Bat'!$BB$8:BB54)/SUM('Pon-Bat'!$AY$8:AY54)))</f>
        <v/>
      </c>
      <c r="CK54" s="494" t="str">
        <f>IF('Pon-Bat'!BC54="","",+'Pon-Bat'!BC54/'Pon-Bat'!AY54)</f>
        <v/>
      </c>
      <c r="CL54" s="504" t="str">
        <f>IF('Pon-Bat'!BC54="","",+(SUM('Pon-Bat'!$BC$8:BC54)/SUM('Pon-Bat'!$AY$8:AY54)))</f>
        <v/>
      </c>
      <c r="CM54" s="494" t="str">
        <f>IF('Pon-Bat'!BD54="","",+'Pon-Bat'!BD54/'Pon-Bat'!AY54)</f>
        <v/>
      </c>
      <c r="CN54" s="496" t="str">
        <f>IF('Pon-Bat'!BD54="","",+(SUM('Pon-Bat'!$BD$8:BD54)/SUM('Pon-Bat'!$AY$8:AY54)))</f>
        <v/>
      </c>
    </row>
    <row r="55" spans="1:92" ht="24" customHeight="1" thickBot="1" x14ac:dyDescent="0.25">
      <c r="A55" s="454">
        <f t="shared" si="2"/>
        <v>43740</v>
      </c>
      <c r="B55" s="466">
        <f t="shared" si="3"/>
        <v>70</v>
      </c>
      <c r="C55" s="505" t="str">
        <f>IF('Pon-Bat'!D55="","",+'Pon-Bat'!D55/'Pon-Bat'!C55)</f>
        <v/>
      </c>
      <c r="D55" s="506" t="str">
        <f>IF('Pon-Bat'!D55="","",+(SUM('Pon-Bat'!$D$8:D55)/SUM('Pon-Bat'!$C$8:C55)))</f>
        <v/>
      </c>
      <c r="E55" s="500" t="str">
        <f>IF('Pon-Bat'!E55="","",+'Pon-Bat'!E55/'Pon-Bat'!C55)</f>
        <v/>
      </c>
      <c r="F55" s="506" t="str">
        <f>IF('Pon-Bat'!E55="","",+(SUM('Pon-Bat'!$E$8:E55)/SUM('Pon-Bat'!$C$8:C55)))</f>
        <v/>
      </c>
      <c r="G55" s="500" t="str">
        <f>IF('Pon-Bat'!F55="","",+'Pon-Bat'!F55/'Pon-Bat'!C55)</f>
        <v/>
      </c>
      <c r="H55" s="506" t="str">
        <f>IF('Pon-Bat'!F55="","",+(SUM('Pon-Bat'!$F$8:F55)/SUM('Pon-Bat'!$C$8:C55)))</f>
        <v/>
      </c>
      <c r="I55" s="500" t="str">
        <f>IF('Pon-Bat'!G55="","",+'Pon-Bat'!G55/'Pon-Bat'!C55)</f>
        <v/>
      </c>
      <c r="J55" s="506" t="str">
        <f>IF('Pon-Bat'!G55="","",+(SUM('Pon-Bat'!$G$8:G55)/SUM('Pon-Bat'!$C$8:C55)))</f>
        <v/>
      </c>
      <c r="K55" s="500" t="str">
        <f>IF('Pon-Bat'!H55="","",+'Pon-Bat'!H55/'Pon-Bat'!C55)</f>
        <v/>
      </c>
      <c r="L55" s="498" t="str">
        <f>IF('Pon-Bat'!H55="","",+(SUM('Pon-Bat'!$H$8:H55)/SUM('Pon-Bat'!$C$8:C55)))</f>
        <v/>
      </c>
      <c r="M55" s="505"/>
      <c r="N55" s="506" t="str">
        <f>IF('Pon-Bat'!J55="","",+(SUM('Pon-Bat'!$J$8:J55)/SUM('Pon-Bat'!$I$8:I55)))</f>
        <v/>
      </c>
      <c r="O55" s="500" t="str">
        <f>IF('Pon-Bat'!K55="","",+'Pon-Bat'!K55/'Pon-Bat'!I55)</f>
        <v/>
      </c>
      <c r="P55" s="506" t="str">
        <f>IF('Pon-Bat'!K55="","",+(SUM('Pon-Bat'!$K$8:K55)/SUM('Pon-Bat'!$I$8:I55)))</f>
        <v/>
      </c>
      <c r="Q55" s="500" t="str">
        <f>IF('Pon-Bat'!L55="","",+'Pon-Bat'!L55/'Pon-Bat'!I55)</f>
        <v/>
      </c>
      <c r="R55" s="506" t="str">
        <f>IF('Pon-Bat'!L55="","",+(SUM('Pon-Bat'!$L$8:L55)/SUM('Pon-Bat'!$I$8:I55)))</f>
        <v/>
      </c>
      <c r="S55" s="500" t="str">
        <f>IF('Pon-Bat'!M55="","",+'Pon-Bat'!M55/'Pon-Bat'!I55)</f>
        <v/>
      </c>
      <c r="T55" s="506" t="str">
        <f>IF('Pon-Bat'!M55="","",+(SUM('Pon-Bat'!$M$8:M55)/SUM('Pon-Bat'!$I$8:I55)))</f>
        <v/>
      </c>
      <c r="U55" s="500" t="str">
        <f>IF('Pon-Bat'!N55="","",+'Pon-Bat'!N55/'Pon-Bat'!I55)</f>
        <v/>
      </c>
      <c r="V55" s="498" t="str">
        <f>IF('Pon-Bat'!N55="","",+(SUM('Pon-Bat'!$N$8:N55)/SUM('Pon-Bat'!$I$8:I55)))</f>
        <v/>
      </c>
      <c r="W55" s="505"/>
      <c r="X55" s="506" t="str">
        <f>IF('Pon-Bat'!P55="","",+(SUM('Pon-Bat'!$P$8:P55)/SUM('Pon-Bat'!$O$8:O55)))</f>
        <v/>
      </c>
      <c r="Y55" s="500" t="str">
        <f>IF('Pon-Bat'!Q55="","",+'Pon-Bat'!Q55/'Pon-Bat'!O55)</f>
        <v/>
      </c>
      <c r="Z55" s="506" t="str">
        <f>IF('Pon-Bat'!Q55="","",+(SUM('Pon-Bat'!$Q$8:Q55)/SUM('Pon-Bat'!$O$8:O55)))</f>
        <v/>
      </c>
      <c r="AA55" s="500" t="str">
        <f>IF('Pon-Bat'!R55="","",+'Pon-Bat'!R55/'Pon-Bat'!O55)</f>
        <v/>
      </c>
      <c r="AB55" s="506" t="str">
        <f>IF('Pon-Bat'!R55="","",+(SUM('Pon-Bat'!$R$8:R55)/SUM('Pon-Bat'!$O$8:O55)))</f>
        <v/>
      </c>
      <c r="AC55" s="500" t="str">
        <f>IF('Pon-Bat'!S55="","",+'Pon-Bat'!S55/'Pon-Bat'!O55)</f>
        <v/>
      </c>
      <c r="AD55" s="506" t="str">
        <f>IF('Pon-Bat'!S55="","",+(SUM('Pon-Bat'!$S$8:S55)/SUM('Pon-Bat'!$O$8:O55)))</f>
        <v/>
      </c>
      <c r="AE55" s="500" t="str">
        <f>IF('Pon-Bat'!T55="","",+'Pon-Bat'!T55/'Pon-Bat'!O55)</f>
        <v/>
      </c>
      <c r="AF55" s="498" t="str">
        <f>IF('Pon-Bat'!T55="","",+(SUM('Pon-Bat'!$T$8:T55)/SUM('Pon-Bat'!$O$8:O55)))</f>
        <v/>
      </c>
      <c r="AG55" s="505"/>
      <c r="AH55" s="506" t="str">
        <f>IF('Pon-Bat'!V55="","",+(SUM('Pon-Bat'!$V$8:V55)/SUM('Pon-Bat'!$U$8:U55)))</f>
        <v/>
      </c>
      <c r="AI55" s="500" t="str">
        <f>IF('Pon-Bat'!W55="","",+'Pon-Bat'!W55/'Pon-Bat'!U55)</f>
        <v/>
      </c>
      <c r="AJ55" s="506" t="str">
        <f>IF('Pon-Bat'!W55="","",+(SUM('Pon-Bat'!$W$8:W55)/SUM('Pon-Bat'!$U$8:U55)))</f>
        <v/>
      </c>
      <c r="AK55" s="500" t="str">
        <f>IF('Pon-Bat'!X55="","",+'Pon-Bat'!X55/'Pon-Bat'!U55)</f>
        <v/>
      </c>
      <c r="AL55" s="506" t="str">
        <f>IF('Pon-Bat'!X55="","",+(SUM('Pon-Bat'!$X$8:X55)/SUM('Pon-Bat'!$U$8:U55)))</f>
        <v/>
      </c>
      <c r="AM55" s="500" t="str">
        <f>IF('Pon-Bat'!Y55="","",+'Pon-Bat'!Y55/'Pon-Bat'!U55)</f>
        <v/>
      </c>
      <c r="AN55" s="506" t="str">
        <f>IF('Pon-Bat'!Y55="","",+(SUM('Pon-Bat'!$Y$8:Y55)/SUM('Pon-Bat'!$U$8:U55)))</f>
        <v/>
      </c>
      <c r="AO55" s="500" t="str">
        <f>IF('Pon-Bat'!Z55="","",+'Pon-Bat'!Z55/'Pon-Bat'!U55)</f>
        <v/>
      </c>
      <c r="AP55" s="498" t="str">
        <f>IF('Pon-Bat'!Z55="","",+(SUM('Pon-Bat'!$Z$8:Z55)/SUM('Pon-Bat'!$U$8:U55)))</f>
        <v/>
      </c>
      <c r="AQ55" s="505"/>
      <c r="AR55" s="506" t="str">
        <f>IF('Pon-Bat'!AB55="","",+(SUM('Pon-Bat'!$AB$8:AB55)/SUM('Pon-Bat'!$AA$8:AA55)))</f>
        <v/>
      </c>
      <c r="AS55" s="500" t="str">
        <f>IF('Pon-Bat'!AC55="","",+'Pon-Bat'!AC55/'Pon-Bat'!AA55)</f>
        <v/>
      </c>
      <c r="AT55" s="506" t="str">
        <f>IF('Pon-Bat'!AC55="","",+(SUM('Pon-Bat'!$AC$8:AC55)/SUM('Pon-Bat'!$AA$8:AA55)))</f>
        <v/>
      </c>
      <c r="AU55" s="500" t="str">
        <f>IF('Pon-Bat'!AD55="","",+'Pon-Bat'!AD55/'Pon-Bat'!AA55)</f>
        <v/>
      </c>
      <c r="AV55" s="506" t="str">
        <f>IF('Pon-Bat'!AD55="","",+(SUM('Pon-Bat'!$AD$8:AD55)/SUM('Pon-Bat'!$AA$8:AA55)))</f>
        <v/>
      </c>
      <c r="AW55" s="500" t="str">
        <f>IF('Pon-Bat'!AE55="","",+'Pon-Bat'!AE55/'Pon-Bat'!AA55)</f>
        <v/>
      </c>
      <c r="AX55" s="506" t="str">
        <f>IF('Pon-Bat'!AE55="","",+(SUM('Pon-Bat'!$AE$8:AE55)/SUM('Pon-Bat'!$AA$8:AA55)))</f>
        <v/>
      </c>
      <c r="AY55" s="500" t="str">
        <f>IF('Pon-Bat'!AF55="","",+'Pon-Bat'!AF55/'Pon-Bat'!AA55)</f>
        <v/>
      </c>
      <c r="AZ55" s="498" t="str">
        <f>IF('Pon-Bat'!AF55="","",+(SUM('Pon-Bat'!$AF$8:AF55)/SUM('Pon-Bat'!$AA$8:AA55)))</f>
        <v/>
      </c>
      <c r="BA55" s="505"/>
      <c r="BB55" s="506" t="str">
        <f>IF('Pon-Bat'!AH55="","",+(SUM('Pon-Bat'!$AH$8:AH55)/SUM('Pon-Bat'!$AG$8:AG55)))</f>
        <v/>
      </c>
      <c r="BC55" s="500" t="str">
        <f>IF('Pon-Bat'!AI55="","",+'Pon-Bat'!AI55/'Pon-Bat'!AG55)</f>
        <v/>
      </c>
      <c r="BD55" s="506" t="str">
        <f>IF('Pon-Bat'!AI55="","",+(SUM('Pon-Bat'!$AI$8:AI55)/SUM('Pon-Bat'!$AG$8:AG55)))</f>
        <v/>
      </c>
      <c r="BE55" s="500" t="str">
        <f>IF('Pon-Bat'!AJ55="","",+'Pon-Bat'!AJ55/'Pon-Bat'!AG55)</f>
        <v/>
      </c>
      <c r="BF55" s="506" t="str">
        <f>IF('Pon-Bat'!AJ55="","",+(SUM('Pon-Bat'!$AJ$8:AJ55)/SUM('Pon-Bat'!$AG$8:AG55)))</f>
        <v/>
      </c>
      <c r="BG55" s="500" t="str">
        <f>IF('Pon-Bat'!AK55="","",+'Pon-Bat'!AK55/'Pon-Bat'!AG55)</f>
        <v/>
      </c>
      <c r="BH55" s="506" t="str">
        <f>IF('Pon-Bat'!AK55="","",+(SUM('Pon-Bat'!$AK$8:AK55)/SUM('Pon-Bat'!$AG$8:AG55)))</f>
        <v/>
      </c>
      <c r="BI55" s="500" t="str">
        <f>IF('Pon-Bat'!AL55="","",+'Pon-Bat'!AL55/'Pon-Bat'!AG55)</f>
        <v/>
      </c>
      <c r="BJ55" s="498" t="str">
        <f>IF('Pon-Bat'!AL55="","",+(SUM('Pon-Bat'!$AL$8:AL55)/SUM('Pon-Bat'!$AG$8:AG55)))</f>
        <v/>
      </c>
      <c r="BK55" s="505" t="str">
        <f>IF('Pon-Bat'!AN55="","",+'Pon-Bat'!AN55/'Pon-Bat'!AM55)</f>
        <v/>
      </c>
      <c r="BL55" s="506" t="str">
        <f>IF('Pon-Bat'!AN55="","",+(SUM('Pon-Bat'!$AN$8:AN55)/SUM('Pon-Bat'!$AM$8:AM55)))</f>
        <v/>
      </c>
      <c r="BM55" s="500" t="str">
        <f>IF('Pon-Bat'!AO55="","",+'Pon-Bat'!AO55/'Pon-Bat'!AM55)</f>
        <v/>
      </c>
      <c r="BN55" s="506" t="str">
        <f>IF('Pon-Bat'!AO55="","",+(SUM('Pon-Bat'!$AO$8:AO55)/SUM('Pon-Bat'!$AM$8:AM55)))</f>
        <v/>
      </c>
      <c r="BO55" s="500" t="str">
        <f>IF('Pon-Bat'!AP55="","",+'Pon-Bat'!AP55/'Pon-Bat'!AM55)</f>
        <v/>
      </c>
      <c r="BP55" s="506" t="str">
        <f>IF('Pon-Bat'!AP55="","",+(SUM('Pon-Bat'!$AP$8:AP55)/SUM('Pon-Bat'!$AM$8:AM55)))</f>
        <v/>
      </c>
      <c r="BQ55" s="500" t="str">
        <f>IF('Pon-Bat'!AQ55="","",+'Pon-Bat'!AQ55/'Pon-Bat'!AM55)</f>
        <v/>
      </c>
      <c r="BR55" s="506" t="str">
        <f>IF('Pon-Bat'!AQ55="","",+(SUM('Pon-Bat'!$AQ$8:AQ55)/SUM('Pon-Bat'!$AM$8:AM55)))</f>
        <v/>
      </c>
      <c r="BS55" s="500" t="str">
        <f>IF('Pon-Bat'!AR55="","",+'Pon-Bat'!AR55/'Pon-Bat'!AM55)</f>
        <v/>
      </c>
      <c r="BT55" s="498" t="str">
        <f>IF('Pon-Bat'!AR55="","",+(SUM('Pon-Bat'!$AR$8:AR55)/SUM('Pon-Bat'!$AM$8:AM55)))</f>
        <v/>
      </c>
      <c r="BU55" s="505" t="str">
        <f>IF('Pon-Bat'!AT55="","",+'Pon-Bat'!AT55/'Pon-Bat'!AS55)</f>
        <v/>
      </c>
      <c r="BV55" s="506" t="str">
        <f>IF('Pon-Bat'!AT55="","",+(SUM('Pon-Bat'!$AT$8:AT55)/SUM('Pon-Bat'!$AS$8:AS55)))</f>
        <v/>
      </c>
      <c r="BW55" s="500" t="str">
        <f>IF('Pon-Bat'!AU55="","",+'Pon-Bat'!AU55/'Pon-Bat'!AS55)</f>
        <v/>
      </c>
      <c r="BX55" s="506" t="str">
        <f>IF('Pon-Bat'!AU55="","",+(SUM('Pon-Bat'!$AU$8:AU55)/SUM('Pon-Bat'!$AS$8:AS55)))</f>
        <v/>
      </c>
      <c r="BY55" s="500" t="str">
        <f>IF('Pon-Bat'!AV55="","",+'Pon-Bat'!AV55/'Pon-Bat'!AS55)</f>
        <v/>
      </c>
      <c r="BZ55" s="506" t="str">
        <f>IF('Pon-Bat'!AV55="","",+(SUM('Pon-Bat'!$AV$8:AV55)/SUM('Pon-Bat'!$AS$8:AS55)))</f>
        <v/>
      </c>
      <c r="CA55" s="500" t="str">
        <f>IF('Pon-Bat'!AW55="","",+'Pon-Bat'!AW55/'Pon-Bat'!AS55)</f>
        <v/>
      </c>
      <c r="CB55" s="506" t="str">
        <f>IF('Pon-Bat'!AW55="","",+(SUM('Pon-Bat'!$AW$8:AW55)/SUM('Pon-Bat'!$AS$8:AS55)))</f>
        <v/>
      </c>
      <c r="CC55" s="500" t="str">
        <f>IF('Pon-Bat'!AX55="","",+'Pon-Bat'!AX55/'Pon-Bat'!AS55)</f>
        <v/>
      </c>
      <c r="CD55" s="498" t="str">
        <f>IF('Pon-Bat'!AX55="","",+(SUM('Pon-Bat'!$AX$8:AX55)/SUM('Pon-Bat'!$AS$8:AS55)))</f>
        <v/>
      </c>
      <c r="CE55" s="505" t="str">
        <f>IF('Pon-Bat'!AZ55="","",+'Pon-Bat'!AZ55/'Pon-Bat'!AY55)</f>
        <v/>
      </c>
      <c r="CF55" s="506" t="str">
        <f>IF('Pon-Bat'!AZ55="","",+(SUM('Pon-Bat'!$AZ$8:AZ55)/SUM('Pon-Bat'!$AY$8:AY55)))</f>
        <v/>
      </c>
      <c r="CG55" s="500" t="str">
        <f>IF('Pon-Bat'!BA55="","",+'Pon-Bat'!BA55/'Pon-Bat'!AY55)</f>
        <v/>
      </c>
      <c r="CH55" s="506" t="str">
        <f>IF('Pon-Bat'!BA55="","",+(SUM('Pon-Bat'!$BA$8:BA55)/SUM('Pon-Bat'!$AY$8:AY55)))</f>
        <v/>
      </c>
      <c r="CI55" s="500" t="str">
        <f>IF('Pon-Bat'!BB55="","",+'Pon-Bat'!BB55/'Pon-Bat'!AY55)</f>
        <v/>
      </c>
      <c r="CJ55" s="506" t="str">
        <f>IF('Pon-Bat'!BB55="","",+(SUM('Pon-Bat'!$BB$8:BB55)/SUM('Pon-Bat'!$AY$8:AY55)))</f>
        <v/>
      </c>
      <c r="CK55" s="500" t="str">
        <f>IF('Pon-Bat'!BC55="","",+'Pon-Bat'!BC55/'Pon-Bat'!AY55)</f>
        <v/>
      </c>
      <c r="CL55" s="506" t="str">
        <f>IF('Pon-Bat'!BC55="","",+(SUM('Pon-Bat'!$BC$8:BC55)/SUM('Pon-Bat'!$AY$8:AY55)))</f>
        <v/>
      </c>
      <c r="CM55" s="500" t="str">
        <f>IF('Pon-Bat'!BD55="","",+'Pon-Bat'!BD55/'Pon-Bat'!AY55)</f>
        <v/>
      </c>
      <c r="CN55" s="498" t="str">
        <f>IF('Pon-Bat'!BD55="","",+(SUM('Pon-Bat'!$BD$8:BD55)/SUM('Pon-Bat'!$AY$8:AY55)))</f>
        <v/>
      </c>
    </row>
    <row r="56" spans="1:92" ht="13.5" thickTop="1" x14ac:dyDescent="0.2">
      <c r="D56" s="493"/>
    </row>
    <row r="57" spans="1:92" x14ac:dyDescent="0.2">
      <c r="D57" s="493"/>
    </row>
    <row r="58" spans="1:92" x14ac:dyDescent="0.2">
      <c r="D58" s="493"/>
    </row>
    <row r="59" spans="1:92" x14ac:dyDescent="0.2">
      <c r="D59" s="493"/>
    </row>
    <row r="60" spans="1:92" x14ac:dyDescent="0.2">
      <c r="D60" s="493"/>
    </row>
    <row r="61" spans="1:92" x14ac:dyDescent="0.2">
      <c r="D61" s="493"/>
    </row>
    <row r="62" spans="1:92" x14ac:dyDescent="0.2">
      <c r="D62" s="493"/>
    </row>
    <row r="63" spans="1:92" x14ac:dyDescent="0.2">
      <c r="D63" s="493"/>
      <c r="I63" s="492"/>
    </row>
    <row r="77" spans="3:3" x14ac:dyDescent="0.2">
      <c r="C77" s="483"/>
    </row>
  </sheetData>
  <mergeCells count="69">
    <mergeCell ref="AD2:AE2"/>
    <mergeCell ref="V3:X3"/>
    <mergeCell ref="AD3:AE3"/>
    <mergeCell ref="C5:H5"/>
    <mergeCell ref="W5:AB5"/>
    <mergeCell ref="AC5:AF5"/>
    <mergeCell ref="I5:L5"/>
    <mergeCell ref="C4:E4"/>
    <mergeCell ref="M5:R5"/>
    <mergeCell ref="S5:V5"/>
    <mergeCell ref="C6:D6"/>
    <mergeCell ref="E6:F6"/>
    <mergeCell ref="G6:H6"/>
    <mergeCell ref="I6:J6"/>
    <mergeCell ref="V1:X1"/>
    <mergeCell ref="V2:X2"/>
    <mergeCell ref="W6:X6"/>
    <mergeCell ref="Y6:Z6"/>
    <mergeCell ref="AA6:AB6"/>
    <mergeCell ref="AC6:AD6"/>
    <mergeCell ref="K6:L6"/>
    <mergeCell ref="M6:N6"/>
    <mergeCell ref="O6:P6"/>
    <mergeCell ref="Q6:R6"/>
    <mergeCell ref="S6:T6"/>
    <mergeCell ref="U6:V6"/>
    <mergeCell ref="AE6:AF6"/>
    <mergeCell ref="AG5:AL5"/>
    <mergeCell ref="AM5:AP5"/>
    <mergeCell ref="AG6:AH6"/>
    <mergeCell ref="AI6:AJ6"/>
    <mergeCell ref="AK6:AL6"/>
    <mergeCell ref="AM6:AN6"/>
    <mergeCell ref="AO6:AP6"/>
    <mergeCell ref="AQ5:AV5"/>
    <mergeCell ref="AW5:AZ5"/>
    <mergeCell ref="AQ6:AR6"/>
    <mergeCell ref="AS6:AT6"/>
    <mergeCell ref="AU6:AV6"/>
    <mergeCell ref="AW6:AX6"/>
    <mergeCell ref="AY6:AZ6"/>
    <mergeCell ref="BA5:BF5"/>
    <mergeCell ref="BG5:BJ5"/>
    <mergeCell ref="BA6:BB6"/>
    <mergeCell ref="BC6:BD6"/>
    <mergeCell ref="BE6:BF6"/>
    <mergeCell ref="BG6:BH6"/>
    <mergeCell ref="BI6:BJ6"/>
    <mergeCell ref="BK5:BP5"/>
    <mergeCell ref="BQ5:BT5"/>
    <mergeCell ref="BK6:BL6"/>
    <mergeCell ref="BM6:BN6"/>
    <mergeCell ref="BO6:BP6"/>
    <mergeCell ref="BQ6:BR6"/>
    <mergeCell ref="BS6:BT6"/>
    <mergeCell ref="BU5:BZ5"/>
    <mergeCell ref="CA5:CD5"/>
    <mergeCell ref="BU6:BV6"/>
    <mergeCell ref="BW6:BX6"/>
    <mergeCell ref="BY6:BZ6"/>
    <mergeCell ref="CA6:CB6"/>
    <mergeCell ref="CC6:CD6"/>
    <mergeCell ref="CE5:CJ5"/>
    <mergeCell ref="CK5:CN5"/>
    <mergeCell ref="CE6:CF6"/>
    <mergeCell ref="CG6:CH6"/>
    <mergeCell ref="CI6:CJ6"/>
    <mergeCell ref="CK6:CL6"/>
    <mergeCell ref="CM6:CN6"/>
  </mergeCells>
  <phoneticPr fontId="17" type="noConversion"/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3"/>
  </sheetPr>
  <dimension ref="A1:Y60"/>
  <sheetViews>
    <sheetView showGridLines="0" showZeros="0"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25" sqref="M25"/>
    </sheetView>
  </sheetViews>
  <sheetFormatPr baseColWidth="10" defaultRowHeight="12.75" x14ac:dyDescent="0.2"/>
  <cols>
    <col min="1" max="1" width="10.28515625" customWidth="1"/>
    <col min="2" max="2" width="5.85546875" customWidth="1"/>
    <col min="3" max="3" width="10.28515625" customWidth="1"/>
    <col min="4" max="4" width="8.85546875" customWidth="1"/>
    <col min="5" max="5" width="9" customWidth="1"/>
    <col min="6" max="6" width="11.5703125" customWidth="1"/>
    <col min="7" max="7" width="10.42578125" customWidth="1"/>
    <col min="8" max="8" width="9.85546875" customWidth="1"/>
    <col min="9" max="9" width="10.5703125" customWidth="1"/>
    <col min="10" max="10" width="10.42578125" customWidth="1"/>
    <col min="11" max="11" width="11.85546875" customWidth="1"/>
    <col min="12" max="12" width="9.140625" customWidth="1"/>
    <col min="13" max="13" width="9.7109375" customWidth="1"/>
    <col min="14" max="14" width="11.42578125" customWidth="1"/>
    <col min="15" max="15" width="11.5703125" customWidth="1"/>
    <col min="16" max="16" width="12.85546875" customWidth="1"/>
    <col min="17" max="17" width="12.5703125" customWidth="1"/>
    <col min="18" max="19" width="9.140625" customWidth="1"/>
  </cols>
  <sheetData>
    <row r="1" spans="1:25" ht="24.95" customHeight="1" x14ac:dyDescent="0.25">
      <c r="A1" s="20" t="s">
        <v>69</v>
      </c>
      <c r="B1" s="21"/>
      <c r="C1" s="22"/>
      <c r="D1" s="22" t="str">
        <f>IF(LOT!$B$3="","",LOT!$B$3)</f>
        <v>CASAP-BLIDA</v>
      </c>
      <c r="E1" s="23"/>
      <c r="F1" s="21"/>
      <c r="G1" s="21"/>
      <c r="H1" s="21"/>
      <c r="I1" s="21"/>
      <c r="J1" s="24" t="s">
        <v>171</v>
      </c>
      <c r="K1" s="25"/>
      <c r="L1" s="21"/>
      <c r="M1" s="677">
        <f>LOT!$B$4</f>
        <v>43250</v>
      </c>
      <c r="N1" s="677"/>
      <c r="O1" s="25" t="s">
        <v>174</v>
      </c>
      <c r="P1" s="21"/>
      <c r="Q1" s="310" t="str">
        <f>$C$13</f>
        <v/>
      </c>
      <c r="R1" s="72"/>
      <c r="S1" s="40"/>
      <c r="T1" s="41"/>
      <c r="U1" s="40"/>
      <c r="V1" s="40"/>
    </row>
    <row r="2" spans="1:25" ht="24.95" customHeight="1" x14ac:dyDescent="0.25">
      <c r="A2" s="24" t="s">
        <v>74</v>
      </c>
      <c r="B2" s="21"/>
      <c r="C2" s="22"/>
      <c r="D2" s="22" t="str">
        <f>IF(LOT!$B$8="","",LOT!$B$8)</f>
        <v/>
      </c>
      <c r="E2" s="22"/>
      <c r="F2" s="21"/>
      <c r="G2" s="21"/>
      <c r="H2" s="21"/>
      <c r="I2" s="21"/>
      <c r="J2" s="24" t="s">
        <v>172</v>
      </c>
      <c r="K2" s="24"/>
      <c r="L2" s="21"/>
      <c r="M2" s="309">
        <f>IF(LOT!$B$5="","",LOT!$B$5)</f>
        <v>7872</v>
      </c>
      <c r="N2" s="25"/>
      <c r="O2" s="35" t="s">
        <v>136</v>
      </c>
      <c r="P2" s="22"/>
      <c r="Q2" s="309">
        <f>IF(M2="","",M2-SUM('Prod-Rec'!C8:C60)-SUM('Dem-Rec'!C8:C24))</f>
        <v>7695</v>
      </c>
      <c r="R2" s="72"/>
      <c r="S2" s="40"/>
      <c r="T2" s="41"/>
      <c r="U2" s="41"/>
      <c r="V2" s="41"/>
    </row>
    <row r="3" spans="1:25" ht="24.75" customHeight="1" x14ac:dyDescent="0.25">
      <c r="A3" s="24" t="s">
        <v>73</v>
      </c>
      <c r="B3" s="21"/>
      <c r="C3" s="22"/>
      <c r="D3" s="22" t="str">
        <f>IF(LOT!$B$7="","",LOT!$B$7)</f>
        <v>AIN OUSSERA-ALGERIE</v>
      </c>
      <c r="E3" s="22"/>
      <c r="F3" s="21"/>
      <c r="G3" s="21"/>
      <c r="H3" s="21"/>
      <c r="I3" s="21"/>
      <c r="J3" s="24" t="s">
        <v>173</v>
      </c>
      <c r="K3" s="24"/>
      <c r="L3" s="22"/>
      <c r="M3" s="309">
        <f>IF(LOT!$B$6="","",LOT!$B$6)</f>
        <v>1200</v>
      </c>
      <c r="N3" s="25"/>
      <c r="O3" s="35" t="s">
        <v>137</v>
      </c>
      <c r="P3" s="22"/>
      <c r="Q3" s="309">
        <f>IF(M3="","",M3-SUM('Prod-Rec'!$I$8:$I$60)-SUM('Dem-Rec'!$J$8:$J$24))</f>
        <v>1156</v>
      </c>
      <c r="R3" s="72"/>
      <c r="S3" s="40"/>
      <c r="T3" s="41"/>
      <c r="U3" s="41"/>
      <c r="V3" s="41"/>
    </row>
    <row r="4" spans="1:25" ht="15" customHeight="1" thickBot="1" x14ac:dyDescent="0.25"/>
    <row r="5" spans="1:25" ht="27.75" customHeight="1" thickTop="1" thickBot="1" x14ac:dyDescent="0.25">
      <c r="C5" s="58" t="s">
        <v>138</v>
      </c>
      <c r="D5" s="59" t="s">
        <v>139</v>
      </c>
      <c r="E5" s="54" t="s">
        <v>0</v>
      </c>
      <c r="F5" s="56" t="s">
        <v>175</v>
      </c>
      <c r="G5" s="342" t="s">
        <v>175</v>
      </c>
      <c r="H5" s="342" t="s">
        <v>175</v>
      </c>
      <c r="I5" s="56" t="s">
        <v>176</v>
      </c>
      <c r="J5" s="62" t="s">
        <v>176</v>
      </c>
      <c r="K5" s="65" t="s">
        <v>177</v>
      </c>
      <c r="L5" s="74" t="s">
        <v>155</v>
      </c>
      <c r="M5" s="75" t="s">
        <v>155</v>
      </c>
      <c r="N5" s="76" t="s">
        <v>178</v>
      </c>
      <c r="O5" s="66" t="s">
        <v>179</v>
      </c>
      <c r="P5" s="71" t="s">
        <v>180</v>
      </c>
      <c r="Q5" s="66" t="s">
        <v>180</v>
      </c>
      <c r="W5" s="329" t="s">
        <v>189</v>
      </c>
      <c r="X5" s="329" t="s">
        <v>189</v>
      </c>
      <c r="Y5" s="329" t="s">
        <v>189</v>
      </c>
    </row>
    <row r="6" spans="1:25" ht="27.75" customHeight="1" thickTop="1" thickBot="1" x14ac:dyDescent="0.25">
      <c r="A6" s="79" t="s">
        <v>80</v>
      </c>
      <c r="B6" s="80" t="s">
        <v>79</v>
      </c>
      <c r="C6" s="60" t="s">
        <v>181</v>
      </c>
      <c r="D6" s="61" t="s">
        <v>181</v>
      </c>
      <c r="E6" s="55" t="s">
        <v>139</v>
      </c>
      <c r="F6" s="57" t="s">
        <v>182</v>
      </c>
      <c r="G6" s="61" t="s">
        <v>183</v>
      </c>
      <c r="H6" s="61" t="s">
        <v>184</v>
      </c>
      <c r="I6" s="57" t="s">
        <v>185</v>
      </c>
      <c r="J6" s="63" t="s">
        <v>186</v>
      </c>
      <c r="K6" s="64" t="s">
        <v>186</v>
      </c>
      <c r="L6" s="77" t="s">
        <v>8</v>
      </c>
      <c r="M6" s="78" t="s">
        <v>187</v>
      </c>
      <c r="N6" s="328" t="s">
        <v>188</v>
      </c>
      <c r="O6" s="64" t="s">
        <v>186</v>
      </c>
      <c r="P6" s="73" t="s">
        <v>133</v>
      </c>
      <c r="Q6" s="64" t="s">
        <v>3</v>
      </c>
      <c r="W6" s="330" t="s">
        <v>23</v>
      </c>
      <c r="X6" s="330" t="s">
        <v>23</v>
      </c>
      <c r="Y6" s="330" t="s">
        <v>190</v>
      </c>
    </row>
    <row r="7" spans="1:25" ht="24" customHeight="1" x14ac:dyDescent="0.2">
      <c r="A7" s="304">
        <f>+M1+126</f>
        <v>43376</v>
      </c>
      <c r="B7" s="144">
        <v>18</v>
      </c>
      <c r="C7" s="277" t="str">
        <f>IF('Prod-Rec'!C8="","",$M$2-SUM('Dem-Rec'!$C$8:$C$25))</f>
        <v/>
      </c>
      <c r="D7" s="278" t="str">
        <f>IF('Prod-Rec'!I8="","",$M$3-SUM('Dem-Rec'!$J$8:$J$25))</f>
        <v/>
      </c>
      <c r="E7" s="339" t="str">
        <f t="shared" ref="E7:E25" si="0">IF(OR(D7="",C7=""),"",D7/C7)</f>
        <v/>
      </c>
      <c r="F7" s="145"/>
      <c r="G7" s="343"/>
      <c r="H7" s="359"/>
      <c r="I7" s="145"/>
      <c r="J7" s="146"/>
      <c r="K7" s="147"/>
      <c r="L7" s="148"/>
      <c r="M7" s="149"/>
      <c r="N7" s="146"/>
      <c r="O7" s="147"/>
      <c r="P7" s="150"/>
      <c r="Q7" s="147"/>
      <c r="W7" s="232">
        <v>0.1</v>
      </c>
      <c r="X7">
        <v>0.1</v>
      </c>
    </row>
    <row r="8" spans="1:25" ht="24" customHeight="1" x14ac:dyDescent="0.2">
      <c r="A8" s="305">
        <f t="shared" ref="A8:A23" si="1">A7+7</f>
        <v>43383</v>
      </c>
      <c r="B8" s="151">
        <f>+B7+1</f>
        <v>19</v>
      </c>
      <c r="C8" s="279" t="str">
        <f>IF('Prod-Rec'!C9="","",$M$2-SUM('Dem-Rec'!$C$8:$C$25)-SUM('Prod-Rec'!$C$9:C9))</f>
        <v/>
      </c>
      <c r="D8" s="280" t="str">
        <f>IF('Prod-Rec'!I9="","",$M$3-SUM('Dem-Rec'!$J$8:$J$25)-SUM('Prod-Rec'!$I$9:I9))</f>
        <v/>
      </c>
      <c r="E8" s="340" t="str">
        <f t="shared" si="0"/>
        <v/>
      </c>
      <c r="F8" s="152"/>
      <c r="G8" s="344"/>
      <c r="H8" s="360"/>
      <c r="I8" s="152"/>
      <c r="J8" s="153"/>
      <c r="K8" s="154"/>
      <c r="L8" s="155"/>
      <c r="M8" s="156"/>
      <c r="N8" s="153"/>
      <c r="O8" s="154"/>
      <c r="P8" s="157"/>
      <c r="Q8" s="154"/>
      <c r="W8" s="204">
        <v>0.1</v>
      </c>
      <c r="X8">
        <v>0.1</v>
      </c>
    </row>
    <row r="9" spans="1:25" ht="24" customHeight="1" x14ac:dyDescent="0.2">
      <c r="A9" s="305">
        <f t="shared" si="1"/>
        <v>43390</v>
      </c>
      <c r="B9" s="151">
        <f t="shared" ref="B9:B24" si="2">+B8+1</f>
        <v>20</v>
      </c>
      <c r="C9" s="279" t="str">
        <f>IF('Prod-Rec'!C10="","",$M$2-SUM('Dem-Rec'!$C$8:$C$25)-SUM('Prod-Rec'!$C$9:C10))</f>
        <v/>
      </c>
      <c r="D9" s="280" t="str">
        <f>IF('Prod-Rec'!I10="","",$M$3-SUM('Dem-Rec'!$J$8:$J$25)-SUM('Prod-Rec'!$I$9:I10))</f>
        <v/>
      </c>
      <c r="E9" s="340" t="str">
        <f t="shared" si="0"/>
        <v/>
      </c>
      <c r="F9" s="152"/>
      <c r="G9" s="344"/>
      <c r="H9" s="360"/>
      <c r="I9" s="152"/>
      <c r="J9" s="153"/>
      <c r="K9" s="154"/>
      <c r="L9" s="155"/>
      <c r="M9" s="156"/>
      <c r="N9" s="153"/>
      <c r="O9" s="154"/>
      <c r="P9" s="157"/>
      <c r="Q9" s="154"/>
      <c r="W9" s="204">
        <v>0.1</v>
      </c>
      <c r="X9">
        <v>0.1</v>
      </c>
    </row>
    <row r="10" spans="1:25" ht="24" customHeight="1" x14ac:dyDescent="0.2">
      <c r="A10" s="305">
        <f t="shared" si="1"/>
        <v>43397</v>
      </c>
      <c r="B10" s="151">
        <f t="shared" si="2"/>
        <v>21</v>
      </c>
      <c r="C10" s="279" t="str">
        <f>IF('Prod-Rec'!C11="","",$M$2-SUM('Dem-Rec'!$C$8:$C$25)-SUM('Prod-Rec'!$C$9:C11))</f>
        <v/>
      </c>
      <c r="D10" s="280" t="str">
        <f>IF('Prod-Rec'!I11="","",$M$3-SUM('Dem-Rec'!$J$8:$J$25)-SUM('Prod-Rec'!$I$9:I11))</f>
        <v/>
      </c>
      <c r="E10" s="340" t="str">
        <f t="shared" si="0"/>
        <v/>
      </c>
      <c r="F10" s="152"/>
      <c r="G10" s="326" t="str">
        <f>IF(C10="","",(C9-C10)*100/$C$10)</f>
        <v/>
      </c>
      <c r="H10" s="361"/>
      <c r="I10" s="158"/>
      <c r="J10" s="153"/>
      <c r="K10" s="154"/>
      <c r="L10" s="159"/>
      <c r="M10" s="160"/>
      <c r="N10" s="153"/>
      <c r="O10" s="154"/>
      <c r="P10" s="157"/>
      <c r="Q10" s="154"/>
      <c r="W10" s="204">
        <v>0.1</v>
      </c>
      <c r="X10">
        <v>0.1</v>
      </c>
    </row>
    <row r="11" spans="1:25" ht="24" customHeight="1" x14ac:dyDescent="0.2">
      <c r="A11" s="306">
        <f t="shared" si="1"/>
        <v>43404</v>
      </c>
      <c r="B11" s="151">
        <f t="shared" si="2"/>
        <v>22</v>
      </c>
      <c r="C11" s="279" t="str">
        <f>IF('Prod-Rec'!C12="","",$M$2-SUM('Dem-Rec'!$C$8:$C$25)-SUM('Prod-Rec'!$C$9:C12))</f>
        <v/>
      </c>
      <c r="D11" s="280" t="str">
        <f>IF('Prod-Rec'!I12="","",$M$3-SUM('Dem-Rec'!$J$8:$J$25)-SUM('Prod-Rec'!$I$9:I12))</f>
        <v/>
      </c>
      <c r="E11" s="340" t="str">
        <f t="shared" si="0"/>
        <v/>
      </c>
      <c r="F11" s="152"/>
      <c r="G11" s="326" t="str">
        <f>IF(C11="","",(C10-C11)*100/$C$11)</f>
        <v/>
      </c>
      <c r="H11" s="362" t="str">
        <f>IF(D11="","",(D10-D11)/D10)</f>
        <v/>
      </c>
      <c r="I11" s="161" t="str">
        <f t="shared" ref="I11:I42" si="3">IF(C11="","",IF(L11="","",(L11/7)/C11*100))</f>
        <v/>
      </c>
      <c r="J11" s="153"/>
      <c r="K11" s="154"/>
      <c r="L11" s="255"/>
      <c r="M11" s="256" t="str">
        <f>IF(L11="","",SUM($L$11:L11))</f>
        <v/>
      </c>
      <c r="N11" s="153"/>
      <c r="O11" s="154"/>
      <c r="P11" s="157"/>
      <c r="Q11" s="154"/>
      <c r="W11" s="204">
        <v>0.1</v>
      </c>
      <c r="X11">
        <v>0.1</v>
      </c>
    </row>
    <row r="12" spans="1:25" ht="24" customHeight="1" x14ac:dyDescent="0.2">
      <c r="A12" s="305">
        <f t="shared" si="1"/>
        <v>43411</v>
      </c>
      <c r="B12" s="151">
        <f t="shared" si="2"/>
        <v>23</v>
      </c>
      <c r="C12" s="279" t="str">
        <f>IF('Prod-Rec'!C13="","",$M$2-SUM('Dem-Rec'!$C$8:$C$25)-SUM('Prod-Rec'!$C$9:C13))</f>
        <v/>
      </c>
      <c r="D12" s="280" t="str">
        <f>IF('Prod-Rec'!I13="","",$M$3-SUM('Dem-Rec'!$J$8:$J$25)-SUM('Prod-Rec'!$I$9:I13))</f>
        <v/>
      </c>
      <c r="E12" s="340" t="str">
        <f t="shared" si="0"/>
        <v/>
      </c>
      <c r="F12" s="158"/>
      <c r="G12" s="326" t="str">
        <f>IF(C12="","",(C11-C12)*100/$C$12)</f>
        <v/>
      </c>
      <c r="H12" s="362" t="str">
        <f t="shared" ref="H12:H59" si="4">IF(D12="","",(D11-D12)/D11)</f>
        <v/>
      </c>
      <c r="I12" s="161" t="str">
        <f t="shared" si="3"/>
        <v/>
      </c>
      <c r="J12" s="162"/>
      <c r="K12" s="163"/>
      <c r="L12" s="255" t="str">
        <f>IF('Pon-Bat'!BE8="","",'Pon-Bat'!BE8)</f>
        <v/>
      </c>
      <c r="M12" s="256" t="str">
        <f>IF(L12="","",SUM($L$11:L12))</f>
        <v/>
      </c>
      <c r="N12" s="162"/>
      <c r="O12" s="163"/>
      <c r="P12" s="164"/>
      <c r="Q12" s="163"/>
      <c r="W12" s="204">
        <v>0.1</v>
      </c>
      <c r="X12">
        <v>0.1</v>
      </c>
    </row>
    <row r="13" spans="1:25" ht="24" customHeight="1" x14ac:dyDescent="0.2">
      <c r="A13" s="305">
        <f t="shared" si="1"/>
        <v>43418</v>
      </c>
      <c r="B13" s="151">
        <f t="shared" si="2"/>
        <v>24</v>
      </c>
      <c r="C13" s="259" t="str">
        <f>IF('Prod-Rec'!C14="","",$M$2-SUM('Dem-Rec'!$C$8:$C$25)-SUM('Prod-Rec'!$C$9:C14))</f>
        <v/>
      </c>
      <c r="D13" s="280" t="str">
        <f>IF('Prod-Rec'!I14="","",$M$3-SUM('Dem-Rec'!$J$8:$J$25)-SUM('Prod-Rec'!$I$9:I14))</f>
        <v/>
      </c>
      <c r="E13" s="340" t="str">
        <f t="shared" si="0"/>
        <v/>
      </c>
      <c r="F13" s="324" t="str">
        <f>IF(C13="","",($C$13-C13)/$C$13*100)</f>
        <v/>
      </c>
      <c r="G13" s="326" t="str">
        <f>IF(C13="","",(C12-C13)*100/$C$13)</f>
        <v/>
      </c>
      <c r="H13" s="362" t="str">
        <f t="shared" si="4"/>
        <v/>
      </c>
      <c r="I13" s="161" t="str">
        <f t="shared" si="3"/>
        <v/>
      </c>
      <c r="J13" s="165" t="str">
        <f t="shared" ref="J13:J59" si="5">IF(C13="","",IF(L13="","",(L13/7)/$C$13*100))</f>
        <v/>
      </c>
      <c r="K13" s="166">
        <v>5</v>
      </c>
      <c r="L13" s="255" t="str">
        <f>IF('Pon-Bat'!BE9="","",'Pon-Bat'!BE9)</f>
        <v/>
      </c>
      <c r="M13" s="256" t="str">
        <f>IF(L13="","",SUM($L$11:L13))</f>
        <v/>
      </c>
      <c r="N13" s="165" t="str">
        <f>IF($C$13="","",IF(L13="","",M13/$C$13))</f>
        <v/>
      </c>
      <c r="O13" s="166">
        <v>0.3</v>
      </c>
      <c r="P13" s="167"/>
      <c r="Q13" s="166">
        <v>48.5</v>
      </c>
      <c r="W13" s="204">
        <v>0.1</v>
      </c>
      <c r="X13">
        <v>0.1</v>
      </c>
      <c r="Y13">
        <v>0.1</v>
      </c>
    </row>
    <row r="14" spans="1:25" ht="24" customHeight="1" x14ac:dyDescent="0.2">
      <c r="A14" s="305">
        <f t="shared" si="1"/>
        <v>43425</v>
      </c>
      <c r="B14" s="151">
        <f t="shared" si="2"/>
        <v>25</v>
      </c>
      <c r="C14" s="279" t="str">
        <f>IF('Prod-Rec'!C15="","",$M$2-SUM('Dem-Rec'!$C$8:$C$25)-SUM('Prod-Rec'!$C$9:C15))</f>
        <v/>
      </c>
      <c r="D14" s="280" t="str">
        <f>IF('Prod-Rec'!I15="","",$M$3-SUM('Dem-Rec'!$J$8:$J$25)-SUM('Prod-Rec'!$I$9:I15))</f>
        <v/>
      </c>
      <c r="E14" s="340" t="str">
        <f t="shared" si="0"/>
        <v/>
      </c>
      <c r="F14" s="324" t="str">
        <f t="shared" ref="F14:F59" si="6">IF(C14="","",($C$13-C14)/$C$13*100)</f>
        <v/>
      </c>
      <c r="G14" s="326" t="str">
        <f t="shared" ref="G14:G59" si="7">IF(C14="","",(C13-C14)*100/$C$13)</f>
        <v/>
      </c>
      <c r="H14" s="362" t="str">
        <f t="shared" si="4"/>
        <v/>
      </c>
      <c r="I14" s="161" t="str">
        <f t="shared" si="3"/>
        <v/>
      </c>
      <c r="J14" s="165" t="str">
        <f t="shared" si="5"/>
        <v/>
      </c>
      <c r="K14" s="166">
        <v>15</v>
      </c>
      <c r="L14" s="255" t="str">
        <f>IF('Pon-Bat'!BE10="","",'Pon-Bat'!BE10)</f>
        <v/>
      </c>
      <c r="M14" s="256" t="str">
        <f>IF(L14="","",SUM($L$11:L14))</f>
        <v/>
      </c>
      <c r="N14" s="165" t="str">
        <f t="shared" ref="N14:N59" si="8">IF($C$13="","",IF(L14="","",M14/$C$13))</f>
        <v/>
      </c>
      <c r="O14" s="166">
        <v>1.4</v>
      </c>
      <c r="P14" s="167"/>
      <c r="Q14" s="166">
        <v>49.9</v>
      </c>
      <c r="W14" s="204">
        <v>0.1</v>
      </c>
      <c r="X14">
        <f>+Y14-Y13</f>
        <v>0.1</v>
      </c>
      <c r="Y14">
        <v>0.2</v>
      </c>
    </row>
    <row r="15" spans="1:25" ht="24" customHeight="1" x14ac:dyDescent="0.2">
      <c r="A15" s="305">
        <f t="shared" si="1"/>
        <v>43432</v>
      </c>
      <c r="B15" s="151">
        <f t="shared" si="2"/>
        <v>26</v>
      </c>
      <c r="C15" s="279" t="str">
        <f>IF('Prod-Rec'!C16="","",$M$2-SUM('Dem-Rec'!$C$8:$C$25)-SUM('Prod-Rec'!$C$9:C16))</f>
        <v/>
      </c>
      <c r="D15" s="280" t="str">
        <f>IF('Prod-Rec'!I16="","",$M$3-SUM('Dem-Rec'!$J$8:$J$25)-SUM('Prod-Rec'!$I$9:I16))</f>
        <v/>
      </c>
      <c r="E15" s="340" t="str">
        <f t="shared" si="0"/>
        <v/>
      </c>
      <c r="F15" s="324" t="str">
        <f t="shared" si="6"/>
        <v/>
      </c>
      <c r="G15" s="326" t="str">
        <f t="shared" si="7"/>
        <v/>
      </c>
      <c r="H15" s="362" t="str">
        <f t="shared" si="4"/>
        <v/>
      </c>
      <c r="I15" s="161" t="str">
        <f t="shared" si="3"/>
        <v/>
      </c>
      <c r="J15" s="165" t="str">
        <f t="shared" si="5"/>
        <v/>
      </c>
      <c r="K15" s="166">
        <v>45</v>
      </c>
      <c r="L15" s="255" t="str">
        <f>IF('Pon-Bat'!BE11="","",'Pon-Bat'!BE11)</f>
        <v/>
      </c>
      <c r="M15" s="256" t="str">
        <f>IF(L15="","",SUM($L$11:L15))</f>
        <v/>
      </c>
      <c r="N15" s="165" t="str">
        <f t="shared" si="8"/>
        <v/>
      </c>
      <c r="O15" s="166">
        <v>4.5</v>
      </c>
      <c r="P15" s="167"/>
      <c r="Q15" s="166">
        <v>51.3</v>
      </c>
      <c r="W15" s="204">
        <v>0.1</v>
      </c>
      <c r="X15">
        <f>+Y15-Y14</f>
        <v>9.9999999999999978E-2</v>
      </c>
      <c r="Y15">
        <v>0.3</v>
      </c>
    </row>
    <row r="16" spans="1:25" ht="24" customHeight="1" x14ac:dyDescent="0.2">
      <c r="A16" s="305">
        <f t="shared" si="1"/>
        <v>43439</v>
      </c>
      <c r="B16" s="151">
        <f t="shared" si="2"/>
        <v>27</v>
      </c>
      <c r="C16" s="279" t="str">
        <f>IF('Prod-Rec'!C17="","",$M$2-SUM('Dem-Rec'!$C$8:$C$25)-SUM('Prod-Rec'!$C$9:C17))</f>
        <v/>
      </c>
      <c r="D16" s="280" t="str">
        <f>IF('Prod-Rec'!I17="","",$M$3-SUM('Dem-Rec'!$J$8:$J$25)-SUM('Prod-Rec'!$I$9:I17))</f>
        <v/>
      </c>
      <c r="E16" s="340" t="str">
        <f t="shared" si="0"/>
        <v/>
      </c>
      <c r="F16" s="324" t="str">
        <f t="shared" si="6"/>
        <v/>
      </c>
      <c r="G16" s="326" t="str">
        <f t="shared" si="7"/>
        <v/>
      </c>
      <c r="H16" s="362" t="str">
        <f t="shared" si="4"/>
        <v/>
      </c>
      <c r="I16" s="161" t="str">
        <f t="shared" si="3"/>
        <v/>
      </c>
      <c r="J16" s="165" t="str">
        <f t="shared" si="5"/>
        <v/>
      </c>
      <c r="K16" s="166">
        <v>65</v>
      </c>
      <c r="L16" s="255" t="str">
        <f>IF('Pon-Bat'!BE12="","",'Pon-Bat'!BE12)</f>
        <v/>
      </c>
      <c r="M16" s="256" t="str">
        <f>IF(L16="","",SUM($L$11:L16))</f>
        <v/>
      </c>
      <c r="N16" s="165" t="str">
        <f t="shared" si="8"/>
        <v/>
      </c>
      <c r="O16" s="166">
        <v>9</v>
      </c>
      <c r="P16" s="167"/>
      <c r="Q16" s="166">
        <v>52.7</v>
      </c>
      <c r="W16" s="204">
        <v>0.6</v>
      </c>
      <c r="X16">
        <f>+Y16-Y15</f>
        <v>0.60000000000000009</v>
      </c>
      <c r="Y16">
        <v>0.9</v>
      </c>
    </row>
    <row r="17" spans="1:25" ht="24" customHeight="1" x14ac:dyDescent="0.2">
      <c r="A17" s="305">
        <f t="shared" si="1"/>
        <v>43446</v>
      </c>
      <c r="B17" s="151">
        <f t="shared" si="2"/>
        <v>28</v>
      </c>
      <c r="C17" s="279" t="str">
        <f>IF('Prod-Rec'!C18="","",$M$2-SUM('Dem-Rec'!$C$8:$C$25)-SUM('Prod-Rec'!$C$9:C18))</f>
        <v/>
      </c>
      <c r="D17" s="280" t="str">
        <f>IF('Prod-Rec'!I18="","",$M$3-SUM('Dem-Rec'!$J$8:$J$25)-SUM('Prod-Rec'!$I$9:I18))</f>
        <v/>
      </c>
      <c r="E17" s="340" t="str">
        <f t="shared" si="0"/>
        <v/>
      </c>
      <c r="F17" s="324" t="str">
        <f t="shared" si="6"/>
        <v/>
      </c>
      <c r="G17" s="326" t="str">
        <f t="shared" si="7"/>
        <v/>
      </c>
      <c r="H17" s="362" t="str">
        <f t="shared" si="4"/>
        <v/>
      </c>
      <c r="I17" s="161" t="str">
        <f t="shared" si="3"/>
        <v/>
      </c>
      <c r="J17" s="165" t="str">
        <f>IF(C17="","",IF(L17="","",(L17/7)/$C$13*100))</f>
        <v/>
      </c>
      <c r="K17" s="166">
        <v>80</v>
      </c>
      <c r="L17" s="255" t="str">
        <f>IF('Pon-Bat'!BE13="","",'Pon-Bat'!BE13)</f>
        <v/>
      </c>
      <c r="M17" s="256" t="str">
        <f>IF(L17="","",SUM($L$11:L17))</f>
        <v/>
      </c>
      <c r="N17" s="165" t="str">
        <f t="shared" si="8"/>
        <v/>
      </c>
      <c r="O17" s="166">
        <v>14.5</v>
      </c>
      <c r="P17" s="167"/>
      <c r="Q17" s="166">
        <v>54.2</v>
      </c>
      <c r="W17" s="204">
        <v>0.4</v>
      </c>
      <c r="X17">
        <f t="shared" ref="X17:X54" si="9">+Y17-Y16</f>
        <v>0.4</v>
      </c>
      <c r="Y17">
        <v>1.3</v>
      </c>
    </row>
    <row r="18" spans="1:25" ht="24" customHeight="1" x14ac:dyDescent="0.2">
      <c r="A18" s="305">
        <f t="shared" si="1"/>
        <v>43453</v>
      </c>
      <c r="B18" s="151">
        <f t="shared" si="2"/>
        <v>29</v>
      </c>
      <c r="C18" s="279" t="str">
        <f>IF('Prod-Rec'!C19="","",$M$2-SUM('Dem-Rec'!$C$8:$C$25)-SUM('Prod-Rec'!$C$9:C19))</f>
        <v/>
      </c>
      <c r="D18" s="280" t="str">
        <f>IF('Prod-Rec'!I19="","",$M$3-SUM('Dem-Rec'!$J$8:$J$25)-SUM('Prod-Rec'!$I$9:I19))</f>
        <v/>
      </c>
      <c r="E18" s="340" t="str">
        <f t="shared" si="0"/>
        <v/>
      </c>
      <c r="F18" s="324" t="str">
        <f t="shared" si="6"/>
        <v/>
      </c>
      <c r="G18" s="326" t="str">
        <f t="shared" si="7"/>
        <v/>
      </c>
      <c r="H18" s="362" t="str">
        <f t="shared" si="4"/>
        <v/>
      </c>
      <c r="I18" s="161" t="str">
        <f t="shared" si="3"/>
        <v/>
      </c>
      <c r="J18" s="165" t="str">
        <f t="shared" si="5"/>
        <v/>
      </c>
      <c r="K18" s="166">
        <v>85</v>
      </c>
      <c r="L18" s="255" t="str">
        <f>IF('Pon-Bat'!BE14="","",'Pon-Bat'!BE14)</f>
        <v/>
      </c>
      <c r="M18" s="256" t="str">
        <f>IF(L18="","",SUM($L$11:L18))</f>
        <v/>
      </c>
      <c r="N18" s="165" t="str">
        <f t="shared" si="8"/>
        <v/>
      </c>
      <c r="O18" s="166">
        <v>20.3</v>
      </c>
      <c r="P18" s="167"/>
      <c r="Q18" s="584">
        <v>56.1</v>
      </c>
      <c r="W18" s="204">
        <v>9.9999999999999867E-2</v>
      </c>
      <c r="X18">
        <f t="shared" si="9"/>
        <v>9.9999999999999867E-2</v>
      </c>
      <c r="Y18">
        <v>1.4</v>
      </c>
    </row>
    <row r="19" spans="1:25" ht="24" customHeight="1" x14ac:dyDescent="0.2">
      <c r="A19" s="305">
        <f t="shared" si="1"/>
        <v>43460</v>
      </c>
      <c r="B19" s="151">
        <f t="shared" si="2"/>
        <v>30</v>
      </c>
      <c r="C19" s="279" t="str">
        <f>IF('Prod-Rec'!C20="","",$M$2-SUM('Dem-Rec'!$C$8:$C$25)-SUM('Prod-Rec'!$C$9:C20))</f>
        <v/>
      </c>
      <c r="D19" s="280" t="str">
        <f>IF('Prod-Rec'!I20="","",$M$3-SUM('Dem-Rec'!$J$8:$J$25)-SUM('Prod-Rec'!$I$9:I20))</f>
        <v/>
      </c>
      <c r="E19" s="340" t="str">
        <f t="shared" si="0"/>
        <v/>
      </c>
      <c r="F19" s="324" t="str">
        <f t="shared" si="6"/>
        <v/>
      </c>
      <c r="G19" s="326" t="str">
        <f t="shared" si="7"/>
        <v/>
      </c>
      <c r="H19" s="362" t="str">
        <f t="shared" si="4"/>
        <v/>
      </c>
      <c r="I19" s="161" t="str">
        <f t="shared" si="3"/>
        <v/>
      </c>
      <c r="J19" s="165" t="str">
        <f t="shared" si="5"/>
        <v/>
      </c>
      <c r="K19" s="166">
        <v>86</v>
      </c>
      <c r="L19" s="255" t="str">
        <f>IF('Pon-Bat'!BE15="","",'Pon-Bat'!BE15)</f>
        <v/>
      </c>
      <c r="M19" s="256" t="str">
        <f>IF(L19="","",SUM($L$11:L19))</f>
        <v/>
      </c>
      <c r="N19" s="165" t="str">
        <f t="shared" si="8"/>
        <v/>
      </c>
      <c r="O19" s="166">
        <v>26.2</v>
      </c>
      <c r="P19" s="167"/>
      <c r="Q19" s="166">
        <v>57.2</v>
      </c>
      <c r="W19" s="204">
        <v>0.2</v>
      </c>
      <c r="X19">
        <f t="shared" si="9"/>
        <v>0.20000000000000018</v>
      </c>
      <c r="Y19">
        <v>1.6</v>
      </c>
    </row>
    <row r="20" spans="1:25" ht="24" customHeight="1" x14ac:dyDescent="0.2">
      <c r="A20" s="305">
        <f t="shared" si="1"/>
        <v>43467</v>
      </c>
      <c r="B20" s="151">
        <f t="shared" si="2"/>
        <v>31</v>
      </c>
      <c r="C20" s="279" t="str">
        <f>IF('Prod-Rec'!C21="","",$M$2-SUM('Dem-Rec'!$C$8:$C$25)-SUM('Prod-Rec'!$C$9:C21))</f>
        <v/>
      </c>
      <c r="D20" s="280" t="str">
        <f>IF('Prod-Rec'!I21="","",$M$3-SUM('Dem-Rec'!$J$8:$J$25)-SUM('Prod-Rec'!$I$9:I21))</f>
        <v/>
      </c>
      <c r="E20" s="340" t="str">
        <f t="shared" si="0"/>
        <v/>
      </c>
      <c r="F20" s="324" t="str">
        <f t="shared" si="6"/>
        <v/>
      </c>
      <c r="G20" s="326" t="str">
        <f t="shared" si="7"/>
        <v/>
      </c>
      <c r="H20" s="362" t="str">
        <f t="shared" si="4"/>
        <v/>
      </c>
      <c r="I20" s="161" t="str">
        <f t="shared" si="3"/>
        <v/>
      </c>
      <c r="J20" s="165" t="str">
        <f t="shared" si="5"/>
        <v/>
      </c>
      <c r="K20" s="166">
        <v>85.8</v>
      </c>
      <c r="L20" s="255" t="str">
        <f>IF('Pon-Bat'!BE16="","",'Pon-Bat'!BE16)</f>
        <v/>
      </c>
      <c r="M20" s="256" t="str">
        <f>IF(L20="","",SUM($L$11:L20))</f>
        <v/>
      </c>
      <c r="N20" s="165" t="str">
        <f t="shared" si="8"/>
        <v/>
      </c>
      <c r="O20" s="166">
        <v>32.1</v>
      </c>
      <c r="P20" s="167"/>
      <c r="Q20" s="166">
        <v>58.3</v>
      </c>
      <c r="W20" s="204">
        <v>0.2</v>
      </c>
      <c r="X20">
        <f t="shared" si="9"/>
        <v>0.19999999999999996</v>
      </c>
      <c r="Y20">
        <v>1.8</v>
      </c>
    </row>
    <row r="21" spans="1:25" ht="24" customHeight="1" x14ac:dyDescent="0.2">
      <c r="A21" s="305">
        <f t="shared" si="1"/>
        <v>43474</v>
      </c>
      <c r="B21" s="151">
        <f t="shared" si="2"/>
        <v>32</v>
      </c>
      <c r="C21" s="279" t="str">
        <f>IF('Prod-Rec'!C22="","",$M$2-SUM('Dem-Rec'!$C$8:$C$25)-SUM('Prod-Rec'!$C$9:C22))</f>
        <v/>
      </c>
      <c r="D21" s="280" t="str">
        <f>IF('Prod-Rec'!I22="","",$M$3-SUM('Dem-Rec'!$J$8:$J$25)-SUM('Prod-Rec'!$I$9:I22))</f>
        <v/>
      </c>
      <c r="E21" s="340" t="str">
        <f t="shared" si="0"/>
        <v/>
      </c>
      <c r="F21" s="324" t="str">
        <f t="shared" si="6"/>
        <v/>
      </c>
      <c r="G21" s="326" t="str">
        <f t="shared" si="7"/>
        <v/>
      </c>
      <c r="H21" s="362" t="str">
        <f t="shared" si="4"/>
        <v/>
      </c>
      <c r="I21" s="161" t="str">
        <f t="shared" si="3"/>
        <v/>
      </c>
      <c r="J21" s="165" t="str">
        <f t="shared" si="5"/>
        <v/>
      </c>
      <c r="K21" s="166">
        <v>84.8</v>
      </c>
      <c r="L21" s="255" t="str">
        <f>IF('Pon-Bat'!BE17="","",'Pon-Bat'!BE17)</f>
        <v/>
      </c>
      <c r="M21" s="256" t="str">
        <f>IF(L21="","",SUM($L$11:L21))</f>
        <v/>
      </c>
      <c r="N21" s="165" t="str">
        <f t="shared" si="8"/>
        <v/>
      </c>
      <c r="O21" s="166">
        <v>37.799999999999997</v>
      </c>
      <c r="P21" s="167"/>
      <c r="Q21" s="166">
        <v>58.9</v>
      </c>
      <c r="W21" s="204">
        <v>0.25</v>
      </c>
      <c r="X21">
        <f t="shared" si="9"/>
        <v>0.24999999999999978</v>
      </c>
      <c r="Y21">
        <v>2.0499999999999998</v>
      </c>
    </row>
    <row r="22" spans="1:25" ht="24" customHeight="1" x14ac:dyDescent="0.2">
      <c r="A22" s="305">
        <f t="shared" si="1"/>
        <v>43481</v>
      </c>
      <c r="B22" s="151">
        <f t="shared" si="2"/>
        <v>33</v>
      </c>
      <c r="C22" s="279" t="str">
        <f>IF('Prod-Rec'!C23="","",$M$2-SUM('Dem-Rec'!$C$8:$C$25)-SUM('Prod-Rec'!$C$9:C23))</f>
        <v/>
      </c>
      <c r="D22" s="280" t="str">
        <f>IF('Prod-Rec'!I23="","",$M$3-SUM('Dem-Rec'!$J$8:$J$25)-SUM('Prod-Rec'!$I$9:I23))</f>
        <v/>
      </c>
      <c r="E22" s="340" t="str">
        <f t="shared" si="0"/>
        <v/>
      </c>
      <c r="F22" s="324" t="str">
        <f t="shared" si="6"/>
        <v/>
      </c>
      <c r="G22" s="326" t="str">
        <f t="shared" si="7"/>
        <v/>
      </c>
      <c r="H22" s="362" t="str">
        <f t="shared" si="4"/>
        <v/>
      </c>
      <c r="I22" s="161" t="str">
        <f t="shared" si="3"/>
        <v/>
      </c>
      <c r="J22" s="165" t="str">
        <f t="shared" si="5"/>
        <v/>
      </c>
      <c r="K22" s="166">
        <v>83.8</v>
      </c>
      <c r="L22" s="255" t="str">
        <f>IF('Pon-Bat'!BE18="","",'Pon-Bat'!BE18)</f>
        <v/>
      </c>
      <c r="M22" s="256" t="str">
        <f>IF(L22="","",SUM($L$11:L22))</f>
        <v/>
      </c>
      <c r="N22" s="165" t="str">
        <f t="shared" si="8"/>
        <v/>
      </c>
      <c r="O22" s="166">
        <v>43.5</v>
      </c>
      <c r="P22" s="167"/>
      <c r="Q22" s="166">
        <v>59.7</v>
      </c>
      <c r="W22" s="204">
        <v>0.25</v>
      </c>
      <c r="X22">
        <f t="shared" si="9"/>
        <v>0.25</v>
      </c>
      <c r="Y22">
        <v>2.2999999999999998</v>
      </c>
    </row>
    <row r="23" spans="1:25" ht="24" customHeight="1" x14ac:dyDescent="0.2">
      <c r="A23" s="305">
        <f t="shared" si="1"/>
        <v>43488</v>
      </c>
      <c r="B23" s="151">
        <f t="shared" si="2"/>
        <v>34</v>
      </c>
      <c r="C23" s="279" t="str">
        <f>IF('Prod-Rec'!C24="","",$M$2-SUM('Dem-Rec'!$C$8:$C$25)-SUM('Prod-Rec'!$C$9:C24))</f>
        <v/>
      </c>
      <c r="D23" s="280" t="str">
        <f>IF('Prod-Rec'!I24="","",$M$3-SUM('Dem-Rec'!$J$8:$J$25)-SUM('Prod-Rec'!$I$9:I24))</f>
        <v/>
      </c>
      <c r="E23" s="340" t="str">
        <f t="shared" si="0"/>
        <v/>
      </c>
      <c r="F23" s="324" t="str">
        <f t="shared" si="6"/>
        <v/>
      </c>
      <c r="G23" s="326" t="str">
        <f t="shared" si="7"/>
        <v/>
      </c>
      <c r="H23" s="362" t="str">
        <f t="shared" si="4"/>
        <v/>
      </c>
      <c r="I23" s="161" t="str">
        <f t="shared" si="3"/>
        <v/>
      </c>
      <c r="J23" s="165" t="str">
        <f t="shared" si="5"/>
        <v/>
      </c>
      <c r="K23" s="166">
        <v>82.8</v>
      </c>
      <c r="L23" s="255" t="str">
        <f>IF('Pon-Bat'!BE19="","",'Pon-Bat'!BE19)</f>
        <v/>
      </c>
      <c r="M23" s="256" t="str">
        <f>IF(L23="","",SUM($L$11:L23))</f>
        <v/>
      </c>
      <c r="N23" s="165" t="str">
        <f t="shared" si="8"/>
        <v/>
      </c>
      <c r="O23" s="166">
        <v>49.1</v>
      </c>
      <c r="P23" s="167"/>
      <c r="Q23" s="166">
        <v>60.7</v>
      </c>
      <c r="W23" s="204">
        <v>0.25</v>
      </c>
      <c r="X23">
        <f t="shared" si="9"/>
        <v>0.25</v>
      </c>
      <c r="Y23">
        <v>2.5499999999999998</v>
      </c>
    </row>
    <row r="24" spans="1:25" ht="24" customHeight="1" x14ac:dyDescent="0.2">
      <c r="A24" s="305">
        <f>A23+7</f>
        <v>43495</v>
      </c>
      <c r="B24" s="151">
        <f t="shared" si="2"/>
        <v>35</v>
      </c>
      <c r="C24" s="279" t="str">
        <f>IF('Prod-Rec'!C25="","",$M$2-SUM('Dem-Rec'!$C$8:$C$25)-SUM('Prod-Rec'!$C$9:C25))</f>
        <v/>
      </c>
      <c r="D24" s="280" t="str">
        <f>IF('Prod-Rec'!I25="","",$M$3-SUM('Dem-Rec'!$J$8:$J$25)-SUM('Prod-Rec'!$I$9:I25))</f>
        <v/>
      </c>
      <c r="E24" s="340" t="str">
        <f t="shared" si="0"/>
        <v/>
      </c>
      <c r="F24" s="324" t="str">
        <f t="shared" si="6"/>
        <v/>
      </c>
      <c r="G24" s="326" t="str">
        <f t="shared" si="7"/>
        <v/>
      </c>
      <c r="H24" s="362" t="str">
        <f t="shared" si="4"/>
        <v/>
      </c>
      <c r="I24" s="161" t="str">
        <f t="shared" si="3"/>
        <v/>
      </c>
      <c r="J24" s="165" t="str">
        <f t="shared" si="5"/>
        <v/>
      </c>
      <c r="K24" s="166">
        <v>81.8</v>
      </c>
      <c r="L24" s="255" t="str">
        <f>IF('Pon-Bat'!BE20="","",'Pon-Bat'!BE20)</f>
        <v/>
      </c>
      <c r="M24" s="256" t="str">
        <f>IF(L24="","",SUM($L$11:L24))</f>
        <v/>
      </c>
      <c r="N24" s="165" t="str">
        <f t="shared" si="8"/>
        <v/>
      </c>
      <c r="O24" s="166">
        <v>54.7</v>
      </c>
      <c r="P24" s="167"/>
      <c r="Q24" s="166">
        <v>61.4</v>
      </c>
      <c r="W24" s="204">
        <v>0.25</v>
      </c>
      <c r="X24">
        <f t="shared" si="9"/>
        <v>0.25</v>
      </c>
      <c r="Y24">
        <v>2.8</v>
      </c>
    </row>
    <row r="25" spans="1:25" ht="24" customHeight="1" x14ac:dyDescent="0.2">
      <c r="A25" s="305">
        <f>A24+7</f>
        <v>43502</v>
      </c>
      <c r="B25" s="151">
        <f>+B24+1</f>
        <v>36</v>
      </c>
      <c r="C25" s="279" t="str">
        <f>IF('Prod-Rec'!C26="","",$M$2-SUM('Dem-Rec'!$C$8:$C$25)-SUM('Prod-Rec'!$C$9:C26))</f>
        <v/>
      </c>
      <c r="D25" s="280" t="str">
        <f>IF('Prod-Rec'!I26="","",$M$3-SUM('Dem-Rec'!$J$8:$J$25)-SUM('Prod-Rec'!$I$9:I26))</f>
        <v/>
      </c>
      <c r="E25" s="340" t="str">
        <f t="shared" si="0"/>
        <v/>
      </c>
      <c r="F25" s="324" t="str">
        <f t="shared" si="6"/>
        <v/>
      </c>
      <c r="G25" s="326" t="str">
        <f t="shared" si="7"/>
        <v/>
      </c>
      <c r="H25" s="362" t="str">
        <f t="shared" si="4"/>
        <v/>
      </c>
      <c r="I25" s="161" t="str">
        <f t="shared" si="3"/>
        <v/>
      </c>
      <c r="J25" s="165" t="str">
        <f t="shared" si="5"/>
        <v/>
      </c>
      <c r="K25" s="166">
        <v>80.8</v>
      </c>
      <c r="L25" s="255" t="str">
        <f>IF('Pon-Bat'!BE21="","",'Pon-Bat'!BE21)</f>
        <v/>
      </c>
      <c r="M25" s="256" t="str">
        <f>IF(L25="","",SUM($L$11:L25))</f>
        <v/>
      </c>
      <c r="N25" s="165" t="str">
        <f t="shared" si="8"/>
        <v/>
      </c>
      <c r="O25" s="166">
        <v>60.1</v>
      </c>
      <c r="P25" s="167"/>
      <c r="Q25" s="166">
        <v>61.7</v>
      </c>
      <c r="W25" s="204">
        <v>0.2</v>
      </c>
      <c r="X25">
        <f t="shared" si="9"/>
        <v>0.20000000000000018</v>
      </c>
      <c r="Y25">
        <v>3</v>
      </c>
    </row>
    <row r="26" spans="1:25" ht="24" customHeight="1" x14ac:dyDescent="0.2">
      <c r="A26" s="305">
        <f>A25+7</f>
        <v>43509</v>
      </c>
      <c r="B26" s="151">
        <f>+B25+1</f>
        <v>37</v>
      </c>
      <c r="C26" s="279" t="str">
        <f>IF('Prod-Rec'!C27="","",$M$2-SUM('Dem-Rec'!$C$8:$C$25)-SUM('Prod-Rec'!$C$9:C27))</f>
        <v/>
      </c>
      <c r="D26" s="280" t="str">
        <f>IF('Prod-Rec'!I27="","",$M$3-SUM('Dem-Rec'!$J$8:$J$25)-SUM('Prod-Rec'!$I$9:I27))</f>
        <v/>
      </c>
      <c r="E26" s="340" t="str">
        <f>IF(OR(D26="",C26=""),"",D26/C26)</f>
        <v/>
      </c>
      <c r="F26" s="324" t="str">
        <f t="shared" si="6"/>
        <v/>
      </c>
      <c r="G26" s="326" t="str">
        <f t="shared" si="7"/>
        <v/>
      </c>
      <c r="H26" s="362" t="str">
        <f t="shared" si="4"/>
        <v/>
      </c>
      <c r="I26" s="161" t="str">
        <f t="shared" si="3"/>
        <v/>
      </c>
      <c r="J26" s="165" t="str">
        <f t="shared" si="5"/>
        <v/>
      </c>
      <c r="K26" s="166">
        <v>79.8</v>
      </c>
      <c r="L26" s="255" t="str">
        <f>IF('Pon-Bat'!BE22="","",'Pon-Bat'!BE22)</f>
        <v/>
      </c>
      <c r="M26" s="256" t="str">
        <f>IF(L26="","",SUM($L$11:L26))</f>
        <v/>
      </c>
      <c r="N26" s="165" t="str">
        <f t="shared" si="8"/>
        <v/>
      </c>
      <c r="O26" s="166">
        <v>65.5</v>
      </c>
      <c r="P26" s="167"/>
      <c r="Q26" s="166">
        <v>62.5</v>
      </c>
      <c r="W26" s="204">
        <v>0.2</v>
      </c>
      <c r="X26">
        <f t="shared" si="9"/>
        <v>0.20000000000000018</v>
      </c>
      <c r="Y26">
        <v>3.2</v>
      </c>
    </row>
    <row r="27" spans="1:25" ht="24" customHeight="1" x14ac:dyDescent="0.2">
      <c r="A27" s="305">
        <f>A26+7</f>
        <v>43516</v>
      </c>
      <c r="B27" s="151">
        <f>+B26+1</f>
        <v>38</v>
      </c>
      <c r="C27" s="279" t="str">
        <f>IF('Prod-Rec'!C28="","",$M$2-SUM('Dem-Rec'!$C$8:$C$25)-SUM('Prod-Rec'!$C$9:C28))</f>
        <v/>
      </c>
      <c r="D27" s="280" t="str">
        <f>IF('Prod-Rec'!I28="","",$M$3-SUM('Dem-Rec'!$J$8:$J$25)-SUM('Prod-Rec'!$I$9:I28))</f>
        <v/>
      </c>
      <c r="E27" s="340" t="str">
        <f t="shared" ref="E27:E59" si="10">IF(OR(D27="",C27=""),"",D27/C27)</f>
        <v/>
      </c>
      <c r="F27" s="324" t="str">
        <f t="shared" si="6"/>
        <v/>
      </c>
      <c r="G27" s="326" t="str">
        <f t="shared" si="7"/>
        <v/>
      </c>
      <c r="H27" s="362" t="str">
        <f t="shared" si="4"/>
        <v/>
      </c>
      <c r="I27" s="161" t="str">
        <f t="shared" si="3"/>
        <v/>
      </c>
      <c r="J27" s="165" t="str">
        <f t="shared" si="5"/>
        <v/>
      </c>
      <c r="K27" s="166">
        <v>78.8</v>
      </c>
      <c r="L27" s="255" t="str">
        <f>IF('Pon-Bat'!BE23="","",'Pon-Bat'!BE23)</f>
        <v/>
      </c>
      <c r="M27" s="256" t="str">
        <f>IF(L27="","",SUM($L$11:L27))</f>
        <v/>
      </c>
      <c r="N27" s="165" t="str">
        <f t="shared" si="8"/>
        <v/>
      </c>
      <c r="O27" s="166">
        <v>70.8</v>
      </c>
      <c r="P27" s="167"/>
      <c r="Q27" s="166">
        <v>62.7</v>
      </c>
      <c r="W27" s="204">
        <v>0.2</v>
      </c>
      <c r="X27">
        <f t="shared" si="9"/>
        <v>0.19999999999999973</v>
      </c>
      <c r="Y27">
        <v>3.4</v>
      </c>
    </row>
    <row r="28" spans="1:25" ht="24" customHeight="1" x14ac:dyDescent="0.2">
      <c r="A28" s="305">
        <f t="shared" ref="A28:A59" si="11">A27+7</f>
        <v>43523</v>
      </c>
      <c r="B28" s="151">
        <f t="shared" ref="B28:B59" si="12">+B27+1</f>
        <v>39</v>
      </c>
      <c r="C28" s="279" t="str">
        <f>IF('Prod-Rec'!C29="","",$M$2-SUM('Dem-Rec'!$C$8:$C$25)-SUM('Prod-Rec'!$C$9:C29))</f>
        <v/>
      </c>
      <c r="D28" s="280" t="str">
        <f>IF('Prod-Rec'!I29="","",$M$3-SUM('Dem-Rec'!$J$8:$J$25)-SUM('Prod-Rec'!$I$9:I29))</f>
        <v/>
      </c>
      <c r="E28" s="340" t="str">
        <f t="shared" si="10"/>
        <v/>
      </c>
      <c r="F28" s="324" t="str">
        <f t="shared" si="6"/>
        <v/>
      </c>
      <c r="G28" s="326" t="str">
        <f t="shared" si="7"/>
        <v/>
      </c>
      <c r="H28" s="362" t="str">
        <f>IF(D28="","",(D27-D28)/D27)</f>
        <v/>
      </c>
      <c r="I28" s="161" t="str">
        <f t="shared" si="3"/>
        <v/>
      </c>
      <c r="J28" s="165" t="str">
        <f t="shared" si="5"/>
        <v/>
      </c>
      <c r="K28" s="166">
        <v>77.8</v>
      </c>
      <c r="L28" s="255" t="str">
        <f>IF('Pon-Bat'!BE24="","",'Pon-Bat'!BE24)</f>
        <v/>
      </c>
      <c r="M28" s="256" t="str">
        <f>IF(L28="","",SUM($L$11:L28))</f>
        <v/>
      </c>
      <c r="N28" s="165" t="str">
        <f t="shared" si="8"/>
        <v/>
      </c>
      <c r="O28" s="166">
        <v>76</v>
      </c>
      <c r="P28" s="167"/>
      <c r="Q28" s="166">
        <v>63.2</v>
      </c>
      <c r="W28" s="205">
        <v>0.2</v>
      </c>
      <c r="X28">
        <f t="shared" si="9"/>
        <v>0.20000000000000018</v>
      </c>
      <c r="Y28">
        <v>3.6</v>
      </c>
    </row>
    <row r="29" spans="1:25" ht="24" customHeight="1" x14ac:dyDescent="0.2">
      <c r="A29" s="305">
        <f t="shared" si="11"/>
        <v>43530</v>
      </c>
      <c r="B29" s="151">
        <f t="shared" si="12"/>
        <v>40</v>
      </c>
      <c r="C29" s="279" t="str">
        <f>IF('Prod-Rec'!C30="","",$M$2-SUM('Dem-Rec'!$C$8:$C$25)-SUM('Prod-Rec'!$C$9:C30))</f>
        <v/>
      </c>
      <c r="D29" s="280" t="str">
        <f>IF('Prod-Rec'!I30="","",$M$3-SUM('Dem-Rec'!$J$8:$J$25)-SUM('Prod-Rec'!$I$9:I30))</f>
        <v/>
      </c>
      <c r="E29" s="340" t="str">
        <f t="shared" si="10"/>
        <v/>
      </c>
      <c r="F29" s="324" t="str">
        <f t="shared" si="6"/>
        <v/>
      </c>
      <c r="G29" s="326" t="str">
        <f t="shared" si="7"/>
        <v/>
      </c>
      <c r="H29" s="362" t="str">
        <f t="shared" si="4"/>
        <v/>
      </c>
      <c r="I29" s="161" t="str">
        <f t="shared" si="3"/>
        <v/>
      </c>
      <c r="J29" s="165" t="str">
        <f t="shared" si="5"/>
        <v/>
      </c>
      <c r="K29" s="166">
        <v>76.8</v>
      </c>
      <c r="L29" s="255" t="str">
        <f>IF('Pon-Bat'!BE25="","",'Pon-Bat'!BE25)</f>
        <v/>
      </c>
      <c r="M29" s="256" t="str">
        <f>IF(L29="","",SUM($L$11:L29))</f>
        <v/>
      </c>
      <c r="N29" s="165" t="str">
        <f t="shared" si="8"/>
        <v/>
      </c>
      <c r="O29" s="166">
        <v>81.099999999999994</v>
      </c>
      <c r="P29" s="167"/>
      <c r="Q29" s="166">
        <v>63.7</v>
      </c>
      <c r="W29" s="205">
        <v>0.2</v>
      </c>
      <c r="X29">
        <f t="shared" si="9"/>
        <v>0.19999999999999973</v>
      </c>
      <c r="Y29">
        <v>3.8</v>
      </c>
    </row>
    <row r="30" spans="1:25" ht="24" customHeight="1" x14ac:dyDescent="0.2">
      <c r="A30" s="305">
        <f t="shared" si="11"/>
        <v>43537</v>
      </c>
      <c r="B30" s="151">
        <f t="shared" si="12"/>
        <v>41</v>
      </c>
      <c r="C30" s="279" t="str">
        <f>IF('Prod-Rec'!C31="","",$M$2-SUM('Dem-Rec'!$C$8:$C$25)-SUM('Prod-Rec'!$C$9:C31))</f>
        <v/>
      </c>
      <c r="D30" s="280" t="str">
        <f>IF('Prod-Rec'!I31="","",$M$3-SUM('Dem-Rec'!$J$8:$J$25)-SUM('Prod-Rec'!$I$9:I31))</f>
        <v/>
      </c>
      <c r="E30" s="340" t="str">
        <f t="shared" si="10"/>
        <v/>
      </c>
      <c r="F30" s="324" t="str">
        <f t="shared" si="6"/>
        <v/>
      </c>
      <c r="G30" s="326" t="str">
        <f t="shared" si="7"/>
        <v/>
      </c>
      <c r="H30" s="362" t="str">
        <f t="shared" si="4"/>
        <v/>
      </c>
      <c r="I30" s="161" t="str">
        <f t="shared" si="3"/>
        <v/>
      </c>
      <c r="J30" s="165" t="str">
        <f t="shared" si="5"/>
        <v/>
      </c>
      <c r="K30" s="166">
        <v>75.8</v>
      </c>
      <c r="L30" s="255" t="str">
        <f>IF('Pon-Bat'!BE26="","",'Pon-Bat'!BE26)</f>
        <v/>
      </c>
      <c r="M30" s="256" t="str">
        <f>IF(L30="","",SUM($L$11:L30))</f>
        <v/>
      </c>
      <c r="N30" s="165" t="str">
        <f t="shared" si="8"/>
        <v/>
      </c>
      <c r="O30" s="166">
        <v>86.2</v>
      </c>
      <c r="P30" s="167"/>
      <c r="Q30" s="166">
        <v>64.3</v>
      </c>
      <c r="W30" s="205">
        <v>0.2</v>
      </c>
      <c r="X30">
        <f t="shared" si="9"/>
        <v>0.20000000000000018</v>
      </c>
      <c r="Y30">
        <v>4</v>
      </c>
    </row>
    <row r="31" spans="1:25" ht="24" customHeight="1" x14ac:dyDescent="0.2">
      <c r="A31" s="305">
        <f t="shared" si="11"/>
        <v>43544</v>
      </c>
      <c r="B31" s="151">
        <f t="shared" si="12"/>
        <v>42</v>
      </c>
      <c r="C31" s="279" t="str">
        <f>IF('Prod-Rec'!C32="","",$M$2-SUM('Dem-Rec'!$C$8:$C$25)-SUM('Prod-Rec'!$C$9:C32))</f>
        <v/>
      </c>
      <c r="D31" s="280" t="str">
        <f>IF('Prod-Rec'!I32="","",$M$3-SUM('Dem-Rec'!$J$8:$J$25)-SUM('Prod-Rec'!$I$9:I32))</f>
        <v/>
      </c>
      <c r="E31" s="340" t="str">
        <f t="shared" si="10"/>
        <v/>
      </c>
      <c r="F31" s="324" t="str">
        <f t="shared" si="6"/>
        <v/>
      </c>
      <c r="G31" s="326" t="str">
        <f t="shared" si="7"/>
        <v/>
      </c>
      <c r="H31" s="362" t="str">
        <f t="shared" si="4"/>
        <v/>
      </c>
      <c r="I31" s="161" t="str">
        <f t="shared" si="3"/>
        <v/>
      </c>
      <c r="J31" s="165" t="str">
        <f t="shared" si="5"/>
        <v/>
      </c>
      <c r="K31" s="166">
        <v>74.8</v>
      </c>
      <c r="L31" s="255" t="str">
        <f>IF('Pon-Bat'!BE27="","",'Pon-Bat'!BE27)</f>
        <v/>
      </c>
      <c r="M31" s="256" t="str">
        <f>IF(L31="","",SUM($L$11:L31))</f>
        <v/>
      </c>
      <c r="N31" s="165" t="str">
        <f t="shared" si="8"/>
        <v/>
      </c>
      <c r="O31" s="166">
        <v>91.1</v>
      </c>
      <c r="P31" s="167"/>
      <c r="Q31" s="166">
        <v>64.7</v>
      </c>
      <c r="W31" s="205">
        <v>0.15</v>
      </c>
      <c r="X31">
        <f t="shared" si="9"/>
        <v>0.15000000000000036</v>
      </c>
      <c r="Y31">
        <v>4.1500000000000004</v>
      </c>
    </row>
    <row r="32" spans="1:25" ht="24" customHeight="1" x14ac:dyDescent="0.2">
      <c r="A32" s="305">
        <f t="shared" si="11"/>
        <v>43551</v>
      </c>
      <c r="B32" s="151">
        <f t="shared" si="12"/>
        <v>43</v>
      </c>
      <c r="C32" s="279" t="str">
        <f>IF('Prod-Rec'!C33="","",$M$2-SUM('Dem-Rec'!$C$8:$C$25)-SUM('Prod-Rec'!$C$9:C33))</f>
        <v/>
      </c>
      <c r="D32" s="280" t="str">
        <f>IF('Prod-Rec'!I33="","",$M$3-SUM('Dem-Rec'!$J$8:$J$25)-SUM('Prod-Rec'!$I$9:I33))</f>
        <v/>
      </c>
      <c r="E32" s="340" t="str">
        <f t="shared" si="10"/>
        <v/>
      </c>
      <c r="F32" s="324" t="str">
        <f t="shared" si="6"/>
        <v/>
      </c>
      <c r="G32" s="326" t="str">
        <f t="shared" si="7"/>
        <v/>
      </c>
      <c r="H32" s="362" t="str">
        <f t="shared" si="4"/>
        <v/>
      </c>
      <c r="I32" s="161" t="str">
        <f t="shared" si="3"/>
        <v/>
      </c>
      <c r="J32" s="165" t="str">
        <f t="shared" si="5"/>
        <v/>
      </c>
      <c r="K32" s="166">
        <v>73.8</v>
      </c>
      <c r="L32" s="255" t="str">
        <f>IF('Pon-Bat'!BE28="","",'Pon-Bat'!BE28)</f>
        <v/>
      </c>
      <c r="M32" s="256" t="str">
        <f>IF(L32="","",SUM($L$11:L32))</f>
        <v/>
      </c>
      <c r="N32" s="165" t="str">
        <f t="shared" si="8"/>
        <v/>
      </c>
      <c r="O32" s="166">
        <v>96</v>
      </c>
      <c r="P32" s="167"/>
      <c r="Q32" s="166">
        <v>65.099999999999994</v>
      </c>
      <c r="W32" s="205">
        <v>0.14999999999999947</v>
      </c>
      <c r="X32">
        <f t="shared" si="9"/>
        <v>0.14999999999999947</v>
      </c>
      <c r="Y32">
        <v>4.3</v>
      </c>
    </row>
    <row r="33" spans="1:25" ht="24" customHeight="1" x14ac:dyDescent="0.2">
      <c r="A33" s="305">
        <f t="shared" si="11"/>
        <v>43558</v>
      </c>
      <c r="B33" s="151">
        <f t="shared" si="12"/>
        <v>44</v>
      </c>
      <c r="C33" s="279" t="str">
        <f>IF('Prod-Rec'!C34="","",$M$2-SUM('Dem-Rec'!$C$8:$C$25)-SUM('Prod-Rec'!$C$9:C34))</f>
        <v/>
      </c>
      <c r="D33" s="280" t="str">
        <f>IF('Prod-Rec'!I34="","",$M$3-SUM('Dem-Rec'!$J$8:$J$25)-SUM('Prod-Rec'!$I$9:I34))</f>
        <v/>
      </c>
      <c r="E33" s="340" t="str">
        <f t="shared" si="10"/>
        <v/>
      </c>
      <c r="F33" s="324" t="str">
        <f t="shared" si="6"/>
        <v/>
      </c>
      <c r="G33" s="326" t="str">
        <f t="shared" si="7"/>
        <v/>
      </c>
      <c r="H33" s="362" t="str">
        <f t="shared" si="4"/>
        <v/>
      </c>
      <c r="I33" s="161" t="str">
        <f t="shared" si="3"/>
        <v/>
      </c>
      <c r="J33" s="165" t="str">
        <f t="shared" si="5"/>
        <v/>
      </c>
      <c r="K33" s="166">
        <v>72.8</v>
      </c>
      <c r="L33" s="255" t="str">
        <f>IF('Pon-Bat'!BE29="","",'Pon-Bat'!BE29)</f>
        <v/>
      </c>
      <c r="M33" s="256" t="str">
        <f>IF(L33="","",SUM($L$11:L33))</f>
        <v/>
      </c>
      <c r="N33" s="165" t="str">
        <f t="shared" si="8"/>
        <v/>
      </c>
      <c r="O33" s="166">
        <v>100.9</v>
      </c>
      <c r="P33" s="167"/>
      <c r="Q33" s="584">
        <v>65.5</v>
      </c>
      <c r="W33" s="205">
        <v>0.15</v>
      </c>
      <c r="X33">
        <f t="shared" si="9"/>
        <v>0.15000000000000036</v>
      </c>
      <c r="Y33">
        <v>4.45</v>
      </c>
    </row>
    <row r="34" spans="1:25" ht="24" customHeight="1" x14ac:dyDescent="0.2">
      <c r="A34" s="305">
        <f t="shared" si="11"/>
        <v>43565</v>
      </c>
      <c r="B34" s="151">
        <f t="shared" si="12"/>
        <v>45</v>
      </c>
      <c r="C34" s="279" t="str">
        <f>IF('Prod-Rec'!C35="","",$M$2-SUM('Dem-Rec'!$C$8:$C$25)-SUM('Prod-Rec'!$C$9:C35))</f>
        <v/>
      </c>
      <c r="D34" s="280" t="str">
        <f>IF('Prod-Rec'!I35="","",$M$3-SUM('Dem-Rec'!$J$8:$J$25)-SUM('Prod-Rec'!$I$9:I35))</f>
        <v/>
      </c>
      <c r="E34" s="340" t="str">
        <f t="shared" si="10"/>
        <v/>
      </c>
      <c r="F34" s="324" t="str">
        <f t="shared" si="6"/>
        <v/>
      </c>
      <c r="G34" s="326" t="str">
        <f t="shared" si="7"/>
        <v/>
      </c>
      <c r="H34" s="362" t="str">
        <f t="shared" si="4"/>
        <v/>
      </c>
      <c r="I34" s="161" t="str">
        <f t="shared" si="3"/>
        <v/>
      </c>
      <c r="J34" s="165" t="str">
        <f t="shared" si="5"/>
        <v/>
      </c>
      <c r="K34" s="166">
        <v>71.8</v>
      </c>
      <c r="L34" s="255" t="str">
        <f>IF('Pon-Bat'!BE30="","",'Pon-Bat'!BE30)</f>
        <v/>
      </c>
      <c r="M34" s="256" t="str">
        <f>IF(L34="","",SUM($L$11:L34))</f>
        <v/>
      </c>
      <c r="N34" s="165" t="str">
        <f t="shared" si="8"/>
        <v/>
      </c>
      <c r="O34" s="166">
        <v>105.6</v>
      </c>
      <c r="P34" s="167"/>
      <c r="Q34" s="166">
        <v>65.900000000000006</v>
      </c>
      <c r="W34" s="205">
        <v>0.14999999999999947</v>
      </c>
      <c r="X34">
        <f t="shared" si="9"/>
        <v>0.14999999999999947</v>
      </c>
      <c r="Y34">
        <v>4.5999999999999996</v>
      </c>
    </row>
    <row r="35" spans="1:25" ht="24" customHeight="1" x14ac:dyDescent="0.2">
      <c r="A35" s="305">
        <f t="shared" si="11"/>
        <v>43572</v>
      </c>
      <c r="B35" s="151">
        <f t="shared" si="12"/>
        <v>46</v>
      </c>
      <c r="C35" s="279" t="str">
        <f>IF('Prod-Rec'!C36="","",$M$2-SUM('Dem-Rec'!$C$8:$C$25)-SUM('Prod-Rec'!$C$9:C36))</f>
        <v/>
      </c>
      <c r="D35" s="280" t="str">
        <f>IF('Prod-Rec'!I36="","",$M$3-SUM('Dem-Rec'!$J$8:$J$25)-SUM('Prod-Rec'!$I$9:I36))</f>
        <v/>
      </c>
      <c r="E35" s="340" t="str">
        <f t="shared" si="10"/>
        <v/>
      </c>
      <c r="F35" s="324" t="str">
        <f t="shared" si="6"/>
        <v/>
      </c>
      <c r="G35" s="326" t="str">
        <f t="shared" si="7"/>
        <v/>
      </c>
      <c r="H35" s="362" t="str">
        <f t="shared" si="4"/>
        <v/>
      </c>
      <c r="I35" s="161" t="str">
        <f t="shared" si="3"/>
        <v/>
      </c>
      <c r="J35" s="165" t="str">
        <f t="shared" si="5"/>
        <v/>
      </c>
      <c r="K35" s="166">
        <v>70.8</v>
      </c>
      <c r="L35" s="255" t="str">
        <f>IF('Pon-Bat'!BE31="","",'Pon-Bat'!BE31)</f>
        <v/>
      </c>
      <c r="M35" s="256" t="str">
        <f>IF(L35="","",SUM($L$11:L35))</f>
        <v/>
      </c>
      <c r="N35" s="165" t="str">
        <f t="shared" si="8"/>
        <v/>
      </c>
      <c r="O35" s="166">
        <v>110.3</v>
      </c>
      <c r="P35" s="167"/>
      <c r="Q35" s="166">
        <v>66.3</v>
      </c>
      <c r="W35" s="205">
        <v>0.15</v>
      </c>
      <c r="X35">
        <f t="shared" si="9"/>
        <v>0.15000000000000036</v>
      </c>
      <c r="Y35">
        <v>4.75</v>
      </c>
    </row>
    <row r="36" spans="1:25" ht="24" customHeight="1" x14ac:dyDescent="0.2">
      <c r="A36" s="305">
        <f t="shared" si="11"/>
        <v>43579</v>
      </c>
      <c r="B36" s="151">
        <f t="shared" si="12"/>
        <v>47</v>
      </c>
      <c r="C36" s="279" t="str">
        <f>IF('Prod-Rec'!C37="","",$M$2-SUM('Dem-Rec'!$C$8:$C$25)-SUM('Prod-Rec'!$C$9:C37))</f>
        <v/>
      </c>
      <c r="D36" s="280" t="str">
        <f>IF('Prod-Rec'!I37="","",$M$3-SUM('Dem-Rec'!$J$8:$J$25)-SUM('Prod-Rec'!$I$9:I37))</f>
        <v/>
      </c>
      <c r="E36" s="340" t="str">
        <f t="shared" si="10"/>
        <v/>
      </c>
      <c r="F36" s="324" t="str">
        <f t="shared" si="6"/>
        <v/>
      </c>
      <c r="G36" s="326" t="str">
        <f t="shared" si="7"/>
        <v/>
      </c>
      <c r="H36" s="362" t="str">
        <f t="shared" si="4"/>
        <v/>
      </c>
      <c r="I36" s="161" t="str">
        <f t="shared" si="3"/>
        <v/>
      </c>
      <c r="J36" s="165" t="str">
        <f t="shared" si="5"/>
        <v/>
      </c>
      <c r="K36" s="166">
        <v>69.5</v>
      </c>
      <c r="L36" s="255" t="str">
        <f>IF('Pon-Bat'!BE32="","",'Pon-Bat'!BE32)</f>
        <v/>
      </c>
      <c r="M36" s="256" t="str">
        <f>IF(L36="","",SUM($L$11:L36))</f>
        <v/>
      </c>
      <c r="N36" s="165" t="str">
        <f t="shared" si="8"/>
        <v/>
      </c>
      <c r="O36" s="166">
        <v>114.9</v>
      </c>
      <c r="P36" s="167"/>
      <c r="Q36" s="166">
        <v>66.7</v>
      </c>
      <c r="W36" s="205">
        <v>0.15</v>
      </c>
      <c r="X36">
        <f t="shared" si="9"/>
        <v>0.15000000000000036</v>
      </c>
      <c r="Y36">
        <v>4.9000000000000004</v>
      </c>
    </row>
    <row r="37" spans="1:25" ht="24" customHeight="1" x14ac:dyDescent="0.2">
      <c r="A37" s="305">
        <f t="shared" si="11"/>
        <v>43586</v>
      </c>
      <c r="B37" s="151">
        <f t="shared" si="12"/>
        <v>48</v>
      </c>
      <c r="C37" s="279" t="str">
        <f>IF('Prod-Rec'!C38="","",$M$2-SUM('Dem-Rec'!$C$8:$C$25)-SUM('Prod-Rec'!$C$9:C38))</f>
        <v/>
      </c>
      <c r="D37" s="280" t="str">
        <f>IF('Prod-Rec'!I38="","",$M$3-SUM('Dem-Rec'!$J$8:$J$25)-SUM('Prod-Rec'!$I$9:I38))</f>
        <v/>
      </c>
      <c r="E37" s="340" t="str">
        <f t="shared" si="10"/>
        <v/>
      </c>
      <c r="F37" s="324" t="str">
        <f t="shared" si="6"/>
        <v/>
      </c>
      <c r="G37" s="326" t="str">
        <f t="shared" si="7"/>
        <v/>
      </c>
      <c r="H37" s="362" t="str">
        <f t="shared" si="4"/>
        <v/>
      </c>
      <c r="I37" s="161" t="str">
        <f t="shared" si="3"/>
        <v/>
      </c>
      <c r="J37" s="165" t="str">
        <f t="shared" si="5"/>
        <v/>
      </c>
      <c r="K37" s="166">
        <v>68.3</v>
      </c>
      <c r="L37" s="255" t="str">
        <f>IF('Pon-Bat'!BE33="","",'Pon-Bat'!BE33)</f>
        <v/>
      </c>
      <c r="M37" s="256" t="str">
        <f>IF(L37="","",SUM($L$11:L37))</f>
        <v/>
      </c>
      <c r="N37" s="165" t="str">
        <f t="shared" si="8"/>
        <v/>
      </c>
      <c r="O37" s="166">
        <v>119.4</v>
      </c>
      <c r="P37" s="167"/>
      <c r="Q37" s="166">
        <v>67</v>
      </c>
      <c r="W37" s="205">
        <v>9.9999999999999645E-2</v>
      </c>
      <c r="X37">
        <f t="shared" si="9"/>
        <v>9.9999999999999645E-2</v>
      </c>
      <c r="Y37">
        <v>5</v>
      </c>
    </row>
    <row r="38" spans="1:25" ht="24" customHeight="1" x14ac:dyDescent="0.2">
      <c r="A38" s="305">
        <f t="shared" si="11"/>
        <v>43593</v>
      </c>
      <c r="B38" s="151">
        <f t="shared" si="12"/>
        <v>49</v>
      </c>
      <c r="C38" s="279" t="str">
        <f>IF('Prod-Rec'!C39="","",$M$2-SUM('Dem-Rec'!$C$8:$C$25)-SUM('Prod-Rec'!$C$9:C39))</f>
        <v/>
      </c>
      <c r="D38" s="280" t="str">
        <f>IF('Prod-Rec'!I39="","",$M$3-SUM('Dem-Rec'!$J$8:$J$25)-SUM('Prod-Rec'!$I$9:I39))</f>
        <v/>
      </c>
      <c r="E38" s="340" t="str">
        <f t="shared" si="10"/>
        <v/>
      </c>
      <c r="F38" s="324" t="str">
        <f t="shared" si="6"/>
        <v/>
      </c>
      <c r="G38" s="326" t="str">
        <f t="shared" si="7"/>
        <v/>
      </c>
      <c r="H38" s="362" t="str">
        <f t="shared" si="4"/>
        <v/>
      </c>
      <c r="I38" s="161" t="str">
        <f t="shared" si="3"/>
        <v/>
      </c>
      <c r="J38" s="165" t="str">
        <f t="shared" si="5"/>
        <v/>
      </c>
      <c r="K38" s="166">
        <v>67</v>
      </c>
      <c r="L38" s="255" t="str">
        <f>IF('Pon-Bat'!BE34="","",'Pon-Bat'!BE34)</f>
        <v/>
      </c>
      <c r="M38" s="256" t="str">
        <f>IF(L38="","",SUM($L$11:L38))</f>
        <v/>
      </c>
      <c r="N38" s="165" t="str">
        <f t="shared" si="8"/>
        <v/>
      </c>
      <c r="O38" s="166">
        <v>123.8</v>
      </c>
      <c r="P38" s="167"/>
      <c r="Q38" s="166">
        <v>67.400000000000006</v>
      </c>
      <c r="W38" s="205">
        <v>9.9999999999999645E-2</v>
      </c>
      <c r="X38">
        <f t="shared" si="9"/>
        <v>9.9999999999999645E-2</v>
      </c>
      <c r="Y38">
        <v>5.0999999999999996</v>
      </c>
    </row>
    <row r="39" spans="1:25" ht="24" customHeight="1" x14ac:dyDescent="0.2">
      <c r="A39" s="305">
        <f t="shared" si="11"/>
        <v>43600</v>
      </c>
      <c r="B39" s="151">
        <f t="shared" si="12"/>
        <v>50</v>
      </c>
      <c r="C39" s="279" t="str">
        <f>IF('Prod-Rec'!C40="","",$M$2-SUM('Dem-Rec'!$C$8:$C$25)-SUM('Prod-Rec'!$C$9:C40))</f>
        <v/>
      </c>
      <c r="D39" s="280" t="str">
        <f>IF('Prod-Rec'!I40="","",$M$3-SUM('Dem-Rec'!$J$8:$J$25)-SUM('Prod-Rec'!$I$9:I40))</f>
        <v/>
      </c>
      <c r="E39" s="340" t="str">
        <f t="shared" si="10"/>
        <v/>
      </c>
      <c r="F39" s="324" t="str">
        <f t="shared" si="6"/>
        <v/>
      </c>
      <c r="G39" s="326" t="str">
        <f t="shared" si="7"/>
        <v/>
      </c>
      <c r="H39" s="362" t="str">
        <f t="shared" si="4"/>
        <v/>
      </c>
      <c r="I39" s="161" t="str">
        <f t="shared" si="3"/>
        <v/>
      </c>
      <c r="J39" s="165" t="str">
        <f t="shared" si="5"/>
        <v/>
      </c>
      <c r="K39" s="166">
        <v>65.8</v>
      </c>
      <c r="L39" s="255" t="str">
        <f>IF('Pon-Bat'!BE35="","",'Pon-Bat'!BE35)</f>
        <v/>
      </c>
      <c r="M39" s="256" t="str">
        <f>IF(L39="","",SUM($L$11:L39))</f>
        <v/>
      </c>
      <c r="N39" s="165" t="str">
        <f t="shared" si="8"/>
        <v/>
      </c>
      <c r="O39" s="166">
        <v>128.1</v>
      </c>
      <c r="P39" s="167"/>
      <c r="Q39" s="166">
        <v>67.8</v>
      </c>
      <c r="W39" s="205">
        <v>0.10000000000000053</v>
      </c>
      <c r="X39">
        <f t="shared" si="9"/>
        <v>0.10000000000000053</v>
      </c>
      <c r="Y39">
        <v>5.2</v>
      </c>
    </row>
    <row r="40" spans="1:25" ht="24" customHeight="1" x14ac:dyDescent="0.2">
      <c r="A40" s="305">
        <f t="shared" si="11"/>
        <v>43607</v>
      </c>
      <c r="B40" s="151">
        <f t="shared" si="12"/>
        <v>51</v>
      </c>
      <c r="C40" s="279" t="str">
        <f>IF('Prod-Rec'!C41="","",$M$2-SUM('Dem-Rec'!$C$8:$C$25)-SUM('Prod-Rec'!$C$9:C41))</f>
        <v/>
      </c>
      <c r="D40" s="280" t="str">
        <f>IF('Prod-Rec'!I41="","",$M$3-SUM('Dem-Rec'!$J$8:$J$25)-SUM('Prod-Rec'!$I$9:I41))</f>
        <v/>
      </c>
      <c r="E40" s="340" t="str">
        <f t="shared" si="10"/>
        <v/>
      </c>
      <c r="F40" s="324" t="str">
        <f t="shared" si="6"/>
        <v/>
      </c>
      <c r="G40" s="326" t="str">
        <f t="shared" si="7"/>
        <v/>
      </c>
      <c r="H40" s="362" t="str">
        <f t="shared" si="4"/>
        <v/>
      </c>
      <c r="I40" s="161" t="str">
        <f t="shared" si="3"/>
        <v/>
      </c>
      <c r="J40" s="165" t="str">
        <f t="shared" si="5"/>
        <v/>
      </c>
      <c r="K40" s="166">
        <v>64.5</v>
      </c>
      <c r="L40" s="255" t="str">
        <f>IF('Pon-Bat'!BE36="","",'Pon-Bat'!BE36)</f>
        <v/>
      </c>
      <c r="M40" s="256" t="str">
        <f>IF(L40="","",SUM($L$11:L40))</f>
        <v/>
      </c>
      <c r="N40" s="165" t="str">
        <f t="shared" si="8"/>
        <v/>
      </c>
      <c r="O40" s="166">
        <v>132.30000000000001</v>
      </c>
      <c r="P40" s="167"/>
      <c r="Q40" s="166">
        <v>68.099999999999994</v>
      </c>
      <c r="W40" s="205">
        <v>9.9999999999999645E-2</v>
      </c>
      <c r="X40">
        <f t="shared" si="9"/>
        <v>9.9999999999999645E-2</v>
      </c>
      <c r="Y40">
        <v>5.3</v>
      </c>
    </row>
    <row r="41" spans="1:25" ht="24" customHeight="1" x14ac:dyDescent="0.2">
      <c r="A41" s="305">
        <f t="shared" si="11"/>
        <v>43614</v>
      </c>
      <c r="B41" s="151">
        <f t="shared" si="12"/>
        <v>52</v>
      </c>
      <c r="C41" s="279" t="str">
        <f>IF('Prod-Rec'!C42="","",$M$2-SUM('Dem-Rec'!$C$8:$C$25)-SUM('Prod-Rec'!$C$9:C42))</f>
        <v/>
      </c>
      <c r="D41" s="280" t="str">
        <f>IF('Prod-Rec'!I42="","",$M$3-SUM('Dem-Rec'!$J$8:$J$25)-SUM('Prod-Rec'!$I$9:I42))</f>
        <v/>
      </c>
      <c r="E41" s="340" t="str">
        <f t="shared" si="10"/>
        <v/>
      </c>
      <c r="F41" s="324" t="str">
        <f t="shared" si="6"/>
        <v/>
      </c>
      <c r="G41" s="326" t="str">
        <f t="shared" si="7"/>
        <v/>
      </c>
      <c r="H41" s="362" t="str">
        <f t="shared" si="4"/>
        <v/>
      </c>
      <c r="I41" s="161" t="str">
        <f t="shared" si="3"/>
        <v/>
      </c>
      <c r="J41" s="165" t="str">
        <f t="shared" si="5"/>
        <v/>
      </c>
      <c r="K41" s="166">
        <v>63.3</v>
      </c>
      <c r="L41" s="255" t="str">
        <f>IF('Pon-Bat'!BE37="","",'Pon-Bat'!BE37)</f>
        <v/>
      </c>
      <c r="M41" s="256" t="str">
        <f>IF(L41="","",SUM($L$11:L41))</f>
        <v/>
      </c>
      <c r="N41" s="165" t="str">
        <f t="shared" si="8"/>
        <v/>
      </c>
      <c r="O41" s="166">
        <v>136.4</v>
      </c>
      <c r="P41" s="167"/>
      <c r="Q41" s="166">
        <v>68.400000000000006</v>
      </c>
      <c r="W41" s="205">
        <v>0.10000000000000053</v>
      </c>
      <c r="X41">
        <f t="shared" si="9"/>
        <v>0.10000000000000053</v>
      </c>
      <c r="Y41">
        <v>5.4</v>
      </c>
    </row>
    <row r="42" spans="1:25" ht="24" customHeight="1" x14ac:dyDescent="0.2">
      <c r="A42" s="305">
        <f t="shared" si="11"/>
        <v>43621</v>
      </c>
      <c r="B42" s="151">
        <f t="shared" si="12"/>
        <v>53</v>
      </c>
      <c r="C42" s="279" t="str">
        <f>IF('Prod-Rec'!C43="","",$M$2-SUM('Dem-Rec'!$C$8:$C$25)-SUM('Prod-Rec'!$C$9:C43))</f>
        <v/>
      </c>
      <c r="D42" s="280" t="str">
        <f>IF('Prod-Rec'!I43="","",$M$3-SUM('Dem-Rec'!$J$8:$J$25)-SUM('Prod-Rec'!$I$9:I43))</f>
        <v/>
      </c>
      <c r="E42" s="340" t="str">
        <f t="shared" si="10"/>
        <v/>
      </c>
      <c r="F42" s="324" t="str">
        <f t="shared" si="6"/>
        <v/>
      </c>
      <c r="G42" s="326" t="str">
        <f t="shared" si="7"/>
        <v/>
      </c>
      <c r="H42" s="362" t="str">
        <f t="shared" si="4"/>
        <v/>
      </c>
      <c r="I42" s="161" t="str">
        <f t="shared" si="3"/>
        <v/>
      </c>
      <c r="J42" s="165" t="str">
        <f t="shared" si="5"/>
        <v/>
      </c>
      <c r="K42" s="166">
        <v>62</v>
      </c>
      <c r="L42" s="255" t="str">
        <f>IF('Pon-Bat'!BE38="","",'Pon-Bat'!BE38)</f>
        <v/>
      </c>
      <c r="M42" s="256" t="str">
        <f>IF(L42="","",SUM($L$11:L42))</f>
        <v/>
      </c>
      <c r="N42" s="165" t="str">
        <f t="shared" si="8"/>
        <v/>
      </c>
      <c r="O42" s="166">
        <v>140.5</v>
      </c>
      <c r="P42" s="167"/>
      <c r="Q42" s="166">
        <v>68.7</v>
      </c>
      <c r="W42" s="205">
        <v>9.9999999999999645E-2</v>
      </c>
      <c r="X42">
        <f t="shared" si="9"/>
        <v>9.9999999999999645E-2</v>
      </c>
      <c r="Y42">
        <v>5.5</v>
      </c>
    </row>
    <row r="43" spans="1:25" ht="24" customHeight="1" x14ac:dyDescent="0.2">
      <c r="A43" s="305">
        <f t="shared" si="11"/>
        <v>43628</v>
      </c>
      <c r="B43" s="151">
        <f t="shared" si="12"/>
        <v>54</v>
      </c>
      <c r="C43" s="279" t="str">
        <f>IF('Prod-Rec'!C44="","",$M$2-SUM('Dem-Rec'!$C$8:$C$25)-SUM('Prod-Rec'!$C$9:C44))</f>
        <v/>
      </c>
      <c r="D43" s="280" t="str">
        <f>IF('Prod-Rec'!I44="","",$M$3-SUM('Dem-Rec'!$J$8:$J$25)-SUM('Prod-Rec'!$I$9:I44))</f>
        <v/>
      </c>
      <c r="E43" s="340" t="str">
        <f t="shared" si="10"/>
        <v/>
      </c>
      <c r="F43" s="324" t="str">
        <f t="shared" si="6"/>
        <v/>
      </c>
      <c r="G43" s="326" t="str">
        <f t="shared" si="7"/>
        <v/>
      </c>
      <c r="H43" s="362" t="str">
        <f t="shared" si="4"/>
        <v/>
      </c>
      <c r="I43" s="161" t="str">
        <f t="shared" ref="I43:I59" si="13">IF(C43="","",IF(L43="","",(L43/7)/C43*100))</f>
        <v/>
      </c>
      <c r="J43" s="165" t="str">
        <f t="shared" si="5"/>
        <v/>
      </c>
      <c r="K43" s="166">
        <v>60.8</v>
      </c>
      <c r="L43" s="255" t="str">
        <f>IF('Pon-Bat'!BE39="","",'Pon-Bat'!BE39)</f>
        <v/>
      </c>
      <c r="M43" s="256" t="str">
        <f>IF(L43="","",SUM($L$11:L43))</f>
        <v/>
      </c>
      <c r="N43" s="165" t="str">
        <f t="shared" si="8"/>
        <v/>
      </c>
      <c r="O43" s="166">
        <v>144.5</v>
      </c>
      <c r="P43" s="167"/>
      <c r="Q43" s="166">
        <v>68.8</v>
      </c>
      <c r="W43" s="205">
        <v>9.9999999999999645E-2</v>
      </c>
      <c r="X43">
        <f t="shared" si="9"/>
        <v>9.9999999999999645E-2</v>
      </c>
      <c r="Y43">
        <v>5.6</v>
      </c>
    </row>
    <row r="44" spans="1:25" ht="24" customHeight="1" x14ac:dyDescent="0.2">
      <c r="A44" s="305">
        <f t="shared" si="11"/>
        <v>43635</v>
      </c>
      <c r="B44" s="151">
        <f t="shared" si="12"/>
        <v>55</v>
      </c>
      <c r="C44" s="279" t="str">
        <f>IF('Prod-Rec'!C45="","",$M$2-SUM('Dem-Rec'!$C$8:$C$25)-SUM('Prod-Rec'!$C$9:C45))</f>
        <v/>
      </c>
      <c r="D44" s="280" t="str">
        <f>IF('Prod-Rec'!I45="","",$M$3-SUM('Dem-Rec'!$J$8:$J$25)-SUM('Prod-Rec'!$I$9:I45))</f>
        <v/>
      </c>
      <c r="E44" s="340" t="str">
        <f t="shared" si="10"/>
        <v/>
      </c>
      <c r="F44" s="324" t="str">
        <f t="shared" si="6"/>
        <v/>
      </c>
      <c r="G44" s="326" t="str">
        <f t="shared" si="7"/>
        <v/>
      </c>
      <c r="H44" s="362" t="str">
        <f t="shared" si="4"/>
        <v/>
      </c>
      <c r="I44" s="161" t="str">
        <f t="shared" si="13"/>
        <v/>
      </c>
      <c r="J44" s="165" t="str">
        <f t="shared" si="5"/>
        <v/>
      </c>
      <c r="K44" s="166">
        <v>59.5</v>
      </c>
      <c r="L44" s="255" t="str">
        <f>IF('Pon-Bat'!BE40="","",'Pon-Bat'!BE40)</f>
        <v/>
      </c>
      <c r="M44" s="256" t="str">
        <f>IF(L44="","",SUM($L$11:L44))</f>
        <v/>
      </c>
      <c r="N44" s="165" t="str">
        <f t="shared" si="8"/>
        <v/>
      </c>
      <c r="O44" s="166">
        <v>148.4</v>
      </c>
      <c r="P44" s="167"/>
      <c r="Q44" s="166">
        <v>68.900000000000006</v>
      </c>
      <c r="W44" s="205">
        <v>0.10000000000000053</v>
      </c>
      <c r="X44">
        <f t="shared" si="9"/>
        <v>0.10000000000000053</v>
      </c>
      <c r="Y44">
        <v>5.7</v>
      </c>
    </row>
    <row r="45" spans="1:25" ht="24" customHeight="1" x14ac:dyDescent="0.2">
      <c r="A45" s="305">
        <f t="shared" si="11"/>
        <v>43642</v>
      </c>
      <c r="B45" s="151">
        <f t="shared" si="12"/>
        <v>56</v>
      </c>
      <c r="C45" s="279" t="str">
        <f>IF('Prod-Rec'!C46="","",$M$2-SUM('Dem-Rec'!$C$8:$C$25)-SUM('Prod-Rec'!$C$9:C46))</f>
        <v/>
      </c>
      <c r="D45" s="280" t="str">
        <f>IF('Prod-Rec'!I46="","",$M$3-SUM('Dem-Rec'!$J$8:$J$25)-SUM('Prod-Rec'!$I$9:I46))</f>
        <v/>
      </c>
      <c r="E45" s="340" t="str">
        <f t="shared" si="10"/>
        <v/>
      </c>
      <c r="F45" s="324" t="str">
        <f t="shared" si="6"/>
        <v/>
      </c>
      <c r="G45" s="326" t="str">
        <f t="shared" si="7"/>
        <v/>
      </c>
      <c r="H45" s="362" t="str">
        <f t="shared" si="4"/>
        <v/>
      </c>
      <c r="I45" s="161" t="str">
        <f t="shared" si="13"/>
        <v/>
      </c>
      <c r="J45" s="165" t="str">
        <f t="shared" si="5"/>
        <v/>
      </c>
      <c r="K45" s="166">
        <v>58</v>
      </c>
      <c r="L45" s="255" t="str">
        <f>IF('Pon-Bat'!BE41="","",'Pon-Bat'!BE41)</f>
        <v/>
      </c>
      <c r="M45" s="256" t="str">
        <f>IF(L45="","",SUM($L$11:L45))</f>
        <v/>
      </c>
      <c r="N45" s="165" t="str">
        <f t="shared" si="8"/>
        <v/>
      </c>
      <c r="O45" s="166">
        <v>152.1</v>
      </c>
      <c r="P45" s="167"/>
      <c r="Q45" s="166">
        <v>69</v>
      </c>
      <c r="W45" s="205">
        <v>9.9999999999999645E-2</v>
      </c>
      <c r="X45">
        <f t="shared" si="9"/>
        <v>9.9999999999999645E-2</v>
      </c>
      <c r="Y45">
        <v>5.8</v>
      </c>
    </row>
    <row r="46" spans="1:25" ht="24" customHeight="1" x14ac:dyDescent="0.2">
      <c r="A46" s="305">
        <f t="shared" si="11"/>
        <v>43649</v>
      </c>
      <c r="B46" s="151">
        <f t="shared" si="12"/>
        <v>57</v>
      </c>
      <c r="C46" s="279" t="str">
        <f>IF('Prod-Rec'!C47="","",$M$2-SUM('Dem-Rec'!$C$8:$C$25)-SUM('Prod-Rec'!$C$9:C47))</f>
        <v/>
      </c>
      <c r="D46" s="280" t="str">
        <f>IF('Prod-Rec'!I47="","",$M$3-SUM('Dem-Rec'!$J$8:$J$25)-SUM('Prod-Rec'!$I$9:I47))</f>
        <v/>
      </c>
      <c r="E46" s="340" t="str">
        <f t="shared" si="10"/>
        <v/>
      </c>
      <c r="F46" s="324" t="str">
        <f t="shared" si="6"/>
        <v/>
      </c>
      <c r="G46" s="326" t="str">
        <f t="shared" si="7"/>
        <v/>
      </c>
      <c r="H46" s="362" t="str">
        <f t="shared" si="4"/>
        <v/>
      </c>
      <c r="I46" s="161" t="str">
        <f t="shared" si="13"/>
        <v/>
      </c>
      <c r="J46" s="165" t="str">
        <f t="shared" si="5"/>
        <v/>
      </c>
      <c r="K46" s="166">
        <v>56.5</v>
      </c>
      <c r="L46" s="255" t="str">
        <f>IF('Pon-Bat'!BE42="","",'Pon-Bat'!BE42)</f>
        <v/>
      </c>
      <c r="M46" s="256" t="str">
        <f>IF(L46="","",SUM($L$11:L46))</f>
        <v/>
      </c>
      <c r="N46" s="165" t="str">
        <f t="shared" si="8"/>
        <v/>
      </c>
      <c r="O46" s="166">
        <v>155.80000000000001</v>
      </c>
      <c r="P46" s="167"/>
      <c r="Q46" s="166">
        <v>69.099999999999994</v>
      </c>
      <c r="W46" s="205">
        <v>0.10000000000000053</v>
      </c>
      <c r="X46">
        <f t="shared" si="9"/>
        <v>0.10000000000000053</v>
      </c>
      <c r="Y46">
        <v>5.9</v>
      </c>
    </row>
    <row r="47" spans="1:25" ht="24" customHeight="1" x14ac:dyDescent="0.2">
      <c r="A47" s="305">
        <f t="shared" si="11"/>
        <v>43656</v>
      </c>
      <c r="B47" s="151">
        <f t="shared" si="12"/>
        <v>58</v>
      </c>
      <c r="C47" s="279" t="str">
        <f>IF('Prod-Rec'!C48="","",$M$2-SUM('Dem-Rec'!$C$8:$C$25)-SUM('Prod-Rec'!$C$9:C48))</f>
        <v/>
      </c>
      <c r="D47" s="280" t="str">
        <f>IF('Prod-Rec'!I48="","",$M$3-SUM('Dem-Rec'!$J$8:$J$25)-SUM('Prod-Rec'!$I$9:I48))</f>
        <v/>
      </c>
      <c r="E47" s="340" t="str">
        <f t="shared" si="10"/>
        <v/>
      </c>
      <c r="F47" s="324" t="str">
        <f t="shared" si="6"/>
        <v/>
      </c>
      <c r="G47" s="326" t="str">
        <f t="shared" si="7"/>
        <v/>
      </c>
      <c r="H47" s="362" t="str">
        <f t="shared" si="4"/>
        <v/>
      </c>
      <c r="I47" s="161" t="str">
        <f t="shared" si="13"/>
        <v/>
      </c>
      <c r="J47" s="165" t="str">
        <f t="shared" si="5"/>
        <v/>
      </c>
      <c r="K47" s="166">
        <v>55</v>
      </c>
      <c r="L47" s="255" t="str">
        <f>IF('Pon-Bat'!BE43="","",'Pon-Bat'!BE43)</f>
        <v/>
      </c>
      <c r="M47" s="256" t="str">
        <f>IF(L47="","",SUM($L$11:L47))</f>
        <v/>
      </c>
      <c r="N47" s="165" t="str">
        <f t="shared" si="8"/>
        <v/>
      </c>
      <c r="O47" s="166">
        <v>159.4</v>
      </c>
      <c r="P47" s="167"/>
      <c r="Q47" s="166">
        <v>69.2</v>
      </c>
      <c r="W47" s="205">
        <v>9.9999999999999645E-2</v>
      </c>
      <c r="X47">
        <f t="shared" si="9"/>
        <v>9.9999999999999645E-2</v>
      </c>
      <c r="Y47">
        <v>6</v>
      </c>
    </row>
    <row r="48" spans="1:25" ht="24" customHeight="1" x14ac:dyDescent="0.2">
      <c r="A48" s="305">
        <f t="shared" si="11"/>
        <v>43663</v>
      </c>
      <c r="B48" s="151">
        <f t="shared" si="12"/>
        <v>59</v>
      </c>
      <c r="C48" s="279" t="str">
        <f>IF('Prod-Rec'!C49="","",$M$2-SUM('Dem-Rec'!$C$8:$C$25)-SUM('Prod-Rec'!$C$9:C49))</f>
        <v/>
      </c>
      <c r="D48" s="280" t="str">
        <f>IF('Prod-Rec'!I49="","",$M$3-SUM('Dem-Rec'!$J$8:$J$25)-SUM('Prod-Rec'!$I$9:I49))</f>
        <v/>
      </c>
      <c r="E48" s="340" t="str">
        <f t="shared" si="10"/>
        <v/>
      </c>
      <c r="F48" s="324" t="str">
        <f t="shared" si="6"/>
        <v/>
      </c>
      <c r="G48" s="326" t="str">
        <f t="shared" si="7"/>
        <v/>
      </c>
      <c r="H48" s="362" t="str">
        <f t="shared" si="4"/>
        <v/>
      </c>
      <c r="I48" s="161" t="str">
        <f t="shared" si="13"/>
        <v/>
      </c>
      <c r="J48" s="165" t="str">
        <f t="shared" si="5"/>
        <v/>
      </c>
      <c r="K48" s="166">
        <v>53.5</v>
      </c>
      <c r="L48" s="255" t="str">
        <f>IF('Pon-Bat'!BE44="","",'Pon-Bat'!BE44)</f>
        <v/>
      </c>
      <c r="M48" s="256" t="str">
        <f>IF(L48="","",SUM($L$11:L48))</f>
        <v/>
      </c>
      <c r="N48" s="165" t="str">
        <f t="shared" si="8"/>
        <v/>
      </c>
      <c r="O48" s="166">
        <v>162.9</v>
      </c>
      <c r="P48" s="167"/>
      <c r="Q48" s="166">
        <v>69.3</v>
      </c>
      <c r="W48" s="205">
        <v>0.1000000000000103</v>
      </c>
      <c r="X48">
        <f t="shared" si="9"/>
        <v>0.1000000000000103</v>
      </c>
      <c r="Y48">
        <v>6.1000000000000103</v>
      </c>
    </row>
    <row r="49" spans="1:25" ht="24" customHeight="1" x14ac:dyDescent="0.2">
      <c r="A49" s="305">
        <f t="shared" si="11"/>
        <v>43670</v>
      </c>
      <c r="B49" s="151">
        <f t="shared" si="12"/>
        <v>60</v>
      </c>
      <c r="C49" s="279" t="str">
        <f>IF('Prod-Rec'!C50="","",$M$2-SUM('Dem-Rec'!$C$8:$C$25)-SUM('Prod-Rec'!$C$9:C50))</f>
        <v/>
      </c>
      <c r="D49" s="280" t="str">
        <f>IF('Prod-Rec'!I50="","",$M$3-SUM('Dem-Rec'!$J$8:$J$25)-SUM('Prod-Rec'!$I$9:I50))</f>
        <v/>
      </c>
      <c r="E49" s="340" t="str">
        <f t="shared" si="10"/>
        <v/>
      </c>
      <c r="F49" s="324" t="str">
        <f t="shared" si="6"/>
        <v/>
      </c>
      <c r="G49" s="326" t="str">
        <f t="shared" si="7"/>
        <v/>
      </c>
      <c r="H49" s="362" t="str">
        <f t="shared" si="4"/>
        <v/>
      </c>
      <c r="I49" s="161" t="str">
        <f t="shared" si="13"/>
        <v/>
      </c>
      <c r="J49" s="165" t="str">
        <f t="shared" si="5"/>
        <v/>
      </c>
      <c r="K49" s="166">
        <v>51.9</v>
      </c>
      <c r="L49" s="255" t="str">
        <f>IF('Pon-Bat'!BE45="","",'Pon-Bat'!BE45)</f>
        <v/>
      </c>
      <c r="M49" s="256" t="str">
        <f>IF(L49="","",SUM($L$11:L49))</f>
        <v/>
      </c>
      <c r="N49" s="165" t="str">
        <f t="shared" si="8"/>
        <v/>
      </c>
      <c r="O49" s="166">
        <v>166.2</v>
      </c>
      <c r="P49" s="167"/>
      <c r="Q49" s="166">
        <v>69.400000000000006</v>
      </c>
      <c r="W49" s="205">
        <v>9.9999999999999645E-2</v>
      </c>
      <c r="X49">
        <f t="shared" si="9"/>
        <v>9.9999999999999645E-2</v>
      </c>
      <c r="Y49">
        <v>6.2000000000000099</v>
      </c>
    </row>
    <row r="50" spans="1:25" ht="24" customHeight="1" x14ac:dyDescent="0.2">
      <c r="A50" s="305">
        <f t="shared" si="11"/>
        <v>43677</v>
      </c>
      <c r="B50" s="151">
        <f t="shared" si="12"/>
        <v>61</v>
      </c>
      <c r="C50" s="279" t="str">
        <f>IF('Prod-Rec'!C51="","",$M$2-SUM('Dem-Rec'!$C$8:$C$25)-SUM('Prod-Rec'!$C$9:C51))</f>
        <v/>
      </c>
      <c r="D50" s="280" t="str">
        <f>IF('Prod-Rec'!I51="","",$M$3-SUM('Dem-Rec'!$J$8:$J$25)-SUM('Prod-Rec'!$I$9:I51))</f>
        <v/>
      </c>
      <c r="E50" s="340" t="str">
        <f t="shared" si="10"/>
        <v/>
      </c>
      <c r="F50" s="324" t="str">
        <f t="shared" si="6"/>
        <v/>
      </c>
      <c r="G50" s="326" t="str">
        <f t="shared" si="7"/>
        <v/>
      </c>
      <c r="H50" s="362" t="str">
        <f t="shared" si="4"/>
        <v/>
      </c>
      <c r="I50" s="161" t="str">
        <f t="shared" si="13"/>
        <v/>
      </c>
      <c r="J50" s="165" t="str">
        <f t="shared" si="5"/>
        <v/>
      </c>
      <c r="K50" s="166">
        <v>50.2</v>
      </c>
      <c r="L50" s="255" t="str">
        <f>IF('Pon-Bat'!BE46="","",'Pon-Bat'!BE46)</f>
        <v/>
      </c>
      <c r="M50" s="256" t="str">
        <f>IF(L50="","",SUM($L$11:L50))</f>
        <v/>
      </c>
      <c r="N50" s="165" t="str">
        <f t="shared" si="8"/>
        <v/>
      </c>
      <c r="O50" s="166">
        <v>169.5</v>
      </c>
      <c r="P50" s="167"/>
      <c r="Q50" s="166">
        <v>69.5</v>
      </c>
      <c r="W50" s="205">
        <v>9.9999999999999645E-2</v>
      </c>
      <c r="X50">
        <f t="shared" si="9"/>
        <v>9.9999999999999645E-2</v>
      </c>
      <c r="Y50">
        <v>6.3000000000000096</v>
      </c>
    </row>
    <row r="51" spans="1:25" ht="24" customHeight="1" x14ac:dyDescent="0.2">
      <c r="A51" s="305">
        <f t="shared" si="11"/>
        <v>43684</v>
      </c>
      <c r="B51" s="151">
        <f t="shared" si="12"/>
        <v>62</v>
      </c>
      <c r="C51" s="279" t="str">
        <f>IF('Prod-Rec'!C52="","",$M$2-SUM('Dem-Rec'!$C$8:$C$25)-SUM('Prod-Rec'!$C$9:C52))</f>
        <v/>
      </c>
      <c r="D51" s="280" t="str">
        <f>IF('Prod-Rec'!I52="","",$M$3-SUM('Dem-Rec'!$J$8:$J$25)-SUM('Prod-Rec'!$I$9:I52))</f>
        <v/>
      </c>
      <c r="E51" s="340" t="str">
        <f t="shared" si="10"/>
        <v/>
      </c>
      <c r="F51" s="324" t="str">
        <f t="shared" si="6"/>
        <v/>
      </c>
      <c r="G51" s="326" t="str">
        <f t="shared" si="7"/>
        <v/>
      </c>
      <c r="H51" s="362" t="str">
        <f t="shared" si="4"/>
        <v/>
      </c>
      <c r="I51" s="161" t="str">
        <f t="shared" si="13"/>
        <v/>
      </c>
      <c r="J51" s="165" t="str">
        <f t="shared" si="5"/>
        <v/>
      </c>
      <c r="K51" s="166">
        <v>48.4</v>
      </c>
      <c r="L51" s="255" t="str">
        <f>IF('Pon-Bat'!BE47="","",'Pon-Bat'!BE47)</f>
        <v/>
      </c>
      <c r="M51" s="256" t="str">
        <f>IF(L51="","",SUM($L$11:L51))</f>
        <v/>
      </c>
      <c r="N51" s="165" t="str">
        <f t="shared" si="8"/>
        <v/>
      </c>
      <c r="O51" s="166">
        <v>172.6</v>
      </c>
      <c r="P51" s="167"/>
      <c r="Q51" s="166">
        <v>69.599999999999994</v>
      </c>
      <c r="W51" s="205">
        <v>0.10000000000000053</v>
      </c>
      <c r="X51">
        <f t="shared" si="9"/>
        <v>0.10000000000000053</v>
      </c>
      <c r="Y51">
        <v>6.4000000000000101</v>
      </c>
    </row>
    <row r="52" spans="1:25" ht="24" customHeight="1" x14ac:dyDescent="0.2">
      <c r="A52" s="305">
        <f t="shared" si="11"/>
        <v>43691</v>
      </c>
      <c r="B52" s="151">
        <f t="shared" si="12"/>
        <v>63</v>
      </c>
      <c r="C52" s="279" t="str">
        <f>IF('Prod-Rec'!C53="","",$M$2-SUM('Dem-Rec'!$C$8:$C$25)-SUM('Prod-Rec'!$C$9:C53))</f>
        <v/>
      </c>
      <c r="D52" s="280" t="str">
        <f>IF('Prod-Rec'!I53="","",$M$3-SUM('Dem-Rec'!$J$8:$J$25)-SUM('Prod-Rec'!$I$9:I53))</f>
        <v/>
      </c>
      <c r="E52" s="340" t="str">
        <f t="shared" si="10"/>
        <v/>
      </c>
      <c r="F52" s="324" t="str">
        <f t="shared" si="6"/>
        <v/>
      </c>
      <c r="G52" s="326" t="str">
        <f t="shared" si="7"/>
        <v/>
      </c>
      <c r="H52" s="362" t="str">
        <f t="shared" si="4"/>
        <v/>
      </c>
      <c r="I52" s="161" t="str">
        <f t="shared" si="13"/>
        <v/>
      </c>
      <c r="J52" s="165" t="str">
        <f t="shared" si="5"/>
        <v/>
      </c>
      <c r="K52" s="166">
        <v>46.7</v>
      </c>
      <c r="L52" s="255" t="str">
        <f>IF('Pon-Bat'!BE48="","",'Pon-Bat'!BE48)</f>
        <v/>
      </c>
      <c r="M52" s="256" t="str">
        <f>IF(L52="","",SUM($L$11:L52))</f>
        <v/>
      </c>
      <c r="N52" s="165" t="str">
        <f t="shared" si="8"/>
        <v/>
      </c>
      <c r="O52" s="166">
        <v>175.7</v>
      </c>
      <c r="P52" s="167"/>
      <c r="Q52" s="166">
        <v>69.7</v>
      </c>
      <c r="W52" s="205">
        <v>9.9999999999999645E-2</v>
      </c>
      <c r="X52">
        <f t="shared" si="9"/>
        <v>9.9999999999999645E-2</v>
      </c>
      <c r="Y52">
        <v>6.5000000000000098</v>
      </c>
    </row>
    <row r="53" spans="1:25" ht="24" customHeight="1" x14ac:dyDescent="0.2">
      <c r="A53" s="305">
        <f t="shared" si="11"/>
        <v>43698</v>
      </c>
      <c r="B53" s="151">
        <f t="shared" si="12"/>
        <v>64</v>
      </c>
      <c r="C53" s="279" t="str">
        <f>IF('Prod-Rec'!C54="","",$M$2-SUM('Dem-Rec'!$C$8:$C$25)-SUM('Prod-Rec'!$C$9:C54))</f>
        <v/>
      </c>
      <c r="D53" s="280" t="str">
        <f>IF('Prod-Rec'!I54="","",$M$3-SUM('Dem-Rec'!$J$8:$J$25)-SUM('Prod-Rec'!$I$9:I54))</f>
        <v/>
      </c>
      <c r="E53" s="340" t="str">
        <f t="shared" si="10"/>
        <v/>
      </c>
      <c r="F53" s="324" t="str">
        <f t="shared" si="6"/>
        <v/>
      </c>
      <c r="G53" s="326" t="str">
        <f t="shared" si="7"/>
        <v/>
      </c>
      <c r="H53" s="362" t="str">
        <f t="shared" si="4"/>
        <v/>
      </c>
      <c r="I53" s="161" t="str">
        <f t="shared" si="13"/>
        <v/>
      </c>
      <c r="J53" s="165" t="str">
        <f t="shared" si="5"/>
        <v/>
      </c>
      <c r="K53" s="166">
        <v>44.9</v>
      </c>
      <c r="L53" s="255" t="str">
        <f>IF('Pon-Bat'!BE49="","",'Pon-Bat'!BE49)</f>
        <v/>
      </c>
      <c r="M53" s="256" t="str">
        <f>IF(L53="","",SUM($L$11:L53))</f>
        <v/>
      </c>
      <c r="N53" s="165" t="str">
        <f t="shared" si="8"/>
        <v/>
      </c>
      <c r="O53" s="166">
        <v>178.6</v>
      </c>
      <c r="P53" s="167"/>
      <c r="Q53" s="166">
        <v>69.8</v>
      </c>
      <c r="W53" s="205">
        <v>0.10000000000000053</v>
      </c>
      <c r="X53">
        <f t="shared" si="9"/>
        <v>0.10000000000000053</v>
      </c>
      <c r="Y53">
        <v>6.6000000000000103</v>
      </c>
    </row>
    <row r="54" spans="1:25" ht="24" customHeight="1" x14ac:dyDescent="0.2">
      <c r="A54" s="305">
        <f t="shared" si="11"/>
        <v>43705</v>
      </c>
      <c r="B54" s="151">
        <f t="shared" si="12"/>
        <v>65</v>
      </c>
      <c r="C54" s="279" t="str">
        <f>IF('Prod-Rec'!C55="","",$M$2-SUM('Dem-Rec'!$C$8:$C$25)-SUM('Prod-Rec'!$C$9:C55))</f>
        <v/>
      </c>
      <c r="D54" s="280" t="str">
        <f>IF('Prod-Rec'!I55="","",$M$3-SUM('Dem-Rec'!$J$8:$J$25)-SUM('Prod-Rec'!$I$9:I55))</f>
        <v/>
      </c>
      <c r="E54" s="340" t="str">
        <f t="shared" si="10"/>
        <v/>
      </c>
      <c r="F54" s="324" t="str">
        <f t="shared" si="6"/>
        <v/>
      </c>
      <c r="G54" s="326" t="str">
        <f t="shared" si="7"/>
        <v/>
      </c>
      <c r="H54" s="362" t="str">
        <f t="shared" si="4"/>
        <v/>
      </c>
      <c r="I54" s="161" t="str">
        <f t="shared" si="13"/>
        <v/>
      </c>
      <c r="J54" s="165" t="str">
        <f t="shared" si="5"/>
        <v/>
      </c>
      <c r="K54" s="166">
        <v>43.2</v>
      </c>
      <c r="L54" s="255" t="str">
        <f>IF('Pon-Bat'!BE50="","",'Pon-Bat'!BE50)</f>
        <v/>
      </c>
      <c r="M54" s="256" t="str">
        <f>IF(L54="","",SUM($L$11:L54))</f>
        <v/>
      </c>
      <c r="N54" s="165" t="str">
        <f t="shared" si="8"/>
        <v/>
      </c>
      <c r="O54" s="166">
        <v>181.3</v>
      </c>
      <c r="P54" s="167"/>
      <c r="Q54" s="166">
        <v>69.900000000000006</v>
      </c>
      <c r="W54" s="205">
        <v>9.9999999999999645E-2</v>
      </c>
      <c r="X54">
        <f t="shared" si="9"/>
        <v>9.9999999999999645E-2</v>
      </c>
      <c r="Y54">
        <v>6.7000000000000099</v>
      </c>
    </row>
    <row r="55" spans="1:25" ht="24" customHeight="1" x14ac:dyDescent="0.2">
      <c r="A55" s="305">
        <f t="shared" si="11"/>
        <v>43712</v>
      </c>
      <c r="B55" s="151">
        <f t="shared" si="12"/>
        <v>66</v>
      </c>
      <c r="C55" s="279" t="str">
        <f>IF('Prod-Rec'!C56="","",$M$2-SUM('Dem-Rec'!$C$8:$C$25)-SUM('Prod-Rec'!$C$9:C56))</f>
        <v/>
      </c>
      <c r="D55" s="280" t="str">
        <f>IF('Prod-Rec'!I56="","",$M$3-SUM('Dem-Rec'!$J$8:$J$25)-SUM('Prod-Rec'!$I$9:I56))</f>
        <v/>
      </c>
      <c r="E55" s="340" t="str">
        <f t="shared" si="10"/>
        <v/>
      </c>
      <c r="F55" s="324" t="str">
        <f t="shared" si="6"/>
        <v/>
      </c>
      <c r="G55" s="326" t="str">
        <f t="shared" si="7"/>
        <v/>
      </c>
      <c r="H55" s="362" t="str">
        <f t="shared" si="4"/>
        <v/>
      </c>
      <c r="I55" s="161" t="str">
        <f t="shared" si="13"/>
        <v/>
      </c>
      <c r="J55" s="165" t="str">
        <f t="shared" si="5"/>
        <v/>
      </c>
      <c r="K55" s="166">
        <v>46.2</v>
      </c>
      <c r="L55" s="255" t="str">
        <f>IF('Pon-Bat'!BE51="","",'Pon-Bat'!BE51)</f>
        <v/>
      </c>
      <c r="M55" s="256" t="str">
        <f>IF(L55="","",SUM($L$11:L55))</f>
        <v/>
      </c>
      <c r="N55" s="165" t="str">
        <f t="shared" si="8"/>
        <v/>
      </c>
      <c r="O55" s="166">
        <f>+O54+3</f>
        <v>184.3</v>
      </c>
      <c r="P55" s="167"/>
      <c r="Q55" s="166">
        <v>70</v>
      </c>
      <c r="W55" s="205">
        <v>0.1</v>
      </c>
      <c r="X55">
        <v>0.1</v>
      </c>
      <c r="Y55">
        <f>+Y54+X55</f>
        <v>6.8000000000000096</v>
      </c>
    </row>
    <row r="56" spans="1:25" ht="24" customHeight="1" x14ac:dyDescent="0.2">
      <c r="A56" s="305">
        <f t="shared" si="11"/>
        <v>43719</v>
      </c>
      <c r="B56" s="151">
        <f t="shared" si="12"/>
        <v>67</v>
      </c>
      <c r="C56" s="279" t="str">
        <f>IF('Prod-Rec'!C57="","",$M$2-SUM('Dem-Rec'!$C$8:$C$25)-SUM('Prod-Rec'!$C$9:C57))</f>
        <v/>
      </c>
      <c r="D56" s="280" t="str">
        <f>IF('Prod-Rec'!I57="","",$M$3-SUM('Dem-Rec'!$J$8:$J$25)-SUM('Prod-Rec'!$I$9:I57))</f>
        <v/>
      </c>
      <c r="E56" s="340" t="str">
        <f t="shared" si="10"/>
        <v/>
      </c>
      <c r="F56" s="324" t="str">
        <f t="shared" si="6"/>
        <v/>
      </c>
      <c r="G56" s="326" t="str">
        <f t="shared" si="7"/>
        <v/>
      </c>
      <c r="H56" s="362" t="str">
        <f t="shared" si="4"/>
        <v/>
      </c>
      <c r="I56" s="161" t="str">
        <f t="shared" si="13"/>
        <v/>
      </c>
      <c r="J56" s="165" t="str">
        <f t="shared" si="5"/>
        <v/>
      </c>
      <c r="K56" s="166">
        <v>45.4</v>
      </c>
      <c r="L56" s="255" t="str">
        <f>IF('Pon-Bat'!BE52="","",'Pon-Bat'!BE52)</f>
        <v/>
      </c>
      <c r="M56" s="256" t="str">
        <f>IF(L56="","",SUM($L$11:L56))</f>
        <v/>
      </c>
      <c r="N56" s="165" t="str">
        <f t="shared" si="8"/>
        <v/>
      </c>
      <c r="O56" s="166">
        <f>+O55+3</f>
        <v>187.3</v>
      </c>
      <c r="P56" s="167"/>
      <c r="Q56" s="166">
        <v>70.099999999999994</v>
      </c>
      <c r="W56" s="205">
        <v>0.1</v>
      </c>
      <c r="X56">
        <v>0.1</v>
      </c>
      <c r="Y56">
        <f>+Y55+X56</f>
        <v>6.9000000000000092</v>
      </c>
    </row>
    <row r="57" spans="1:25" ht="24" customHeight="1" x14ac:dyDescent="0.2">
      <c r="A57" s="305">
        <f t="shared" si="11"/>
        <v>43726</v>
      </c>
      <c r="B57" s="151">
        <f t="shared" si="12"/>
        <v>68</v>
      </c>
      <c r="C57" s="279" t="str">
        <f>IF('Prod-Rec'!C58="","",$M$2-SUM('Dem-Rec'!$C$8:$C$25)-SUM('Prod-Rec'!$C$9:C58))</f>
        <v/>
      </c>
      <c r="D57" s="280" t="str">
        <f>IF('Prod-Rec'!I58="","",$M$3-SUM('Dem-Rec'!$J$8:$J$25)-SUM('Prod-Rec'!$I$9:I58))</f>
        <v/>
      </c>
      <c r="E57" s="340" t="str">
        <f t="shared" si="10"/>
        <v/>
      </c>
      <c r="F57" s="324" t="str">
        <f t="shared" si="6"/>
        <v/>
      </c>
      <c r="G57" s="326" t="str">
        <f t="shared" si="7"/>
        <v/>
      </c>
      <c r="H57" s="362" t="str">
        <f t="shared" si="4"/>
        <v/>
      </c>
      <c r="I57" s="161" t="str">
        <f t="shared" si="13"/>
        <v/>
      </c>
      <c r="J57" s="165" t="str">
        <f t="shared" si="5"/>
        <v/>
      </c>
      <c r="K57" s="166">
        <v>44.5</v>
      </c>
      <c r="L57" s="255" t="str">
        <f>IF('Pon-Bat'!BE53="","",'Pon-Bat'!BE53)</f>
        <v/>
      </c>
      <c r="M57" s="256" t="str">
        <f>IF(L57="","",SUM($L$11:L57))</f>
        <v/>
      </c>
      <c r="N57" s="165" t="str">
        <f t="shared" si="8"/>
        <v/>
      </c>
      <c r="O57" s="166">
        <f>+O56+2.9</f>
        <v>190.20000000000002</v>
      </c>
      <c r="P57" s="167"/>
      <c r="Q57" s="166">
        <v>70.2</v>
      </c>
      <c r="W57" s="205">
        <v>0.1</v>
      </c>
      <c r="X57">
        <v>0.1</v>
      </c>
      <c r="Y57">
        <f>+Y56+X57</f>
        <v>7.0000000000000089</v>
      </c>
    </row>
    <row r="58" spans="1:25" ht="24" customHeight="1" x14ac:dyDescent="0.2">
      <c r="A58" s="305">
        <f t="shared" si="11"/>
        <v>43733</v>
      </c>
      <c r="B58" s="151">
        <f t="shared" si="12"/>
        <v>69</v>
      </c>
      <c r="C58" s="279" t="str">
        <f>IF('Prod-Rec'!C59="","",$M$2-SUM('Dem-Rec'!$C$8:$C$25)-SUM('Prod-Rec'!$C$9:C59))</f>
        <v/>
      </c>
      <c r="D58" s="280" t="str">
        <f>IF('Prod-Rec'!I59="","",$M$3-SUM('Dem-Rec'!$J$8:$J$25)-SUM('Prod-Rec'!$I$9:I59))</f>
        <v/>
      </c>
      <c r="E58" s="340" t="str">
        <f t="shared" si="10"/>
        <v/>
      </c>
      <c r="F58" s="324" t="str">
        <f t="shared" si="6"/>
        <v/>
      </c>
      <c r="G58" s="326" t="str">
        <f t="shared" si="7"/>
        <v/>
      </c>
      <c r="H58" s="362" t="str">
        <f t="shared" si="4"/>
        <v/>
      </c>
      <c r="I58" s="161" t="str">
        <f t="shared" si="13"/>
        <v/>
      </c>
      <c r="J58" s="165" t="str">
        <f t="shared" si="5"/>
        <v/>
      </c>
      <c r="K58" s="166">
        <v>43.6</v>
      </c>
      <c r="L58" s="255" t="str">
        <f>IF('Pon-Bat'!BE54="","",'Pon-Bat'!BE54)</f>
        <v/>
      </c>
      <c r="M58" s="256" t="str">
        <f>IF(L58="","",SUM($L$11:L58))</f>
        <v/>
      </c>
      <c r="N58" s="165" t="str">
        <f t="shared" si="8"/>
        <v/>
      </c>
      <c r="O58" s="166">
        <f>+O57+2.9</f>
        <v>193.10000000000002</v>
      </c>
      <c r="P58" s="167"/>
      <c r="Q58" s="166">
        <v>70.3</v>
      </c>
      <c r="W58" s="205">
        <v>0.1</v>
      </c>
      <c r="X58">
        <v>0.1</v>
      </c>
      <c r="Y58">
        <f>+Y57+X58</f>
        <v>7.1000000000000085</v>
      </c>
    </row>
    <row r="59" spans="1:25" ht="24" customHeight="1" thickBot="1" x14ac:dyDescent="0.25">
      <c r="A59" s="307">
        <f t="shared" si="11"/>
        <v>43740</v>
      </c>
      <c r="B59" s="168">
        <f t="shared" si="12"/>
        <v>70</v>
      </c>
      <c r="C59" s="281" t="str">
        <f>IF('Prod-Rec'!C60="","",$M$2-SUM('Dem-Rec'!$C$8:$C$25)-SUM('Prod-Rec'!$C$9:C60))</f>
        <v/>
      </c>
      <c r="D59" s="282" t="str">
        <f>IF('Prod-Rec'!I60="","",$M$3-SUM('Dem-Rec'!$J$8:$J$25)-SUM('Prod-Rec'!$I$9:I60))</f>
        <v/>
      </c>
      <c r="E59" s="341" t="str">
        <f t="shared" si="10"/>
        <v/>
      </c>
      <c r="F59" s="325" t="str">
        <f t="shared" si="6"/>
        <v/>
      </c>
      <c r="G59" s="327" t="str">
        <f t="shared" si="7"/>
        <v/>
      </c>
      <c r="H59" s="363" t="str">
        <f t="shared" si="4"/>
        <v/>
      </c>
      <c r="I59" s="169" t="str">
        <f t="shared" si="13"/>
        <v/>
      </c>
      <c r="J59" s="170" t="str">
        <f t="shared" si="5"/>
        <v/>
      </c>
      <c r="K59" s="171">
        <v>42.7</v>
      </c>
      <c r="L59" s="255" t="str">
        <f>IF('Pon-Bat'!BE55="","",'Pon-Bat'!BE55)</f>
        <v/>
      </c>
      <c r="M59" s="258" t="str">
        <f>IF(L59="","",SUM($L$11:L59))</f>
        <v/>
      </c>
      <c r="N59" s="170" t="str">
        <f t="shared" si="8"/>
        <v/>
      </c>
      <c r="O59" s="171">
        <f>+O58+2.8</f>
        <v>195.90000000000003</v>
      </c>
      <c r="P59" s="172"/>
      <c r="Q59" s="171">
        <v>70.400000000000006</v>
      </c>
      <c r="W59" s="205">
        <v>0.1</v>
      </c>
      <c r="X59">
        <v>0.1</v>
      </c>
      <c r="Y59">
        <f>+Y58+X59</f>
        <v>7.2000000000000082</v>
      </c>
    </row>
    <row r="60" spans="1:25" ht="28.35" customHeight="1" thickTop="1" x14ac:dyDescent="0.2">
      <c r="B60" s="1"/>
    </row>
  </sheetData>
  <mergeCells count="1">
    <mergeCell ref="M1:N1"/>
  </mergeCells>
  <phoneticPr fontId="17" type="noConversion"/>
  <printOptions horizontalCentered="1"/>
  <pageMargins left="0" right="0" top="0.39370078740157483" bottom="0.98425196850393704" header="0.11811023622047245" footer="0"/>
  <pageSetup paperSize="9" scale="70" orientation="portrait" horizontalDpi="180" verticalDpi="180" r:id="rId1"/>
  <headerFooter alignWithMargins="0">
    <oddHeader>&amp;C&amp;A</oddHeader>
    <oddFooter>&amp;L&amp;6&amp;F&amp;C&amp;8Preparado por COBB Española&amp;D&amp;R&amp;P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3"/>
  </sheetPr>
  <dimension ref="A1:R63"/>
  <sheetViews>
    <sheetView showGridLines="0"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10" sqref="K10"/>
    </sheetView>
  </sheetViews>
  <sheetFormatPr baseColWidth="10" defaultRowHeight="12.75" x14ac:dyDescent="0.2"/>
  <cols>
    <col min="1" max="1" width="10.5703125" customWidth="1"/>
    <col min="2" max="2" width="7" customWidth="1"/>
    <col min="3" max="3" width="10.5703125" bestFit="1" customWidth="1"/>
    <col min="4" max="4" width="10.42578125" bestFit="1" customWidth="1"/>
    <col min="5" max="5" width="11" bestFit="1" customWidth="1"/>
    <col min="6" max="6" width="17.140625" bestFit="1" customWidth="1"/>
    <col min="7" max="7" width="14.42578125" bestFit="1" customWidth="1"/>
    <col min="8" max="8" width="13.5703125" customWidth="1"/>
    <col min="9" max="9" width="9.5703125" hidden="1" customWidth="1"/>
    <col min="10" max="11" width="11.28515625" customWidth="1"/>
    <col min="12" max="12" width="14" customWidth="1"/>
    <col min="13" max="13" width="14.42578125" customWidth="1"/>
    <col min="14" max="14" width="10.85546875" customWidth="1"/>
    <col min="15" max="15" width="11.42578125" customWidth="1"/>
    <col min="16" max="16" width="8.7109375" customWidth="1"/>
  </cols>
  <sheetData>
    <row r="1" spans="1:18" ht="24.95" customHeight="1" x14ac:dyDescent="0.25">
      <c r="A1" s="20" t="s">
        <v>125</v>
      </c>
      <c r="B1" s="21"/>
      <c r="C1" s="22"/>
      <c r="D1" s="23" t="str">
        <f>IF(LOT!$B$3="","",LOT!$B$3)</f>
        <v>CASAP-BLIDA</v>
      </c>
      <c r="E1" s="21"/>
      <c r="F1" s="21"/>
      <c r="G1" s="21"/>
      <c r="H1" s="24" t="s">
        <v>171</v>
      </c>
      <c r="I1" s="24"/>
      <c r="J1" s="25"/>
      <c r="K1" s="21"/>
      <c r="L1" s="308">
        <f>LOT!$B$4</f>
        <v>43250</v>
      </c>
      <c r="M1" s="25"/>
      <c r="N1" s="25" t="s">
        <v>174</v>
      </c>
      <c r="O1" s="21"/>
      <c r="P1" s="310" t="str">
        <f>'Pon-Rec'!$C$13</f>
        <v/>
      </c>
    </row>
    <row r="2" spans="1:18" ht="24.95" customHeight="1" x14ac:dyDescent="0.25">
      <c r="A2" s="20" t="s">
        <v>191</v>
      </c>
      <c r="B2" s="21"/>
      <c r="C2" s="22"/>
      <c r="D2" s="22" t="str">
        <f>IF(LOT!$B$8="","",LOT!$B$8)</f>
        <v/>
      </c>
      <c r="E2" s="21"/>
      <c r="F2" s="21"/>
      <c r="G2" s="21"/>
      <c r="H2" s="24" t="s">
        <v>172</v>
      </c>
      <c r="I2" s="24"/>
      <c r="J2" s="24"/>
      <c r="K2" s="21"/>
      <c r="L2" s="309">
        <f>IF(LOT!$B$5="","",LOT!$B$5)</f>
        <v>7872</v>
      </c>
      <c r="M2" s="25"/>
      <c r="N2" s="35" t="s">
        <v>136</v>
      </c>
      <c r="O2" s="22"/>
      <c r="P2" s="309">
        <f>IF(L2="","",L2-SUM('Prod-Rec'!C8:C60)-SUM('Dem-Rec'!C8:C24))</f>
        <v>7695</v>
      </c>
    </row>
    <row r="3" spans="1:18" ht="24.95" customHeight="1" x14ac:dyDescent="0.25">
      <c r="A3" s="20" t="s">
        <v>192</v>
      </c>
      <c r="B3" s="21"/>
      <c r="C3" s="22"/>
      <c r="D3" s="22" t="str">
        <f>IF(LOT!$B$7="","",LOT!$B$7)</f>
        <v>AIN OUSSERA-ALGERIE</v>
      </c>
      <c r="E3" s="21"/>
      <c r="F3" s="21"/>
      <c r="G3" s="21"/>
      <c r="H3" s="24" t="s">
        <v>173</v>
      </c>
      <c r="I3" s="24"/>
      <c r="J3" s="24"/>
      <c r="K3" s="22"/>
      <c r="L3" s="309">
        <f>IF(LOT!$B$6="","",LOT!$B$6)</f>
        <v>1200</v>
      </c>
      <c r="M3" s="25"/>
      <c r="N3" s="35" t="s">
        <v>137</v>
      </c>
      <c r="O3" s="22"/>
      <c r="P3" s="309">
        <f>IF(L3="","",L3-SUM('Prod-Rec'!$I$8:$I$60)-SUM('Dem-Rec'!$J$8:$J$24))</f>
        <v>1156</v>
      </c>
    </row>
    <row r="4" spans="1:18" ht="15" customHeight="1" thickBot="1" x14ac:dyDescent="0.25"/>
    <row r="5" spans="1:18" ht="27.95" customHeight="1" thickTop="1" thickBot="1" x14ac:dyDescent="0.25">
      <c r="C5" s="58" t="s">
        <v>155</v>
      </c>
      <c r="D5" s="62" t="s">
        <v>193</v>
      </c>
      <c r="E5" s="75" t="s">
        <v>194</v>
      </c>
      <c r="F5" s="76" t="s">
        <v>195</v>
      </c>
      <c r="G5" s="66" t="s">
        <v>196</v>
      </c>
      <c r="H5" s="58" t="s">
        <v>197</v>
      </c>
      <c r="I5" s="347"/>
      <c r="J5" s="74" t="s">
        <v>198</v>
      </c>
      <c r="K5" s="75" t="s">
        <v>198</v>
      </c>
      <c r="L5" s="76" t="s">
        <v>199</v>
      </c>
      <c r="M5" s="87" t="s">
        <v>200</v>
      </c>
      <c r="N5" s="90" t="s">
        <v>11</v>
      </c>
      <c r="O5" s="87" t="s">
        <v>12</v>
      </c>
      <c r="P5" s="92" t="s">
        <v>11</v>
      </c>
    </row>
    <row r="6" spans="1:18" ht="27.95" customHeight="1" thickTop="1" thickBot="1" x14ac:dyDescent="0.25">
      <c r="A6" s="79" t="s">
        <v>80</v>
      </c>
      <c r="B6" s="80" t="s">
        <v>79</v>
      </c>
      <c r="C6" s="60" t="s">
        <v>201</v>
      </c>
      <c r="D6" s="63" t="s">
        <v>9</v>
      </c>
      <c r="E6" s="78" t="s">
        <v>187</v>
      </c>
      <c r="F6" s="63" t="s">
        <v>202</v>
      </c>
      <c r="G6" s="64" t="s">
        <v>203</v>
      </c>
      <c r="H6" s="60" t="s">
        <v>204</v>
      </c>
      <c r="I6" s="348"/>
      <c r="J6" s="77" t="s">
        <v>204</v>
      </c>
      <c r="K6" s="78" t="s">
        <v>187</v>
      </c>
      <c r="L6" s="63" t="s">
        <v>255</v>
      </c>
      <c r="M6" s="88" t="s">
        <v>256</v>
      </c>
      <c r="N6" s="91" t="s">
        <v>204</v>
      </c>
      <c r="O6" s="89" t="s">
        <v>11</v>
      </c>
      <c r="P6" s="93" t="s">
        <v>10</v>
      </c>
    </row>
    <row r="7" spans="1:18" ht="24" customHeight="1" x14ac:dyDescent="0.2">
      <c r="A7" s="304">
        <f>L1+126</f>
        <v>43376</v>
      </c>
      <c r="B7" s="173">
        <v>18</v>
      </c>
      <c r="C7" s="174"/>
      <c r="D7" s="149"/>
      <c r="E7" s="149"/>
      <c r="F7" s="146"/>
      <c r="G7" s="147"/>
      <c r="H7" s="174"/>
      <c r="I7" s="176"/>
      <c r="J7" s="155"/>
      <c r="K7" s="156"/>
      <c r="L7" s="153"/>
      <c r="M7" s="175"/>
      <c r="N7" s="176"/>
      <c r="O7" s="175"/>
      <c r="P7" s="177"/>
      <c r="R7" s="261"/>
    </row>
    <row r="8" spans="1:18" ht="24" customHeight="1" x14ac:dyDescent="0.2">
      <c r="A8" s="305">
        <f t="shared" ref="A8:A23" si="0">A7+7</f>
        <v>43383</v>
      </c>
      <c r="B8" s="178">
        <f>+B7+1</f>
        <v>19</v>
      </c>
      <c r="C8" s="179"/>
      <c r="D8" s="156"/>
      <c r="E8" s="156"/>
      <c r="F8" s="153"/>
      <c r="G8" s="154"/>
      <c r="H8" s="179"/>
      <c r="I8" s="176"/>
      <c r="J8" s="155"/>
      <c r="K8" s="156"/>
      <c r="L8" s="153"/>
      <c r="M8" s="180"/>
      <c r="N8" s="176"/>
      <c r="O8" s="180"/>
      <c r="P8" s="177"/>
      <c r="R8" s="261"/>
    </row>
    <row r="9" spans="1:18" ht="24" customHeight="1" x14ac:dyDescent="0.2">
      <c r="A9" s="305">
        <f t="shared" si="0"/>
        <v>43390</v>
      </c>
      <c r="B9" s="178">
        <f t="shared" ref="B9:B24" si="1">+B8+1</f>
        <v>20</v>
      </c>
      <c r="C9" s="179"/>
      <c r="D9" s="156"/>
      <c r="E9" s="156"/>
      <c r="F9" s="153"/>
      <c r="G9" s="154"/>
      <c r="H9" s="179"/>
      <c r="I9" s="176"/>
      <c r="J9" s="155"/>
      <c r="K9" s="156"/>
      <c r="L9" s="153"/>
      <c r="M9" s="180"/>
      <c r="N9" s="176"/>
      <c r="O9" s="180"/>
      <c r="P9" s="177"/>
      <c r="R9" s="261"/>
    </row>
    <row r="10" spans="1:18" ht="24" customHeight="1" x14ac:dyDescent="0.2">
      <c r="A10" s="305">
        <f t="shared" si="0"/>
        <v>43397</v>
      </c>
      <c r="B10" s="178">
        <f t="shared" si="1"/>
        <v>21</v>
      </c>
      <c r="C10" s="179"/>
      <c r="D10" s="156"/>
      <c r="E10" s="156"/>
      <c r="F10" s="153"/>
      <c r="G10" s="154"/>
      <c r="H10" s="179"/>
      <c r="I10" s="176"/>
      <c r="J10" s="155"/>
      <c r="K10" s="156"/>
      <c r="L10" s="153"/>
      <c r="M10" s="180"/>
      <c r="N10" s="176"/>
      <c r="O10" s="180"/>
      <c r="P10" s="177"/>
      <c r="R10" s="261"/>
    </row>
    <row r="11" spans="1:18" ht="24" customHeight="1" x14ac:dyDescent="0.2">
      <c r="A11" s="305">
        <f t="shared" si="0"/>
        <v>43404</v>
      </c>
      <c r="B11" s="178">
        <f t="shared" si="1"/>
        <v>22</v>
      </c>
      <c r="C11" s="259"/>
      <c r="D11" s="181" t="str">
        <f>IF(C11="","",('Pon-Rec'!L11-C11)/'Pon-Rec'!L11)</f>
        <v/>
      </c>
      <c r="E11" s="256" t="str">
        <f>IF(C11="","",C11)</f>
        <v/>
      </c>
      <c r="F11" s="153"/>
      <c r="G11" s="154"/>
      <c r="H11" s="259" t="str">
        <f>IF(C11="","",C11)</f>
        <v/>
      </c>
      <c r="I11" s="349" t="str">
        <f>H11</f>
        <v/>
      </c>
      <c r="J11" s="255"/>
      <c r="K11" s="256" t="str">
        <f>IF(J11="","",J11)</f>
        <v/>
      </c>
      <c r="L11" s="153"/>
      <c r="M11" s="180"/>
      <c r="N11" s="167" t="str">
        <f t="shared" ref="N11:N17" si="2">IF(H11="","",IF(J11="","",J11/H11*100))</f>
        <v/>
      </c>
      <c r="O11" s="180"/>
      <c r="P11" s="182" t="str">
        <f>IF(H11="","",IF(J11="","",K11/I11*100))</f>
        <v/>
      </c>
      <c r="R11" s="261"/>
    </row>
    <row r="12" spans="1:18" ht="24" customHeight="1" x14ac:dyDescent="0.2">
      <c r="A12" s="305">
        <f t="shared" si="0"/>
        <v>43411</v>
      </c>
      <c r="B12" s="178">
        <f t="shared" si="1"/>
        <v>23</v>
      </c>
      <c r="C12" s="259" t="str">
        <f>+'Pon-Bat'!BK8</f>
        <v/>
      </c>
      <c r="D12" s="181" t="str">
        <f>IF(C12="","",('Pon-Rec'!L12-C12)/'Pon-Rec'!L12)</f>
        <v/>
      </c>
      <c r="E12" s="256" t="str">
        <f>IF(C12="","",SUM($C$11:C12))</f>
        <v/>
      </c>
      <c r="F12" s="162"/>
      <c r="G12" s="163"/>
      <c r="H12" s="259" t="str">
        <f t="shared" ref="H12:H59" si="3">IF(C12="","",C12)</f>
        <v/>
      </c>
      <c r="I12" s="349">
        <f>SUM($H$11:H12)</f>
        <v>0</v>
      </c>
      <c r="J12" s="255"/>
      <c r="K12" s="256" t="str">
        <f>IF(J12="","",SUM($J$11:J12))</f>
        <v/>
      </c>
      <c r="L12" s="162"/>
      <c r="M12" s="123"/>
      <c r="N12" s="167" t="str">
        <f t="shared" si="2"/>
        <v/>
      </c>
      <c r="O12" s="123"/>
      <c r="P12" s="182" t="str">
        <f t="shared" ref="P12:P59" si="4">IF(H12="","",IF(J12="","",K12/I12*100))</f>
        <v/>
      </c>
      <c r="R12" s="261"/>
    </row>
    <row r="13" spans="1:18" ht="24" customHeight="1" x14ac:dyDescent="0.2">
      <c r="A13" s="305">
        <f t="shared" si="0"/>
        <v>43418</v>
      </c>
      <c r="B13" s="178">
        <f t="shared" si="1"/>
        <v>24</v>
      </c>
      <c r="C13" s="259" t="str">
        <f>+'Pon-Bat'!BK9</f>
        <v/>
      </c>
      <c r="D13" s="181" t="str">
        <f>IF(C13="","",('Pon-Rec'!L13-C13)/'Pon-Rec'!L13)</f>
        <v/>
      </c>
      <c r="E13" s="256" t="str">
        <f>IF(C13="","",SUM($C$11:C13))</f>
        <v/>
      </c>
      <c r="F13" s="165" t="str">
        <f t="shared" ref="F13:F59" si="5">IF(C13="","",E13/$P$1)</f>
        <v/>
      </c>
      <c r="G13" s="166">
        <v>0.1</v>
      </c>
      <c r="H13" s="259" t="str">
        <f t="shared" si="3"/>
        <v/>
      </c>
      <c r="I13" s="349">
        <f>SUM($H$11:H13)</f>
        <v>0</v>
      </c>
      <c r="J13" s="255"/>
      <c r="K13" s="256" t="str">
        <f>IF(J13="","",SUM($J$11:J13))</f>
        <v/>
      </c>
      <c r="L13" s="165" t="str">
        <f>IF(J13="","",K13/$P$1)</f>
        <v/>
      </c>
      <c r="M13" s="183">
        <v>0.1</v>
      </c>
      <c r="N13" s="189" t="str">
        <f t="shared" si="2"/>
        <v/>
      </c>
      <c r="O13" s="183">
        <v>72</v>
      </c>
      <c r="P13" s="184" t="str">
        <f t="shared" si="4"/>
        <v/>
      </c>
      <c r="R13" s="261"/>
    </row>
    <row r="14" spans="1:18" ht="24" customHeight="1" x14ac:dyDescent="0.2">
      <c r="A14" s="305">
        <f t="shared" si="0"/>
        <v>43425</v>
      </c>
      <c r="B14" s="178">
        <f t="shared" si="1"/>
        <v>25</v>
      </c>
      <c r="C14" s="259" t="str">
        <f>+'Pon-Bat'!BK10</f>
        <v/>
      </c>
      <c r="D14" s="181" t="str">
        <f>IF(C14="","",('Pon-Rec'!L14-C14)/'Pon-Rec'!L14)</f>
        <v/>
      </c>
      <c r="E14" s="256" t="str">
        <f>IF(C14="","",SUM($C$11:C14))</f>
        <v/>
      </c>
      <c r="F14" s="165" t="str">
        <f t="shared" si="5"/>
        <v/>
      </c>
      <c r="G14" s="166">
        <v>0.9</v>
      </c>
      <c r="H14" s="259" t="str">
        <f t="shared" si="3"/>
        <v/>
      </c>
      <c r="I14" s="349">
        <f>SUM($H$11:H14)</f>
        <v>0</v>
      </c>
      <c r="J14" s="255"/>
      <c r="K14" s="256" t="str">
        <f>IF(J14="","",SUM($J$11:J14))</f>
        <v/>
      </c>
      <c r="L14" s="165" t="str">
        <f t="shared" ref="L14:L59" si="6">IF(J14="","",K14/$P$1)</f>
        <v/>
      </c>
      <c r="M14" s="183">
        <v>0.7</v>
      </c>
      <c r="N14" s="189" t="str">
        <f t="shared" si="2"/>
        <v/>
      </c>
      <c r="O14" s="183">
        <v>78</v>
      </c>
      <c r="P14" s="184" t="str">
        <f t="shared" si="4"/>
        <v/>
      </c>
      <c r="R14" s="261"/>
    </row>
    <row r="15" spans="1:18" ht="24" customHeight="1" x14ac:dyDescent="0.2">
      <c r="A15" s="305">
        <f t="shared" si="0"/>
        <v>43432</v>
      </c>
      <c r="B15" s="178">
        <f t="shared" si="1"/>
        <v>26</v>
      </c>
      <c r="C15" s="259" t="str">
        <f>+'Pon-Bat'!BK11</f>
        <v/>
      </c>
      <c r="D15" s="181" t="str">
        <f>IF(C15="","",('Pon-Rec'!L15-C15)/'Pon-Rec'!L15)</f>
        <v/>
      </c>
      <c r="E15" s="256" t="str">
        <f>IF(C15="","",SUM($C$11:C15))</f>
        <v/>
      </c>
      <c r="F15" s="165" t="str">
        <f t="shared" si="5"/>
        <v/>
      </c>
      <c r="G15" s="166">
        <v>3.5</v>
      </c>
      <c r="H15" s="259" t="str">
        <f t="shared" si="3"/>
        <v/>
      </c>
      <c r="I15" s="349">
        <f>SUM($H$11:H15)</f>
        <v>0</v>
      </c>
      <c r="J15" s="255"/>
      <c r="K15" s="256" t="str">
        <f>IF(J15="","",SUM($J$11:J15))</f>
        <v/>
      </c>
      <c r="L15" s="165" t="str">
        <f t="shared" si="6"/>
        <v/>
      </c>
      <c r="M15" s="183">
        <v>2.8</v>
      </c>
      <c r="N15" s="189" t="str">
        <f t="shared" si="2"/>
        <v/>
      </c>
      <c r="O15" s="183">
        <v>80</v>
      </c>
      <c r="P15" s="184" t="str">
        <f t="shared" si="4"/>
        <v/>
      </c>
      <c r="R15" s="351"/>
    </row>
    <row r="16" spans="1:18" ht="24" customHeight="1" x14ac:dyDescent="0.2">
      <c r="A16" s="305">
        <f t="shared" si="0"/>
        <v>43439</v>
      </c>
      <c r="B16" s="178">
        <f t="shared" si="1"/>
        <v>27</v>
      </c>
      <c r="C16" s="259" t="str">
        <f>+'Pon-Bat'!BK12</f>
        <v/>
      </c>
      <c r="D16" s="181" t="str">
        <f>IF(C16="","",('Pon-Rec'!L16-C16)/'Pon-Rec'!L16)</f>
        <v/>
      </c>
      <c r="E16" s="256" t="str">
        <f>IF(C16="","",SUM($C$11:C16))</f>
        <v/>
      </c>
      <c r="F16" s="165" t="str">
        <f t="shared" si="5"/>
        <v/>
      </c>
      <c r="G16" s="166">
        <v>7.5</v>
      </c>
      <c r="H16" s="259" t="str">
        <f>IF(C16="","",C16)</f>
        <v/>
      </c>
      <c r="I16" s="349">
        <f>SUM($H$11:H16)</f>
        <v>0</v>
      </c>
      <c r="J16" s="255"/>
      <c r="K16" s="256" t="str">
        <f>IF(J16="","",SUM($J$11:J16))</f>
        <v/>
      </c>
      <c r="L16" s="165" t="str">
        <f t="shared" si="6"/>
        <v/>
      </c>
      <c r="M16" s="183">
        <v>6.1</v>
      </c>
      <c r="N16" s="189" t="str">
        <f t="shared" si="2"/>
        <v/>
      </c>
      <c r="O16" s="183">
        <v>82</v>
      </c>
      <c r="P16" s="184" t="str">
        <f t="shared" si="4"/>
        <v/>
      </c>
      <c r="R16" s="261"/>
    </row>
    <row r="17" spans="1:18" ht="24" customHeight="1" x14ac:dyDescent="0.2">
      <c r="A17" s="305">
        <f t="shared" si="0"/>
        <v>43446</v>
      </c>
      <c r="B17" s="178">
        <f t="shared" si="1"/>
        <v>28</v>
      </c>
      <c r="C17" s="259" t="str">
        <f>+'Pon-Bat'!BK13</f>
        <v/>
      </c>
      <c r="D17" s="181" t="str">
        <f>IF(C17="","",('Pon-Rec'!L17-C17)/'Pon-Rec'!L17)</f>
        <v/>
      </c>
      <c r="E17" s="256" t="str">
        <f>IF(C17="","",SUM($C$11:C17))</f>
        <v/>
      </c>
      <c r="F17" s="165" t="str">
        <f t="shared" si="5"/>
        <v/>
      </c>
      <c r="G17" s="166">
        <v>12.8</v>
      </c>
      <c r="H17" s="259" t="str">
        <f t="shared" si="3"/>
        <v/>
      </c>
      <c r="I17" s="349">
        <f>SUM($H$11:H17)</f>
        <v>0</v>
      </c>
      <c r="J17" s="255"/>
      <c r="K17" s="256" t="str">
        <f>IF(J17="","",SUM($J$11:J17))</f>
        <v/>
      </c>
      <c r="L17" s="165" t="str">
        <f t="shared" si="6"/>
        <v/>
      </c>
      <c r="M17" s="183">
        <v>10.5</v>
      </c>
      <c r="N17" s="189" t="str">
        <f t="shared" si="2"/>
        <v/>
      </c>
      <c r="O17" s="183">
        <v>84</v>
      </c>
      <c r="P17" s="184" t="str">
        <f t="shared" si="4"/>
        <v/>
      </c>
      <c r="R17" s="261"/>
    </row>
    <row r="18" spans="1:18" ht="24" customHeight="1" x14ac:dyDescent="0.2">
      <c r="A18" s="305">
        <f t="shared" si="0"/>
        <v>43453</v>
      </c>
      <c r="B18" s="178">
        <f t="shared" si="1"/>
        <v>29</v>
      </c>
      <c r="C18" s="259" t="str">
        <f>+'Pon-Bat'!BK14</f>
        <v/>
      </c>
      <c r="D18" s="181" t="str">
        <f>IF(C18="","",('Pon-Rec'!L18-C18)/'Pon-Rec'!L18)</f>
        <v/>
      </c>
      <c r="E18" s="256" t="str">
        <f>IF(C18="","",SUM($C$11:C18))</f>
        <v/>
      </c>
      <c r="F18" s="165" t="str">
        <f t="shared" si="5"/>
        <v/>
      </c>
      <c r="G18" s="166">
        <v>18.399999999999999</v>
      </c>
      <c r="H18" s="259" t="str">
        <f t="shared" si="3"/>
        <v/>
      </c>
      <c r="I18" s="349">
        <f>SUM($H$11:H18)</f>
        <v>0</v>
      </c>
      <c r="J18" s="255"/>
      <c r="K18" s="256" t="str">
        <f>IF(J18="","",SUM($J$11:J18))</f>
        <v/>
      </c>
      <c r="L18" s="165" t="str">
        <f t="shared" si="6"/>
        <v/>
      </c>
      <c r="M18" s="183">
        <v>15.2</v>
      </c>
      <c r="N18" s="189"/>
      <c r="O18" s="183">
        <v>85</v>
      </c>
      <c r="P18" s="184" t="str">
        <f t="shared" si="4"/>
        <v/>
      </c>
      <c r="R18" s="261"/>
    </row>
    <row r="19" spans="1:18" ht="24" customHeight="1" x14ac:dyDescent="0.2">
      <c r="A19" s="305">
        <f t="shared" si="0"/>
        <v>43460</v>
      </c>
      <c r="B19" s="178">
        <f t="shared" si="1"/>
        <v>30</v>
      </c>
      <c r="C19" s="259" t="str">
        <f>+'Pon-Bat'!BK15</f>
        <v/>
      </c>
      <c r="D19" s="181" t="str">
        <f>IF(C19="","",('Pon-Rec'!L19-C19)/'Pon-Rec'!L19)</f>
        <v/>
      </c>
      <c r="E19" s="256" t="str">
        <f>IF(C19="","",SUM($C$11:C19))</f>
        <v/>
      </c>
      <c r="F19" s="165" t="str">
        <f t="shared" si="5"/>
        <v/>
      </c>
      <c r="G19" s="166">
        <v>24.1</v>
      </c>
      <c r="H19" s="259" t="str">
        <f t="shared" si="3"/>
        <v/>
      </c>
      <c r="I19" s="349">
        <f>SUM($H$11:H19)</f>
        <v>0</v>
      </c>
      <c r="J19" s="255"/>
      <c r="K19" s="256" t="str">
        <f>IF(J19="","",SUM($J$11:J19))</f>
        <v/>
      </c>
      <c r="L19" s="165" t="str">
        <f t="shared" si="6"/>
        <v/>
      </c>
      <c r="M19" s="183">
        <v>20.100000000000001</v>
      </c>
      <c r="N19" s="189"/>
      <c r="O19" s="183">
        <v>86</v>
      </c>
      <c r="P19" s="184" t="str">
        <f t="shared" si="4"/>
        <v/>
      </c>
      <c r="R19" s="261"/>
    </row>
    <row r="20" spans="1:18" ht="24" customHeight="1" x14ac:dyDescent="0.2">
      <c r="A20" s="305">
        <f t="shared" si="0"/>
        <v>43467</v>
      </c>
      <c r="B20" s="178">
        <f t="shared" si="1"/>
        <v>31</v>
      </c>
      <c r="C20" s="259" t="str">
        <f>+'Pon-Bat'!BK16</f>
        <v/>
      </c>
      <c r="D20" s="181" t="str">
        <f>IF(C20="","",('Pon-Rec'!L20-C20)/'Pon-Rec'!L20)</f>
        <v/>
      </c>
      <c r="E20" s="256" t="str">
        <f>IF(C20="","",SUM($C$11:C20))</f>
        <v/>
      </c>
      <c r="F20" s="165" t="str">
        <f t="shared" si="5"/>
        <v/>
      </c>
      <c r="G20" s="166">
        <v>29.8</v>
      </c>
      <c r="H20" s="259" t="str">
        <f t="shared" si="3"/>
        <v/>
      </c>
      <c r="I20" s="349">
        <f>SUM($H$11:H20)</f>
        <v>0</v>
      </c>
      <c r="J20" s="255"/>
      <c r="K20" s="256" t="str">
        <f>IF(J20="","",SUM($J$11:J20))</f>
        <v/>
      </c>
      <c r="L20" s="165" t="str">
        <f t="shared" si="6"/>
        <v/>
      </c>
      <c r="M20" s="183">
        <v>25.1</v>
      </c>
      <c r="N20" s="189"/>
      <c r="O20" s="183">
        <v>87</v>
      </c>
      <c r="P20" s="184" t="str">
        <f t="shared" si="4"/>
        <v/>
      </c>
      <c r="R20" s="261"/>
    </row>
    <row r="21" spans="1:18" ht="24" customHeight="1" x14ac:dyDescent="0.2">
      <c r="A21" s="305">
        <f t="shared" si="0"/>
        <v>43474</v>
      </c>
      <c r="B21" s="178">
        <f t="shared" si="1"/>
        <v>32</v>
      </c>
      <c r="C21" s="259" t="str">
        <f>+'Pon-Bat'!BK17</f>
        <v/>
      </c>
      <c r="D21" s="181" t="str">
        <f>IF(C21="","",('Pon-Rec'!L21-C21)/'Pon-Rec'!L21)</f>
        <v/>
      </c>
      <c r="E21" s="256" t="str">
        <f>IF(C21="","",SUM($C$11:C21))</f>
        <v/>
      </c>
      <c r="F21" s="165" t="str">
        <f t="shared" si="5"/>
        <v/>
      </c>
      <c r="G21" s="166">
        <v>35.4</v>
      </c>
      <c r="H21" s="259" t="str">
        <f t="shared" si="3"/>
        <v/>
      </c>
      <c r="I21" s="349">
        <f>SUM($H$11:H21)</f>
        <v>0</v>
      </c>
      <c r="J21" s="255"/>
      <c r="K21" s="256" t="str">
        <f>IF(J21="","",SUM($J$11:J21))</f>
        <v/>
      </c>
      <c r="L21" s="165" t="str">
        <f t="shared" si="6"/>
        <v/>
      </c>
      <c r="M21" s="183">
        <v>30.1</v>
      </c>
      <c r="N21" s="189"/>
      <c r="O21" s="183">
        <v>88</v>
      </c>
      <c r="P21" s="184" t="str">
        <f t="shared" si="4"/>
        <v/>
      </c>
      <c r="R21" s="261"/>
    </row>
    <row r="22" spans="1:18" ht="24" customHeight="1" x14ac:dyDescent="0.2">
      <c r="A22" s="305">
        <f t="shared" si="0"/>
        <v>43481</v>
      </c>
      <c r="B22" s="178">
        <f t="shared" si="1"/>
        <v>33</v>
      </c>
      <c r="C22" s="259" t="str">
        <f>+'Pon-Bat'!BK18</f>
        <v/>
      </c>
      <c r="D22" s="181" t="str">
        <f>IF(C22="","",('Pon-Rec'!L22-C22)/'Pon-Rec'!L22)</f>
        <v/>
      </c>
      <c r="E22" s="256" t="str">
        <f>IF(C22="","",SUM($C$11:C22))</f>
        <v/>
      </c>
      <c r="F22" s="165" t="str">
        <f t="shared" si="5"/>
        <v/>
      </c>
      <c r="G22" s="166">
        <v>41</v>
      </c>
      <c r="H22" s="259" t="str">
        <f t="shared" si="3"/>
        <v/>
      </c>
      <c r="I22" s="349">
        <f>SUM($H$11:H22)</f>
        <v>0</v>
      </c>
      <c r="J22" s="255"/>
      <c r="K22" s="256" t="str">
        <f>IF(J22="","",SUM($J$11:J22))</f>
        <v/>
      </c>
      <c r="L22" s="165" t="str">
        <f t="shared" si="6"/>
        <v/>
      </c>
      <c r="M22" s="183">
        <v>35.1</v>
      </c>
      <c r="N22" s="189"/>
      <c r="O22" s="183">
        <v>89</v>
      </c>
      <c r="P22" s="184" t="str">
        <f t="shared" si="4"/>
        <v/>
      </c>
      <c r="R22" s="261"/>
    </row>
    <row r="23" spans="1:18" ht="24" customHeight="1" x14ac:dyDescent="0.2">
      <c r="A23" s="305">
        <f t="shared" si="0"/>
        <v>43488</v>
      </c>
      <c r="B23" s="178">
        <f t="shared" si="1"/>
        <v>34</v>
      </c>
      <c r="C23" s="259" t="str">
        <f>+'Pon-Bat'!BK19</f>
        <v/>
      </c>
      <c r="D23" s="181" t="str">
        <f>IF(C23="","",('Pon-Rec'!L23-C23)/'Pon-Rec'!L23)</f>
        <v/>
      </c>
      <c r="E23" s="256" t="str">
        <f>IF(C23="","",SUM($C$11:C23))</f>
        <v/>
      </c>
      <c r="F23" s="165" t="str">
        <f t="shared" si="5"/>
        <v/>
      </c>
      <c r="G23" s="166">
        <v>46.6</v>
      </c>
      <c r="H23" s="259" t="str">
        <f t="shared" si="3"/>
        <v/>
      </c>
      <c r="I23" s="349">
        <f>SUM($H$11:H23)</f>
        <v>0</v>
      </c>
      <c r="J23" s="255"/>
      <c r="K23" s="256" t="str">
        <f>IF(J23="","",SUM($J$11:J23))</f>
        <v/>
      </c>
      <c r="L23" s="165" t="str">
        <f t="shared" si="6"/>
        <v/>
      </c>
      <c r="M23" s="183">
        <v>40.1</v>
      </c>
      <c r="N23" s="189"/>
      <c r="O23" s="183">
        <v>90</v>
      </c>
      <c r="P23" s="184" t="str">
        <f t="shared" si="4"/>
        <v/>
      </c>
      <c r="R23" s="261"/>
    </row>
    <row r="24" spans="1:18" ht="24" customHeight="1" x14ac:dyDescent="0.2">
      <c r="A24" s="305">
        <f>A23+7</f>
        <v>43495</v>
      </c>
      <c r="B24" s="178">
        <f t="shared" si="1"/>
        <v>35</v>
      </c>
      <c r="C24" s="259" t="str">
        <f>+'Pon-Bat'!BK20</f>
        <v/>
      </c>
      <c r="D24" s="181" t="str">
        <f>IF(C24="","",('Pon-Rec'!L24-C24)/'Pon-Rec'!L24)</f>
        <v/>
      </c>
      <c r="E24" s="256" t="str">
        <f>IF(C24="","",SUM($C$11:C24))</f>
        <v/>
      </c>
      <c r="F24" s="165" t="str">
        <f t="shared" si="5"/>
        <v/>
      </c>
      <c r="G24" s="166">
        <v>52.1</v>
      </c>
      <c r="H24" s="259" t="str">
        <f t="shared" si="3"/>
        <v/>
      </c>
      <c r="I24" s="349">
        <f>SUM($H$11:H24)</f>
        <v>0</v>
      </c>
      <c r="J24" s="255"/>
      <c r="K24" s="256" t="str">
        <f>IF(J24="","",SUM($J$11:J24))</f>
        <v/>
      </c>
      <c r="L24" s="165" t="str">
        <f t="shared" si="6"/>
        <v/>
      </c>
      <c r="M24" s="183">
        <v>45</v>
      </c>
      <c r="N24" s="189"/>
      <c r="O24" s="183">
        <v>89.9</v>
      </c>
      <c r="P24" s="184" t="str">
        <f t="shared" si="4"/>
        <v/>
      </c>
      <c r="R24" s="261"/>
    </row>
    <row r="25" spans="1:18" ht="24" customHeight="1" x14ac:dyDescent="0.2">
      <c r="A25" s="305">
        <f>A24+7</f>
        <v>43502</v>
      </c>
      <c r="B25" s="178">
        <f>+B24+1</f>
        <v>36</v>
      </c>
      <c r="C25" s="259" t="str">
        <f>+'Pon-Bat'!BK21</f>
        <v/>
      </c>
      <c r="D25" s="181" t="str">
        <f>IF(C25="","",('Pon-Rec'!L25-C25)/'Pon-Rec'!L25)</f>
        <v/>
      </c>
      <c r="E25" s="256" t="str">
        <f>IF(C25="","",SUM($C$11:C25))</f>
        <v/>
      </c>
      <c r="F25" s="165" t="str">
        <f t="shared" si="5"/>
        <v/>
      </c>
      <c r="G25" s="166">
        <v>57.5</v>
      </c>
      <c r="H25" s="259" t="str">
        <f t="shared" si="3"/>
        <v/>
      </c>
      <c r="I25" s="349">
        <f>SUM($H$11:H25)</f>
        <v>0</v>
      </c>
      <c r="J25" s="255"/>
      <c r="K25" s="256" t="str">
        <f>IF(J25="","",SUM($J$11:J25))</f>
        <v/>
      </c>
      <c r="L25" s="165" t="str">
        <f t="shared" si="6"/>
        <v/>
      </c>
      <c r="M25" s="183">
        <v>49.8</v>
      </c>
      <c r="N25" s="189"/>
      <c r="O25" s="183">
        <v>89.8</v>
      </c>
      <c r="P25" s="184" t="str">
        <f t="shared" si="4"/>
        <v/>
      </c>
      <c r="R25" s="261"/>
    </row>
    <row r="26" spans="1:18" ht="24" customHeight="1" x14ac:dyDescent="0.2">
      <c r="A26" s="305">
        <f>A25+7</f>
        <v>43509</v>
      </c>
      <c r="B26" s="178">
        <f>+B25+1</f>
        <v>37</v>
      </c>
      <c r="C26" s="259" t="str">
        <f>+'Pon-Bat'!BK22</f>
        <v/>
      </c>
      <c r="D26" s="181" t="str">
        <f>IF(C26="","",('Pon-Rec'!L26-C26)/'Pon-Rec'!L26)</f>
        <v/>
      </c>
      <c r="E26" s="256" t="str">
        <f>IF(C26="","",SUM($C$11:C26))</f>
        <v/>
      </c>
      <c r="F26" s="165" t="str">
        <f t="shared" si="5"/>
        <v/>
      </c>
      <c r="G26" s="166">
        <v>62.8</v>
      </c>
      <c r="H26" s="259" t="str">
        <f t="shared" si="3"/>
        <v/>
      </c>
      <c r="I26" s="349">
        <f>SUM($H$11:H26)</f>
        <v>0</v>
      </c>
      <c r="J26" s="255"/>
      <c r="K26" s="256" t="str">
        <f>IF(J26="","",SUM($J$11:J26))</f>
        <v/>
      </c>
      <c r="L26" s="165" t="str">
        <f t="shared" si="6"/>
        <v/>
      </c>
      <c r="M26" s="183">
        <v>54.6</v>
      </c>
      <c r="N26" s="189"/>
      <c r="O26" s="183">
        <v>89.6</v>
      </c>
      <c r="P26" s="184" t="str">
        <f t="shared" si="4"/>
        <v/>
      </c>
      <c r="R26" s="261"/>
    </row>
    <row r="27" spans="1:18" ht="24" customHeight="1" x14ac:dyDescent="0.2">
      <c r="A27" s="305">
        <f>A26+7</f>
        <v>43516</v>
      </c>
      <c r="B27" s="178">
        <f>+B26+1</f>
        <v>38</v>
      </c>
      <c r="C27" s="259" t="str">
        <f>+'Pon-Bat'!BK23</f>
        <v/>
      </c>
      <c r="D27" s="181" t="str">
        <f>IF(C27="","",('Pon-Rec'!L27-C27)/'Pon-Rec'!L27)</f>
        <v/>
      </c>
      <c r="E27" s="256" t="str">
        <f>IF(C27="","",SUM($C$11:C27))</f>
        <v/>
      </c>
      <c r="F27" s="165" t="str">
        <f t="shared" si="5"/>
        <v/>
      </c>
      <c r="G27" s="166">
        <v>68</v>
      </c>
      <c r="H27" s="259" t="str">
        <f t="shared" si="3"/>
        <v/>
      </c>
      <c r="I27" s="349">
        <f>SUM($H$11:H27)</f>
        <v>0</v>
      </c>
      <c r="J27" s="255"/>
      <c r="K27" s="256" t="str">
        <f>IF(J27="","",SUM($J$11:J27))</f>
        <v/>
      </c>
      <c r="L27" s="165" t="str">
        <f t="shared" si="6"/>
        <v/>
      </c>
      <c r="M27" s="183">
        <v>59.2</v>
      </c>
      <c r="N27" s="189"/>
      <c r="O27" s="183">
        <v>89.4</v>
      </c>
      <c r="P27" s="184" t="str">
        <f t="shared" si="4"/>
        <v/>
      </c>
      <c r="R27" s="261"/>
    </row>
    <row r="28" spans="1:18" ht="24" customHeight="1" x14ac:dyDescent="0.2">
      <c r="A28" s="305">
        <f t="shared" ref="A28:A59" si="7">A27+7</f>
        <v>43523</v>
      </c>
      <c r="B28" s="178">
        <f t="shared" ref="B28:B59" si="8">+B27+1</f>
        <v>39</v>
      </c>
      <c r="C28" s="259" t="str">
        <f>+'Pon-Bat'!BK24</f>
        <v/>
      </c>
      <c r="D28" s="181" t="str">
        <f>IF(C28="","",('Pon-Rec'!L28-C28)/'Pon-Rec'!L28)</f>
        <v/>
      </c>
      <c r="E28" s="256" t="str">
        <f>IF(C28="","",SUM($C$11:C28))</f>
        <v/>
      </c>
      <c r="F28" s="165" t="str">
        <f t="shared" si="5"/>
        <v/>
      </c>
      <c r="G28" s="166">
        <v>73.099999999999994</v>
      </c>
      <c r="H28" s="259" t="str">
        <f t="shared" si="3"/>
        <v/>
      </c>
      <c r="I28" s="349">
        <f>SUM($H$11:H28)</f>
        <v>0</v>
      </c>
      <c r="J28" s="255"/>
      <c r="K28" s="256" t="str">
        <f>IF(J28="","",SUM($J$11:J28))</f>
        <v/>
      </c>
      <c r="L28" s="165" t="str">
        <f t="shared" si="6"/>
        <v/>
      </c>
      <c r="M28" s="183">
        <v>63.8</v>
      </c>
      <c r="N28" s="189"/>
      <c r="O28" s="183">
        <v>89.1</v>
      </c>
      <c r="P28" s="184" t="str">
        <f t="shared" si="4"/>
        <v/>
      </c>
      <c r="R28" s="261"/>
    </row>
    <row r="29" spans="1:18" ht="24" customHeight="1" x14ac:dyDescent="0.2">
      <c r="A29" s="305">
        <f t="shared" si="7"/>
        <v>43530</v>
      </c>
      <c r="B29" s="178">
        <f t="shared" si="8"/>
        <v>40</v>
      </c>
      <c r="C29" s="259" t="str">
        <f>+'Pon-Bat'!BK25</f>
        <v/>
      </c>
      <c r="D29" s="181" t="str">
        <f>IF(C29="","",('Pon-Rec'!L29-C29)/'Pon-Rec'!L29)</f>
        <v/>
      </c>
      <c r="E29" s="256" t="str">
        <f>IF(C29="","",SUM($C$11:C29))</f>
        <v/>
      </c>
      <c r="F29" s="165" t="str">
        <f t="shared" si="5"/>
        <v/>
      </c>
      <c r="G29" s="166">
        <v>78.099999999999994</v>
      </c>
      <c r="H29" s="259" t="str">
        <f t="shared" si="3"/>
        <v/>
      </c>
      <c r="I29" s="349">
        <f>SUM($H$11:H29)</f>
        <v>0</v>
      </c>
      <c r="J29" s="255"/>
      <c r="K29" s="256" t="str">
        <f>IF(J29="","",SUM($J$11:J29))</f>
        <v/>
      </c>
      <c r="L29" s="165" t="str">
        <f t="shared" si="6"/>
        <v/>
      </c>
      <c r="M29" s="183">
        <v>68.3</v>
      </c>
      <c r="N29" s="189"/>
      <c r="O29" s="183">
        <v>88.9</v>
      </c>
      <c r="P29" s="184" t="str">
        <f t="shared" si="4"/>
        <v/>
      </c>
      <c r="R29" s="261"/>
    </row>
    <row r="30" spans="1:18" ht="24" customHeight="1" x14ac:dyDescent="0.2">
      <c r="A30" s="305">
        <f t="shared" si="7"/>
        <v>43537</v>
      </c>
      <c r="B30" s="178">
        <f t="shared" si="8"/>
        <v>41</v>
      </c>
      <c r="C30" s="259" t="str">
        <f>+'Pon-Bat'!BK26</f>
        <v/>
      </c>
      <c r="D30" s="181" t="str">
        <f>IF(C30="","",('Pon-Rec'!L30-C30)/'Pon-Rec'!L30)</f>
        <v/>
      </c>
      <c r="E30" s="256" t="str">
        <f>IF(C30="","",SUM($C$11:C30))</f>
        <v/>
      </c>
      <c r="F30" s="165" t="str">
        <f t="shared" si="5"/>
        <v/>
      </c>
      <c r="G30" s="166">
        <v>83.1</v>
      </c>
      <c r="H30" s="259" t="str">
        <f t="shared" si="3"/>
        <v/>
      </c>
      <c r="I30" s="349">
        <f>SUM($H$11:H30)</f>
        <v>0</v>
      </c>
      <c r="J30" s="255"/>
      <c r="K30" s="256" t="str">
        <f>IF(J30="","",SUM($J$11:J30))</f>
        <v/>
      </c>
      <c r="L30" s="165" t="str">
        <f t="shared" si="6"/>
        <v/>
      </c>
      <c r="M30" s="183">
        <v>72.599999999999994</v>
      </c>
      <c r="N30" s="189"/>
      <c r="O30" s="183">
        <v>88.6</v>
      </c>
      <c r="P30" s="184" t="str">
        <f t="shared" si="4"/>
        <v/>
      </c>
      <c r="R30" s="261"/>
    </row>
    <row r="31" spans="1:18" ht="24" customHeight="1" x14ac:dyDescent="0.2">
      <c r="A31" s="305">
        <f t="shared" si="7"/>
        <v>43544</v>
      </c>
      <c r="B31" s="178">
        <f t="shared" si="8"/>
        <v>42</v>
      </c>
      <c r="C31" s="259" t="str">
        <f>+'Pon-Bat'!BK27</f>
        <v/>
      </c>
      <c r="D31" s="181" t="str">
        <f>IF(C31="","",('Pon-Rec'!L31-C31)/'Pon-Rec'!L31)</f>
        <v/>
      </c>
      <c r="E31" s="256" t="str">
        <f>IF(C31="","",SUM($C$11:C31))</f>
        <v/>
      </c>
      <c r="F31" s="165" t="str">
        <f t="shared" si="5"/>
        <v/>
      </c>
      <c r="G31" s="166">
        <v>87.9</v>
      </c>
      <c r="H31" s="259" t="str">
        <f t="shared" si="3"/>
        <v/>
      </c>
      <c r="I31" s="349">
        <f>SUM($H$11:H31)</f>
        <v>0</v>
      </c>
      <c r="J31" s="255"/>
      <c r="K31" s="256" t="str">
        <f>IF(J31="","",SUM($J$11:J31))</f>
        <v/>
      </c>
      <c r="L31" s="165" t="str">
        <f t="shared" si="6"/>
        <v/>
      </c>
      <c r="M31" s="183">
        <v>76.900000000000006</v>
      </c>
      <c r="N31" s="189"/>
      <c r="O31" s="183">
        <v>88.3</v>
      </c>
      <c r="P31" s="184" t="str">
        <f t="shared" si="4"/>
        <v/>
      </c>
      <c r="R31" s="261"/>
    </row>
    <row r="32" spans="1:18" ht="24" customHeight="1" x14ac:dyDescent="0.2">
      <c r="A32" s="305">
        <f t="shared" si="7"/>
        <v>43551</v>
      </c>
      <c r="B32" s="178">
        <f t="shared" si="8"/>
        <v>43</v>
      </c>
      <c r="C32" s="259" t="str">
        <f>+'Pon-Bat'!BK28</f>
        <v/>
      </c>
      <c r="D32" s="181" t="str">
        <f>IF(C32="","",('Pon-Rec'!L32-C32)/'Pon-Rec'!L32)</f>
        <v/>
      </c>
      <c r="E32" s="256" t="str">
        <f>IF(C32="","",SUM($C$11:C32))</f>
        <v/>
      </c>
      <c r="F32" s="165" t="str">
        <f>IF(C32="","",E32/$P$1)</f>
        <v/>
      </c>
      <c r="G32" s="166">
        <v>92.7</v>
      </c>
      <c r="H32" s="259" t="str">
        <f t="shared" si="3"/>
        <v/>
      </c>
      <c r="I32" s="349">
        <f>SUM($H$11:H32)</f>
        <v>0</v>
      </c>
      <c r="J32" s="255"/>
      <c r="K32" s="256" t="str">
        <f>IF(J32="","",SUM($J$11:J32))</f>
        <v/>
      </c>
      <c r="L32" s="165" t="str">
        <f t="shared" si="6"/>
        <v/>
      </c>
      <c r="M32" s="183">
        <v>81.2</v>
      </c>
      <c r="N32" s="189"/>
      <c r="O32" s="183">
        <v>87.9</v>
      </c>
      <c r="P32" s="184" t="str">
        <f t="shared" si="4"/>
        <v/>
      </c>
      <c r="R32" s="261"/>
    </row>
    <row r="33" spans="1:18" ht="24" customHeight="1" x14ac:dyDescent="0.2">
      <c r="A33" s="305">
        <f t="shared" si="7"/>
        <v>43558</v>
      </c>
      <c r="B33" s="178">
        <f t="shared" si="8"/>
        <v>44</v>
      </c>
      <c r="C33" s="259" t="str">
        <f>+'Pon-Bat'!BK29</f>
        <v/>
      </c>
      <c r="D33" s="181" t="str">
        <f>IF(C33="","",('Pon-Rec'!L33-C33)/'Pon-Rec'!L33)</f>
        <v/>
      </c>
      <c r="E33" s="256" t="str">
        <f>IF(C33="","",SUM($C$11:C33))</f>
        <v/>
      </c>
      <c r="F33" s="165" t="str">
        <f t="shared" si="5"/>
        <v/>
      </c>
      <c r="G33" s="166">
        <v>97.5</v>
      </c>
      <c r="H33" s="259" t="str">
        <f t="shared" si="3"/>
        <v/>
      </c>
      <c r="I33" s="349">
        <f>SUM($H$11:H33)</f>
        <v>0</v>
      </c>
      <c r="J33" s="255"/>
      <c r="K33" s="256" t="str">
        <f>IF(J33="","",SUM($J$11:J33))</f>
        <v/>
      </c>
      <c r="L33" s="165" t="str">
        <f t="shared" si="6"/>
        <v/>
      </c>
      <c r="M33" s="183">
        <v>85.3</v>
      </c>
      <c r="N33" s="189"/>
      <c r="O33" s="183">
        <v>87.5</v>
      </c>
      <c r="P33" s="184" t="str">
        <f t="shared" si="4"/>
        <v/>
      </c>
      <c r="R33" s="261"/>
    </row>
    <row r="34" spans="1:18" ht="24" customHeight="1" x14ac:dyDescent="0.2">
      <c r="A34" s="305">
        <f t="shared" si="7"/>
        <v>43565</v>
      </c>
      <c r="B34" s="178">
        <f t="shared" si="8"/>
        <v>45</v>
      </c>
      <c r="C34" s="259" t="str">
        <f>+'Pon-Bat'!BK30</f>
        <v/>
      </c>
      <c r="D34" s="181" t="str">
        <f>IF(C34="","",('Pon-Rec'!L34-C34)/'Pon-Rec'!L34)</f>
        <v/>
      </c>
      <c r="E34" s="256" t="str">
        <f>IF(C34="","",SUM($C$11:C34))</f>
        <v/>
      </c>
      <c r="F34" s="165" t="str">
        <f t="shared" si="5"/>
        <v/>
      </c>
      <c r="G34" s="166">
        <v>102.1</v>
      </c>
      <c r="H34" s="259" t="str">
        <f t="shared" si="3"/>
        <v/>
      </c>
      <c r="I34" s="349">
        <f>SUM($H$11:H34)</f>
        <v>0</v>
      </c>
      <c r="J34" s="255"/>
      <c r="K34" s="256" t="str">
        <f>IF(J34="","",SUM($J$11:J34))</f>
        <v/>
      </c>
      <c r="L34" s="165" t="str">
        <f t="shared" si="6"/>
        <v/>
      </c>
      <c r="M34" s="183">
        <v>89.3</v>
      </c>
      <c r="N34" s="189"/>
      <c r="O34" s="183">
        <v>87.1</v>
      </c>
      <c r="P34" s="184" t="str">
        <f t="shared" si="4"/>
        <v/>
      </c>
      <c r="R34" s="261"/>
    </row>
    <row r="35" spans="1:18" ht="24" customHeight="1" x14ac:dyDescent="0.2">
      <c r="A35" s="305">
        <f t="shared" si="7"/>
        <v>43572</v>
      </c>
      <c r="B35" s="178">
        <f t="shared" si="8"/>
        <v>46</v>
      </c>
      <c r="C35" s="259" t="str">
        <f>+'Pon-Bat'!BK31</f>
        <v/>
      </c>
      <c r="D35" s="181" t="str">
        <f>IF(C35="","",('Pon-Rec'!L35-C35)/'Pon-Rec'!L35)</f>
        <v/>
      </c>
      <c r="E35" s="256" t="str">
        <f>IF(C35="","",SUM($C$11:C35))</f>
        <v/>
      </c>
      <c r="F35" s="165" t="str">
        <f t="shared" si="5"/>
        <v/>
      </c>
      <c r="G35" s="166">
        <v>106.7</v>
      </c>
      <c r="H35" s="259" t="str">
        <f t="shared" si="3"/>
        <v/>
      </c>
      <c r="I35" s="349">
        <f>SUM($H$11:H35)</f>
        <v>0</v>
      </c>
      <c r="J35" s="255"/>
      <c r="K35" s="256" t="str">
        <f>IF(J35="","",SUM($J$11:J35))</f>
        <v/>
      </c>
      <c r="L35" s="165" t="str">
        <f t="shared" si="6"/>
        <v/>
      </c>
      <c r="M35" s="183">
        <v>93.3</v>
      </c>
      <c r="N35" s="189"/>
      <c r="O35" s="183">
        <v>86.7</v>
      </c>
      <c r="P35" s="184" t="str">
        <f t="shared" si="4"/>
        <v/>
      </c>
      <c r="R35" s="261"/>
    </row>
    <row r="36" spans="1:18" ht="24" customHeight="1" x14ac:dyDescent="0.2">
      <c r="A36" s="305">
        <f t="shared" si="7"/>
        <v>43579</v>
      </c>
      <c r="B36" s="178">
        <f t="shared" si="8"/>
        <v>47</v>
      </c>
      <c r="C36" s="259" t="str">
        <f>+'Pon-Bat'!BK32</f>
        <v/>
      </c>
      <c r="D36" s="181" t="str">
        <f>IF(C36="","",('Pon-Rec'!L36-C36)/'Pon-Rec'!L36)</f>
        <v/>
      </c>
      <c r="E36" s="256" t="str">
        <f>IF(C36="","",SUM($C$11:C36))</f>
        <v/>
      </c>
      <c r="F36" s="165" t="str">
        <f t="shared" si="5"/>
        <v/>
      </c>
      <c r="G36" s="166">
        <v>111.2</v>
      </c>
      <c r="H36" s="259" t="str">
        <f t="shared" si="3"/>
        <v/>
      </c>
      <c r="I36" s="349">
        <f>SUM($H$11:H36)</f>
        <v>0</v>
      </c>
      <c r="J36" s="255"/>
      <c r="K36" s="256" t="str">
        <f>IF(J36="","",SUM($J$11:J36))</f>
        <v/>
      </c>
      <c r="L36" s="165" t="str">
        <f t="shared" si="6"/>
        <v/>
      </c>
      <c r="M36" s="183">
        <v>97.2</v>
      </c>
      <c r="N36" s="189"/>
      <c r="O36" s="183">
        <v>86.3</v>
      </c>
      <c r="P36" s="184" t="str">
        <f t="shared" si="4"/>
        <v/>
      </c>
      <c r="R36" s="261"/>
    </row>
    <row r="37" spans="1:18" ht="24" customHeight="1" x14ac:dyDescent="0.2">
      <c r="A37" s="305">
        <f t="shared" si="7"/>
        <v>43586</v>
      </c>
      <c r="B37" s="178">
        <f t="shared" si="8"/>
        <v>48</v>
      </c>
      <c r="C37" s="259" t="str">
        <f>+'Pon-Bat'!BK33</f>
        <v/>
      </c>
      <c r="D37" s="181" t="str">
        <f>IF(C37="","",('Pon-Rec'!L37-C37)/'Pon-Rec'!L37)</f>
        <v/>
      </c>
      <c r="E37" s="256" t="str">
        <f>IF(C37="","",SUM($C$11:C37))</f>
        <v/>
      </c>
      <c r="F37" s="165" t="str">
        <f t="shared" si="5"/>
        <v/>
      </c>
      <c r="G37" s="166">
        <v>115.6</v>
      </c>
      <c r="H37" s="259" t="str">
        <f t="shared" si="3"/>
        <v/>
      </c>
      <c r="I37" s="349">
        <f>SUM($H$11:H37)</f>
        <v>0</v>
      </c>
      <c r="J37" s="255"/>
      <c r="K37" s="256" t="str">
        <f>IF(J37="","",SUM($J$11:J37))</f>
        <v/>
      </c>
      <c r="L37" s="165" t="str">
        <f t="shared" si="6"/>
        <v/>
      </c>
      <c r="M37" s="183">
        <v>101</v>
      </c>
      <c r="N37" s="189"/>
      <c r="O37" s="183">
        <v>85.9</v>
      </c>
      <c r="P37" s="184" t="str">
        <f t="shared" si="4"/>
        <v/>
      </c>
      <c r="R37" s="261"/>
    </row>
    <row r="38" spans="1:18" ht="24" customHeight="1" x14ac:dyDescent="0.2">
      <c r="A38" s="305">
        <f t="shared" si="7"/>
        <v>43593</v>
      </c>
      <c r="B38" s="178">
        <f t="shared" si="8"/>
        <v>49</v>
      </c>
      <c r="C38" s="259" t="str">
        <f>+'Pon-Bat'!BK34</f>
        <v/>
      </c>
      <c r="D38" s="181" t="str">
        <f>IF(C38="","",('Pon-Rec'!L38-C38)/'Pon-Rec'!L38)</f>
        <v/>
      </c>
      <c r="E38" s="256" t="str">
        <f>IF(C38="","",SUM($C$11:C38))</f>
        <v/>
      </c>
      <c r="F38" s="165" t="str">
        <f t="shared" si="5"/>
        <v/>
      </c>
      <c r="G38" s="166">
        <v>119.9</v>
      </c>
      <c r="H38" s="259" t="str">
        <f t="shared" si="3"/>
        <v/>
      </c>
      <c r="I38" s="349">
        <f>SUM($H$11:H38)</f>
        <v>0</v>
      </c>
      <c r="J38" s="255"/>
      <c r="K38" s="256" t="str">
        <f>IF(J38="","",SUM($J$11:J38))</f>
        <v/>
      </c>
      <c r="L38" s="165" t="str">
        <f t="shared" si="6"/>
        <v/>
      </c>
      <c r="M38" s="183">
        <v>104.6</v>
      </c>
      <c r="N38" s="189"/>
      <c r="O38" s="183">
        <v>85.5</v>
      </c>
      <c r="P38" s="184" t="str">
        <f t="shared" si="4"/>
        <v/>
      </c>
      <c r="R38" s="261"/>
    </row>
    <row r="39" spans="1:18" ht="24" customHeight="1" x14ac:dyDescent="0.2">
      <c r="A39" s="305">
        <f t="shared" si="7"/>
        <v>43600</v>
      </c>
      <c r="B39" s="178">
        <f t="shared" si="8"/>
        <v>50</v>
      </c>
      <c r="C39" s="259" t="str">
        <f>+'Pon-Bat'!BK35</f>
        <v/>
      </c>
      <c r="D39" s="181" t="str">
        <f>IF(C39="","",('Pon-Rec'!L39-C39)/'Pon-Rec'!L39)</f>
        <v/>
      </c>
      <c r="E39" s="256" t="str">
        <f>IF(C39="","",SUM($C$11:C39))</f>
        <v/>
      </c>
      <c r="F39" s="165" t="str">
        <f t="shared" si="5"/>
        <v/>
      </c>
      <c r="G39" s="166">
        <v>124.1</v>
      </c>
      <c r="H39" s="259" t="str">
        <f t="shared" si="3"/>
        <v/>
      </c>
      <c r="I39" s="349">
        <f>SUM($H$11:H39)</f>
        <v>0</v>
      </c>
      <c r="J39" s="255"/>
      <c r="K39" s="256" t="str">
        <f>IF(J39="","",SUM($J$11:J39))</f>
        <v/>
      </c>
      <c r="L39" s="165" t="str">
        <f t="shared" si="6"/>
        <v/>
      </c>
      <c r="M39" s="183">
        <v>108.2</v>
      </c>
      <c r="N39" s="189"/>
      <c r="O39" s="183">
        <v>85.1</v>
      </c>
      <c r="P39" s="184" t="str">
        <f t="shared" si="4"/>
        <v/>
      </c>
      <c r="R39" s="261"/>
    </row>
    <row r="40" spans="1:18" ht="24" customHeight="1" x14ac:dyDescent="0.2">
      <c r="A40" s="305">
        <f t="shared" si="7"/>
        <v>43607</v>
      </c>
      <c r="B40" s="178">
        <f t="shared" si="8"/>
        <v>51</v>
      </c>
      <c r="C40" s="259" t="str">
        <f>+'Pon-Bat'!BK36</f>
        <v/>
      </c>
      <c r="D40" s="181" t="str">
        <f>IF(C40="","",('Pon-Rec'!L40-C40)/'Pon-Rec'!L40)</f>
        <v/>
      </c>
      <c r="E40" s="256" t="str">
        <f>IF(C40="","",SUM($C$11:C40))</f>
        <v/>
      </c>
      <c r="F40" s="165" t="str">
        <f t="shared" si="5"/>
        <v/>
      </c>
      <c r="G40" s="166">
        <v>128.30000000000001</v>
      </c>
      <c r="H40" s="259" t="str">
        <f t="shared" si="3"/>
        <v/>
      </c>
      <c r="I40" s="349">
        <f>SUM($H$11:H40)</f>
        <v>0</v>
      </c>
      <c r="J40" s="255"/>
      <c r="K40" s="256" t="str">
        <f>IF(J40="","",SUM($J$11:J40))</f>
        <v/>
      </c>
      <c r="L40" s="165" t="str">
        <f t="shared" si="6"/>
        <v/>
      </c>
      <c r="M40" s="183">
        <v>111.8</v>
      </c>
      <c r="N40" s="189"/>
      <c r="O40" s="183">
        <v>84.7</v>
      </c>
      <c r="P40" s="184" t="str">
        <f t="shared" si="4"/>
        <v/>
      </c>
      <c r="R40" s="261"/>
    </row>
    <row r="41" spans="1:18" ht="24" customHeight="1" x14ac:dyDescent="0.2">
      <c r="A41" s="305">
        <f t="shared" si="7"/>
        <v>43614</v>
      </c>
      <c r="B41" s="178">
        <f t="shared" si="8"/>
        <v>52</v>
      </c>
      <c r="C41" s="259" t="str">
        <f>+'Pon-Bat'!BK37</f>
        <v/>
      </c>
      <c r="D41" s="181" t="str">
        <f>IF(C41="","",('Pon-Rec'!L41-C41)/'Pon-Rec'!L41)</f>
        <v/>
      </c>
      <c r="E41" s="256" t="str">
        <f>IF(C41="","",SUM($C$11:C41))</f>
        <v/>
      </c>
      <c r="F41" s="165" t="str">
        <f t="shared" si="5"/>
        <v/>
      </c>
      <c r="G41" s="166">
        <v>132.30000000000001</v>
      </c>
      <c r="H41" s="259" t="str">
        <f t="shared" si="3"/>
        <v/>
      </c>
      <c r="I41" s="349">
        <f>SUM($H$11:H41)</f>
        <v>0</v>
      </c>
      <c r="J41" s="255"/>
      <c r="K41" s="256" t="str">
        <f>IF(J41="","",SUM($J$11:J41))</f>
        <v/>
      </c>
      <c r="L41" s="165" t="str">
        <f t="shared" si="6"/>
        <v/>
      </c>
      <c r="M41" s="183">
        <v>115.2</v>
      </c>
      <c r="N41" s="189" t="str">
        <f t="shared" ref="N41:N59" si="9">IF(H41="","",IF(J41="","",J41/H41*100))</f>
        <v/>
      </c>
      <c r="O41" s="183">
        <v>84.3</v>
      </c>
      <c r="P41" s="184" t="str">
        <f t="shared" si="4"/>
        <v/>
      </c>
      <c r="R41" s="261"/>
    </row>
    <row r="42" spans="1:18" ht="24" customHeight="1" x14ac:dyDescent="0.2">
      <c r="A42" s="305">
        <f t="shared" si="7"/>
        <v>43621</v>
      </c>
      <c r="B42" s="178">
        <f t="shared" si="8"/>
        <v>53</v>
      </c>
      <c r="C42" s="259" t="str">
        <f>+'Pon-Bat'!BK38</f>
        <v/>
      </c>
      <c r="D42" s="181" t="str">
        <f>IF(C42="","",('Pon-Rec'!L42-C42)/'Pon-Rec'!L42)</f>
        <v/>
      </c>
      <c r="E42" s="256" t="str">
        <f>IF(C42="","",SUM($C$11:C42))</f>
        <v/>
      </c>
      <c r="F42" s="165" t="str">
        <f t="shared" si="5"/>
        <v/>
      </c>
      <c r="G42" s="166">
        <v>136.30000000000001</v>
      </c>
      <c r="H42" s="259" t="str">
        <f t="shared" si="3"/>
        <v/>
      </c>
      <c r="I42" s="349">
        <f>SUM($H$11:H42)</f>
        <v>0</v>
      </c>
      <c r="J42" s="255"/>
      <c r="K42" s="256" t="str">
        <f>IF(J42="","",SUM($J$11:J42))</f>
        <v/>
      </c>
      <c r="L42" s="165" t="str">
        <f t="shared" si="6"/>
        <v/>
      </c>
      <c r="M42" s="183">
        <v>118.5</v>
      </c>
      <c r="N42" s="189" t="str">
        <f t="shared" si="9"/>
        <v/>
      </c>
      <c r="O42" s="183">
        <v>83.9</v>
      </c>
      <c r="P42" s="184" t="str">
        <f t="shared" si="4"/>
        <v/>
      </c>
      <c r="R42" s="261"/>
    </row>
    <row r="43" spans="1:18" ht="24" customHeight="1" x14ac:dyDescent="0.2">
      <c r="A43" s="305">
        <f t="shared" si="7"/>
        <v>43628</v>
      </c>
      <c r="B43" s="178">
        <f t="shared" si="8"/>
        <v>54</v>
      </c>
      <c r="C43" s="259" t="str">
        <f>+'Pon-Bat'!BK39</f>
        <v/>
      </c>
      <c r="D43" s="181" t="str">
        <f>IF(C43="","",('Pon-Rec'!L43-C43)/'Pon-Rec'!L43)</f>
        <v/>
      </c>
      <c r="E43" s="256" t="str">
        <f>IF(C43="","",SUM($C$11:C43))</f>
        <v/>
      </c>
      <c r="F43" s="165" t="str">
        <f t="shared" si="5"/>
        <v/>
      </c>
      <c r="G43" s="166">
        <v>140.19999999999999</v>
      </c>
      <c r="H43" s="259" t="str">
        <f t="shared" si="3"/>
        <v/>
      </c>
      <c r="I43" s="349">
        <f>SUM($H$11:H43)</f>
        <v>0</v>
      </c>
      <c r="J43" s="255"/>
      <c r="K43" s="256" t="str">
        <f>IF(J43="","",SUM($J$11:J43))</f>
        <v/>
      </c>
      <c r="L43" s="165" t="str">
        <f t="shared" si="6"/>
        <v/>
      </c>
      <c r="M43" s="183">
        <v>121.8</v>
      </c>
      <c r="N43" s="189" t="str">
        <f t="shared" si="9"/>
        <v/>
      </c>
      <c r="O43" s="183">
        <v>83.4</v>
      </c>
      <c r="P43" s="184" t="str">
        <f t="shared" si="4"/>
        <v/>
      </c>
      <c r="R43" s="261"/>
    </row>
    <row r="44" spans="1:18" ht="24" customHeight="1" x14ac:dyDescent="0.2">
      <c r="A44" s="305">
        <f t="shared" si="7"/>
        <v>43635</v>
      </c>
      <c r="B44" s="178">
        <f t="shared" si="8"/>
        <v>55</v>
      </c>
      <c r="C44" s="259" t="str">
        <f>+'Pon-Bat'!BK40</f>
        <v/>
      </c>
      <c r="D44" s="181" t="str">
        <f>IF(C44="","",('Pon-Rec'!L44-C44)/'Pon-Rec'!L44)</f>
        <v/>
      </c>
      <c r="E44" s="256" t="str">
        <f>IF(C44="","",SUM($C$11:C44))</f>
        <v/>
      </c>
      <c r="F44" s="165" t="str">
        <f t="shared" si="5"/>
        <v/>
      </c>
      <c r="G44" s="166">
        <v>144</v>
      </c>
      <c r="H44" s="259" t="str">
        <f t="shared" si="3"/>
        <v/>
      </c>
      <c r="I44" s="349">
        <f>SUM($H$11:H44)</f>
        <v>0</v>
      </c>
      <c r="J44" s="255"/>
      <c r="K44" s="256" t="str">
        <f>IF(J44="","",SUM($J$11:J44))</f>
        <v/>
      </c>
      <c r="L44" s="165" t="str">
        <f t="shared" si="6"/>
        <v/>
      </c>
      <c r="M44" s="183">
        <v>124.9</v>
      </c>
      <c r="N44" s="189" t="str">
        <f t="shared" si="9"/>
        <v/>
      </c>
      <c r="O44" s="183">
        <v>82.9</v>
      </c>
      <c r="P44" s="184" t="str">
        <f t="shared" si="4"/>
        <v/>
      </c>
      <c r="R44" s="261"/>
    </row>
    <row r="45" spans="1:18" ht="24" customHeight="1" x14ac:dyDescent="0.2">
      <c r="A45" s="305">
        <f t="shared" si="7"/>
        <v>43642</v>
      </c>
      <c r="B45" s="178">
        <f t="shared" si="8"/>
        <v>56</v>
      </c>
      <c r="C45" s="259" t="str">
        <f>+'Pon-Bat'!BK41</f>
        <v/>
      </c>
      <c r="D45" s="181" t="str">
        <f>IF(C45="","",('Pon-Rec'!L45-C45)/'Pon-Rec'!L45)</f>
        <v/>
      </c>
      <c r="E45" s="256" t="str">
        <f>IF(C45="","",SUM($C$11:C45))</f>
        <v/>
      </c>
      <c r="F45" s="165" t="str">
        <f t="shared" si="5"/>
        <v/>
      </c>
      <c r="G45" s="166">
        <v>147.69999999999999</v>
      </c>
      <c r="H45" s="259" t="str">
        <f t="shared" si="3"/>
        <v/>
      </c>
      <c r="I45" s="349">
        <f>SUM($H$11:H45)</f>
        <v>0</v>
      </c>
      <c r="J45" s="255"/>
      <c r="K45" s="256" t="str">
        <f>IF(J45="","",SUM($J$11:J45))</f>
        <v/>
      </c>
      <c r="L45" s="165" t="str">
        <f t="shared" si="6"/>
        <v/>
      </c>
      <c r="M45" s="183">
        <v>128</v>
      </c>
      <c r="N45" s="189" t="str">
        <f t="shared" si="9"/>
        <v/>
      </c>
      <c r="O45" s="183">
        <v>82.4</v>
      </c>
      <c r="P45" s="184" t="str">
        <f t="shared" si="4"/>
        <v/>
      </c>
      <c r="R45" s="261"/>
    </row>
    <row r="46" spans="1:18" ht="24" customHeight="1" x14ac:dyDescent="0.2">
      <c r="A46" s="305">
        <f t="shared" si="7"/>
        <v>43649</v>
      </c>
      <c r="B46" s="178">
        <f t="shared" si="8"/>
        <v>57</v>
      </c>
      <c r="C46" s="259" t="str">
        <f>+'Pon-Bat'!BK42</f>
        <v/>
      </c>
      <c r="D46" s="181" t="str">
        <f>IF(C46="","",('Pon-Rec'!L46-C46)/'Pon-Rec'!L46)</f>
        <v/>
      </c>
      <c r="E46" s="256" t="str">
        <f>IF(C46="","",SUM($C$11:C46))</f>
        <v/>
      </c>
      <c r="F46" s="165" t="str">
        <f t="shared" si="5"/>
        <v/>
      </c>
      <c r="G46" s="166">
        <v>151.30000000000001</v>
      </c>
      <c r="H46" s="259" t="str">
        <f t="shared" si="3"/>
        <v/>
      </c>
      <c r="I46" s="349">
        <f>SUM($H$11:H46)</f>
        <v>0</v>
      </c>
      <c r="J46" s="255"/>
      <c r="K46" s="256" t="str">
        <f>IF(J46="","",SUM($J$11:J46))</f>
        <v/>
      </c>
      <c r="L46" s="165" t="str">
        <f t="shared" si="6"/>
        <v/>
      </c>
      <c r="M46" s="183">
        <v>130.9</v>
      </c>
      <c r="N46" s="189" t="str">
        <f t="shared" si="9"/>
        <v/>
      </c>
      <c r="O46" s="183">
        <v>81.900000000000006</v>
      </c>
      <c r="P46" s="184" t="str">
        <f t="shared" si="4"/>
        <v/>
      </c>
      <c r="R46" s="261"/>
    </row>
    <row r="47" spans="1:18" ht="24" customHeight="1" x14ac:dyDescent="0.2">
      <c r="A47" s="305">
        <f t="shared" si="7"/>
        <v>43656</v>
      </c>
      <c r="B47" s="178">
        <f t="shared" si="8"/>
        <v>58</v>
      </c>
      <c r="C47" s="259" t="str">
        <f>+'Pon-Bat'!BK43</f>
        <v/>
      </c>
      <c r="D47" s="181" t="str">
        <f>IF(C47="","",('Pon-Rec'!L47-C47)/'Pon-Rec'!L47)</f>
        <v/>
      </c>
      <c r="E47" s="256" t="str">
        <f>IF(C47="","",SUM($C$11:C47))</f>
        <v/>
      </c>
      <c r="F47" s="165" t="str">
        <f t="shared" si="5"/>
        <v/>
      </c>
      <c r="G47" s="166">
        <v>154.80000000000001</v>
      </c>
      <c r="H47" s="259" t="str">
        <f t="shared" si="3"/>
        <v/>
      </c>
      <c r="I47" s="349">
        <f>SUM($H$11:H47)</f>
        <v>0</v>
      </c>
      <c r="J47" s="255"/>
      <c r="K47" s="256" t="str">
        <f>IF(J47="","",SUM($J$11:J47))</f>
        <v/>
      </c>
      <c r="L47" s="165" t="str">
        <f t="shared" si="6"/>
        <v/>
      </c>
      <c r="M47" s="183">
        <v>133.80000000000001</v>
      </c>
      <c r="N47" s="189" t="str">
        <f t="shared" si="9"/>
        <v/>
      </c>
      <c r="O47" s="183">
        <v>81.400000000000006</v>
      </c>
      <c r="P47" s="184" t="str">
        <f t="shared" si="4"/>
        <v/>
      </c>
      <c r="R47" s="261"/>
    </row>
    <row r="48" spans="1:18" ht="24" customHeight="1" x14ac:dyDescent="0.2">
      <c r="A48" s="305">
        <f t="shared" si="7"/>
        <v>43663</v>
      </c>
      <c r="B48" s="178">
        <f t="shared" si="8"/>
        <v>59</v>
      </c>
      <c r="C48" s="259" t="str">
        <f>+'Pon-Bat'!BK44</f>
        <v/>
      </c>
      <c r="D48" s="181" t="str">
        <f>IF(C48="","",('Pon-Rec'!L48-C48)/'Pon-Rec'!L48)</f>
        <v/>
      </c>
      <c r="E48" s="256" t="str">
        <f>IF(C48="","",SUM($C$11:C48))</f>
        <v/>
      </c>
      <c r="F48" s="165" t="str">
        <f t="shared" si="5"/>
        <v/>
      </c>
      <c r="G48" s="166">
        <v>158.19999999999999</v>
      </c>
      <c r="H48" s="259" t="str">
        <f t="shared" si="3"/>
        <v/>
      </c>
      <c r="I48" s="349">
        <f>SUM($H$11:H48)</f>
        <v>0</v>
      </c>
      <c r="J48" s="255"/>
      <c r="K48" s="256" t="str">
        <f>IF(J48="","",SUM($J$11:J48))</f>
        <v/>
      </c>
      <c r="L48" s="165" t="str">
        <f t="shared" si="6"/>
        <v/>
      </c>
      <c r="M48" s="183">
        <v>136.5</v>
      </c>
      <c r="N48" s="189" t="str">
        <f t="shared" si="9"/>
        <v/>
      </c>
      <c r="O48" s="183">
        <v>80.900000000000006</v>
      </c>
      <c r="P48" s="184" t="str">
        <f t="shared" si="4"/>
        <v/>
      </c>
      <c r="R48" s="261"/>
    </row>
    <row r="49" spans="1:18" ht="24" customHeight="1" x14ac:dyDescent="0.2">
      <c r="A49" s="305">
        <f t="shared" si="7"/>
        <v>43670</v>
      </c>
      <c r="B49" s="178">
        <f t="shared" si="8"/>
        <v>60</v>
      </c>
      <c r="C49" s="259" t="str">
        <f>+'Pon-Bat'!BK45</f>
        <v/>
      </c>
      <c r="D49" s="181" t="str">
        <f>IF(C49="","",('Pon-Rec'!L49-C49)/'Pon-Rec'!L49)</f>
        <v/>
      </c>
      <c r="E49" s="256" t="str">
        <f>IF(C49="","",SUM($C$11:C49))</f>
        <v/>
      </c>
      <c r="F49" s="165" t="str">
        <f t="shared" si="5"/>
        <v/>
      </c>
      <c r="G49" s="166">
        <v>161.5</v>
      </c>
      <c r="H49" s="259" t="str">
        <f t="shared" si="3"/>
        <v/>
      </c>
      <c r="I49" s="349">
        <f>SUM($H$11:H49)</f>
        <v>0</v>
      </c>
      <c r="J49" s="255"/>
      <c r="K49" s="256" t="str">
        <f>IF(J49="","",SUM($J$11:J49))</f>
        <v/>
      </c>
      <c r="L49" s="165" t="str">
        <f t="shared" si="6"/>
        <v/>
      </c>
      <c r="M49" s="183">
        <v>139.19999999999999</v>
      </c>
      <c r="N49" s="189" t="str">
        <f t="shared" si="9"/>
        <v/>
      </c>
      <c r="O49" s="183">
        <v>80.400000000000006</v>
      </c>
      <c r="P49" s="184" t="str">
        <f t="shared" si="4"/>
        <v/>
      </c>
      <c r="R49" s="261"/>
    </row>
    <row r="50" spans="1:18" ht="24" customHeight="1" x14ac:dyDescent="0.2">
      <c r="A50" s="305">
        <f t="shared" si="7"/>
        <v>43677</v>
      </c>
      <c r="B50" s="178">
        <f t="shared" si="8"/>
        <v>61</v>
      </c>
      <c r="C50" s="259" t="str">
        <f>+'Pon-Bat'!BK46</f>
        <v/>
      </c>
      <c r="D50" s="181" t="str">
        <f>IF(C50="","",('Pon-Rec'!L50-C50)/'Pon-Rec'!L50)</f>
        <v/>
      </c>
      <c r="E50" s="256" t="str">
        <f>IF(C50="","",SUM($C$11:C50))</f>
        <v/>
      </c>
      <c r="F50" s="165" t="str">
        <f t="shared" si="5"/>
        <v/>
      </c>
      <c r="G50" s="166">
        <v>164.7</v>
      </c>
      <c r="H50" s="259" t="str">
        <f t="shared" si="3"/>
        <v/>
      </c>
      <c r="I50" s="349">
        <f>SUM($H$11:H50)</f>
        <v>0</v>
      </c>
      <c r="J50" s="255"/>
      <c r="K50" s="256" t="str">
        <f>IF(J50="","",SUM($J$11:J50))</f>
        <v/>
      </c>
      <c r="L50" s="165" t="str">
        <f t="shared" si="6"/>
        <v/>
      </c>
      <c r="M50" s="183">
        <v>141.69999999999999</v>
      </c>
      <c r="N50" s="189" t="str">
        <f t="shared" si="9"/>
        <v/>
      </c>
      <c r="O50" s="183">
        <v>79.900000000000006</v>
      </c>
      <c r="P50" s="184" t="str">
        <f t="shared" si="4"/>
        <v/>
      </c>
      <c r="R50" s="261"/>
    </row>
    <row r="51" spans="1:18" ht="24" customHeight="1" x14ac:dyDescent="0.2">
      <c r="A51" s="305">
        <f t="shared" si="7"/>
        <v>43684</v>
      </c>
      <c r="B51" s="178">
        <f t="shared" si="8"/>
        <v>62</v>
      </c>
      <c r="C51" s="259" t="str">
        <f>+'Pon-Bat'!BK47</f>
        <v/>
      </c>
      <c r="D51" s="181" t="str">
        <f>IF(C51="","",('Pon-Rec'!L51-C51)/'Pon-Rec'!L51)</f>
        <v/>
      </c>
      <c r="E51" s="256" t="str">
        <f>IF(C51="","",SUM($C$11:C51))</f>
        <v/>
      </c>
      <c r="F51" s="165" t="str">
        <f t="shared" si="5"/>
        <v/>
      </c>
      <c r="G51" s="166">
        <v>167.8</v>
      </c>
      <c r="H51" s="259" t="str">
        <f t="shared" si="3"/>
        <v/>
      </c>
      <c r="I51" s="349">
        <f>SUM($H$11:H51)</f>
        <v>0</v>
      </c>
      <c r="J51" s="255"/>
      <c r="K51" s="256" t="str">
        <f>IF(J51="","",SUM($J$11:J51))</f>
        <v/>
      </c>
      <c r="L51" s="165" t="str">
        <f t="shared" si="6"/>
        <v/>
      </c>
      <c r="M51" s="183">
        <v>144.19999999999999</v>
      </c>
      <c r="N51" s="189" t="str">
        <f t="shared" si="9"/>
        <v/>
      </c>
      <c r="O51" s="183">
        <v>79.400000000000006</v>
      </c>
      <c r="P51" s="184" t="str">
        <f t="shared" si="4"/>
        <v/>
      </c>
      <c r="R51" s="261"/>
    </row>
    <row r="52" spans="1:18" ht="24" customHeight="1" x14ac:dyDescent="0.2">
      <c r="A52" s="305">
        <f t="shared" si="7"/>
        <v>43691</v>
      </c>
      <c r="B52" s="178">
        <f t="shared" si="8"/>
        <v>63</v>
      </c>
      <c r="C52" s="259" t="str">
        <f>+'Pon-Bat'!BK48</f>
        <v/>
      </c>
      <c r="D52" s="181" t="str">
        <f>IF(C52="","",('Pon-Rec'!L52-C52)/'Pon-Rec'!L52)</f>
        <v/>
      </c>
      <c r="E52" s="256" t="str">
        <f>IF(C52="","",SUM($C$11:C52))</f>
        <v/>
      </c>
      <c r="F52" s="165" t="str">
        <f t="shared" si="5"/>
        <v/>
      </c>
      <c r="G52" s="166">
        <v>170.7</v>
      </c>
      <c r="H52" s="259" t="str">
        <f t="shared" si="3"/>
        <v/>
      </c>
      <c r="I52" s="349">
        <f>SUM($H$11:H52)</f>
        <v>0</v>
      </c>
      <c r="J52" s="255"/>
      <c r="K52" s="256" t="str">
        <f>IF(J52="","",SUM($J$11:J52))</f>
        <v/>
      </c>
      <c r="L52" s="165" t="str">
        <f t="shared" si="6"/>
        <v/>
      </c>
      <c r="M52" s="183">
        <v>146.5</v>
      </c>
      <c r="N52" s="189" t="str">
        <f t="shared" si="9"/>
        <v/>
      </c>
      <c r="O52" s="183">
        <v>78.900000000000006</v>
      </c>
      <c r="P52" s="184" t="str">
        <f t="shared" si="4"/>
        <v/>
      </c>
      <c r="R52" s="261"/>
    </row>
    <row r="53" spans="1:18" ht="24" customHeight="1" x14ac:dyDescent="0.2">
      <c r="A53" s="305">
        <f t="shared" si="7"/>
        <v>43698</v>
      </c>
      <c r="B53" s="178">
        <f t="shared" si="8"/>
        <v>64</v>
      </c>
      <c r="C53" s="259" t="str">
        <f>+'Pon-Bat'!BK49</f>
        <v/>
      </c>
      <c r="D53" s="181" t="str">
        <f>IF(C53="","",('Pon-Rec'!L53-C53)/'Pon-Rec'!L53)</f>
        <v/>
      </c>
      <c r="E53" s="256" t="str">
        <f>IF(C53="","",SUM($C$11:C53))</f>
        <v/>
      </c>
      <c r="F53" s="165" t="str">
        <f t="shared" si="5"/>
        <v/>
      </c>
      <c r="G53" s="166">
        <v>173.6</v>
      </c>
      <c r="H53" s="259" t="str">
        <f t="shared" si="3"/>
        <v/>
      </c>
      <c r="I53" s="349">
        <f>SUM($H$11:H53)</f>
        <v>0</v>
      </c>
      <c r="J53" s="255"/>
      <c r="K53" s="256" t="str">
        <f>IF(J53="","",SUM($J$11:J53))</f>
        <v/>
      </c>
      <c r="L53" s="165" t="str">
        <f t="shared" si="6"/>
        <v/>
      </c>
      <c r="M53" s="183">
        <v>148.69999999999999</v>
      </c>
      <c r="N53" s="189" t="str">
        <f t="shared" si="9"/>
        <v/>
      </c>
      <c r="O53" s="183">
        <v>78.400000000000006</v>
      </c>
      <c r="P53" s="184" t="str">
        <f t="shared" si="4"/>
        <v/>
      </c>
      <c r="R53" s="261"/>
    </row>
    <row r="54" spans="1:18" ht="24" customHeight="1" x14ac:dyDescent="0.2">
      <c r="A54" s="305">
        <f t="shared" si="7"/>
        <v>43705</v>
      </c>
      <c r="B54" s="178">
        <f t="shared" si="8"/>
        <v>65</v>
      </c>
      <c r="C54" s="259" t="str">
        <f>+'Pon-Bat'!BK50</f>
        <v/>
      </c>
      <c r="D54" s="181" t="str">
        <f>IF(C54="","",('Pon-Rec'!L54-C54)/'Pon-Rec'!L54)</f>
        <v/>
      </c>
      <c r="E54" s="256" t="str">
        <f>IF(C54="","",SUM($C$11:C54))</f>
        <v/>
      </c>
      <c r="F54" s="165" t="str">
        <f t="shared" si="5"/>
        <v/>
      </c>
      <c r="G54" s="166">
        <v>176.3</v>
      </c>
      <c r="H54" s="259" t="str">
        <f t="shared" si="3"/>
        <v/>
      </c>
      <c r="I54" s="349">
        <f>SUM($H$11:H54)</f>
        <v>0</v>
      </c>
      <c r="J54" s="255"/>
      <c r="K54" s="256" t="str">
        <f>IF(J54="","",SUM($J$11:J54))</f>
        <v/>
      </c>
      <c r="L54" s="165" t="str">
        <f t="shared" si="6"/>
        <v/>
      </c>
      <c r="M54" s="183">
        <v>150.9</v>
      </c>
      <c r="N54" s="189" t="str">
        <f t="shared" si="9"/>
        <v/>
      </c>
      <c r="O54" s="183">
        <v>77.900000000000006</v>
      </c>
      <c r="P54" s="184" t="str">
        <f t="shared" si="4"/>
        <v/>
      </c>
      <c r="R54" s="261"/>
    </row>
    <row r="55" spans="1:18" ht="24" customHeight="1" x14ac:dyDescent="0.2">
      <c r="A55" s="305">
        <f t="shared" si="7"/>
        <v>43712</v>
      </c>
      <c r="B55" s="178">
        <f t="shared" si="8"/>
        <v>66</v>
      </c>
      <c r="C55" s="259" t="str">
        <f>+'Pon-Bat'!BK51</f>
        <v/>
      </c>
      <c r="D55" s="181" t="str">
        <f>IF(C55="","",('Pon-Rec'!L55-C55)/'Pon-Rec'!L55)</f>
        <v/>
      </c>
      <c r="E55" s="256" t="str">
        <f>IF(C55="","",SUM($C$11:C55))</f>
        <v/>
      </c>
      <c r="F55" s="165" t="str">
        <f t="shared" si="5"/>
        <v/>
      </c>
      <c r="G55" s="166">
        <f>+G54+2.8</f>
        <v>179.10000000000002</v>
      </c>
      <c r="H55" s="259" t="str">
        <f t="shared" si="3"/>
        <v/>
      </c>
      <c r="I55" s="349">
        <f>SUM($H$11:H55)</f>
        <v>0</v>
      </c>
      <c r="J55" s="255"/>
      <c r="K55" s="256" t="str">
        <f>IF(J55="","",SUM($J$11:J55))</f>
        <v/>
      </c>
      <c r="L55" s="165" t="str">
        <f t="shared" si="6"/>
        <v/>
      </c>
      <c r="M55" s="183">
        <f>+M54+2.3</f>
        <v>153.20000000000002</v>
      </c>
      <c r="N55" s="189" t="str">
        <f t="shared" si="9"/>
        <v/>
      </c>
      <c r="O55" s="183">
        <v>77.400000000000006</v>
      </c>
      <c r="P55" s="184" t="str">
        <f t="shared" si="4"/>
        <v/>
      </c>
      <c r="R55" s="261"/>
    </row>
    <row r="56" spans="1:18" ht="24" customHeight="1" x14ac:dyDescent="0.2">
      <c r="A56" s="305">
        <f t="shared" si="7"/>
        <v>43719</v>
      </c>
      <c r="B56" s="178">
        <f t="shared" si="8"/>
        <v>67</v>
      </c>
      <c r="C56" s="259" t="str">
        <f>+'Pon-Bat'!BK52</f>
        <v/>
      </c>
      <c r="D56" s="181" t="str">
        <f>IF(C56="","",('Pon-Rec'!L56-C56)/'Pon-Rec'!L56)</f>
        <v/>
      </c>
      <c r="E56" s="256" t="str">
        <f>IF(C56="","",SUM($C$11:C56))</f>
        <v/>
      </c>
      <c r="F56" s="165" t="str">
        <f t="shared" si="5"/>
        <v/>
      </c>
      <c r="G56" s="166">
        <f>+G55+2.8</f>
        <v>181.90000000000003</v>
      </c>
      <c r="H56" s="259" t="str">
        <f t="shared" si="3"/>
        <v/>
      </c>
      <c r="I56" s="349">
        <f>SUM($H$11:H56)</f>
        <v>0</v>
      </c>
      <c r="J56" s="255"/>
      <c r="K56" s="256" t="str">
        <f>IF(J56="","",SUM($J$11:J56))</f>
        <v/>
      </c>
      <c r="L56" s="165" t="str">
        <f t="shared" si="6"/>
        <v/>
      </c>
      <c r="M56" s="183">
        <f>+M55+2.3</f>
        <v>155.50000000000003</v>
      </c>
      <c r="N56" s="189" t="str">
        <f t="shared" si="9"/>
        <v/>
      </c>
      <c r="O56" s="183">
        <v>76.900000000000006</v>
      </c>
      <c r="P56" s="184" t="str">
        <f t="shared" si="4"/>
        <v/>
      </c>
      <c r="R56" s="261"/>
    </row>
    <row r="57" spans="1:18" ht="24" customHeight="1" x14ac:dyDescent="0.2">
      <c r="A57" s="305">
        <f t="shared" si="7"/>
        <v>43726</v>
      </c>
      <c r="B57" s="178">
        <f t="shared" si="8"/>
        <v>68</v>
      </c>
      <c r="C57" s="259" t="str">
        <f>+'Pon-Bat'!BK53</f>
        <v/>
      </c>
      <c r="D57" s="181" t="str">
        <f>IF(C57="","",('Pon-Rec'!L57-C57)/'Pon-Rec'!L57)</f>
        <v/>
      </c>
      <c r="E57" s="256" t="str">
        <f>IF(C57="","",SUM($C$11:C57))</f>
        <v/>
      </c>
      <c r="F57" s="165" t="str">
        <f t="shared" si="5"/>
        <v/>
      </c>
      <c r="G57" s="166">
        <f>+G56+2.7</f>
        <v>184.60000000000002</v>
      </c>
      <c r="H57" s="259" t="str">
        <f t="shared" si="3"/>
        <v/>
      </c>
      <c r="I57" s="349">
        <f>SUM($H$11:H57)</f>
        <v>0</v>
      </c>
      <c r="J57" s="255"/>
      <c r="K57" s="256" t="str">
        <f>IF(J57="","",SUM($J$11:J57))</f>
        <v/>
      </c>
      <c r="L57" s="165" t="str">
        <f t="shared" si="6"/>
        <v/>
      </c>
      <c r="M57" s="183">
        <f>+M56+2.2</f>
        <v>157.70000000000002</v>
      </c>
      <c r="N57" s="189" t="str">
        <f t="shared" si="9"/>
        <v/>
      </c>
      <c r="O57" s="183">
        <v>76.400000000000006</v>
      </c>
      <c r="P57" s="184" t="str">
        <f t="shared" si="4"/>
        <v/>
      </c>
      <c r="R57" s="261"/>
    </row>
    <row r="58" spans="1:18" ht="24" customHeight="1" x14ac:dyDescent="0.2">
      <c r="A58" s="305">
        <f t="shared" si="7"/>
        <v>43733</v>
      </c>
      <c r="B58" s="178">
        <f t="shared" si="8"/>
        <v>69</v>
      </c>
      <c r="C58" s="259" t="str">
        <f>+'Pon-Bat'!BK54</f>
        <v/>
      </c>
      <c r="D58" s="181" t="str">
        <f>IF(C58="","",('Pon-Rec'!L58-C58)/'Pon-Rec'!L58)</f>
        <v/>
      </c>
      <c r="E58" s="256" t="str">
        <f>IF(C58="","",SUM($C$11:C58))</f>
        <v/>
      </c>
      <c r="F58" s="165" t="str">
        <f t="shared" si="5"/>
        <v/>
      </c>
      <c r="G58" s="166">
        <f>+G57+2.6</f>
        <v>187.20000000000002</v>
      </c>
      <c r="H58" s="259" t="str">
        <f t="shared" si="3"/>
        <v/>
      </c>
      <c r="I58" s="349">
        <f>SUM($H$11:H58)</f>
        <v>0</v>
      </c>
      <c r="J58" s="255"/>
      <c r="K58" s="256" t="str">
        <f>IF(J58="","",SUM($J$11:J58))</f>
        <v/>
      </c>
      <c r="L58" s="165" t="str">
        <f t="shared" si="6"/>
        <v/>
      </c>
      <c r="M58" s="183">
        <f>+M57+2.2</f>
        <v>159.9</v>
      </c>
      <c r="N58" s="189" t="str">
        <f t="shared" si="9"/>
        <v/>
      </c>
      <c r="O58" s="183">
        <v>75.900000000000006</v>
      </c>
      <c r="P58" s="184" t="str">
        <f t="shared" si="4"/>
        <v/>
      </c>
      <c r="R58" s="261"/>
    </row>
    <row r="59" spans="1:18" ht="24" customHeight="1" thickBot="1" x14ac:dyDescent="0.25">
      <c r="A59" s="307">
        <f t="shared" si="7"/>
        <v>43740</v>
      </c>
      <c r="B59" s="168">
        <f t="shared" si="8"/>
        <v>70</v>
      </c>
      <c r="C59" s="260" t="str">
        <f>+'Pon-Bat'!BK55</f>
        <v/>
      </c>
      <c r="D59" s="185" t="str">
        <f>IF(C59="","",('Pon-Rec'!L59-C59)/'Pon-Rec'!L59)</f>
        <v/>
      </c>
      <c r="E59" s="258" t="str">
        <f>IF(C59="","",SUM($C$11:C59))</f>
        <v/>
      </c>
      <c r="F59" s="186" t="str">
        <f t="shared" si="5"/>
        <v/>
      </c>
      <c r="G59" s="171">
        <f>+G58+2.6</f>
        <v>189.8</v>
      </c>
      <c r="H59" s="260" t="str">
        <f t="shared" si="3"/>
        <v/>
      </c>
      <c r="I59" s="350">
        <f>SUM($H$11:H59)</f>
        <v>0</v>
      </c>
      <c r="J59" s="257"/>
      <c r="K59" s="258" t="str">
        <f>IF(J59="","",SUM($J$11:J59))</f>
        <v/>
      </c>
      <c r="L59" s="170" t="str">
        <f t="shared" si="6"/>
        <v/>
      </c>
      <c r="M59" s="187">
        <f>+M58+2.1</f>
        <v>162</v>
      </c>
      <c r="N59" s="190" t="str">
        <f t="shared" si="9"/>
        <v/>
      </c>
      <c r="O59" s="187">
        <v>75.400000000000006</v>
      </c>
      <c r="P59" s="188" t="str">
        <f t="shared" si="4"/>
        <v/>
      </c>
      <c r="R59" s="261"/>
    </row>
    <row r="60" spans="1:18" ht="15.95" customHeight="1" thickTop="1" x14ac:dyDescent="0.2">
      <c r="I60" s="352">
        <f>MAX(I11:I59)</f>
        <v>0</v>
      </c>
    </row>
    <row r="61" spans="1:18" ht="14.25" x14ac:dyDescent="0.2">
      <c r="I61" s="353" t="str">
        <f>IF(P1="","",I60/P1)</f>
        <v/>
      </c>
    </row>
    <row r="62" spans="1:18" x14ac:dyDescent="0.2">
      <c r="I62" s="354">
        <f>MAX(I11:I49)</f>
        <v>0</v>
      </c>
    </row>
    <row r="63" spans="1:18" x14ac:dyDescent="0.2">
      <c r="I63" s="355" t="str">
        <f>IF(P1="","",I62/P1)</f>
        <v/>
      </c>
    </row>
  </sheetData>
  <phoneticPr fontId="17" type="noConversion"/>
  <printOptions horizontalCentered="1"/>
  <pageMargins left="0" right="0" top="0.59055118110236227" bottom="0.98425196850393704" header="0.39370078740157483" footer="0.39370078740157483"/>
  <pageSetup paperSize="9" scale="75" orientation="portrait" horizontalDpi="360" verticalDpi="360" r:id="rId1"/>
  <headerFooter alignWithMargins="0">
    <oddHeader>&amp;C&amp;A</oddHeader>
    <oddFooter>&amp;L&amp;6&amp;F&amp;C&amp;8Preparado por COBB Española&amp;D&amp;R&amp;P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13</vt:i4>
      </vt:variant>
      <vt:variant>
        <vt:lpstr>Graphiques</vt:lpstr>
      </vt:variant>
      <vt:variant>
        <vt:i4>8</vt:i4>
      </vt:variant>
      <vt:variant>
        <vt:lpstr>Plages nommées</vt:lpstr>
      </vt:variant>
      <vt:variant>
        <vt:i4>12</vt:i4>
      </vt:variant>
    </vt:vector>
  </HeadingPairs>
  <TitlesOfParts>
    <vt:vector size="33" baseType="lpstr">
      <vt:lpstr>LOT</vt:lpstr>
      <vt:lpstr>Dem-Bat</vt:lpstr>
      <vt:lpstr>Dem-Rec</vt:lpstr>
      <vt:lpstr>Prod-Bat</vt:lpstr>
      <vt:lpstr>Prod-Rec</vt:lpstr>
      <vt:lpstr>Pon-Bat</vt:lpstr>
      <vt:lpstr>Oeuf-Bat%</vt:lpstr>
      <vt:lpstr>Pon-Rec</vt:lpstr>
      <vt:lpstr>Inc</vt:lpstr>
      <vt:lpstr>Gr-M-Rat</vt:lpstr>
      <vt:lpstr>Aliment</vt:lpstr>
      <vt:lpstr>Lumiere</vt:lpstr>
      <vt:lpstr>Visit</vt:lpstr>
      <vt:lpstr>Gr-Pds-F</vt:lpstr>
      <vt:lpstr>Gr-Pds-M</vt:lpstr>
      <vt:lpstr>Gr-Prod-F</vt:lpstr>
      <vt:lpstr>Gr-Prod-M</vt:lpstr>
      <vt:lpstr>Gr-Mort</vt:lpstr>
      <vt:lpstr>Gr-Pon</vt:lpstr>
      <vt:lpstr>Gr-Pds-Oef</vt:lpstr>
      <vt:lpstr>Gr-Oef-Pous</vt:lpstr>
      <vt:lpstr>Aliment!Impression_des_titres</vt:lpstr>
      <vt:lpstr>Inc!Impression_des_titres</vt:lpstr>
      <vt:lpstr>'Pon-Rec'!Impression_des_titres</vt:lpstr>
      <vt:lpstr>'Prod-Rec'!Impression_des_titres</vt:lpstr>
      <vt:lpstr>Visit!Impression_des_titres</vt:lpstr>
      <vt:lpstr>Aliment!Zone_d_impression</vt:lpstr>
      <vt:lpstr>'Dem-Rec'!Zone_d_impression</vt:lpstr>
      <vt:lpstr>Inc!Zone_d_impression</vt:lpstr>
      <vt:lpstr>LOT!Zone_d_impression</vt:lpstr>
      <vt:lpstr>'Pon-Rec'!Zone_d_impression</vt:lpstr>
      <vt:lpstr>'Prod-Rec'!Zone_d_impression</vt:lpstr>
      <vt:lpstr>Visit!Zone_d_impression</vt:lpstr>
    </vt:vector>
  </TitlesOfParts>
  <Company>COBB ESPAÑOLA, S. 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COBB ESP. SER. TEC. RE. PU. EX. V. 4xp07</dc:title>
  <dc:subject>CONTROL PRODUCCION 8-3-07</dc:subject>
  <dc:creator>Mariano</dc:creator>
  <cp:lastModifiedBy>REBHI</cp:lastModifiedBy>
  <cp:lastPrinted>2018-06-27T14:12:22Z</cp:lastPrinted>
  <dcterms:created xsi:type="dcterms:W3CDTF">1999-03-24T09:56:20Z</dcterms:created>
  <dcterms:modified xsi:type="dcterms:W3CDTF">2018-07-18T17:16:38Z</dcterms:modified>
</cp:coreProperties>
</file>