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s>
  <externalReferences>
    <externalReference r:id="rId6"/>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<sst xmlns="http://schemas.openxmlformats.org/spreadsheetml/2006/main" count="173" uniqueCount="75">
  <si>
    <t xml:space="preserve">Care este prima unică de asigurare pe care va trebui să o plătească un asigurat în vârstă de 51 de ani, pentru ca la vârsta de 85 de ani, să primească 60547 euro din partea firmei de asigurări, respectiv familia sa să primească 32% din această sumă, dacă asiguratul nu mai este în viață la această vârstă ? Procentul de actualizare este de 10%.</t>
  </si>
  <si>
    <t xml:space="preserve">x</t>
  </si>
  <si>
    <t xml:space="preserve">k</t>
  </si>
  <si>
    <t xml:space="preserve">S</t>
  </si>
  <si>
    <t xml:space="preserve">S`</t>
  </si>
  <si>
    <t xml:space="preserve">P = S*(Dn+x/Dx) + 0.32*S*(Mx+n/Dx)</t>
  </si>
  <si>
    <t xml:space="preserve">Câți ani ar mai avea de trăit în medie o persoană în vârstă de 90 de ani ? Procentul de actualizare este 10%.</t>
  </si>
  <si>
    <t xml:space="preserve">e90=1/2+1/L90(L91+L92+L93+…+L100)</t>
  </si>
  <si>
    <t xml:space="preserve">Care este prima plătită de o persoană în vârstă de 44 de ani, timp de 7 ani, la sfârșitul fiecărui an, la o firmă de asigurări, în vederea obținerii unei sume de 1624 euro, la începutul fiecărei luni, de la vârsta de 75 de ani ? Se consideră procentul de actualizare de 10%.</t>
  </si>
  <si>
    <t xml:space="preserve">n</t>
  </si>
  <si>
    <t xml:space="preserve">P * (a.v.c.î.p imediată, limitată la k ani) = S * (a.v.c.f.a amînată n ani)</t>
  </si>
  <si>
    <t xml:space="preserve">P * (Nx+1 - Nx+k+1)/Dx = S * (Nx+n/Dx - m-1/2m * Dx+n/Dx) * m</t>
  </si>
  <si>
    <t xml:space="preserve">P * (N45-N52)/D44</t>
  </si>
  <si>
    <t xml:space="preserve">S * (N75/D44- (12-1)/(2*12) * D75/D44) * 12</t>
  </si>
  <si>
    <t xml:space="preserve">Equatia de echilibru: P * (N40-N47)/D40 = S * (N75/D40 - (12-1)/(2*12) * D75/D40) * 12</t>
  </si>
  <si>
    <t xml:space="preserve">rezulta P este</t>
  </si>
  <si>
    <t xml:space="preserve">Care este probabilitatea ca o persoană în vârstă de 32 de ani să decedeze între 67 și 98 de ani? Procentul de actualizare este 10%.</t>
  </si>
  <si>
    <t xml:space="preserve">m</t>
  </si>
  <si>
    <t xml:space="preserve">p(32,67)*q(67,98) = (L67/L32)*(1-(L98/L67))</t>
  </si>
  <si>
    <t xml:space="preserve">O persoană dorește să cumpere un produs în valoare de 1922 euro, achitând un avans de 3.3% din preț, restul urmând a fi achitat în rate egale și constante, timp de 9 ani, la începutul fiecărui an, cu procentul anual 4.77%. Valoarea unei rate este:</t>
  </si>
  <si>
    <t xml:space="preserve">Pret prod.</t>
  </si>
  <si>
    <t xml:space="preserve">Avans</t>
  </si>
  <si>
    <t xml:space="preserve">Vm(t)</t>
  </si>
  <si>
    <t xml:space="preserve">t</t>
  </si>
  <si>
    <t xml:space="preserve">i</t>
  </si>
  <si>
    <t xml:space="preserve">im</t>
  </si>
  <si>
    <t xml:space="preserve">u = 1+im</t>
  </si>
  <si>
    <t xml:space="preserve">v=1(um)</t>
  </si>
  <si>
    <t xml:space="preserve">r=V(t)*im/((1-v^(n*m))*u^(t*m))</t>
  </si>
  <si>
    <t xml:space="preserve">P</t>
  </si>
  <si>
    <t xml:space="preserve">Cu ce rată anuală a dobânzii se va dubla o sumă de bani în 4 ani ?</t>
  </si>
  <si>
    <t xml:space="preserve">R</t>
  </si>
  <si>
    <t xml:space="preserve">Care este valoarea cotei plătite în al patrulea an, în cazul rambursării sumei de 5545 euro, prin plăți periodice constante pe timp de cinci ani, la o rată anuală a dobânzii de 6.25% ?</t>
  </si>
  <si>
    <t xml:space="preserve">Q</t>
  </si>
  <si>
    <t xml:space="preserve">Care a fost dobânda obținută de o persoană la data de 28 mai 2020, dacă a depus la bancă suma de 2949 euro la data de 7 martie 2020, cu rata anuală a dobânzii 2.08% ?</t>
  </si>
  <si>
    <t xml:space="preserve">s</t>
  </si>
  <si>
    <t xml:space="preserve">I</t>
  </si>
  <si>
    <t xml:space="preserve">z (data capitalizarii – data depunere)</t>
  </si>
  <si>
    <t xml:space="preserve">D = s*i*z/360</t>
  </si>
  <si>
    <t xml:space="preserve">Care este prima de asigurare pe care o va plati o persoana in varsta de 43 de ani, timp de doi ani, la sfarsitul fiecarei luni, pentru a beneficia de 58066 euro, la implinirea varstei de 65 de ani, daca va fi in viata la aceasta varsta? % de actualizare 10%.</t>
  </si>
  <si>
    <t xml:space="preserve">P*(avcfp), imed, limitata la 2 ani=S*nEx</t>
  </si>
  <si>
    <t xml:space="preserve">sEx = D65/D43</t>
  </si>
  <si>
    <t xml:space="preserve">S*nEx</t>
  </si>
  <si>
    <t xml:space="preserve">P*(avcfp), imed, limitata la 2 ani</t>
  </si>
  <si>
    <t xml:space="preserve">Lx</t>
  </si>
  <si>
    <t xml:space="preserve">Dx</t>
  </si>
  <si>
    <t xml:space="preserve">Nx</t>
  </si>
  <si>
    <t xml:space="preserve">Mx</t>
  </si>
  <si>
    <t xml:space="preserve">Calculator Simplu</t>
  </si>
  <si>
    <t xml:space="preserve">Probabilitate de viata</t>
  </si>
  <si>
    <t xml:space="preserve">Probabilitate de viata dublu limitata</t>
  </si>
  <si>
    <t xml:space="preserve">Probabilitate de deces</t>
  </si>
  <si>
    <t xml:space="preserve">Probabilitate de deces dublu limitata</t>
  </si>
  <si>
    <t xml:space="preserve">L</t>
  </si>
  <si>
    <t xml:space="preserve">D</t>
  </si>
  <si>
    <t xml:space="preserve">N</t>
  </si>
  <si>
    <t xml:space="preserve">M</t>
  </si>
  <si>
    <t xml:space="preserve">Rezultat</t>
  </si>
  <si>
    <t xml:space="preserve">P*</t>
  </si>
  <si>
    <t xml:space="preserve">nEx</t>
  </si>
  <si>
    <t xml:space="preserve">Anuitati Viagere INTREGI Posticipate</t>
  </si>
  <si>
    <t xml:space="preserve">Dx+n/Dx</t>
  </si>
  <si>
    <t xml:space="preserve">Imediata, Nelimitata</t>
  </si>
  <si>
    <t xml:space="preserve">Imediata, limitata la "n" ani</t>
  </si>
  <si>
    <t xml:space="preserve">aminata cu "n" ani (nelimitata)</t>
  </si>
  <si>
    <t xml:space="preserve">Anuitati Viagere INTREGI Anticipate</t>
  </si>
  <si>
    <t xml:space="preserve">Anuitati Viagere FRACTIONATE Posticipate</t>
  </si>
  <si>
    <t xml:space="preserve">m (2,4 sau 12)</t>
  </si>
  <si>
    <t xml:space="preserve">Anuitati Viagere FRACTIONATE Anticipate</t>
  </si>
  <si>
    <t xml:space="preserve">Anuitati de Deces</t>
  </si>
  <si>
    <t xml:space="preserve">dublu limitata (inf la m,sup la n)</t>
  </si>
  <si>
    <t xml:space="preserve">Mx/Dx</t>
  </si>
  <si>
    <t xml:space="preserve">(Mx+m-Mx+n)/Dx</t>
  </si>
  <si>
    <t xml:space="preserve">(Mx-Mx+n)/Dx</t>
  </si>
  <si>
    <t xml:space="preserve">Mx+n/Dx</t>
  </si>
</sst>
</file>

<file path=xl/styles.xml><?xml version="1.0" encoding="utf-8"?>
<styleSheet xmlns="http://schemas.openxmlformats.org/spreadsheetml/2006/main">
  <numFmts count="5">
    <numFmt numFmtId="164" formatCode="General"/>
    <numFmt numFmtId="165" formatCode="General"/>
    <numFmt numFmtId="166" formatCode="0.00"/>
    <numFmt numFmtId="167" formatCode="0.00000000"/>
    <numFmt numFmtId="168" formatCode="@"/>
  </numFmts>
  <fonts count="24">
    <font>
      <sz val="10"/>
      <name val="Arial"/>
      <family val="2"/>
      <charset val="1"/>
    </font>
    <font>
      <sz val="10"/>
      <name val="Arial"/>
      <family val="0"/>
    </font>
    <font>
      <sz val="10"/>
      <name val="Arial"/>
      <family val="0"/>
    </font>
    <font>
      <sz val="10"/>
      <name val="Arial"/>
      <family val="0"/>
    </font>
    <font>
      <sz val="10"/>
      <color rgb="FF006600"/>
      <name val="Arial"/>
      <family val="2"/>
      <charset val="1"/>
    </font>
    <font>
      <b val="true"/>
      <sz val="12"/>
      <color rgb="FFFFFFFF"/>
      <name val="DejaVu Sans"/>
      <family val="2"/>
      <charset val="1"/>
    </font>
    <font>
      <b val="true"/>
      <sz val="12"/>
      <name val="DejaVu Sans"/>
      <family val="2"/>
      <charset val="1"/>
    </font>
    <font>
      <sz val="12"/>
      <name val="DejaVu Sans"/>
      <family val="2"/>
      <charset val="1"/>
    </font>
    <font>
      <b val="true"/>
      <sz val="12"/>
      <color rgb="FF006600"/>
      <name val="DejaVu Sans"/>
      <family val="2"/>
      <charset val="1"/>
    </font>
    <font>
      <b val="true"/>
      <sz val="12"/>
      <color rgb="FF000000"/>
      <name val="DejaVu Sans"/>
      <family val="2"/>
      <charset val="1"/>
    </font>
    <font>
      <sz val="11"/>
      <color rgb="FF006100"/>
      <name val="Calibri"/>
      <family val="2"/>
      <charset val="1"/>
    </font>
    <font>
      <b val="true"/>
      <sz val="12"/>
      <color rgb="FF006100"/>
      <name val="DejaVu Sans"/>
      <family val="2"/>
      <charset val="1"/>
    </font>
    <font>
      <b val="true"/>
      <sz val="11"/>
      <color rgb="FF000000"/>
      <name val="Calibri"/>
      <family val="2"/>
      <charset val="1"/>
    </font>
    <font>
      <b val="true"/>
      <sz val="12"/>
      <color rgb="FFFFFFFF"/>
      <name val="Arial"/>
      <family val="2"/>
      <charset val="1"/>
    </font>
    <font>
      <sz val="11"/>
      <color rgb="FF000000"/>
      <name val="Calibri"/>
      <family val="0"/>
      <charset val="1"/>
    </font>
    <font>
      <sz val="12"/>
      <color rgb="FF000000"/>
      <name val="Arial"/>
      <family val="2"/>
      <charset val="1"/>
    </font>
    <font>
      <b val="true"/>
      <sz val="12"/>
      <color rgb="FF000000"/>
      <name val="Arial"/>
      <family val="2"/>
      <charset val="1"/>
    </font>
    <font>
      <sz val="18"/>
      <color rgb="FFFFFFFF"/>
      <name val="Calibri"/>
      <family val="0"/>
      <charset val="1"/>
    </font>
    <font>
      <b val="true"/>
      <sz val="18"/>
      <color rgb="FFFFFFFF"/>
      <name val="Calibri"/>
      <family val="0"/>
      <charset val="1"/>
    </font>
    <font>
      <sz val="14"/>
      <color rgb="FF000000"/>
      <name val="Calibri"/>
      <family val="0"/>
      <charset val="1"/>
    </font>
    <font>
      <sz val="12"/>
      <color rgb="FF000000"/>
      <name val="Calibri"/>
      <family val="0"/>
      <charset val="1"/>
    </font>
    <font>
      <sz val="14"/>
      <color rgb="FFFFFFFF"/>
      <name val="Calibri"/>
      <family val="0"/>
      <charset val="1"/>
    </font>
    <font>
      <b val="true"/>
      <sz val="14"/>
      <color rgb="FFFFFFFF"/>
      <name val="Calibri"/>
      <family val="0"/>
      <charset val="1"/>
    </font>
    <font>
      <sz val="12"/>
      <color rgb="FF000000"/>
      <name val="Inconsolata"/>
      <family val="0"/>
      <charset val="1"/>
    </font>
  </fonts>
  <fills count="15">
    <fill>
      <patternFill patternType="none"/>
    </fill>
    <fill>
      <patternFill patternType="gray125"/>
    </fill>
    <fill>
      <patternFill patternType="solid">
        <fgColor rgb="FFCCFFCC"/>
        <bgColor rgb="FFC6EFCE"/>
      </patternFill>
    </fill>
    <fill>
      <patternFill patternType="solid">
        <fgColor rgb="FFC6EFCE"/>
        <bgColor rgb="FFBEE3D3"/>
      </patternFill>
    </fill>
    <fill>
      <patternFill patternType="solid">
        <fgColor rgb="FF355269"/>
        <bgColor rgb="FF333333"/>
      </patternFill>
    </fill>
    <fill>
      <patternFill patternType="solid">
        <fgColor rgb="FF729FCF"/>
        <bgColor rgb="FF999999"/>
      </patternFill>
    </fill>
    <fill>
      <patternFill patternType="solid">
        <fgColor rgb="FF009353"/>
        <bgColor rgb="FF008080"/>
      </patternFill>
    </fill>
    <fill>
      <patternFill patternType="solid">
        <fgColor rgb="FF999999"/>
        <bgColor rgb="FF808080"/>
      </patternFill>
    </fill>
    <fill>
      <patternFill patternType="solid">
        <fgColor rgb="FFDDDDDD"/>
        <bgColor rgb="FFBEE3D3"/>
      </patternFill>
    </fill>
    <fill>
      <patternFill patternType="solid">
        <fgColor rgb="FFBEE3D3"/>
        <bgColor rgb="FFC6EFCE"/>
      </patternFill>
    </fill>
    <fill>
      <patternFill patternType="solid">
        <fgColor rgb="FFFFFFFF"/>
        <bgColor rgb="FFFFFFCC"/>
      </patternFill>
    </fill>
    <fill>
      <patternFill patternType="solid">
        <fgColor rgb="FF4472C4"/>
        <bgColor rgb="FF666699"/>
      </patternFill>
    </fill>
    <fill>
      <patternFill patternType="solid">
        <fgColor rgb="FFE69138"/>
        <bgColor rgb="FFFF8080"/>
      </patternFill>
    </fill>
    <fill>
      <patternFill patternType="solid">
        <fgColor rgb="FFA4C2F4"/>
        <bgColor rgb="FFC0C0C0"/>
      </patternFill>
    </fill>
    <fill>
      <patternFill patternType="solid">
        <fgColor rgb="FFF9CB9C"/>
        <bgColor rgb="FFDDDDDD"/>
      </patternFill>
    </fill>
  </fills>
  <borders count="14">
    <border diagonalUp="false" diagonalDown="false">
      <left/>
      <right/>
      <top/>
      <bottom/>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right style="thin"/>
      <top style="thin"/>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color rgb="FF009353"/>
      </bottom>
      <diagonal/>
    </border>
    <border diagonalUp="false" diagonalDown="false">
      <left/>
      <right style="thin">
        <color rgb="FF009353"/>
      </right>
      <top/>
      <bottom style="thin">
        <color rgb="FF009353"/>
      </bottom>
      <diagonal/>
    </border>
    <border diagonalUp="false" diagonalDown="false">
      <left style="thin">
        <color rgb="FF009353"/>
      </left>
      <right/>
      <top/>
      <bottom style="thin">
        <color rgb="FF009353"/>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20" applyFont="true" applyBorder="true" applyAlignment="true" applyProtection="tru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11" fillId="3" borderId="0" xfId="21"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13" fillId="6" borderId="1" xfId="0" applyFont="true" applyBorder="true" applyAlignment="true" applyProtection="false">
      <alignment horizontal="general" vertical="bottom" textRotation="0" wrapText="false" indent="0" shrinkToFit="false"/>
      <protection locked="true" hidden="false"/>
    </xf>
    <xf numFmtId="168" fontId="13" fillId="6" borderId="2" xfId="0" applyFont="true" applyBorder="true" applyAlignment="true" applyProtection="false">
      <alignment horizontal="general" vertical="bottom" textRotation="0" wrapText="false" indent="0" shrinkToFit="false"/>
      <protection locked="true" hidden="false"/>
    </xf>
    <xf numFmtId="168" fontId="13" fillId="6" borderId="3" xfId="0" applyFont="true" applyBorder="true" applyAlignment="true" applyProtection="false">
      <alignment horizontal="general" vertical="bottom" textRotation="0" wrapText="false" indent="0" shrinkToFit="false"/>
      <protection locked="true" hidden="false"/>
    </xf>
    <xf numFmtId="164" fontId="14" fillId="7" borderId="0" xfId="0" applyFont="true" applyBorder="false" applyAlignment="false" applyProtection="false">
      <alignment horizontal="general" vertical="bottom" textRotation="0" wrapText="false" indent="0" shrinkToFit="false"/>
      <protection locked="true" hidden="false"/>
    </xf>
    <xf numFmtId="168" fontId="13" fillId="6" borderId="0" xfId="0" applyFont="true" applyBorder="true" applyAlignment="true" applyProtection="false">
      <alignment horizontal="center" vertical="bottom" textRotation="0" wrapText="false" indent="0" shrinkToFit="false"/>
      <protection locked="true" hidden="false"/>
    </xf>
    <xf numFmtId="168" fontId="13" fillId="6" borderId="4" xfId="0" applyFont="true" applyBorder="true" applyAlignment="true" applyProtection="false">
      <alignment horizontal="center" vertical="bottom" textRotation="0" wrapText="false" indent="0" shrinkToFit="false"/>
      <protection locked="true" hidden="false"/>
    </xf>
    <xf numFmtId="168" fontId="13" fillId="6" borderId="2" xfId="0" applyFont="true" applyBorder="true" applyAlignment="true" applyProtection="false">
      <alignment horizontal="center" vertical="bottom" textRotation="0" wrapText="false" indent="0" shrinkToFit="false"/>
      <protection locked="true" hidden="false"/>
    </xf>
    <xf numFmtId="168" fontId="15" fillId="0" borderId="5"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general" vertical="bottom" textRotation="0" wrapText="false" indent="0" shrinkToFit="false"/>
      <protection locked="true" hidden="false"/>
    </xf>
    <xf numFmtId="168" fontId="15" fillId="0" borderId="0" xfId="0" applyFont="true" applyBorder="true" applyAlignment="true" applyProtection="false">
      <alignment horizontal="general" vertical="bottom" textRotation="0" wrapText="false" indent="0" shrinkToFit="false"/>
      <protection locked="true" hidden="false"/>
    </xf>
    <xf numFmtId="164" fontId="15" fillId="0" borderId="7" xfId="0" applyFont="true" applyBorder="true" applyAlignment="true" applyProtection="false">
      <alignment horizontal="general" vertical="bottom" textRotation="0" wrapText="false" indent="0" shrinkToFit="false"/>
      <protection locked="true" hidden="false"/>
    </xf>
    <xf numFmtId="164" fontId="15" fillId="0" borderId="8" xfId="0" applyFont="true" applyBorder="true" applyAlignment="true" applyProtection="false">
      <alignment horizontal="general" vertical="bottom" textRotation="0" wrapText="false" indent="0" shrinkToFit="false"/>
      <protection locked="true" hidden="false"/>
    </xf>
    <xf numFmtId="168" fontId="15" fillId="8" borderId="5" xfId="0" applyFont="true" applyBorder="true" applyAlignment="true" applyProtection="false">
      <alignment horizontal="general" vertical="bottom" textRotation="0" wrapText="false" indent="0" shrinkToFit="false"/>
      <protection locked="true" hidden="false"/>
    </xf>
    <xf numFmtId="164" fontId="15" fillId="8" borderId="0" xfId="0" applyFont="true" applyBorder="true" applyAlignment="true" applyProtection="false">
      <alignment horizontal="general" vertical="bottom" textRotation="0" wrapText="false" indent="0" shrinkToFit="false"/>
      <protection locked="true" hidden="false"/>
    </xf>
    <xf numFmtId="164" fontId="15" fillId="8" borderId="6" xfId="0" applyFont="true" applyBorder="true" applyAlignment="true" applyProtection="false">
      <alignment horizontal="general" vertical="bottom" textRotation="0" wrapText="false" indent="0" shrinkToFit="false"/>
      <protection locked="true" hidden="false"/>
    </xf>
    <xf numFmtId="168" fontId="15" fillId="8" borderId="0" xfId="0" applyFont="true" applyBorder="true" applyAlignment="true" applyProtection="false">
      <alignment horizontal="general" vertical="bottom" textRotation="0" wrapText="false" indent="0" shrinkToFit="false"/>
      <protection locked="true" hidden="false"/>
    </xf>
    <xf numFmtId="165" fontId="15" fillId="8" borderId="0" xfId="0" applyFont="true" applyBorder="true" applyAlignment="true" applyProtection="false">
      <alignment horizontal="general" vertical="bottom" textRotation="0" wrapText="false" indent="0" shrinkToFit="false"/>
      <protection locked="true" hidden="false"/>
    </xf>
    <xf numFmtId="164" fontId="15" fillId="8" borderId="7" xfId="0" applyFont="true" applyBorder="true" applyAlignment="true" applyProtection="false">
      <alignment horizontal="general" vertical="bottom" textRotation="0" wrapText="false" indent="0" shrinkToFit="false"/>
      <protection locked="true" hidden="false"/>
    </xf>
    <xf numFmtId="164" fontId="15" fillId="8" borderId="8" xfId="0" applyFont="true" applyBorder="true" applyAlignment="true" applyProtection="false">
      <alignment horizontal="general" vertical="bottom" textRotation="0" wrapText="false" indent="0" shrinkToFit="false"/>
      <protection locked="true" hidden="false"/>
    </xf>
    <xf numFmtId="168" fontId="16" fillId="9" borderId="0" xfId="0" applyFont="true" applyBorder="true" applyAlignment="true" applyProtection="false">
      <alignment horizontal="general" vertical="bottom" textRotation="0" wrapText="false" indent="0" shrinkToFit="false"/>
      <protection locked="true" hidden="false"/>
    </xf>
    <xf numFmtId="165" fontId="16" fillId="9" borderId="0" xfId="0" applyFont="true" applyBorder="true" applyAlignment="true" applyProtection="false">
      <alignment horizontal="general" vertical="bottom" textRotation="0" wrapText="false" indent="0" shrinkToFit="false"/>
      <protection locked="true" hidden="false"/>
    </xf>
    <xf numFmtId="164" fontId="16" fillId="9" borderId="9" xfId="0" applyFont="true" applyBorder="true" applyAlignment="true" applyProtection="false">
      <alignment horizontal="general" vertical="bottom" textRotation="0" wrapText="false" indent="0" shrinkToFit="false"/>
      <protection locked="true" hidden="false"/>
    </xf>
    <xf numFmtId="165" fontId="16" fillId="9" borderId="10" xfId="0" applyFont="true" applyBorder="true" applyAlignment="true" applyProtection="false">
      <alignment horizontal="general" vertical="bottom" textRotation="0" wrapText="false" indent="0" shrinkToFit="false"/>
      <protection locked="true" hidden="false"/>
    </xf>
    <xf numFmtId="164" fontId="16" fillId="9" borderId="11" xfId="0" applyFont="true" applyBorder="true" applyAlignment="true" applyProtection="false">
      <alignment horizontal="general" vertical="bottom" textRotation="0" wrapText="false" indent="0" shrinkToFit="false"/>
      <protection locked="true" hidden="false"/>
    </xf>
    <xf numFmtId="165" fontId="16" fillId="9" borderId="12" xfId="0" applyFont="true" applyBorder="true" applyAlignment="true" applyProtection="false">
      <alignment horizontal="general" vertical="bottom" textRotation="0" wrapText="false" indent="0" shrinkToFit="false"/>
      <protection locked="true" hidden="false"/>
    </xf>
    <xf numFmtId="168" fontId="16" fillId="9" borderId="13" xfId="0" applyFont="true" applyBorder="true" applyAlignment="true" applyProtection="false">
      <alignment horizontal="general" vertical="bottom" textRotation="0" wrapText="false" indent="0" shrinkToFit="false"/>
      <protection locked="true" hidden="false"/>
    </xf>
    <xf numFmtId="164" fontId="14" fillId="10" borderId="0" xfId="0" applyFont="true" applyBorder="false" applyAlignment="false" applyProtection="false">
      <alignment horizontal="general" vertical="bottom" textRotation="0" wrapText="false" indent="0" shrinkToFit="false"/>
      <protection locked="true" hidden="false"/>
    </xf>
    <xf numFmtId="164" fontId="17" fillId="11" borderId="0" xfId="0" applyFont="true" applyBorder="true" applyAlignment="true" applyProtection="false">
      <alignment horizontal="center" vertical="bottom" textRotation="0" wrapText="false" indent="0" shrinkToFit="false"/>
      <protection locked="true" hidden="false"/>
    </xf>
    <xf numFmtId="164" fontId="14" fillId="12" borderId="0" xfId="0" applyFont="true" applyBorder="false" applyAlignment="false" applyProtection="false">
      <alignment horizontal="general" vertical="bottom" textRotation="0" wrapText="false" indent="0" shrinkToFit="false"/>
      <protection locked="true" hidden="false"/>
    </xf>
    <xf numFmtId="164" fontId="18" fillId="11" borderId="0" xfId="0" applyFont="true" applyBorder="true" applyAlignment="true" applyProtection="false">
      <alignment horizontal="center" vertical="bottom" textRotation="0" wrapText="false" indent="0" shrinkToFit="false"/>
      <protection locked="true" hidden="false"/>
    </xf>
    <xf numFmtId="164" fontId="19" fillId="13" borderId="0" xfId="0" applyFont="true" applyBorder="true" applyAlignment="true" applyProtection="false">
      <alignment horizontal="center" vertical="bottom" textRotation="0" wrapText="false" indent="0" shrinkToFit="false"/>
      <protection locked="true" hidden="false"/>
    </xf>
    <xf numFmtId="164" fontId="19" fillId="14"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11" borderId="0" xfId="0" applyFont="true" applyBorder="false" applyAlignment="true" applyProtection="false">
      <alignment horizontal="general" vertical="bottom" textRotation="0" wrapText="false" indent="0" shrinkToFit="false"/>
      <protection locked="true" hidden="false"/>
    </xf>
    <xf numFmtId="165" fontId="22" fillId="11" borderId="0" xfId="0" applyFont="true" applyBorder="false" applyAlignment="false" applyProtection="false">
      <alignment horizontal="general" vertical="bottom" textRotation="0" wrapText="false" indent="0" shrinkToFit="false"/>
      <protection locked="true" hidden="false"/>
    </xf>
    <xf numFmtId="165" fontId="22" fillId="11"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3" fillId="1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Good 1" xfId="20"/>
    <cellStyle name="Excel Built-in Good" xfId="21"/>
  </cellStyle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9353"/>
      <rgbColor rgb="FFC0C0C0"/>
      <rgbColor rgb="FF808080"/>
      <rgbColor rgb="FF729FCF"/>
      <rgbColor rgb="FF993366"/>
      <rgbColor rgb="FFFFFFCC"/>
      <rgbColor rgb="FFC6EFCE"/>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BEE3D3"/>
      <rgbColor rgb="FFCCFFCC"/>
      <rgbColor rgb="FFFFFF99"/>
      <rgbColor rgb="FFA4C2F4"/>
      <rgbColor rgb="FFFF99CC"/>
      <rgbColor rgb="FFCC99FF"/>
      <rgbColor rgb="FFF9CB9C"/>
      <rgbColor rgb="FF4472C4"/>
      <rgbColor rgb="FF33CCCC"/>
      <rgbColor rgb="FF99CC00"/>
      <rgbColor rgb="FFFFCC00"/>
      <rgbColor rgb="FFE69138"/>
      <rgbColor rgb="FFFF6600"/>
      <rgbColor rgb="FF666699"/>
      <rgbColor rgb="FF999999"/>
      <rgbColor rgb="FF003366"/>
      <rgbColor rgb="FF339966"/>
      <rgbColor rgb="FF006100"/>
      <rgbColor rgb="FF333300"/>
      <rgbColor rgb="FF993300"/>
      <rgbColor rgb="FF993366"/>
      <rgbColor rgb="FF35526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Asigurari.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2)"/>
      <sheetName val="Calculator"/>
      <sheetName val="nr_comutatie_10"/>
      <sheetName val="Anuitati_Viagere_SI_De_Deces"/>
    </sheetNames>
    <sheetDataSet>
      <sheetData sheetId="0"/>
      <sheetData sheetId="1"/>
      <sheetData sheetId="2">
        <row r="2">
          <cell r="A2">
            <v>0</v>
          </cell>
        </row>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row r="67">
          <cell r="A67">
            <v>65</v>
          </cell>
        </row>
        <row r="68">
          <cell r="A68">
            <v>66</v>
          </cell>
        </row>
        <row r="69">
          <cell r="A69">
            <v>67</v>
          </cell>
        </row>
        <row r="70">
          <cell r="A70">
            <v>68</v>
          </cell>
        </row>
        <row r="71">
          <cell r="A71">
            <v>69</v>
          </cell>
        </row>
        <row r="72">
          <cell r="A72">
            <v>70</v>
          </cell>
        </row>
        <row r="73">
          <cell r="A73">
            <v>71</v>
          </cell>
        </row>
        <row r="74">
          <cell r="A74">
            <v>72</v>
          </cell>
        </row>
        <row r="75">
          <cell r="A75">
            <v>73</v>
          </cell>
        </row>
        <row r="76">
          <cell r="A76">
            <v>74</v>
          </cell>
        </row>
        <row r="77">
          <cell r="A77">
            <v>75</v>
          </cell>
        </row>
        <row r="78">
          <cell r="A78">
            <v>76</v>
          </cell>
        </row>
        <row r="79">
          <cell r="A79">
            <v>77</v>
          </cell>
        </row>
        <row r="80">
          <cell r="A80">
            <v>78</v>
          </cell>
        </row>
        <row r="81">
          <cell r="A81">
            <v>79</v>
          </cell>
        </row>
        <row r="82">
          <cell r="A82">
            <v>80</v>
          </cell>
        </row>
        <row r="83">
          <cell r="A83">
            <v>81</v>
          </cell>
        </row>
        <row r="84">
          <cell r="A84">
            <v>82</v>
          </cell>
        </row>
        <row r="85">
          <cell r="A85">
            <v>83</v>
          </cell>
        </row>
        <row r="86">
          <cell r="A86">
            <v>84</v>
          </cell>
        </row>
        <row r="87">
          <cell r="A87">
            <v>85</v>
          </cell>
        </row>
        <row r="88">
          <cell r="A88">
            <v>86</v>
          </cell>
        </row>
        <row r="89">
          <cell r="A89">
            <v>87</v>
          </cell>
        </row>
        <row r="90">
          <cell r="A90">
            <v>88</v>
          </cell>
        </row>
        <row r="91">
          <cell r="A91">
            <v>89</v>
          </cell>
        </row>
        <row r="92">
          <cell r="A92">
            <v>90</v>
          </cell>
        </row>
        <row r="93">
          <cell r="A93">
            <v>91</v>
          </cell>
        </row>
        <row r="94">
          <cell r="A94">
            <v>92</v>
          </cell>
        </row>
        <row r="95">
          <cell r="A95">
            <v>93</v>
          </cell>
        </row>
        <row r="96">
          <cell r="A96">
            <v>94</v>
          </cell>
        </row>
        <row r="97">
          <cell r="A97">
            <v>95</v>
          </cell>
        </row>
        <row r="98">
          <cell r="A98">
            <v>96</v>
          </cell>
        </row>
        <row r="99">
          <cell r="A99">
            <v>97</v>
          </cell>
        </row>
        <row r="100">
          <cell r="A100">
            <v>98</v>
          </cell>
        </row>
        <row r="101">
          <cell r="A101">
            <v>99</v>
          </cell>
        </row>
        <row r="102">
          <cell r="A102">
            <v>100</v>
          </cell>
        </row>
      </sheetData>
      <sheetData sheetId="3"/>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8"/>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C34" activeCellId="0" sqref="C34"/>
    </sheetView>
  </sheetViews>
  <sheetFormatPr defaultColWidth="11.5703125" defaultRowHeight="12.8" zeroHeight="false" outlineLevelRow="0" outlineLevelCol="0"/>
  <cols>
    <col collapsed="false" customWidth="true" hidden="false" outlineLevel="0" max="1" min="1" style="0" width="108.95"/>
    <col collapsed="false" customWidth="true" hidden="false" outlineLevel="0" max="2" min="2" style="0" width="26.85"/>
  </cols>
  <sheetData>
    <row r="1" customFormat="false" ht="29.85" hidden="false" customHeight="true" outlineLevel="0" collapsed="false">
      <c r="A1" s="1" t="s">
        <v>0</v>
      </c>
      <c r="B1" s="1"/>
      <c r="C1" s="1"/>
      <c r="D1" s="1"/>
      <c r="E1" s="1"/>
      <c r="F1" s="1"/>
      <c r="G1" s="1"/>
      <c r="H1" s="1"/>
      <c r="I1" s="1"/>
      <c r="J1" s="1"/>
    </row>
    <row r="2" customFormat="false" ht="15" hidden="false" customHeight="false" outlineLevel="0" collapsed="false">
      <c r="A2" s="2" t="s">
        <v>1</v>
      </c>
      <c r="B2" s="3" t="n">
        <v>58</v>
      </c>
      <c r="C2" s="3"/>
      <c r="D2" s="3"/>
      <c r="E2" s="3"/>
      <c r="F2" s="3"/>
      <c r="G2" s="3"/>
      <c r="H2" s="3"/>
      <c r="I2" s="3"/>
      <c r="J2" s="3"/>
    </row>
    <row r="3" customFormat="false" ht="15" hidden="false" customHeight="false" outlineLevel="0" collapsed="false">
      <c r="A3" s="2" t="s">
        <v>2</v>
      </c>
      <c r="B3" s="3" t="n">
        <v>85</v>
      </c>
      <c r="C3" s="3"/>
      <c r="D3" s="3"/>
      <c r="E3" s="3"/>
      <c r="F3" s="3"/>
      <c r="G3" s="3"/>
      <c r="H3" s="3"/>
      <c r="I3" s="3"/>
      <c r="J3" s="3"/>
    </row>
    <row r="4" customFormat="false" ht="15" hidden="false" customHeight="false" outlineLevel="0" collapsed="false">
      <c r="A4" s="2" t="s">
        <v>3</v>
      </c>
      <c r="B4" s="3" t="n">
        <v>58141</v>
      </c>
      <c r="C4" s="3"/>
      <c r="D4" s="3"/>
      <c r="E4" s="3"/>
      <c r="F4" s="3"/>
      <c r="G4" s="3"/>
      <c r="H4" s="3"/>
      <c r="I4" s="3"/>
      <c r="J4" s="3"/>
    </row>
    <row r="5" customFormat="false" ht="15" hidden="false" customHeight="false" outlineLevel="0" collapsed="false">
      <c r="A5" s="2" t="s">
        <v>4</v>
      </c>
      <c r="B5" s="3" t="n">
        <f aca="false">B4*0.39</f>
        <v>22674.99</v>
      </c>
      <c r="C5" s="3"/>
      <c r="D5" s="3"/>
      <c r="E5" s="3"/>
      <c r="F5" s="3"/>
      <c r="G5" s="3"/>
      <c r="H5" s="3"/>
      <c r="I5" s="3"/>
      <c r="J5" s="3"/>
    </row>
    <row r="6" customFormat="false" ht="15" hidden="false" customHeight="false" outlineLevel="0" collapsed="false">
      <c r="A6" s="2" t="s">
        <v>5</v>
      </c>
      <c r="B6" s="4" t="n">
        <f aca="false">(B4*(3.44/297.31 ))+(B5*((76.35-2.52)/297.31))</f>
        <v>6303.5200689516</v>
      </c>
      <c r="C6" s="3"/>
      <c r="D6" s="3"/>
      <c r="E6" s="3"/>
      <c r="F6" s="3"/>
      <c r="G6" s="3"/>
      <c r="H6" s="3"/>
      <c r="I6" s="3"/>
      <c r="J6" s="3"/>
    </row>
    <row r="7" customFormat="false" ht="15" hidden="false" customHeight="false" outlineLevel="0" collapsed="false">
      <c r="A7" s="5"/>
      <c r="B7" s="6"/>
      <c r="C7" s="6"/>
      <c r="D7" s="6"/>
      <c r="E7" s="6"/>
      <c r="F7" s="6"/>
      <c r="G7" s="6"/>
      <c r="H7" s="6"/>
      <c r="I7" s="6"/>
      <c r="J7" s="6"/>
    </row>
    <row r="8" customFormat="false" ht="15" hidden="false" customHeight="false" outlineLevel="0" collapsed="false">
      <c r="A8" s="7" t="s">
        <v>6</v>
      </c>
      <c r="B8" s="7"/>
      <c r="C8" s="7"/>
      <c r="D8" s="7"/>
      <c r="E8" s="7"/>
      <c r="F8" s="7"/>
      <c r="G8" s="7"/>
      <c r="H8" s="7"/>
      <c r="I8" s="7"/>
      <c r="J8" s="7"/>
    </row>
    <row r="9" customFormat="false" ht="15" hidden="false" customHeight="false" outlineLevel="0" collapsed="false">
      <c r="A9" s="8" t="s">
        <v>7</v>
      </c>
      <c r="B9" s="4" t="n">
        <f aca="false">(1/2)+(1/3059)*(2168+1487+985+628+384+224+125+66+33+15)</f>
        <v>2.49901928734881</v>
      </c>
      <c r="C9" s="3"/>
      <c r="D9" s="3"/>
      <c r="E9" s="3"/>
      <c r="F9" s="3"/>
      <c r="G9" s="3"/>
      <c r="H9" s="3"/>
      <c r="I9" s="3"/>
      <c r="J9" s="3"/>
    </row>
    <row r="10" customFormat="false" ht="15" hidden="false" customHeight="false" outlineLevel="0" collapsed="false">
      <c r="A10" s="5"/>
      <c r="B10" s="5"/>
      <c r="C10" s="5"/>
      <c r="D10" s="5"/>
      <c r="E10" s="5"/>
      <c r="F10" s="5"/>
      <c r="G10" s="5"/>
      <c r="H10" s="5"/>
      <c r="I10" s="5"/>
      <c r="J10" s="5"/>
    </row>
    <row r="11" customFormat="false" ht="29.85" hidden="false" customHeight="true" outlineLevel="0" collapsed="false">
      <c r="A11" s="1" t="s">
        <v>8</v>
      </c>
      <c r="B11" s="1"/>
      <c r="C11" s="1"/>
      <c r="D11" s="1"/>
      <c r="E11" s="1"/>
      <c r="F11" s="1"/>
      <c r="G11" s="1"/>
      <c r="H11" s="1"/>
      <c r="I11" s="1"/>
      <c r="J11" s="1"/>
    </row>
    <row r="12" customFormat="false" ht="15" hidden="false" customHeight="false" outlineLevel="0" collapsed="false">
      <c r="A12" s="2" t="s">
        <v>1</v>
      </c>
      <c r="B12" s="3" t="n">
        <v>44</v>
      </c>
      <c r="C12" s="3"/>
      <c r="D12" s="3"/>
      <c r="E12" s="3"/>
      <c r="F12" s="3"/>
      <c r="G12" s="3"/>
      <c r="H12" s="3"/>
      <c r="I12" s="3"/>
      <c r="J12" s="3"/>
    </row>
    <row r="13" customFormat="false" ht="15" hidden="false" customHeight="false" outlineLevel="0" collapsed="false">
      <c r="A13" s="2" t="s">
        <v>2</v>
      </c>
      <c r="B13" s="3" t="n">
        <v>7</v>
      </c>
      <c r="C13" s="3"/>
      <c r="D13" s="3"/>
      <c r="E13" s="3"/>
      <c r="F13" s="3"/>
      <c r="G13" s="3"/>
      <c r="H13" s="3"/>
      <c r="I13" s="3"/>
      <c r="J13" s="3"/>
    </row>
    <row r="14" customFormat="false" ht="15" hidden="false" customHeight="false" outlineLevel="0" collapsed="false">
      <c r="A14" s="2" t="s">
        <v>9</v>
      </c>
      <c r="B14" s="3" t="n">
        <v>21</v>
      </c>
      <c r="C14" s="3"/>
      <c r="D14" s="3"/>
      <c r="E14" s="3"/>
      <c r="F14" s="3"/>
      <c r="G14" s="3"/>
      <c r="H14" s="3"/>
      <c r="I14" s="3"/>
      <c r="J14" s="3"/>
    </row>
    <row r="15" customFormat="false" ht="15" hidden="false" customHeight="false" outlineLevel="0" collapsed="false">
      <c r="A15" s="2" t="s">
        <v>3</v>
      </c>
      <c r="B15" s="3" t="n">
        <v>1624</v>
      </c>
      <c r="C15" s="3"/>
      <c r="D15" s="3"/>
      <c r="E15" s="3"/>
      <c r="F15" s="3"/>
      <c r="G15" s="3"/>
      <c r="H15" s="3"/>
      <c r="I15" s="3"/>
      <c r="J15" s="3"/>
    </row>
    <row r="16" customFormat="false" ht="15" hidden="false" customHeight="false" outlineLevel="0" collapsed="false">
      <c r="A16" s="2" t="s">
        <v>10</v>
      </c>
      <c r="B16" s="3"/>
      <c r="C16" s="3"/>
      <c r="D16" s="3"/>
      <c r="E16" s="3"/>
      <c r="F16" s="3"/>
      <c r="G16" s="3"/>
      <c r="H16" s="3"/>
      <c r="I16" s="3"/>
      <c r="J16" s="3"/>
    </row>
    <row r="17" customFormat="false" ht="15" hidden="false" customHeight="false" outlineLevel="0" collapsed="false">
      <c r="A17" s="2" t="s">
        <v>11</v>
      </c>
      <c r="B17" s="3"/>
      <c r="C17" s="3"/>
      <c r="D17" s="3"/>
      <c r="E17" s="3"/>
      <c r="F17" s="3"/>
      <c r="G17" s="3"/>
      <c r="H17" s="3"/>
      <c r="I17" s="3"/>
      <c r="J17" s="3"/>
    </row>
    <row r="18" customFormat="false" ht="15" hidden="false" customHeight="false" outlineLevel="0" collapsed="false">
      <c r="A18" s="2" t="s">
        <v>12</v>
      </c>
      <c r="B18" s="3" t="n">
        <f aca="false">(11144.2-Sheet2!H18)/Sheet2!H19</f>
        <v>4.78254395691431</v>
      </c>
      <c r="C18" s="3"/>
      <c r="D18" s="3"/>
      <c r="E18" s="3"/>
      <c r="F18" s="3"/>
      <c r="G18" s="3"/>
      <c r="H18" s="3"/>
      <c r="I18" s="3"/>
      <c r="J18" s="3"/>
    </row>
    <row r="19" customFormat="false" ht="15" hidden="false" customHeight="false" outlineLevel="0" collapsed="false">
      <c r="A19" s="2" t="s">
        <v>13</v>
      </c>
      <c r="B19" s="3" t="n">
        <f aca="false">B15*((165.54/1262.6 )-(11/24)*(31.47/1262.6 ))*12</f>
        <v>2332.45167115476</v>
      </c>
      <c r="C19" s="3"/>
      <c r="D19" s="3"/>
      <c r="E19" s="3"/>
      <c r="F19" s="3"/>
      <c r="G19" s="3"/>
      <c r="H19" s="3"/>
      <c r="I19" s="3"/>
      <c r="J19" s="3"/>
    </row>
    <row r="20" customFormat="false" ht="15" hidden="false" customHeight="false" outlineLevel="0" collapsed="false">
      <c r="A20" s="2" t="s">
        <v>14</v>
      </c>
      <c r="B20" s="3"/>
      <c r="C20" s="3"/>
      <c r="D20" s="3"/>
      <c r="E20" s="3"/>
      <c r="F20" s="3"/>
      <c r="G20" s="3"/>
      <c r="H20" s="3"/>
      <c r="I20" s="3"/>
      <c r="J20" s="3"/>
    </row>
    <row r="21" customFormat="false" ht="15" hidden="false" customHeight="false" outlineLevel="0" collapsed="false">
      <c r="A21" s="2" t="s">
        <v>15</v>
      </c>
      <c r="B21" s="9" t="n">
        <f aca="false">B19/B18</f>
        <v>487.701041990978</v>
      </c>
      <c r="C21" s="3"/>
      <c r="D21" s="3"/>
      <c r="E21" s="3"/>
      <c r="F21" s="3"/>
      <c r="G21" s="3"/>
      <c r="H21" s="3"/>
      <c r="I21" s="3"/>
      <c r="J21" s="3"/>
    </row>
    <row r="22" customFormat="false" ht="15" hidden="false" customHeight="false" outlineLevel="0" collapsed="false">
      <c r="A22" s="5"/>
      <c r="B22" s="5"/>
      <c r="C22" s="5"/>
      <c r="D22" s="5"/>
      <c r="E22" s="5"/>
      <c r="F22" s="5"/>
      <c r="G22" s="5"/>
      <c r="H22" s="5"/>
      <c r="I22" s="5"/>
      <c r="J22" s="5"/>
    </row>
    <row r="23" customFormat="false" ht="15.65" hidden="false" customHeight="true" outlineLevel="0" collapsed="false">
      <c r="A23" s="1" t="s">
        <v>16</v>
      </c>
      <c r="B23" s="1"/>
      <c r="C23" s="1"/>
      <c r="D23" s="1"/>
      <c r="E23" s="1"/>
      <c r="F23" s="1"/>
      <c r="G23" s="1"/>
      <c r="H23" s="1"/>
      <c r="I23" s="1"/>
      <c r="J23" s="1"/>
    </row>
    <row r="24" customFormat="false" ht="15" hidden="false" customHeight="false" outlineLevel="0" collapsed="false">
      <c r="A24" s="2" t="s">
        <v>1</v>
      </c>
      <c r="B24" s="3" t="n">
        <v>32</v>
      </c>
      <c r="C24" s="3"/>
      <c r="D24" s="3"/>
      <c r="E24" s="3"/>
      <c r="F24" s="3"/>
      <c r="G24" s="3"/>
      <c r="H24" s="3"/>
      <c r="I24" s="3"/>
      <c r="J24" s="3"/>
    </row>
    <row r="25" customFormat="false" ht="15" hidden="false" customHeight="false" outlineLevel="0" collapsed="false">
      <c r="A25" s="2" t="s">
        <v>9</v>
      </c>
      <c r="B25" s="3" t="n">
        <v>67</v>
      </c>
      <c r="C25" s="3"/>
      <c r="D25" s="3"/>
      <c r="E25" s="3"/>
      <c r="F25" s="3"/>
      <c r="G25" s="3"/>
      <c r="H25" s="3"/>
      <c r="I25" s="3"/>
      <c r="J25" s="3"/>
    </row>
    <row r="26" customFormat="false" ht="15" hidden="false" customHeight="false" outlineLevel="0" collapsed="false">
      <c r="A26" s="2" t="s">
        <v>17</v>
      </c>
      <c r="B26" s="3" t="n">
        <v>98</v>
      </c>
      <c r="C26" s="3"/>
      <c r="D26" s="3"/>
      <c r="E26" s="3"/>
      <c r="F26" s="3"/>
      <c r="G26" s="3"/>
      <c r="H26" s="3"/>
      <c r="I26" s="3"/>
      <c r="J26" s="3"/>
    </row>
    <row r="27" customFormat="false" ht="15" hidden="false" customHeight="false" outlineLevel="0" collapsed="false">
      <c r="A27" s="10" t="s">
        <v>18</v>
      </c>
      <c r="B27" s="4" t="n">
        <f aca="false">(61036-66)/86678</f>
        <v>0.703408015874847</v>
      </c>
    </row>
    <row r="28" customFormat="false" ht="15" hidden="false" customHeight="false" outlineLevel="0" collapsed="false">
      <c r="A28" s="5"/>
      <c r="B28" s="5"/>
      <c r="C28" s="5"/>
      <c r="D28" s="5"/>
      <c r="E28" s="5"/>
      <c r="F28" s="5"/>
      <c r="G28" s="5"/>
      <c r="H28" s="5"/>
      <c r="I28" s="5"/>
      <c r="J28" s="5"/>
    </row>
    <row r="29" customFormat="false" ht="29.85" hidden="false" customHeight="true" outlineLevel="0" collapsed="false">
      <c r="A29" s="1" t="s">
        <v>19</v>
      </c>
      <c r="B29" s="1"/>
      <c r="C29" s="1"/>
      <c r="D29" s="1"/>
      <c r="E29" s="1"/>
      <c r="F29" s="1"/>
      <c r="G29" s="1"/>
      <c r="H29" s="1"/>
      <c r="I29" s="1"/>
      <c r="J29" s="1"/>
    </row>
    <row r="30" customFormat="false" ht="15" hidden="false" customHeight="false" outlineLevel="0" collapsed="false">
      <c r="A30" s="2" t="s">
        <v>20</v>
      </c>
      <c r="B30" s="3" t="n">
        <v>1922</v>
      </c>
    </row>
    <row r="31" customFormat="false" ht="15" hidden="false" customHeight="false" outlineLevel="0" collapsed="false">
      <c r="A31" s="2" t="s">
        <v>21</v>
      </c>
      <c r="B31" s="3" t="n">
        <v>3.3</v>
      </c>
    </row>
    <row r="32" customFormat="false" ht="15" hidden="false" customHeight="false" outlineLevel="0" collapsed="false">
      <c r="A32" s="2" t="s">
        <v>22</v>
      </c>
      <c r="B32" s="3" t="n">
        <f aca="false">B30-(B30*(B31/100))</f>
        <v>1858.574</v>
      </c>
      <c r="C32" s="0" t="n">
        <f aca="false">B32/9</f>
        <v>206.508222222222</v>
      </c>
    </row>
    <row r="33" customFormat="false" ht="15" hidden="false" customHeight="false" outlineLevel="0" collapsed="false">
      <c r="A33" s="2" t="s">
        <v>23</v>
      </c>
      <c r="B33" s="3" t="n">
        <v>9</v>
      </c>
      <c r="C33" s="0" t="n">
        <f aca="false">C32+(C32*(B36/100))</f>
        <v>216.358664422222</v>
      </c>
    </row>
    <row r="34" customFormat="false" ht="15" hidden="false" customHeight="false" outlineLevel="0" collapsed="false">
      <c r="A34" s="2" t="s">
        <v>17</v>
      </c>
      <c r="B34" s="3" t="n">
        <v>1</v>
      </c>
    </row>
    <row r="35" customFormat="false" ht="15" hidden="false" customHeight="false" outlineLevel="0" collapsed="false">
      <c r="A35" s="2" t="s">
        <v>9</v>
      </c>
      <c r="B35" s="3" t="n">
        <f aca="false">B33</f>
        <v>9</v>
      </c>
    </row>
    <row r="36" customFormat="false" ht="15" hidden="false" customHeight="false" outlineLevel="0" collapsed="false">
      <c r="A36" s="2" t="s">
        <v>24</v>
      </c>
      <c r="B36" s="11" t="n">
        <v>4.77</v>
      </c>
    </row>
    <row r="37" customFormat="false" ht="15" hidden="false" customHeight="false" outlineLevel="0" collapsed="false">
      <c r="A37" s="2" t="s">
        <v>25</v>
      </c>
      <c r="B37" s="12" t="n">
        <f aca="false">(B36/B34)/100</f>
        <v>0.0477</v>
      </c>
    </row>
    <row r="38" customFormat="false" ht="15" hidden="false" customHeight="false" outlineLevel="0" collapsed="false">
      <c r="A38" s="2" t="s">
        <v>26</v>
      </c>
      <c r="B38" s="12" t="n">
        <f aca="false">1+B37</f>
        <v>1.0477</v>
      </c>
    </row>
    <row r="39" customFormat="false" ht="15" hidden="false" customHeight="false" outlineLevel="0" collapsed="false">
      <c r="A39" s="2" t="s">
        <v>27</v>
      </c>
      <c r="B39" s="12" t="n">
        <f aca="false">1/B38</f>
        <v>0.954471699914098</v>
      </c>
    </row>
    <row r="40" customFormat="false" ht="15" hidden="false" customHeight="false" outlineLevel="0" collapsed="false">
      <c r="A40" s="2" t="s">
        <v>28</v>
      </c>
      <c r="B40" s="4" t="n">
        <f aca="false">B32*B37/((1-B39^(B35*B34))*B38^(B35*B34))</f>
        <v>170.157436579004</v>
      </c>
    </row>
    <row r="41" customFormat="false" ht="15" hidden="false" customHeight="false" outlineLevel="0" collapsed="false">
      <c r="A41" s="5"/>
      <c r="B41" s="5"/>
      <c r="C41" s="5"/>
      <c r="D41" s="5"/>
      <c r="E41" s="5"/>
      <c r="F41" s="5"/>
      <c r="G41" s="5"/>
      <c r="H41" s="5"/>
      <c r="I41" s="5"/>
      <c r="J41" s="5"/>
    </row>
    <row r="42" customFormat="false" ht="29.85" hidden="false" customHeight="false" outlineLevel="0" collapsed="false">
      <c r="A42" s="1"/>
      <c r="B42" s="1"/>
      <c r="C42" s="1"/>
      <c r="D42" s="1"/>
      <c r="E42" s="1"/>
      <c r="F42" s="1"/>
      <c r="G42" s="1"/>
      <c r="H42" s="1"/>
      <c r="I42" s="1"/>
      <c r="J42" s="1"/>
    </row>
    <row r="43" customFormat="false" ht="15" hidden="false" customHeight="false" outlineLevel="0" collapsed="false">
      <c r="A43" s="8" t="s">
        <v>1</v>
      </c>
      <c r="B43" s="3" t="n">
        <v>37</v>
      </c>
    </row>
    <row r="44" customFormat="false" ht="15" hidden="false" customHeight="false" outlineLevel="0" collapsed="false">
      <c r="A44" s="8" t="s">
        <v>9</v>
      </c>
      <c r="B44" s="3" t="n">
        <v>15</v>
      </c>
    </row>
    <row r="45" customFormat="false" ht="15" hidden="false" customHeight="false" outlineLevel="0" collapsed="false">
      <c r="A45" s="8" t="s">
        <v>29</v>
      </c>
      <c r="B45" s="3" t="n">
        <v>533</v>
      </c>
    </row>
    <row r="46" customFormat="false" ht="15" hidden="false" customHeight="false" outlineLevel="0" collapsed="false">
      <c r="A46" s="8" t="s">
        <v>17</v>
      </c>
      <c r="B46" s="3" t="n">
        <v>4</v>
      </c>
    </row>
    <row r="47" customFormat="false" ht="15" hidden="false" customHeight="false" outlineLevel="0" collapsed="false">
      <c r="A47" s="8" t="s">
        <v>3</v>
      </c>
      <c r="B47" s="9" t="n">
        <f aca="false">B45*(((25784.29-5105.76)/2518.74)-(3/8)*(1-(562.27/2518.74)))*4</f>
        <v>16882.4206527867</v>
      </c>
    </row>
    <row r="48" customFormat="false" ht="15" hidden="false" customHeight="false" outlineLevel="0" collapsed="false">
      <c r="A48" s="5"/>
      <c r="B48" s="5"/>
      <c r="C48" s="5"/>
      <c r="D48" s="5"/>
      <c r="E48" s="5"/>
      <c r="F48" s="5"/>
      <c r="G48" s="5"/>
      <c r="H48" s="5"/>
      <c r="I48" s="5"/>
      <c r="J48" s="5"/>
    </row>
    <row r="49" customFormat="false" ht="15.65" hidden="false" customHeight="true" outlineLevel="0" collapsed="false">
      <c r="A49" s="1" t="s">
        <v>30</v>
      </c>
      <c r="B49" s="1"/>
      <c r="C49" s="1"/>
      <c r="D49" s="1"/>
      <c r="E49" s="1"/>
      <c r="F49" s="1"/>
      <c r="G49" s="1"/>
      <c r="H49" s="1"/>
      <c r="I49" s="1"/>
      <c r="J49" s="1"/>
    </row>
    <row r="50" customFormat="false" ht="15" hidden="false" customHeight="false" outlineLevel="0" collapsed="false">
      <c r="A50" s="2" t="s">
        <v>31</v>
      </c>
      <c r="B50" s="4" t="n">
        <v>18.92</v>
      </c>
    </row>
    <row r="51" customFormat="false" ht="15" hidden="false" customHeight="false" outlineLevel="0" collapsed="false">
      <c r="A51" s="5"/>
      <c r="B51" s="5"/>
      <c r="C51" s="5"/>
      <c r="D51" s="5"/>
      <c r="E51" s="5"/>
      <c r="F51" s="5"/>
      <c r="G51" s="5"/>
      <c r="H51" s="5"/>
      <c r="I51" s="5"/>
      <c r="J51" s="5"/>
    </row>
    <row r="52" customFormat="false" ht="29.85" hidden="false" customHeight="true" outlineLevel="0" collapsed="false">
      <c r="A52" s="1" t="s">
        <v>32</v>
      </c>
      <c r="B52" s="1"/>
      <c r="C52" s="1"/>
      <c r="D52" s="1"/>
      <c r="E52" s="1"/>
      <c r="F52" s="1"/>
      <c r="G52" s="1"/>
      <c r="H52" s="1"/>
      <c r="I52" s="1"/>
      <c r="J52" s="1"/>
    </row>
    <row r="53" customFormat="false" ht="15" hidden="false" customHeight="false" outlineLevel="0" collapsed="false">
      <c r="A53" s="2" t="s">
        <v>33</v>
      </c>
      <c r="B53" s="4" t="n">
        <v>1173.99</v>
      </c>
    </row>
    <row r="54" customFormat="false" ht="15" hidden="false" customHeight="false" outlineLevel="0" collapsed="false">
      <c r="A54" s="5"/>
      <c r="B54" s="5"/>
      <c r="C54" s="5"/>
      <c r="D54" s="5"/>
      <c r="E54" s="5"/>
      <c r="F54" s="5"/>
      <c r="G54" s="5"/>
      <c r="H54" s="5"/>
      <c r="I54" s="5"/>
      <c r="J54" s="5"/>
    </row>
    <row r="55" customFormat="false" ht="15.65" hidden="false" customHeight="true" outlineLevel="0" collapsed="false">
      <c r="A55" s="1" t="s">
        <v>34</v>
      </c>
      <c r="B55" s="1"/>
      <c r="C55" s="1"/>
      <c r="D55" s="1"/>
      <c r="E55" s="1"/>
      <c r="F55" s="1"/>
      <c r="G55" s="1"/>
      <c r="H55" s="1"/>
      <c r="I55" s="1"/>
      <c r="J55" s="1"/>
    </row>
    <row r="56" customFormat="false" ht="15.65" hidden="false" customHeight="false" outlineLevel="0" collapsed="false">
      <c r="A56" s="3" t="s">
        <v>35</v>
      </c>
      <c r="B56" s="13" t="n">
        <v>7431</v>
      </c>
      <c r="C56" s="3"/>
      <c r="D56" s="3"/>
      <c r="E56" s="3"/>
      <c r="F56" s="3"/>
      <c r="G56" s="3"/>
      <c r="H56" s="3"/>
      <c r="I56" s="3"/>
      <c r="J56" s="3"/>
    </row>
    <row r="57" customFormat="false" ht="15.65" hidden="false" customHeight="false" outlineLevel="0" collapsed="false">
      <c r="A57" s="3" t="s">
        <v>36</v>
      </c>
      <c r="B57" s="3" t="n">
        <v>5.17</v>
      </c>
      <c r="C57" s="3"/>
      <c r="D57" s="3"/>
      <c r="E57" s="3"/>
      <c r="F57" s="3"/>
      <c r="G57" s="3"/>
      <c r="H57" s="3"/>
      <c r="I57" s="3"/>
      <c r="J57" s="3"/>
    </row>
    <row r="58" customFormat="false" ht="15.65" hidden="false" customHeight="false" outlineLevel="0" collapsed="false">
      <c r="A58" s="3" t="s">
        <v>37</v>
      </c>
      <c r="B58" s="3"/>
      <c r="C58" s="3"/>
      <c r="D58" s="3"/>
      <c r="E58" s="3"/>
      <c r="F58" s="3"/>
      <c r="G58" s="3"/>
      <c r="H58" s="3"/>
      <c r="I58" s="3"/>
      <c r="J58" s="3"/>
    </row>
    <row r="59" customFormat="false" ht="15" hidden="false" customHeight="false" outlineLevel="0" collapsed="false">
      <c r="A59" s="2" t="s">
        <v>38</v>
      </c>
      <c r="B59" s="4" t="n">
        <f aca="false">B56*(B57/100)*(155/360)</f>
        <v>165.411995833333</v>
      </c>
    </row>
    <row r="60" customFormat="false" ht="15" hidden="false" customHeight="false" outlineLevel="0" collapsed="false">
      <c r="A60" s="5"/>
      <c r="B60" s="5"/>
      <c r="C60" s="5"/>
      <c r="D60" s="5"/>
      <c r="E60" s="5"/>
      <c r="F60" s="5"/>
      <c r="G60" s="5"/>
      <c r="H60" s="5"/>
      <c r="I60" s="5"/>
      <c r="J60" s="5"/>
    </row>
    <row r="61" customFormat="false" ht="29.85" hidden="false" customHeight="true" outlineLevel="0" collapsed="false">
      <c r="A61" s="1" t="s">
        <v>39</v>
      </c>
      <c r="B61" s="1"/>
      <c r="C61" s="1"/>
      <c r="D61" s="1"/>
      <c r="E61" s="1"/>
      <c r="F61" s="1"/>
      <c r="G61" s="1"/>
      <c r="H61" s="1"/>
      <c r="I61" s="1"/>
      <c r="J61" s="1"/>
    </row>
    <row r="62" customFormat="false" ht="12.8" hidden="false" customHeight="false" outlineLevel="0" collapsed="false">
      <c r="A62" s="0" t="s">
        <v>40</v>
      </c>
    </row>
    <row r="63" customFormat="false" ht="12.8" hidden="false" customHeight="false" outlineLevel="0" collapsed="false">
      <c r="A63" s="0" t="s">
        <v>3</v>
      </c>
      <c r="B63" s="0" t="n">
        <v>58066</v>
      </c>
    </row>
    <row r="64" customFormat="false" ht="12.8" hidden="false" customHeight="false" outlineLevel="0" collapsed="false">
      <c r="A64" s="0" t="s">
        <v>1</v>
      </c>
      <c r="B64" s="0" t="n">
        <v>43</v>
      </c>
    </row>
    <row r="65" customFormat="false" ht="12.8" hidden="false" customHeight="false" outlineLevel="0" collapsed="false">
      <c r="A65" s="0" t="s">
        <v>9</v>
      </c>
      <c r="B65" s="0" t="n">
        <v>2</v>
      </c>
    </row>
    <row r="66" customFormat="false" ht="12.8" hidden="false" customHeight="false" outlineLevel="0" collapsed="false">
      <c r="A66" s="0" t="s">
        <v>2</v>
      </c>
      <c r="B66" s="0" t="n">
        <v>22</v>
      </c>
    </row>
    <row r="67" customFormat="false" ht="12.8" hidden="false" customHeight="false" outlineLevel="0" collapsed="false">
      <c r="A67" s="0" t="s">
        <v>17</v>
      </c>
      <c r="B67" s="0" t="n">
        <v>12</v>
      </c>
    </row>
    <row r="68" customFormat="false" ht="12.8" hidden="false" customHeight="false" outlineLevel="0" collapsed="false">
      <c r="A68" s="0" t="s">
        <v>41</v>
      </c>
      <c r="B68" s="0" t="n">
        <v>0.0122294930875576</v>
      </c>
    </row>
    <row r="69" customFormat="false" ht="12.8" hidden="false" customHeight="false" outlineLevel="0" collapsed="false">
      <c r="A69" s="0" t="s">
        <v>42</v>
      </c>
      <c r="B69" s="0" t="n">
        <f aca="false">B63*B68</f>
        <v>710.11774562212</v>
      </c>
    </row>
    <row r="70" customFormat="false" ht="12.8" hidden="false" customHeight="false" outlineLevel="0" collapsed="false">
      <c r="A70" s="14" t="s">
        <v>43</v>
      </c>
      <c r="B70" s="0" t="n">
        <v>1.80827391285634</v>
      </c>
    </row>
    <row r="71" customFormat="false" ht="12.8" hidden="false" customHeight="false" outlineLevel="0" collapsed="false">
      <c r="A71" s="0" t="s">
        <v>29</v>
      </c>
      <c r="B71" s="0" t="n">
        <f aca="false">B69/B70</f>
        <v>392.704744880393</v>
      </c>
    </row>
    <row r="78" customFormat="false" ht="12.8" hidden="false" customHeight="false" outlineLevel="0" collapsed="false">
      <c r="A78" s="0" t="n">
        <f aca="false">1/2+1/985*(628+384+224+125+66+33+15)</f>
        <v>1.99746192893401</v>
      </c>
    </row>
  </sheetData>
  <mergeCells count="10">
    <mergeCell ref="A1:J1"/>
    <mergeCell ref="A8:J8"/>
    <mergeCell ref="A11:J11"/>
    <mergeCell ref="A23:J23"/>
    <mergeCell ref="A29:J29"/>
    <mergeCell ref="A42:J42"/>
    <mergeCell ref="A49:J49"/>
    <mergeCell ref="A52:J52"/>
    <mergeCell ref="A55:J55"/>
    <mergeCell ref="A61:J6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ColWidth="18.2265625" defaultRowHeight="15" zeroHeight="false" outlineLevelRow="0" outlineLevelCol="0"/>
  <cols>
    <col collapsed="false" customWidth="true" hidden="false" outlineLevel="0" max="1" min="1" style="0" width="5.32"/>
    <col collapsed="false" customWidth="true" hidden="false" outlineLevel="0" max="2" min="2" style="0" width="9.07"/>
    <col collapsed="false" customWidth="true" hidden="false" outlineLevel="0" max="3" min="3" style="0" width="10.88"/>
    <col collapsed="false" customWidth="true" hidden="false" outlineLevel="0" max="4" min="4" style="0" width="12.13"/>
    <col collapsed="false" customWidth="true" hidden="false" outlineLevel="0" max="5" min="5" style="0" width="10.88"/>
    <col collapsed="false" customWidth="true" hidden="false" outlineLevel="0" max="6" min="6" style="0" width="1.98"/>
    <col collapsed="false" customWidth="true" hidden="false" outlineLevel="0" max="7" min="7" style="0" width="12.22"/>
    <col collapsed="false" customWidth="true" hidden="false" outlineLevel="0" max="8" min="8" style="0" width="16.53"/>
    <col collapsed="false" customWidth="true" hidden="false" outlineLevel="0" max="9" min="9" style="0" width="15"/>
    <col collapsed="false" customWidth="true" hidden="false" outlineLevel="0" max="11" min="11" style="0" width="12.9"/>
    <col collapsed="false" customWidth="true" hidden="false" outlineLevel="0" max="12" min="12" style="0" width="26.25"/>
    <col collapsed="false" customWidth="true" hidden="false" outlineLevel="0" max="13" min="13" style="0" width="10.18"/>
    <col collapsed="false" customWidth="true" hidden="false" outlineLevel="0" max="14" min="14" style="0" width="20.88"/>
    <col collapsed="false" customWidth="true" hidden="false" outlineLevel="0" max="15" min="15" style="0" width="10.18"/>
    <col collapsed="false" customWidth="true" hidden="false" outlineLevel="0" max="16" min="16" style="0" width="30.15"/>
  </cols>
  <sheetData>
    <row r="1" customFormat="false" ht="15" hidden="false" customHeight="false" outlineLevel="0" collapsed="false">
      <c r="A1" s="15"/>
      <c r="B1" s="16" t="s">
        <v>44</v>
      </c>
      <c r="C1" s="16" t="s">
        <v>45</v>
      </c>
      <c r="D1" s="16" t="s">
        <v>46</v>
      </c>
      <c r="E1" s="17" t="s">
        <v>47</v>
      </c>
      <c r="F1" s="18"/>
      <c r="G1" s="19" t="s">
        <v>48</v>
      </c>
      <c r="H1" s="19"/>
      <c r="I1" s="20" t="s">
        <v>49</v>
      </c>
      <c r="J1" s="20"/>
      <c r="K1" s="21" t="s">
        <v>50</v>
      </c>
      <c r="L1" s="21"/>
      <c r="M1" s="20" t="s">
        <v>51</v>
      </c>
      <c r="N1" s="20"/>
      <c r="O1" s="21" t="s">
        <v>52</v>
      </c>
      <c r="P1" s="21"/>
    </row>
    <row r="2" customFormat="false" ht="15" hidden="false" customHeight="false" outlineLevel="0" collapsed="false">
      <c r="A2" s="22" t="n">
        <v>0</v>
      </c>
      <c r="B2" s="23" t="n">
        <v>100000</v>
      </c>
      <c r="C2" s="23" t="n">
        <v>100000</v>
      </c>
      <c r="D2" s="23" t="n">
        <v>994613.18</v>
      </c>
      <c r="E2" s="24" t="n">
        <v>10048.24</v>
      </c>
      <c r="F2" s="18"/>
      <c r="G2" s="25" t="s">
        <v>1</v>
      </c>
      <c r="H2" s="23" t="n">
        <v>0</v>
      </c>
      <c r="I2" s="26" t="s">
        <v>1</v>
      </c>
      <c r="J2" s="27" t="n">
        <v>45</v>
      </c>
      <c r="K2" s="23" t="s">
        <v>1</v>
      </c>
      <c r="L2" s="23" t="n">
        <v>27</v>
      </c>
      <c r="M2" s="26" t="s">
        <v>1</v>
      </c>
      <c r="N2" s="27" t="n">
        <v>80</v>
      </c>
      <c r="O2" s="23" t="s">
        <v>1</v>
      </c>
      <c r="P2" s="24" t="n">
        <v>41</v>
      </c>
    </row>
    <row r="3" customFormat="false" ht="15" hidden="false" customHeight="false" outlineLevel="0" collapsed="false">
      <c r="A3" s="28" t="n">
        <v>1</v>
      </c>
      <c r="B3" s="29" t="n">
        <v>91992</v>
      </c>
      <c r="C3" s="29" t="n">
        <v>83629.09</v>
      </c>
      <c r="D3" s="29" t="n">
        <v>894613.18</v>
      </c>
      <c r="E3" s="30" t="n">
        <v>2412.91</v>
      </c>
      <c r="F3" s="18"/>
      <c r="G3" s="31" t="s">
        <v>53</v>
      </c>
      <c r="H3" s="32" t="n">
        <f aca="false">VLOOKUP(H2,Sheet2!A:E,2,FALSE())</f>
        <v>100000</v>
      </c>
      <c r="I3" s="33" t="s">
        <v>9</v>
      </c>
      <c r="J3" s="34" t="n">
        <v>32</v>
      </c>
      <c r="K3" s="29" t="s">
        <v>9</v>
      </c>
      <c r="L3" s="29" t="n">
        <v>80</v>
      </c>
      <c r="M3" s="33" t="s">
        <v>9</v>
      </c>
      <c r="N3" s="34" t="n">
        <v>100</v>
      </c>
      <c r="O3" s="29" t="s">
        <v>9</v>
      </c>
      <c r="P3" s="30" t="n">
        <v>22</v>
      </c>
    </row>
    <row r="4" customFormat="false" ht="15" hidden="false" customHeight="false" outlineLevel="0" collapsed="false">
      <c r="A4" s="22" t="n">
        <v>2</v>
      </c>
      <c r="B4" s="23" t="n">
        <v>91000</v>
      </c>
      <c r="C4" s="23" t="n">
        <v>75206.61</v>
      </c>
      <c r="D4" s="23" t="n">
        <v>810984.09</v>
      </c>
      <c r="E4" s="24" t="n">
        <v>1553.06</v>
      </c>
      <c r="F4" s="18"/>
      <c r="G4" s="25" t="s">
        <v>1</v>
      </c>
      <c r="H4" s="23" t="n">
        <v>75</v>
      </c>
      <c r="I4" s="26"/>
      <c r="J4" s="27"/>
      <c r="K4" s="23" t="s">
        <v>17</v>
      </c>
      <c r="L4" s="23" t="n">
        <v>90</v>
      </c>
      <c r="M4" s="26"/>
      <c r="N4" s="27"/>
      <c r="O4" s="23" t="s">
        <v>17</v>
      </c>
      <c r="P4" s="24" t="n">
        <v>50</v>
      </c>
    </row>
    <row r="5" customFormat="false" ht="15" hidden="false" customHeight="false" outlineLevel="0" collapsed="false">
      <c r="A5" s="28" t="n">
        <v>3</v>
      </c>
      <c r="B5" s="29" t="n">
        <v>90545</v>
      </c>
      <c r="C5" s="29" t="n">
        <v>68027.8</v>
      </c>
      <c r="D5" s="29" t="n">
        <v>735777.48</v>
      </c>
      <c r="E5" s="30" t="n">
        <v>1194.53</v>
      </c>
      <c r="F5" s="18"/>
      <c r="G5" s="31" t="s">
        <v>54</v>
      </c>
      <c r="H5" s="32" t="n">
        <f aca="false">VLOOKUP(H4,Sheet2!A:E,3,FALSE())</f>
        <v>31.47</v>
      </c>
      <c r="I5" s="33"/>
      <c r="J5" s="34"/>
      <c r="K5" s="29"/>
      <c r="L5" s="29"/>
      <c r="M5" s="33"/>
      <c r="N5" s="34"/>
      <c r="O5" s="29"/>
      <c r="P5" s="30"/>
    </row>
    <row r="6" customFormat="false" ht="15" hidden="false" customHeight="false" outlineLevel="0" collapsed="false">
      <c r="A6" s="22" t="n">
        <v>4</v>
      </c>
      <c r="B6" s="23" t="n">
        <v>90286</v>
      </c>
      <c r="C6" s="23" t="n">
        <v>61666.55</v>
      </c>
      <c r="D6" s="23" t="n">
        <v>667749.68</v>
      </c>
      <c r="E6" s="24" t="n">
        <v>1008.98</v>
      </c>
      <c r="F6" s="18"/>
      <c r="G6" s="25" t="s">
        <v>1</v>
      </c>
      <c r="H6" s="23" t="n">
        <v>75</v>
      </c>
      <c r="I6" s="26"/>
      <c r="J6" s="27"/>
      <c r="K6" s="23"/>
      <c r="L6" s="23"/>
      <c r="M6" s="26"/>
      <c r="N6" s="27"/>
      <c r="O6" s="23"/>
      <c r="P6" s="24"/>
    </row>
    <row r="7" customFormat="false" ht="15" hidden="false" customHeight="false" outlineLevel="0" collapsed="false">
      <c r="A7" s="28" t="n">
        <v>5</v>
      </c>
      <c r="B7" s="29" t="n">
        <v>90101</v>
      </c>
      <c r="C7" s="29" t="n">
        <v>55945.63</v>
      </c>
      <c r="D7" s="29" t="n">
        <v>606083.13</v>
      </c>
      <c r="E7" s="30" t="n">
        <v>888.52</v>
      </c>
      <c r="F7" s="18"/>
      <c r="G7" s="31" t="s">
        <v>55</v>
      </c>
      <c r="H7" s="32" t="n">
        <f aca="false">VLOOKUP(H6,Sheet2!A:E,4,FALSE())</f>
        <v>165.54</v>
      </c>
      <c r="I7" s="33"/>
      <c r="J7" s="34"/>
      <c r="K7" s="29"/>
      <c r="L7" s="29"/>
      <c r="M7" s="33"/>
      <c r="N7" s="34"/>
      <c r="O7" s="29"/>
      <c r="P7" s="30"/>
    </row>
    <row r="8" customFormat="false" ht="15" hidden="false" customHeight="false" outlineLevel="0" collapsed="false">
      <c r="A8" s="22" t="n">
        <v>6</v>
      </c>
      <c r="B8" s="23" t="n">
        <v>89951</v>
      </c>
      <c r="C8" s="23" t="n">
        <v>50774.99</v>
      </c>
      <c r="D8" s="23" t="n">
        <v>550137.49</v>
      </c>
      <c r="E8" s="24" t="n">
        <v>799.71</v>
      </c>
      <c r="F8" s="18"/>
      <c r="G8" s="25" t="s">
        <v>1</v>
      </c>
      <c r="H8" s="23" t="n">
        <v>0</v>
      </c>
      <c r="I8" s="26"/>
      <c r="J8" s="27"/>
      <c r="K8" s="23"/>
      <c r="L8" s="23"/>
      <c r="M8" s="26"/>
      <c r="N8" s="27"/>
      <c r="O8" s="23"/>
      <c r="P8" s="24"/>
    </row>
    <row r="9" customFormat="false" ht="15" hidden="false" customHeight="false" outlineLevel="0" collapsed="false">
      <c r="A9" s="28" t="n">
        <v>7</v>
      </c>
      <c r="B9" s="29" t="n">
        <v>89837</v>
      </c>
      <c r="C9" s="29" t="n">
        <v>46100.59</v>
      </c>
      <c r="D9" s="29" t="n">
        <v>499362.5</v>
      </c>
      <c r="E9" s="30" t="n">
        <v>738.36</v>
      </c>
      <c r="F9" s="18"/>
      <c r="G9" s="35" t="s">
        <v>56</v>
      </c>
      <c r="H9" s="36" t="n">
        <f aca="false">VLOOKUP(H8,Sheet2!A:E,5,FALSE())</f>
        <v>10048.24</v>
      </c>
      <c r="I9" s="37" t="s">
        <v>57</v>
      </c>
      <c r="J9" s="38" t="n">
        <f aca="false">VLOOKUP(J3,Sheet2!A:E,2,FALSE())/VLOOKUP(J2,Sheet2!A:E,2,FALSE())</f>
        <v>1.04017760710428</v>
      </c>
      <c r="K9" s="39" t="s">
        <v>57</v>
      </c>
      <c r="L9" s="39" t="n">
        <f aca="false">((VLOOKUP(L3,Sheet2!A:E,2,FALSE())/VLOOKUP(L2,Sheet2!A:E,2,FALSE()))*(1-(VLOOKUP(L4,Sheet2!A:E,2,FALSE())/VLOOKUP(L3,Sheet2!A:E,2,FALSE()))))*100</f>
        <v>25.1785163435283</v>
      </c>
      <c r="M9" s="37" t="s">
        <v>57</v>
      </c>
      <c r="N9" s="38" t="n">
        <f aca="false">(1-(VLOOKUP(N3,Sheet2!A:E,2,FALSE())/VLOOKUP(N2,Sheet2!A:E,2,FALSE())))*100</f>
        <v>99.9402319002271</v>
      </c>
      <c r="O9" s="39" t="s">
        <v>57</v>
      </c>
      <c r="P9" s="40" t="n">
        <f aca="false">((VLOOKUP((P2+P3),Sheet2!A:E,2,FALSE())/VLOOKUP(P2,Sheet2!A:E,2,FALSE()))*(1-(VLOOKUP((P2+P4),Sheet2!A:E,2,FALSE())/VLOOKUP((P2+P3),Sheet2!A:E,2,FALSE()))))*100</f>
        <v>78.360194392877</v>
      </c>
    </row>
    <row r="10" customFormat="false" ht="15" hidden="false" customHeight="false" outlineLevel="0" collapsed="false">
      <c r="A10" s="22" t="n">
        <v>8</v>
      </c>
      <c r="B10" s="23" t="n">
        <v>89735</v>
      </c>
      <c r="C10" s="23" t="n">
        <v>41862.04</v>
      </c>
      <c r="D10" s="23" t="n">
        <v>453261.91</v>
      </c>
      <c r="E10" s="24" t="n">
        <v>688.45</v>
      </c>
      <c r="F10" s="18"/>
    </row>
    <row r="11" customFormat="false" ht="15" hidden="false" customHeight="false" outlineLevel="0" collapsed="false">
      <c r="A11" s="28" t="n">
        <v>9</v>
      </c>
      <c r="B11" s="29" t="n">
        <v>89644</v>
      </c>
      <c r="C11" s="29" t="n">
        <v>38017.81</v>
      </c>
      <c r="D11" s="29" t="n">
        <v>411399.87</v>
      </c>
      <c r="E11" s="30" t="n">
        <v>647.97</v>
      </c>
      <c r="F11" s="18"/>
    </row>
    <row r="12" customFormat="false" ht="15" hidden="false" customHeight="false" outlineLevel="0" collapsed="false">
      <c r="A12" s="22" t="n">
        <v>10</v>
      </c>
      <c r="B12" s="23" t="n">
        <v>89562</v>
      </c>
      <c r="C12" s="23" t="n">
        <v>34530.03</v>
      </c>
      <c r="D12" s="23" t="n">
        <v>373382.07</v>
      </c>
      <c r="E12" s="24" t="n">
        <v>614.82</v>
      </c>
      <c r="F12" s="18"/>
    </row>
    <row r="13" customFormat="false" ht="15" hidden="false" customHeight="false" outlineLevel="0" collapsed="false">
      <c r="A13" s="28" t="n">
        <v>11</v>
      </c>
      <c r="B13" s="29" t="n">
        <v>89484</v>
      </c>
      <c r="C13" s="29" t="n">
        <v>31363.6</v>
      </c>
      <c r="D13" s="29" t="n">
        <v>338852.04</v>
      </c>
      <c r="E13" s="30" t="n">
        <v>586.14</v>
      </c>
      <c r="F13" s="18"/>
      <c r="G13" s="0" t="s">
        <v>58</v>
      </c>
      <c r="H13" s="0" t="n">
        <v>12.8702360209092</v>
      </c>
    </row>
    <row r="14" customFormat="false" ht="15" hidden="false" customHeight="false" outlineLevel="0" collapsed="false">
      <c r="A14" s="22" t="n">
        <v>12</v>
      </c>
      <c r="B14" s="23" t="n">
        <v>89407</v>
      </c>
      <c r="C14" s="23" t="n">
        <v>28487.83</v>
      </c>
      <c r="D14" s="23" t="n">
        <v>307488.44</v>
      </c>
      <c r="E14" s="24" t="n">
        <v>560.41</v>
      </c>
      <c r="F14" s="18"/>
      <c r="H14" s="0" t="n">
        <f aca="false">1624*0.0710181371772533*12</f>
        <v>1384.00145731031</v>
      </c>
    </row>
    <row r="15" customFormat="false" ht="15" hidden="false" customHeight="false" outlineLevel="0" collapsed="false">
      <c r="A15" s="28" t="n">
        <v>13</v>
      </c>
      <c r="B15" s="29" t="n">
        <v>89330</v>
      </c>
      <c r="C15" s="29" t="n">
        <v>25875.72</v>
      </c>
      <c r="D15" s="29" t="n">
        <v>279000.62</v>
      </c>
      <c r="E15" s="30" t="n">
        <v>537.02</v>
      </c>
      <c r="F15" s="18"/>
      <c r="H15" s="0" t="n">
        <f aca="false">H13/H14</f>
        <v>0.00929929369143977</v>
      </c>
    </row>
    <row r="16" customFormat="false" ht="15" hidden="false" customHeight="false" outlineLevel="0" collapsed="false">
      <c r="A16" s="22" t="n">
        <v>14</v>
      </c>
      <c r="B16" s="23" t="n">
        <v>89250</v>
      </c>
      <c r="C16" s="23" t="n">
        <v>23502.31</v>
      </c>
      <c r="D16" s="23" t="n">
        <v>253124.9</v>
      </c>
      <c r="E16" s="24" t="n">
        <v>514.92</v>
      </c>
      <c r="F16" s="18"/>
    </row>
    <row r="17" customFormat="false" ht="15" hidden="false" customHeight="false" outlineLevel="0" collapsed="false">
      <c r="A17" s="28" t="n">
        <v>15</v>
      </c>
      <c r="B17" s="29" t="n">
        <v>89165</v>
      </c>
      <c r="C17" s="29" t="n">
        <v>21345.39</v>
      </c>
      <c r="D17" s="29" t="n">
        <v>229622.58</v>
      </c>
      <c r="E17" s="30" t="n">
        <v>493.58</v>
      </c>
      <c r="F17" s="18"/>
      <c r="H17" s="0" t="n">
        <v>11144.2</v>
      </c>
    </row>
    <row r="18" customFormat="false" ht="15" hidden="false" customHeight="false" outlineLevel="0" collapsed="false">
      <c r="A18" s="22" t="n">
        <v>16</v>
      </c>
      <c r="B18" s="23" t="n">
        <v>89070</v>
      </c>
      <c r="C18" s="23" t="n">
        <v>19384.23</v>
      </c>
      <c r="D18" s="23" t="n">
        <v>208277.19</v>
      </c>
      <c r="E18" s="24" t="n">
        <v>471.9</v>
      </c>
      <c r="F18" s="18"/>
      <c r="H18" s="0" t="n">
        <v>5105.76</v>
      </c>
    </row>
    <row r="19" customFormat="false" ht="15" hidden="false" customHeight="false" outlineLevel="0" collapsed="false">
      <c r="A19" s="28" t="n">
        <v>17</v>
      </c>
      <c r="B19" s="29" t="n">
        <v>88967</v>
      </c>
      <c r="C19" s="29" t="n">
        <v>17601.65</v>
      </c>
      <c r="D19" s="29" t="n">
        <v>188892.96</v>
      </c>
      <c r="E19" s="30" t="n">
        <v>450.53</v>
      </c>
      <c r="F19" s="18"/>
      <c r="H19" s="0" t="n">
        <v>1262.6</v>
      </c>
    </row>
    <row r="20" customFormat="false" ht="15" hidden="false" customHeight="false" outlineLevel="0" collapsed="false">
      <c r="A20" s="22" t="n">
        <v>18</v>
      </c>
      <c r="B20" s="23" t="n">
        <v>88856</v>
      </c>
      <c r="C20" s="23" t="n">
        <v>15981.53</v>
      </c>
      <c r="D20" s="23" t="n">
        <v>171291.32</v>
      </c>
      <c r="E20" s="24" t="n">
        <v>429.59</v>
      </c>
      <c r="F20" s="18"/>
      <c r="H20" s="0" t="n">
        <f aca="false">(H17-H18)/H19</f>
        <v>4.78254395691431</v>
      </c>
    </row>
    <row r="21" customFormat="false" ht="15" hidden="false" customHeight="false" outlineLevel="0" collapsed="false">
      <c r="A21" s="28" t="n">
        <v>19</v>
      </c>
      <c r="B21" s="29" t="n">
        <v>88737</v>
      </c>
      <c r="C21" s="29" t="n">
        <v>14509.21</v>
      </c>
      <c r="D21" s="29" t="n">
        <v>155309.78</v>
      </c>
      <c r="E21" s="30" t="n">
        <v>409.18</v>
      </c>
      <c r="F21" s="18"/>
    </row>
    <row r="22" customFormat="false" ht="15" hidden="false" customHeight="false" outlineLevel="0" collapsed="false">
      <c r="A22" s="22" t="n">
        <v>20</v>
      </c>
      <c r="B22" s="23" t="n">
        <v>88607</v>
      </c>
      <c r="C22" s="23" t="n">
        <v>13170.87</v>
      </c>
      <c r="D22" s="23" t="n">
        <v>140800.58</v>
      </c>
      <c r="E22" s="24" t="n">
        <v>388.91</v>
      </c>
      <c r="F22" s="18"/>
    </row>
    <row r="23" customFormat="false" ht="15" hidden="false" customHeight="false" outlineLevel="0" collapsed="false">
      <c r="A23" s="28" t="n">
        <v>21</v>
      </c>
      <c r="B23" s="29" t="n">
        <v>88470</v>
      </c>
      <c r="C23" s="29" t="n">
        <v>11955</v>
      </c>
      <c r="D23" s="29" t="n">
        <v>127629.71</v>
      </c>
      <c r="E23" s="30" t="n">
        <v>369.5</v>
      </c>
      <c r="F23" s="18"/>
    </row>
    <row r="24" customFormat="false" ht="15" hidden="false" customHeight="false" outlineLevel="0" collapsed="false">
      <c r="A24" s="22" t="n">
        <v>22</v>
      </c>
      <c r="B24" s="23" t="n">
        <v>88322</v>
      </c>
      <c r="C24" s="23" t="n">
        <v>10850</v>
      </c>
      <c r="D24" s="23" t="n">
        <v>115674.71</v>
      </c>
      <c r="E24" s="24" t="n">
        <v>350.43</v>
      </c>
      <c r="F24" s="18"/>
    </row>
    <row r="25" customFormat="false" ht="15" hidden="false" customHeight="false" outlineLevel="0" collapsed="false">
      <c r="A25" s="28" t="n">
        <v>23</v>
      </c>
      <c r="B25" s="29" t="n">
        <v>88167</v>
      </c>
      <c r="C25" s="29" t="n">
        <v>9846.33</v>
      </c>
      <c r="D25" s="29" t="n">
        <v>104824.71</v>
      </c>
      <c r="E25" s="30" t="n">
        <v>332.27</v>
      </c>
      <c r="F25" s="18"/>
    </row>
    <row r="26" customFormat="false" ht="15" hidden="false" customHeight="false" outlineLevel="0" collapsed="false">
      <c r="A26" s="22" t="n">
        <v>24</v>
      </c>
      <c r="B26" s="23" t="n">
        <v>88010</v>
      </c>
      <c r="C26" s="23" t="n">
        <v>8935.27</v>
      </c>
      <c r="D26" s="23" t="n">
        <v>94978.38</v>
      </c>
      <c r="E26" s="24" t="n">
        <v>315.55</v>
      </c>
      <c r="F26" s="18"/>
    </row>
    <row r="27" customFormat="false" ht="15" hidden="false" customHeight="false" outlineLevel="0" collapsed="false">
      <c r="A27" s="28" t="n">
        <v>25</v>
      </c>
      <c r="B27" s="29" t="n">
        <v>87844</v>
      </c>
      <c r="C27" s="29" t="n">
        <v>8107.65</v>
      </c>
      <c r="D27" s="29" t="n">
        <v>86043.11</v>
      </c>
      <c r="E27" s="30" t="n">
        <v>299.49</v>
      </c>
      <c r="F27" s="18"/>
    </row>
    <row r="28" customFormat="false" ht="15" hidden="false" customHeight="false" outlineLevel="0" collapsed="false">
      <c r="A28" s="22" t="n">
        <v>26</v>
      </c>
      <c r="B28" s="23" t="n">
        <v>87686</v>
      </c>
      <c r="C28" s="23" t="n">
        <v>7357.33</v>
      </c>
      <c r="D28" s="23" t="n">
        <v>77935.46</v>
      </c>
      <c r="E28" s="24" t="n">
        <v>285.58</v>
      </c>
      <c r="F28" s="18"/>
    </row>
    <row r="29" customFormat="false" ht="15" hidden="false" customHeight="false" outlineLevel="0" collapsed="false">
      <c r="A29" s="28" t="n">
        <v>27</v>
      </c>
      <c r="B29" s="29" t="n">
        <v>87527</v>
      </c>
      <c r="C29" s="29" t="n">
        <v>6676.36</v>
      </c>
      <c r="D29" s="29" t="n">
        <v>70578.13</v>
      </c>
      <c r="E29" s="30" t="n">
        <v>272.86</v>
      </c>
      <c r="F29" s="18"/>
    </row>
    <row r="30" customFormat="false" ht="15" hidden="false" customHeight="false" outlineLevel="0" collapsed="false">
      <c r="A30" s="22" t="n">
        <v>28</v>
      </c>
      <c r="B30" s="23" t="n">
        <v>87368</v>
      </c>
      <c r="C30" s="23" t="n">
        <v>6058.39</v>
      </c>
      <c r="D30" s="23" t="n">
        <v>63901.77</v>
      </c>
      <c r="E30" s="24" t="n">
        <v>261.3</v>
      </c>
      <c r="F30" s="18"/>
    </row>
    <row r="31" customFormat="false" ht="15" hidden="false" customHeight="false" outlineLevel="0" collapsed="false">
      <c r="A31" s="28" t="n">
        <v>29</v>
      </c>
      <c r="B31" s="29" t="n">
        <v>87205</v>
      </c>
      <c r="C31" s="29" t="n">
        <v>5497.35</v>
      </c>
      <c r="D31" s="29" t="n">
        <v>57843.38</v>
      </c>
      <c r="E31" s="30" t="n">
        <v>250.52</v>
      </c>
      <c r="F31" s="18"/>
    </row>
    <row r="32" customFormat="false" ht="15" hidden="false" customHeight="false" outlineLevel="0" collapsed="false">
      <c r="A32" s="22" t="n">
        <v>30</v>
      </c>
      <c r="B32" s="23" t="n">
        <v>87036</v>
      </c>
      <c r="C32" s="23" t="n">
        <v>4987.91</v>
      </c>
      <c r="D32" s="23" t="n">
        <v>52346.03</v>
      </c>
      <c r="E32" s="24" t="n">
        <v>240.36</v>
      </c>
      <c r="F32" s="18"/>
    </row>
    <row r="33" customFormat="false" ht="15" hidden="false" customHeight="false" outlineLevel="0" collapsed="false">
      <c r="A33" s="28" t="n">
        <v>31</v>
      </c>
      <c r="B33" s="29" t="n">
        <v>86860</v>
      </c>
      <c r="C33" s="29" t="n">
        <v>4525.29</v>
      </c>
      <c r="D33" s="29" t="n">
        <v>47358.12</v>
      </c>
      <c r="E33" s="30" t="n">
        <v>230.75</v>
      </c>
      <c r="F33" s="18"/>
    </row>
    <row r="34" customFormat="false" ht="15" hidden="false" customHeight="false" outlineLevel="0" collapsed="false">
      <c r="A34" s="22" t="n">
        <v>32</v>
      </c>
      <c r="B34" s="23" t="n">
        <v>86678</v>
      </c>
      <c r="C34" s="23" t="n">
        <v>4105.28</v>
      </c>
      <c r="D34" s="23" t="n">
        <v>42832.83</v>
      </c>
      <c r="E34" s="24" t="n">
        <v>221.71</v>
      </c>
      <c r="F34" s="18"/>
    </row>
    <row r="35" customFormat="false" ht="15" hidden="false" customHeight="false" outlineLevel="0" collapsed="false">
      <c r="A35" s="28" t="n">
        <v>33</v>
      </c>
      <c r="B35" s="29" t="n">
        <v>86488</v>
      </c>
      <c r="C35" s="29" t="n">
        <v>3723.89</v>
      </c>
      <c r="D35" s="29" t="n">
        <v>38727.55</v>
      </c>
      <c r="E35" s="30" t="n">
        <v>213.13</v>
      </c>
      <c r="F35" s="18"/>
    </row>
    <row r="36" customFormat="false" ht="15" hidden="false" customHeight="false" outlineLevel="0" collapsed="false">
      <c r="A36" s="22" t="n">
        <v>34</v>
      </c>
      <c r="B36" s="23" t="n">
        <v>86295</v>
      </c>
      <c r="C36" s="23" t="n">
        <v>3377.8</v>
      </c>
      <c r="D36" s="23" t="n">
        <v>35003.65</v>
      </c>
      <c r="E36" s="24" t="n">
        <v>205.2</v>
      </c>
      <c r="F36" s="18"/>
    </row>
    <row r="37" customFormat="false" ht="15" hidden="false" customHeight="false" outlineLevel="0" collapsed="false">
      <c r="A37" s="28" t="n">
        <v>35</v>
      </c>
      <c r="B37" s="29" t="n">
        <v>86092</v>
      </c>
      <c r="C37" s="29" t="n">
        <v>3063.51</v>
      </c>
      <c r="D37" s="29" t="n">
        <v>31625.85</v>
      </c>
      <c r="E37" s="30" t="n">
        <v>197.63</v>
      </c>
      <c r="F37" s="18"/>
    </row>
    <row r="38" customFormat="false" ht="15" hidden="false" customHeight="false" outlineLevel="0" collapsed="false">
      <c r="A38" s="22" t="n">
        <v>36</v>
      </c>
      <c r="B38" s="23" t="n">
        <v>85877</v>
      </c>
      <c r="C38" s="23" t="n">
        <v>2778.05</v>
      </c>
      <c r="D38" s="23" t="n">
        <v>28562.35</v>
      </c>
      <c r="E38" s="24" t="n">
        <v>190.33</v>
      </c>
      <c r="F38" s="18"/>
    </row>
    <row r="39" customFormat="false" ht="15" hidden="false" customHeight="false" outlineLevel="0" collapsed="false">
      <c r="A39" s="28" t="n">
        <v>37</v>
      </c>
      <c r="B39" s="29" t="n">
        <v>85647</v>
      </c>
      <c r="C39" s="29" t="n">
        <v>2518.74</v>
      </c>
      <c r="D39" s="29" t="n">
        <v>25784.29</v>
      </c>
      <c r="E39" s="30" t="n">
        <v>183.24</v>
      </c>
      <c r="F39" s="18"/>
    </row>
    <row r="40" customFormat="false" ht="15" hidden="false" customHeight="false" outlineLevel="0" collapsed="false">
      <c r="A40" s="22" t="n">
        <v>38</v>
      </c>
      <c r="B40" s="23" t="n">
        <v>85399</v>
      </c>
      <c r="C40" s="23" t="n">
        <v>2283.13</v>
      </c>
      <c r="D40" s="23" t="n">
        <v>23265.56</v>
      </c>
      <c r="E40" s="24" t="n">
        <v>176.28</v>
      </c>
      <c r="F40" s="18"/>
    </row>
    <row r="41" customFormat="false" ht="15" hidden="false" customHeight="false" outlineLevel="0" collapsed="false">
      <c r="A41" s="28" t="n">
        <v>39</v>
      </c>
      <c r="B41" s="29" t="n">
        <v>85132</v>
      </c>
      <c r="C41" s="29" t="n">
        <v>2069.08</v>
      </c>
      <c r="D41" s="29" t="n">
        <v>20982.43</v>
      </c>
      <c r="E41" s="30" t="n">
        <v>169.48</v>
      </c>
      <c r="F41" s="18"/>
    </row>
    <row r="42" customFormat="false" ht="15" hidden="false" customHeight="false" outlineLevel="0" collapsed="false">
      <c r="A42" s="22" t="n">
        <v>40</v>
      </c>
      <c r="B42" s="23" t="n">
        <v>84855</v>
      </c>
      <c r="C42" s="23" t="n">
        <v>1874.87</v>
      </c>
      <c r="D42" s="23" t="n">
        <v>18913.34</v>
      </c>
      <c r="E42" s="24" t="n">
        <v>163.06</v>
      </c>
      <c r="F42" s="18"/>
    </row>
    <row r="43" customFormat="false" ht="15" hidden="false" customHeight="false" outlineLevel="0" collapsed="false">
      <c r="A43" s="28" t="n">
        <v>41</v>
      </c>
      <c r="B43" s="29" t="n">
        <v>84571</v>
      </c>
      <c r="C43" s="29" t="n">
        <v>1698.72</v>
      </c>
      <c r="D43" s="29" t="n">
        <v>17038.48</v>
      </c>
      <c r="E43" s="30" t="n">
        <v>157.08</v>
      </c>
      <c r="F43" s="18"/>
    </row>
    <row r="44" customFormat="false" ht="15" hidden="false" customHeight="false" outlineLevel="0" collapsed="false">
      <c r="A44" s="22" t="n">
        <v>42</v>
      </c>
      <c r="B44" s="23" t="n">
        <v>84278</v>
      </c>
      <c r="C44" s="23" t="n">
        <v>1538.94</v>
      </c>
      <c r="D44" s="23" t="n">
        <v>15339.76</v>
      </c>
      <c r="E44" s="24" t="n">
        <v>151.46</v>
      </c>
      <c r="F44" s="18"/>
    </row>
    <row r="45" customFormat="false" ht="15" hidden="false" customHeight="false" outlineLevel="0" collapsed="false">
      <c r="A45" s="28" t="n">
        <v>43</v>
      </c>
      <c r="B45" s="29" t="n">
        <v>83976</v>
      </c>
      <c r="C45" s="29" t="n">
        <v>1394.02</v>
      </c>
      <c r="D45" s="29" t="n">
        <v>13800.62</v>
      </c>
      <c r="E45" s="30" t="n">
        <v>146.21</v>
      </c>
      <c r="F45" s="18"/>
    </row>
    <row r="46" customFormat="false" ht="15" hidden="false" customHeight="false" outlineLevel="0" collapsed="false">
      <c r="A46" s="22" t="n">
        <v>44</v>
      </c>
      <c r="B46" s="23" t="n">
        <v>83665</v>
      </c>
      <c r="C46" s="23" t="n">
        <v>1262.6</v>
      </c>
      <c r="D46" s="23" t="n">
        <v>12406.8</v>
      </c>
      <c r="E46" s="24" t="n">
        <v>141.28</v>
      </c>
      <c r="F46" s="18"/>
    </row>
    <row r="47" customFormat="false" ht="15" hidden="false" customHeight="false" outlineLevel="0" collapsed="false">
      <c r="A47" s="28" t="n">
        <v>45</v>
      </c>
      <c r="B47" s="29" t="n">
        <v>83330</v>
      </c>
      <c r="C47" s="29" t="n">
        <v>1143.22</v>
      </c>
      <c r="D47" s="29" t="n">
        <v>11144.2</v>
      </c>
      <c r="E47" s="30" t="n">
        <v>136.46</v>
      </c>
      <c r="F47" s="18"/>
    </row>
    <row r="48" customFormat="false" ht="15" hidden="false" customHeight="false" outlineLevel="0" collapsed="false">
      <c r="A48" s="22" t="n">
        <v>46</v>
      </c>
      <c r="B48" s="23" t="n">
        <v>82951</v>
      </c>
      <c r="C48" s="23" t="n">
        <v>1034.57</v>
      </c>
      <c r="D48" s="23" t="n">
        <v>10000.98</v>
      </c>
      <c r="E48" s="24" t="n">
        <v>131.51</v>
      </c>
      <c r="F48" s="18"/>
    </row>
    <row r="49" customFormat="false" ht="15" hidden="false" customHeight="false" outlineLevel="0" collapsed="false">
      <c r="A49" s="28" t="n">
        <v>47</v>
      </c>
      <c r="B49" s="29" t="n">
        <v>82536</v>
      </c>
      <c r="C49" s="29" t="n">
        <v>935.81</v>
      </c>
      <c r="D49" s="29" t="n">
        <v>8966.41</v>
      </c>
      <c r="E49" s="30" t="n">
        <v>126.57</v>
      </c>
      <c r="F49" s="18"/>
    </row>
    <row r="50" customFormat="false" ht="15" hidden="false" customHeight="false" outlineLevel="0" collapsed="false">
      <c r="A50" s="22" t="n">
        <v>48</v>
      </c>
      <c r="B50" s="23" t="n">
        <v>82088</v>
      </c>
      <c r="C50" s="23" t="n">
        <v>846.12</v>
      </c>
      <c r="D50" s="23" t="n">
        <v>8030.6</v>
      </c>
      <c r="E50" s="24" t="n">
        <v>121.73</v>
      </c>
      <c r="F50" s="18"/>
    </row>
    <row r="51" customFormat="false" ht="15" hidden="false" customHeight="false" outlineLevel="0" collapsed="false">
      <c r="A51" s="28" t="n">
        <v>49</v>
      </c>
      <c r="B51" s="29" t="n">
        <v>81603</v>
      </c>
      <c r="C51" s="29" t="n">
        <v>764.65</v>
      </c>
      <c r="D51" s="29" t="n">
        <v>7184.48</v>
      </c>
      <c r="E51" s="30" t="n">
        <v>116.96</v>
      </c>
      <c r="F51" s="18"/>
    </row>
    <row r="52" customFormat="false" ht="15" hidden="false" customHeight="false" outlineLevel="0" collapsed="false">
      <c r="A52" s="22" t="n">
        <v>50</v>
      </c>
      <c r="B52" s="23" t="n">
        <v>81077</v>
      </c>
      <c r="C52" s="23" t="n">
        <v>690.66</v>
      </c>
      <c r="D52" s="23" t="n">
        <v>6419.88</v>
      </c>
      <c r="E52" s="24" t="n">
        <v>112.26</v>
      </c>
      <c r="F52" s="18"/>
    </row>
    <row r="53" customFormat="false" ht="15" hidden="false" customHeight="false" outlineLevel="0" collapsed="false">
      <c r="A53" s="28" t="n">
        <v>51</v>
      </c>
      <c r="B53" s="29" t="n">
        <v>80501</v>
      </c>
      <c r="C53" s="29" t="n">
        <v>623.41</v>
      </c>
      <c r="D53" s="29" t="n">
        <v>5729.17</v>
      </c>
      <c r="E53" s="30" t="n">
        <v>107.58</v>
      </c>
      <c r="F53" s="18"/>
    </row>
    <row r="54" customFormat="false" ht="15" hidden="false" customHeight="false" outlineLevel="0" collapsed="false">
      <c r="A54" s="22" t="n">
        <v>52</v>
      </c>
      <c r="B54" s="23" t="n">
        <v>79867</v>
      </c>
      <c r="C54" s="23" t="n">
        <v>562.27</v>
      </c>
      <c r="D54" s="23" t="n">
        <v>5105.76</v>
      </c>
      <c r="E54" s="24" t="n">
        <v>102.9</v>
      </c>
      <c r="F54" s="18"/>
    </row>
    <row r="55" customFormat="false" ht="15" hidden="false" customHeight="false" outlineLevel="0" collapsed="false">
      <c r="A55" s="28" t="n">
        <v>53</v>
      </c>
      <c r="B55" s="29" t="n">
        <v>79172</v>
      </c>
      <c r="C55" s="29" t="n">
        <v>506.71</v>
      </c>
      <c r="D55" s="29" t="n">
        <v>4543.49</v>
      </c>
      <c r="E55" s="30" t="n">
        <v>98.24</v>
      </c>
      <c r="F55" s="18"/>
    </row>
    <row r="56" customFormat="false" ht="15" hidden="false" customHeight="false" outlineLevel="0" collapsed="false">
      <c r="A56" s="22" t="n">
        <v>54</v>
      </c>
      <c r="B56" s="23" t="n">
        <v>78418</v>
      </c>
      <c r="C56" s="23" t="n">
        <v>456.26</v>
      </c>
      <c r="D56" s="23" t="n">
        <v>4036.73</v>
      </c>
      <c r="E56" s="24" t="n">
        <v>93.64</v>
      </c>
      <c r="F56" s="18"/>
    </row>
    <row r="57" customFormat="false" ht="15" hidden="false" customHeight="false" outlineLevel="0" collapsed="false">
      <c r="A57" s="28" t="n">
        <v>55</v>
      </c>
      <c r="B57" s="29" t="n">
        <v>77603</v>
      </c>
      <c r="C57" s="29" t="n">
        <v>410.47</v>
      </c>
      <c r="D57" s="29" t="n">
        <v>3580.52</v>
      </c>
      <c r="E57" s="30" t="n">
        <v>89.11</v>
      </c>
      <c r="F57" s="18"/>
    </row>
    <row r="58" customFormat="false" ht="15" hidden="false" customHeight="false" outlineLevel="0" collapsed="false">
      <c r="A58" s="22" t="n">
        <v>56</v>
      </c>
      <c r="B58" s="23" t="n">
        <v>76735</v>
      </c>
      <c r="C58" s="23" t="n">
        <v>368.98</v>
      </c>
      <c r="D58" s="23" t="n">
        <v>3170.05</v>
      </c>
      <c r="E58" s="24" t="n">
        <v>84.74</v>
      </c>
      <c r="F58" s="18"/>
    </row>
    <row r="59" customFormat="false" ht="15" hidden="false" customHeight="false" outlineLevel="0" collapsed="false">
      <c r="A59" s="28" t="n">
        <v>57</v>
      </c>
      <c r="B59" s="29" t="n">
        <v>75810</v>
      </c>
      <c r="C59" s="29" t="n">
        <v>331.39</v>
      </c>
      <c r="D59" s="29" t="n">
        <v>2801.07</v>
      </c>
      <c r="E59" s="30" t="n">
        <v>80.5</v>
      </c>
      <c r="F59" s="18"/>
    </row>
    <row r="60" customFormat="false" ht="15" hidden="false" customHeight="false" outlineLevel="0" collapsed="false">
      <c r="A60" s="22" t="n">
        <v>58</v>
      </c>
      <c r="B60" s="23" t="n">
        <v>74815</v>
      </c>
      <c r="C60" s="23" t="n">
        <v>297.31</v>
      </c>
      <c r="D60" s="23" t="n">
        <v>2469.68</v>
      </c>
      <c r="E60" s="24" t="n">
        <v>76.35</v>
      </c>
      <c r="F60" s="18"/>
    </row>
    <row r="61" customFormat="false" ht="15" hidden="false" customHeight="false" outlineLevel="0" collapsed="false">
      <c r="A61" s="28" t="n">
        <v>59</v>
      </c>
      <c r="B61" s="29" t="n">
        <v>73741</v>
      </c>
      <c r="C61" s="29" t="n">
        <v>266.4</v>
      </c>
      <c r="D61" s="29" t="n">
        <v>2172.36</v>
      </c>
      <c r="E61" s="30" t="n">
        <v>72.28</v>
      </c>
      <c r="F61" s="18"/>
    </row>
    <row r="62" customFormat="false" ht="15" hidden="false" customHeight="false" outlineLevel="0" collapsed="false">
      <c r="A62" s="22" t="n">
        <v>60</v>
      </c>
      <c r="B62" s="23" t="n">
        <v>72581</v>
      </c>
      <c r="C62" s="23" t="n">
        <v>238.38</v>
      </c>
      <c r="D62" s="23" t="n">
        <v>1905.96</v>
      </c>
      <c r="E62" s="24" t="n">
        <v>68.28</v>
      </c>
      <c r="F62" s="18"/>
    </row>
    <row r="63" customFormat="false" ht="15" hidden="false" customHeight="false" outlineLevel="0" collapsed="false">
      <c r="A63" s="28" t="n">
        <v>61</v>
      </c>
      <c r="B63" s="29" t="n">
        <v>71320</v>
      </c>
      <c r="C63" s="29" t="n">
        <v>212.94</v>
      </c>
      <c r="D63" s="29" t="n">
        <v>1667.58</v>
      </c>
      <c r="E63" s="30" t="n">
        <v>64.34</v>
      </c>
      <c r="F63" s="18"/>
    </row>
    <row r="64" customFormat="false" ht="15" hidden="false" customHeight="false" outlineLevel="0" collapsed="false">
      <c r="A64" s="22" t="n">
        <v>62</v>
      </c>
      <c r="B64" s="23" t="n">
        <v>69937</v>
      </c>
      <c r="C64" s="23" t="n">
        <v>189.83</v>
      </c>
      <c r="D64" s="23" t="n">
        <v>1454.64</v>
      </c>
      <c r="E64" s="24" t="n">
        <v>60.4</v>
      </c>
      <c r="F64" s="18"/>
    </row>
    <row r="65" customFormat="false" ht="15" hidden="false" customHeight="false" outlineLevel="0" collapsed="false">
      <c r="A65" s="28" t="n">
        <v>63</v>
      </c>
      <c r="B65" s="29" t="n">
        <v>68438</v>
      </c>
      <c r="C65" s="29" t="n">
        <v>168.87</v>
      </c>
      <c r="D65" s="29" t="n">
        <v>1264.82</v>
      </c>
      <c r="E65" s="30" t="n">
        <v>56.52</v>
      </c>
      <c r="F65" s="18"/>
    </row>
    <row r="66" customFormat="false" ht="15" hidden="false" customHeight="false" outlineLevel="0" collapsed="false">
      <c r="A66" s="22" t="n">
        <v>64</v>
      </c>
      <c r="B66" s="23" t="n">
        <v>66817</v>
      </c>
      <c r="C66" s="23" t="n">
        <v>148.88</v>
      </c>
      <c r="D66" s="23" t="n">
        <v>1095.94</v>
      </c>
      <c r="E66" s="24" t="n">
        <v>52.71</v>
      </c>
      <c r="F66" s="18"/>
    </row>
    <row r="67" customFormat="false" ht="15" hidden="false" customHeight="false" outlineLevel="0" collapsed="false">
      <c r="A67" s="28" t="n">
        <v>65</v>
      </c>
      <c r="B67" s="29" t="n">
        <v>65068</v>
      </c>
      <c r="C67" s="29" t="n">
        <v>132.69</v>
      </c>
      <c r="D67" s="29" t="n">
        <v>946.06</v>
      </c>
      <c r="E67" s="30" t="n">
        <v>48.96</v>
      </c>
      <c r="F67" s="18"/>
    </row>
    <row r="68" customFormat="false" ht="15" hidden="false" customHeight="false" outlineLevel="0" collapsed="false">
      <c r="A68" s="22" t="n">
        <v>66</v>
      </c>
      <c r="B68" s="23" t="n">
        <v>63112</v>
      </c>
      <c r="C68" s="23" t="n">
        <v>117</v>
      </c>
      <c r="D68" s="23" t="n">
        <v>813.37</v>
      </c>
      <c r="E68" s="24" t="n">
        <v>45.16</v>
      </c>
      <c r="F68" s="18"/>
    </row>
    <row r="69" customFormat="false" ht="15" hidden="false" customHeight="false" outlineLevel="0" collapsed="false">
      <c r="A69" s="28" t="n">
        <v>67</v>
      </c>
      <c r="B69" s="29" t="n">
        <v>61036</v>
      </c>
      <c r="C69" s="29" t="n">
        <v>102.87</v>
      </c>
      <c r="D69" s="29" t="n">
        <v>696.37</v>
      </c>
      <c r="E69" s="30" t="n">
        <v>41.19</v>
      </c>
      <c r="F69" s="18"/>
    </row>
    <row r="70" customFormat="false" ht="15" hidden="false" customHeight="false" outlineLevel="0" collapsed="false">
      <c r="A70" s="22" t="n">
        <v>68</v>
      </c>
      <c r="B70" s="23" t="n">
        <v>58836</v>
      </c>
      <c r="C70" s="23" t="n">
        <v>90.14</v>
      </c>
      <c r="D70" s="23" t="n">
        <v>593.5</v>
      </c>
      <c r="E70" s="24" t="n">
        <v>37.96</v>
      </c>
      <c r="F70" s="18"/>
    </row>
    <row r="71" customFormat="false" ht="15" hidden="false" customHeight="false" outlineLevel="0" collapsed="false">
      <c r="A71" s="28" t="n">
        <v>69</v>
      </c>
      <c r="B71" s="29" t="n">
        <v>56508</v>
      </c>
      <c r="C71" s="29" t="n">
        <v>78.71</v>
      </c>
      <c r="D71" s="29" t="n">
        <v>503.35</v>
      </c>
      <c r="E71" s="30" t="n">
        <v>34.56</v>
      </c>
      <c r="F71" s="18"/>
    </row>
    <row r="72" customFormat="false" ht="15" hidden="false" customHeight="false" outlineLevel="0" collapsed="false">
      <c r="A72" s="22" t="n">
        <v>70</v>
      </c>
      <c r="B72" s="23" t="n">
        <v>54051</v>
      </c>
      <c r="C72" s="23" t="n">
        <v>68.44</v>
      </c>
      <c r="D72" s="23" t="n">
        <v>424.65</v>
      </c>
      <c r="E72" s="24" t="n">
        <v>31.29</v>
      </c>
      <c r="F72" s="18"/>
    </row>
    <row r="73" customFormat="false" ht="15" hidden="false" customHeight="false" outlineLevel="0" collapsed="false">
      <c r="A73" s="28" t="n">
        <v>71</v>
      </c>
      <c r="B73" s="29" t="n">
        <v>51363</v>
      </c>
      <c r="C73" s="29" t="n">
        <v>59.12</v>
      </c>
      <c r="D73" s="29" t="n">
        <v>356.21</v>
      </c>
      <c r="E73" s="30" t="n">
        <v>28.05</v>
      </c>
      <c r="F73" s="18"/>
    </row>
    <row r="74" customFormat="false" ht="15" hidden="false" customHeight="false" outlineLevel="0" collapsed="false">
      <c r="A74" s="22" t="n">
        <v>72</v>
      </c>
      <c r="B74" s="23" t="n">
        <v>48607</v>
      </c>
      <c r="C74" s="23" t="n">
        <v>50.87</v>
      </c>
      <c r="D74" s="23" t="n">
        <v>297.08</v>
      </c>
      <c r="E74" s="24" t="n">
        <v>25.02</v>
      </c>
      <c r="F74" s="18"/>
    </row>
    <row r="75" customFormat="false" ht="15" hidden="false" customHeight="false" outlineLevel="0" collapsed="false">
      <c r="A75" s="28" t="n">
        <v>73</v>
      </c>
      <c r="B75" s="29" t="n">
        <v>45786</v>
      </c>
      <c r="C75" s="29" t="n">
        <v>43.56</v>
      </c>
      <c r="D75" s="29" t="n">
        <v>246.22</v>
      </c>
      <c r="E75" s="30" t="n">
        <v>22.21</v>
      </c>
      <c r="F75" s="18"/>
    </row>
    <row r="76" customFormat="false" ht="15" hidden="false" customHeight="false" outlineLevel="0" collapsed="false">
      <c r="A76" s="22" t="n">
        <v>74</v>
      </c>
      <c r="B76" s="23" t="n">
        <v>42920</v>
      </c>
      <c r="C76" s="23" t="n">
        <v>37.12</v>
      </c>
      <c r="D76" s="23" t="n">
        <v>202.66</v>
      </c>
      <c r="E76" s="24" t="n">
        <v>19.61</v>
      </c>
      <c r="F76" s="18"/>
    </row>
    <row r="77" customFormat="false" ht="15" hidden="false" customHeight="false" outlineLevel="0" collapsed="false">
      <c r="A77" s="28" t="n">
        <v>75</v>
      </c>
      <c r="B77" s="29" t="n">
        <v>40025</v>
      </c>
      <c r="C77" s="29" t="n">
        <v>31.47</v>
      </c>
      <c r="D77" s="29" t="n">
        <v>165.54</v>
      </c>
      <c r="E77" s="30" t="n">
        <v>17.22</v>
      </c>
      <c r="F77" s="18"/>
    </row>
    <row r="78" customFormat="false" ht="15" hidden="false" customHeight="false" outlineLevel="0" collapsed="false">
      <c r="A78" s="22" t="n">
        <v>76</v>
      </c>
      <c r="B78" s="23" t="n">
        <v>37138</v>
      </c>
      <c r="C78" s="23" t="n">
        <v>26.54</v>
      </c>
      <c r="D78" s="23" t="n">
        <v>134.07</v>
      </c>
      <c r="E78" s="24" t="n">
        <v>15.06</v>
      </c>
      <c r="F78" s="18"/>
    </row>
    <row r="79" customFormat="false" ht="15" hidden="false" customHeight="false" outlineLevel="0" collapsed="false">
      <c r="A79" s="28" t="n">
        <v>77</v>
      </c>
      <c r="B79" s="29" t="n">
        <v>34184</v>
      </c>
      <c r="C79" s="29" t="n">
        <v>22.21</v>
      </c>
      <c r="D79" s="29" t="n">
        <v>107.53</v>
      </c>
      <c r="E79" s="30" t="n">
        <v>13.04</v>
      </c>
      <c r="F79" s="18"/>
    </row>
    <row r="80" customFormat="false" ht="15" hidden="false" customHeight="false" outlineLevel="0" collapsed="false">
      <c r="A80" s="22" t="n">
        <v>78</v>
      </c>
      <c r="B80" s="23" t="n">
        <v>31175</v>
      </c>
      <c r="C80" s="23" t="n">
        <v>18.42</v>
      </c>
      <c r="D80" s="23" t="n">
        <v>85.31</v>
      </c>
      <c r="E80" s="24" t="n">
        <v>11.18</v>
      </c>
      <c r="F80" s="18"/>
    </row>
    <row r="81" customFormat="false" ht="15" hidden="false" customHeight="false" outlineLevel="0" collapsed="false">
      <c r="A81" s="28" t="n">
        <v>79</v>
      </c>
      <c r="B81" s="29" t="n">
        <v>28136</v>
      </c>
      <c r="C81" s="29" t="n">
        <v>15.11</v>
      </c>
      <c r="D81" s="29" t="n">
        <v>66.9</v>
      </c>
      <c r="E81" s="30" t="n">
        <v>9.47</v>
      </c>
      <c r="F81" s="18"/>
    </row>
    <row r="82" customFormat="false" ht="15" hidden="false" customHeight="false" outlineLevel="0" collapsed="false">
      <c r="A82" s="22" t="n">
        <v>80</v>
      </c>
      <c r="B82" s="23" t="n">
        <v>25097</v>
      </c>
      <c r="C82" s="23" t="n">
        <v>12.25</v>
      </c>
      <c r="D82" s="23" t="n">
        <v>51.79</v>
      </c>
      <c r="E82" s="24" t="n">
        <v>7.91</v>
      </c>
      <c r="F82" s="18"/>
    </row>
    <row r="83" customFormat="false" ht="15" hidden="false" customHeight="false" outlineLevel="0" collapsed="false">
      <c r="A83" s="28" t="n">
        <v>81</v>
      </c>
      <c r="B83" s="29" t="n">
        <v>22097</v>
      </c>
      <c r="C83" s="29" t="n">
        <v>9.81</v>
      </c>
      <c r="D83" s="29" t="n">
        <v>39.54</v>
      </c>
      <c r="E83" s="30" t="n">
        <v>6.52</v>
      </c>
      <c r="F83" s="18"/>
    </row>
    <row r="84" customFormat="false" ht="15" hidden="false" customHeight="false" outlineLevel="0" collapsed="false">
      <c r="A84" s="22" t="n">
        <v>82</v>
      </c>
      <c r="B84" s="23" t="n">
        <v>19178</v>
      </c>
      <c r="C84" s="23" t="n">
        <v>7.74</v>
      </c>
      <c r="D84" s="23" t="n">
        <v>29.73</v>
      </c>
      <c r="E84" s="24" t="n">
        <v>5.28</v>
      </c>
      <c r="F84" s="18"/>
    </row>
    <row r="85" customFormat="false" ht="15" hidden="false" customHeight="false" outlineLevel="0" collapsed="false">
      <c r="A85" s="28" t="n">
        <v>83</v>
      </c>
      <c r="B85" s="29" t="n">
        <v>16384</v>
      </c>
      <c r="C85" s="29" t="n">
        <v>6.01</v>
      </c>
      <c r="D85" s="29" t="n">
        <v>21.99</v>
      </c>
      <c r="E85" s="30" t="n">
        <v>4.21</v>
      </c>
      <c r="F85" s="18"/>
    </row>
    <row r="86" customFormat="false" ht="15" hidden="false" customHeight="false" outlineLevel="0" collapsed="false">
      <c r="A86" s="22" t="n">
        <v>84</v>
      </c>
      <c r="B86" s="23" t="n">
        <v>13758</v>
      </c>
      <c r="C86" s="23" t="n">
        <v>4.59</v>
      </c>
      <c r="D86" s="23" t="n">
        <v>15.98</v>
      </c>
      <c r="E86" s="24" t="n">
        <v>3.29</v>
      </c>
      <c r="F86" s="18"/>
    </row>
    <row r="87" customFormat="false" ht="15" hidden="false" customHeight="false" outlineLevel="0" collapsed="false">
      <c r="A87" s="28" t="n">
        <v>85</v>
      </c>
      <c r="B87" s="29" t="n">
        <v>11338</v>
      </c>
      <c r="C87" s="29" t="n">
        <v>3.44</v>
      </c>
      <c r="D87" s="29" t="n">
        <v>11.4</v>
      </c>
      <c r="E87" s="30" t="n">
        <v>2.52</v>
      </c>
      <c r="F87" s="18"/>
    </row>
    <row r="88" customFormat="false" ht="15" hidden="false" customHeight="false" outlineLevel="0" collapsed="false">
      <c r="A88" s="22" t="n">
        <v>86</v>
      </c>
      <c r="B88" s="23" t="n">
        <v>9155</v>
      </c>
      <c r="C88" s="23" t="n">
        <v>2.52</v>
      </c>
      <c r="D88" s="23" t="n">
        <v>7.96</v>
      </c>
      <c r="E88" s="24" t="n">
        <v>1.89</v>
      </c>
      <c r="F88" s="18"/>
    </row>
    <row r="89" customFormat="false" ht="15" hidden="false" customHeight="false" outlineLevel="0" collapsed="false">
      <c r="A89" s="28" t="n">
        <v>87</v>
      </c>
      <c r="B89" s="29" t="n">
        <v>7230</v>
      </c>
      <c r="C89" s="29" t="n">
        <v>1.81</v>
      </c>
      <c r="D89" s="29" t="n">
        <v>5.44</v>
      </c>
      <c r="E89" s="30" t="n">
        <v>1.38</v>
      </c>
      <c r="F89" s="18"/>
    </row>
    <row r="90" customFormat="false" ht="15" hidden="false" customHeight="false" outlineLevel="0" collapsed="false">
      <c r="A90" s="22" t="n">
        <v>88</v>
      </c>
      <c r="B90" s="23" t="n">
        <v>5575</v>
      </c>
      <c r="C90" s="23" t="n">
        <v>1.27</v>
      </c>
      <c r="D90" s="23" t="n">
        <v>3.63</v>
      </c>
      <c r="E90" s="24" t="n">
        <v>0.99</v>
      </c>
      <c r="F90" s="18"/>
    </row>
    <row r="91" customFormat="false" ht="15" hidden="false" customHeight="false" outlineLevel="0" collapsed="false">
      <c r="A91" s="28" t="n">
        <v>89</v>
      </c>
      <c r="B91" s="29" t="n">
        <v>4188</v>
      </c>
      <c r="C91" s="29" t="n">
        <v>0.87</v>
      </c>
      <c r="D91" s="29" t="n">
        <v>2.36</v>
      </c>
      <c r="E91" s="30" t="n">
        <v>0.68</v>
      </c>
      <c r="F91" s="18"/>
    </row>
    <row r="92" customFormat="false" ht="15" hidden="false" customHeight="false" outlineLevel="0" collapsed="false">
      <c r="A92" s="22" t="n">
        <v>90</v>
      </c>
      <c r="B92" s="23" t="n">
        <v>3059</v>
      </c>
      <c r="C92" s="23" t="n">
        <v>0.58</v>
      </c>
      <c r="D92" s="23" t="n">
        <v>1.49</v>
      </c>
      <c r="E92" s="24" t="n">
        <v>0.46</v>
      </c>
      <c r="F92" s="18"/>
    </row>
    <row r="93" customFormat="false" ht="15" hidden="false" customHeight="false" outlineLevel="0" collapsed="false">
      <c r="A93" s="28" t="n">
        <v>91</v>
      </c>
      <c r="B93" s="29" t="n">
        <v>2168</v>
      </c>
      <c r="C93" s="29" t="n">
        <v>0.37</v>
      </c>
      <c r="D93" s="29" t="n">
        <v>0.91</v>
      </c>
      <c r="E93" s="30" t="n">
        <v>0.3</v>
      </c>
      <c r="F93" s="18"/>
    </row>
    <row r="94" customFormat="false" ht="15" hidden="false" customHeight="false" outlineLevel="0" collapsed="false">
      <c r="A94" s="22" t="n">
        <v>92</v>
      </c>
      <c r="B94" s="23" t="n">
        <v>1487</v>
      </c>
      <c r="C94" s="23" t="n">
        <v>0.22</v>
      </c>
      <c r="D94" s="23" t="n">
        <v>0.54</v>
      </c>
      <c r="E94" s="24" t="n">
        <v>0.19</v>
      </c>
      <c r="F94" s="18"/>
    </row>
    <row r="95" customFormat="false" ht="15" hidden="false" customHeight="false" outlineLevel="0" collapsed="false">
      <c r="A95" s="28" t="n">
        <v>93</v>
      </c>
      <c r="B95" s="29" t="n">
        <v>985</v>
      </c>
      <c r="C95" s="29" t="n">
        <v>0.14</v>
      </c>
      <c r="D95" s="29" t="n">
        <v>0.31</v>
      </c>
      <c r="E95" s="30" t="n">
        <v>0.12</v>
      </c>
      <c r="F95" s="18"/>
    </row>
    <row r="96" customFormat="false" ht="15" hidden="false" customHeight="false" outlineLevel="0" collapsed="false">
      <c r="A96" s="22" t="n">
        <v>94</v>
      </c>
      <c r="B96" s="23" t="n">
        <v>628</v>
      </c>
      <c r="C96" s="23" t="n">
        <v>0.08</v>
      </c>
      <c r="D96" s="23" t="n">
        <v>0.17</v>
      </c>
      <c r="E96" s="24" t="n">
        <v>0.07</v>
      </c>
      <c r="F96" s="18"/>
    </row>
    <row r="97" customFormat="false" ht="15" hidden="false" customHeight="false" outlineLevel="0" collapsed="false">
      <c r="A97" s="28" t="n">
        <v>95</v>
      </c>
      <c r="B97" s="29" t="n">
        <v>384</v>
      </c>
      <c r="C97" s="29" t="n">
        <v>0.04</v>
      </c>
      <c r="D97" s="29" t="n">
        <v>0.09</v>
      </c>
      <c r="E97" s="30" t="n">
        <v>0.04</v>
      </c>
      <c r="F97" s="18"/>
    </row>
    <row r="98" customFormat="false" ht="15" hidden="false" customHeight="false" outlineLevel="0" collapsed="false">
      <c r="A98" s="22" t="n">
        <v>96</v>
      </c>
      <c r="B98" s="23" t="n">
        <v>224</v>
      </c>
      <c r="C98" s="23" t="n">
        <v>0.02</v>
      </c>
      <c r="D98" s="23" t="n">
        <v>0.05</v>
      </c>
      <c r="E98" s="24" t="n">
        <v>0.02</v>
      </c>
      <c r="F98" s="18"/>
    </row>
    <row r="99" customFormat="false" ht="15" hidden="false" customHeight="false" outlineLevel="0" collapsed="false">
      <c r="A99" s="28" t="n">
        <v>97</v>
      </c>
      <c r="B99" s="29" t="n">
        <v>125</v>
      </c>
      <c r="C99" s="29" t="n">
        <v>0.01</v>
      </c>
      <c r="D99" s="29" t="n">
        <v>0.02</v>
      </c>
      <c r="E99" s="30" t="n">
        <v>0.01</v>
      </c>
      <c r="F99" s="18"/>
    </row>
    <row r="100" customFormat="false" ht="15" hidden="false" customHeight="false" outlineLevel="0" collapsed="false">
      <c r="A100" s="22" t="n">
        <v>98</v>
      </c>
      <c r="B100" s="23" t="n">
        <v>66</v>
      </c>
      <c r="C100" s="23" t="n">
        <v>0.01</v>
      </c>
      <c r="D100" s="23" t="n">
        <v>0.01</v>
      </c>
      <c r="E100" s="24" t="n">
        <v>0.01</v>
      </c>
      <c r="F100" s="18"/>
    </row>
    <row r="101" customFormat="false" ht="15" hidden="false" customHeight="false" outlineLevel="0" collapsed="false">
      <c r="A101" s="28" t="n">
        <v>99</v>
      </c>
      <c r="B101" s="29" t="n">
        <v>33</v>
      </c>
      <c r="C101" s="29" t="n">
        <v>0</v>
      </c>
      <c r="D101" s="29" t="n">
        <v>0</v>
      </c>
      <c r="E101" s="30" t="n">
        <v>0</v>
      </c>
      <c r="F101" s="18"/>
    </row>
    <row r="102" customFormat="false" ht="15" hidden="false" customHeight="false" outlineLevel="0" collapsed="false">
      <c r="A102" s="41" t="n">
        <v>100</v>
      </c>
      <c r="B102" s="39" t="n">
        <v>15</v>
      </c>
      <c r="C102" s="39" t="n">
        <v>0</v>
      </c>
      <c r="D102" s="39" t="n">
        <v>0</v>
      </c>
      <c r="E102" s="40" t="n">
        <v>0</v>
      </c>
      <c r="F102" s="18"/>
    </row>
    <row r="103" customFormat="false" ht="13.8" hidden="false" customHeight="false" outlineLevel="0" collapsed="false">
      <c r="F103" s="42"/>
    </row>
    <row r="104" customFormat="false" ht="13.8" hidden="false" customHeight="false" outlineLevel="0" collapsed="false">
      <c r="F104" s="42"/>
    </row>
    <row r="105" customFormat="false" ht="13.8" hidden="false" customHeight="false" outlineLevel="0" collapsed="false">
      <c r="F105" s="42"/>
    </row>
  </sheetData>
  <mergeCells count="5">
    <mergeCell ref="G1:H1"/>
    <mergeCell ref="I1:J1"/>
    <mergeCell ref="K1:L1"/>
    <mergeCell ref="M1:N1"/>
    <mergeCell ref="O1:P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4" activeCellId="0" sqref="M34"/>
    </sheetView>
  </sheetViews>
  <sheetFormatPr defaultColWidth="18.2265625" defaultRowHeight="15" zeroHeight="false" outlineLevelRow="0" outlineLevelCol="0"/>
  <cols>
    <col collapsed="false" customWidth="true" hidden="false" outlineLevel="0" max="2" min="2" style="0" width="24.49"/>
    <col collapsed="false" customWidth="true" hidden="false" outlineLevel="0" max="3" min="3" style="0" width="2.7"/>
    <col collapsed="false" customWidth="true" hidden="false" outlineLevel="0" max="4" min="4" style="0" width="22.69"/>
    <col collapsed="false" customWidth="true" hidden="false" outlineLevel="0" max="5" min="5" style="0" width="21.97"/>
    <col collapsed="false" customWidth="true" hidden="false" outlineLevel="0" max="6" min="6" style="0" width="2.52"/>
    <col collapsed="false" customWidth="true" hidden="false" outlineLevel="0" max="7" min="7" style="0" width="22.32"/>
    <col collapsed="false" customWidth="true" hidden="false" outlineLevel="0" max="8" min="8" style="0" width="21.6"/>
    <col collapsed="false" customWidth="true" hidden="false" outlineLevel="0" max="9" min="9" style="0" width="2.15"/>
    <col collapsed="false" customWidth="true" hidden="false" outlineLevel="0" max="10" min="10" style="0" width="23.58"/>
    <col collapsed="false" customWidth="true" hidden="false" outlineLevel="0" max="11" min="11" style="0" width="27.91"/>
    <col collapsed="false" customWidth="true" hidden="false" outlineLevel="0" max="12" min="12" style="0" width="2.34"/>
  </cols>
  <sheetData>
    <row r="1" customFormat="false" ht="24.6" hidden="false" customHeight="true" outlineLevel="0" collapsed="false">
      <c r="A1" s="43" t="s">
        <v>59</v>
      </c>
      <c r="B1" s="43"/>
      <c r="C1" s="44"/>
      <c r="D1" s="45" t="s">
        <v>60</v>
      </c>
      <c r="E1" s="45"/>
      <c r="F1" s="45"/>
      <c r="G1" s="45"/>
      <c r="H1" s="45"/>
      <c r="I1" s="45"/>
      <c r="J1" s="45"/>
      <c r="K1" s="45"/>
      <c r="L1" s="44"/>
    </row>
    <row r="2" customFormat="false" ht="17.35" hidden="false" customHeight="false" outlineLevel="0" collapsed="false">
      <c r="A2" s="46" t="s">
        <v>61</v>
      </c>
      <c r="B2" s="46"/>
      <c r="C2" s="44"/>
      <c r="D2" s="46" t="s">
        <v>62</v>
      </c>
      <c r="E2" s="46"/>
      <c r="F2" s="47"/>
      <c r="G2" s="46" t="s">
        <v>63</v>
      </c>
      <c r="H2" s="46"/>
      <c r="I2" s="47"/>
      <c r="J2" s="46" t="s">
        <v>64</v>
      </c>
      <c r="K2" s="46"/>
      <c r="L2" s="44"/>
    </row>
    <row r="3" customFormat="false" ht="17.35" hidden="false" customHeight="false" outlineLevel="0" collapsed="false">
      <c r="A3" s="48" t="s">
        <v>1</v>
      </c>
      <c r="B3" s="48" t="n">
        <v>44</v>
      </c>
      <c r="C3" s="44"/>
      <c r="D3" s="48" t="s">
        <v>1</v>
      </c>
      <c r="E3" s="48" t="n">
        <v>90</v>
      </c>
      <c r="F3" s="47"/>
      <c r="G3" s="48" t="s">
        <v>1</v>
      </c>
      <c r="H3" s="48" t="n">
        <v>44</v>
      </c>
      <c r="I3" s="47"/>
      <c r="J3" s="48" t="s">
        <v>1</v>
      </c>
      <c r="K3" s="48" t="n">
        <v>45</v>
      </c>
      <c r="L3" s="44"/>
    </row>
    <row r="4" customFormat="false" ht="17.35" hidden="false" customHeight="false" outlineLevel="0" collapsed="false">
      <c r="A4" s="48" t="s">
        <v>9</v>
      </c>
      <c r="B4" s="48" t="n">
        <v>32</v>
      </c>
      <c r="C4" s="44"/>
      <c r="F4" s="47"/>
      <c r="G4" s="48" t="s">
        <v>9</v>
      </c>
      <c r="H4" s="48" t="n">
        <v>7</v>
      </c>
      <c r="I4" s="47"/>
      <c r="J4" s="48" t="s">
        <v>9</v>
      </c>
      <c r="K4" s="48" t="n">
        <v>30</v>
      </c>
      <c r="L4" s="44"/>
    </row>
    <row r="5" customFormat="false" ht="17.35" hidden="false" customHeight="false" outlineLevel="0" collapsed="false">
      <c r="A5" s="49" t="s">
        <v>57</v>
      </c>
      <c r="B5" s="50" t="n">
        <f aca="false">VLOOKUP((B3+B4),[1]nr_comutatie_10!A$1:E$1048576,3,FALSE())/VLOOKUP(B4,[1]nr_comutatie_10!A$1:E$1048576,3,FALSE())</f>
        <v>0.00646484527242965</v>
      </c>
      <c r="C5" s="44"/>
      <c r="D5" s="49" t="s">
        <v>57</v>
      </c>
      <c r="E5" s="51" t="n">
        <f aca="false">VLOOKUP((E3+1),[1]nr_comutatie_10!A$1:E$1048576,4,FALSE())/VLOOKUP(E3,[1]nr_comutatie_10!A$1:E$1048576,3,FALSE())</f>
        <v>1.56896551724138</v>
      </c>
      <c r="F5" s="47"/>
      <c r="G5" s="49" t="s">
        <v>57</v>
      </c>
      <c r="H5" s="51" t="n">
        <f aca="false">(VLOOKUP((H3+1),[1]nr_comutatie_10!A$1:E$1048576,4,FALSE())+VLOOKUP((H3+H4+1),[1]nr_comutatie_10!A$1:E$1048576,4,FALSE()))/VLOOKUP(H3,[1]nr_comutatie_10!A$1:E$1048576,3,FALSE())</f>
        <v>12.8702360209092</v>
      </c>
      <c r="I5" s="47"/>
      <c r="J5" s="49" t="s">
        <v>57</v>
      </c>
      <c r="K5" s="51" t="n">
        <f aca="false">(VLOOKUP((K3+K4+1),[1]nr_comutatie_10!A$1:E$1048576,4,FALSE()))</f>
        <v>134.07</v>
      </c>
      <c r="L5" s="44"/>
    </row>
    <row r="6" customFormat="false" ht="9" hidden="false" customHeight="true" outlineLevel="0" collapsed="false">
      <c r="C6" s="44"/>
      <c r="D6" s="47"/>
      <c r="E6" s="47"/>
      <c r="F6" s="47"/>
      <c r="G6" s="47"/>
      <c r="H6" s="47"/>
      <c r="I6" s="47"/>
      <c r="J6" s="47"/>
      <c r="K6" s="47"/>
      <c r="L6" s="44"/>
    </row>
    <row r="7" customFormat="false" ht="23.85" hidden="false" customHeight="true" outlineLevel="0" collapsed="false">
      <c r="C7" s="44"/>
      <c r="D7" s="45" t="s">
        <v>65</v>
      </c>
      <c r="E7" s="45"/>
      <c r="F7" s="45"/>
      <c r="G7" s="45"/>
      <c r="H7" s="45"/>
      <c r="I7" s="45"/>
      <c r="J7" s="45"/>
      <c r="K7" s="45"/>
      <c r="L7" s="44"/>
    </row>
    <row r="8" customFormat="false" ht="17.35" hidden="false" customHeight="false" outlineLevel="0" collapsed="false">
      <c r="C8" s="44"/>
      <c r="D8" s="46" t="s">
        <v>62</v>
      </c>
      <c r="E8" s="46"/>
      <c r="F8" s="47"/>
      <c r="G8" s="46" t="s">
        <v>63</v>
      </c>
      <c r="H8" s="46"/>
      <c r="I8" s="47"/>
      <c r="J8" s="46" t="s">
        <v>64</v>
      </c>
      <c r="K8" s="46"/>
      <c r="L8" s="44"/>
    </row>
    <row r="9" customFormat="false" ht="17.35" hidden="false" customHeight="false" outlineLevel="0" collapsed="false">
      <c r="C9" s="44"/>
      <c r="D9" s="48" t="s">
        <v>1</v>
      </c>
      <c r="E9" s="48" t="n">
        <v>45</v>
      </c>
      <c r="F9" s="47"/>
      <c r="G9" s="48" t="s">
        <v>1</v>
      </c>
      <c r="H9" s="48" t="n">
        <v>44</v>
      </c>
      <c r="I9" s="47"/>
      <c r="J9" s="48" t="s">
        <v>1</v>
      </c>
      <c r="K9" s="48" t="n">
        <v>45</v>
      </c>
      <c r="L9" s="44"/>
    </row>
    <row r="10" customFormat="false" ht="17.35" hidden="false" customHeight="false" outlineLevel="0" collapsed="false">
      <c r="C10" s="44"/>
      <c r="D10" s="48"/>
      <c r="E10" s="48"/>
      <c r="F10" s="47"/>
      <c r="G10" s="48" t="s">
        <v>9</v>
      </c>
      <c r="H10" s="48" t="n">
        <v>32</v>
      </c>
      <c r="I10" s="47"/>
      <c r="J10" s="48" t="s">
        <v>9</v>
      </c>
      <c r="K10" s="48" t="n">
        <v>30</v>
      </c>
      <c r="L10" s="44"/>
    </row>
    <row r="11" customFormat="false" ht="17.35" hidden="false" customHeight="false" outlineLevel="0" collapsed="false">
      <c r="C11" s="44"/>
      <c r="D11" s="49" t="s">
        <v>57</v>
      </c>
      <c r="E11" s="51" t="n">
        <f aca="false">VLOOKUP(E9,[1]nr_comutatie_10!A$1:E$1048576,4,FALSE())/VLOOKUP(E9,[1]nr_comutatie_10!A$1:E$1048576,3,FALSE())</f>
        <v>9.74807998460489</v>
      </c>
      <c r="F11" s="47"/>
      <c r="G11" s="49" t="s">
        <v>57</v>
      </c>
      <c r="H11" s="51" t="n">
        <f aca="false">(VLOOKUP(H10,[1]nr_comutatie_10!A$1:E$1048576,4,FALSE())-VLOOKUP((H10+H9),[1]nr_comutatie_10!A$1:E$1048576,4,FALSE()))/VLOOKUP(H10,[1]nr_comutatie_10!A$1:E$1048576,3,FALSE())</f>
        <v>10.4009373294879</v>
      </c>
      <c r="I11" s="47"/>
      <c r="J11" s="49" t="s">
        <v>57</v>
      </c>
      <c r="K11" s="51" t="n">
        <f aca="false">VLOOKUP((K9+K10),[1]nr_comutatie_10!A$1:E$1048576,4,FALSE())/VLOOKUP(K9,[1]nr_comutatie_10!A$1:E$1048576,3,FALSE())</f>
        <v>0.144801525515649</v>
      </c>
      <c r="L11" s="44"/>
    </row>
    <row r="12" customFormat="false" ht="9.75" hidden="false" customHeight="true" outlineLevel="0" collapsed="false">
      <c r="C12" s="44"/>
      <c r="D12" s="47"/>
      <c r="E12" s="47"/>
      <c r="F12" s="47"/>
      <c r="G12" s="47"/>
      <c r="H12" s="47"/>
      <c r="I12" s="47"/>
      <c r="J12" s="47"/>
      <c r="K12" s="47"/>
      <c r="L12" s="44"/>
    </row>
    <row r="13" customFormat="false" ht="22.05" hidden="false" customHeight="false" outlineLevel="0" collapsed="false">
      <c r="C13" s="44"/>
      <c r="D13" s="45" t="s">
        <v>66</v>
      </c>
      <c r="E13" s="45"/>
      <c r="F13" s="45"/>
      <c r="G13" s="45"/>
      <c r="H13" s="45"/>
      <c r="I13" s="45"/>
      <c r="J13" s="45"/>
      <c r="K13" s="45"/>
      <c r="L13" s="44"/>
    </row>
    <row r="14" customFormat="false" ht="17.35" hidden="false" customHeight="false" outlineLevel="0" collapsed="false">
      <c r="C14" s="44"/>
      <c r="D14" s="46" t="s">
        <v>62</v>
      </c>
      <c r="E14" s="46"/>
      <c r="F14" s="47"/>
      <c r="G14" s="46" t="s">
        <v>63</v>
      </c>
      <c r="H14" s="46"/>
      <c r="I14" s="47"/>
      <c r="J14" s="46" t="s">
        <v>64</v>
      </c>
      <c r="K14" s="46"/>
      <c r="L14" s="44"/>
    </row>
    <row r="15" customFormat="false" ht="17.35" hidden="false" customHeight="false" outlineLevel="0" collapsed="false">
      <c r="C15" s="44"/>
      <c r="D15" s="48" t="s">
        <v>1</v>
      </c>
      <c r="E15" s="48" t="n">
        <v>45</v>
      </c>
      <c r="F15" s="47"/>
      <c r="G15" s="48" t="s">
        <v>1</v>
      </c>
      <c r="H15" s="48" t="n">
        <v>43</v>
      </c>
      <c r="I15" s="47"/>
      <c r="J15" s="48" t="s">
        <v>1</v>
      </c>
      <c r="K15" s="48" t="n">
        <v>43</v>
      </c>
      <c r="L15" s="44"/>
    </row>
    <row r="16" customFormat="false" ht="17.35" hidden="false" customHeight="false" outlineLevel="0" collapsed="false">
      <c r="C16" s="44"/>
      <c r="D16" s="52"/>
      <c r="E16" s="52"/>
      <c r="F16" s="47"/>
      <c r="G16" s="48" t="s">
        <v>9</v>
      </c>
      <c r="H16" s="48" t="n">
        <v>2</v>
      </c>
      <c r="I16" s="47"/>
      <c r="J16" s="48" t="s">
        <v>9</v>
      </c>
      <c r="K16" s="48" t="n">
        <v>2</v>
      </c>
      <c r="L16" s="44"/>
    </row>
    <row r="17" customFormat="false" ht="17.35" hidden="false" customHeight="false" outlineLevel="0" collapsed="false">
      <c r="C17" s="44"/>
      <c r="D17" s="48" t="s">
        <v>67</v>
      </c>
      <c r="E17" s="48" t="n">
        <v>12</v>
      </c>
      <c r="F17" s="47"/>
      <c r="G17" s="53" t="s">
        <v>67</v>
      </c>
      <c r="H17" s="48" t="n">
        <v>12</v>
      </c>
      <c r="I17" s="47"/>
      <c r="J17" s="53" t="s">
        <v>67</v>
      </c>
      <c r="K17" s="48" t="n">
        <v>12</v>
      </c>
      <c r="L17" s="44"/>
    </row>
    <row r="18" customFormat="false" ht="17.35" hidden="false" customHeight="false" outlineLevel="0" collapsed="false">
      <c r="C18" s="44"/>
      <c r="D18" s="49" t="s">
        <v>57</v>
      </c>
      <c r="E18" s="51" t="n">
        <f aca="false">(VLOOKUP((E15+1),[1]nr_comutatie_10!A$1:E$1048576,4,FALSE())/VLOOKUP(E15,[1]nr_comutatie_10!A$1:E$1048576,3,FALSE()))+((E17-1)/(2*E17))</f>
        <v>9.20641331793822</v>
      </c>
      <c r="F18" s="47"/>
      <c r="G18" s="49" t="s">
        <v>57</v>
      </c>
      <c r="H18" s="51" t="n">
        <f aca="false">((VLOOKUP((H15+1),[1]nr_comutatie_10!A$1:E$1048576,4,FALSE())-VLOOKUP((H15+H16+1),[1]nr_comutatie_10!A$1:E$1048576,4,FALSE()))/VLOOKUP(H15,[1]nr_comutatie_10!A$1:E$1048576,3,FALSE()))+((H17-1)/(2*H17))*(1-(VLOOKUP((H15+H16),[1]nr_comutatie_10!A$1:E$1048576,3,FALSE()))/VLOOKUP(H15,[1]nr_comutatie_10!A$1:E$1048576,3,FALSE()))</f>
        <v>1.80827391285634</v>
      </c>
      <c r="I18" s="47"/>
      <c r="J18" s="49" t="s">
        <v>57</v>
      </c>
      <c r="K18" s="51" t="n">
        <f aca="false">(VLOOKUP((K15+K16+1),[1]nr_comutatie_10!A$1:E$1048576,4,FALSE())/VLOOKUP(K15,[1]nr_comutatie_10!A$1:E$1048576,3,FALSE()))+((K17-1)/(2*K17))*(1-(VLOOKUP((K15+K16),[1]nr_comutatie_10!A$1:E$1048576,3,FALSE())/VLOOKUP(K15,[1]nr_comutatie_10!A$1:E$1048576,3,FALSE())))</f>
        <v>7.25666059310483</v>
      </c>
      <c r="L18" s="44"/>
    </row>
    <row r="19" customFormat="false" ht="10.5" hidden="false" customHeight="true" outlineLevel="0" collapsed="false">
      <c r="C19" s="44"/>
      <c r="D19" s="47"/>
      <c r="E19" s="47"/>
      <c r="F19" s="47"/>
      <c r="G19" s="47"/>
      <c r="H19" s="47"/>
      <c r="I19" s="47"/>
      <c r="J19" s="47"/>
      <c r="K19" s="47"/>
      <c r="L19" s="44"/>
    </row>
    <row r="20" customFormat="false" ht="22.05" hidden="false" customHeight="false" outlineLevel="0" collapsed="false">
      <c r="C20" s="44"/>
      <c r="D20" s="45" t="s">
        <v>68</v>
      </c>
      <c r="E20" s="45"/>
      <c r="F20" s="45"/>
      <c r="G20" s="45"/>
      <c r="H20" s="45"/>
      <c r="I20" s="45"/>
      <c r="J20" s="45"/>
      <c r="K20" s="45"/>
      <c r="L20" s="44"/>
    </row>
    <row r="21" customFormat="false" ht="17.35" hidden="false" customHeight="false" outlineLevel="0" collapsed="false">
      <c r="C21" s="44"/>
      <c r="D21" s="46" t="s">
        <v>62</v>
      </c>
      <c r="E21" s="46"/>
      <c r="F21" s="47"/>
      <c r="G21" s="46" t="s">
        <v>63</v>
      </c>
      <c r="H21" s="46"/>
      <c r="I21" s="47"/>
      <c r="J21" s="46" t="s">
        <v>64</v>
      </c>
      <c r="K21" s="46"/>
      <c r="L21" s="44"/>
    </row>
    <row r="22" customFormat="false" ht="17.35" hidden="false" customHeight="false" outlineLevel="0" collapsed="false">
      <c r="C22" s="44"/>
      <c r="D22" s="48" t="s">
        <v>1</v>
      </c>
      <c r="E22" s="48" t="n">
        <v>45</v>
      </c>
      <c r="F22" s="47"/>
      <c r="G22" s="48" t="s">
        <v>1</v>
      </c>
      <c r="H22" s="48" t="n">
        <v>45</v>
      </c>
      <c r="I22" s="47"/>
      <c r="J22" s="48" t="s">
        <v>1</v>
      </c>
      <c r="K22" s="48" t="n">
        <v>44</v>
      </c>
      <c r="L22" s="44"/>
    </row>
    <row r="23" customFormat="false" ht="17.35" hidden="false" customHeight="false" outlineLevel="0" collapsed="false">
      <c r="C23" s="44"/>
      <c r="D23" s="52"/>
      <c r="E23" s="52"/>
      <c r="F23" s="47"/>
      <c r="G23" s="48" t="s">
        <v>9</v>
      </c>
      <c r="H23" s="48" t="n">
        <v>25</v>
      </c>
      <c r="I23" s="47"/>
      <c r="J23" s="48" t="s">
        <v>9</v>
      </c>
      <c r="K23" s="48" t="n">
        <v>31</v>
      </c>
      <c r="L23" s="44"/>
    </row>
    <row r="24" customFormat="false" ht="17.35" hidden="false" customHeight="false" outlineLevel="0" collapsed="false">
      <c r="C24" s="44"/>
      <c r="D24" s="53" t="s">
        <v>67</v>
      </c>
      <c r="E24" s="48" t="n">
        <v>12</v>
      </c>
      <c r="F24" s="47"/>
      <c r="G24" s="53" t="s">
        <v>67</v>
      </c>
      <c r="H24" s="48" t="n">
        <v>4</v>
      </c>
      <c r="I24" s="47"/>
      <c r="J24" s="53" t="s">
        <v>67</v>
      </c>
      <c r="K24" s="48" t="n">
        <v>12</v>
      </c>
      <c r="L24" s="44"/>
    </row>
    <row r="25" customFormat="false" ht="17.35" hidden="false" customHeight="false" outlineLevel="0" collapsed="false">
      <c r="C25" s="44"/>
      <c r="D25" s="49" t="s">
        <v>57</v>
      </c>
      <c r="E25" s="51" t="n">
        <f aca="false">(VLOOKUP(E22,[1]nr_comutatie_10!A$1:E$1048576,4,FALSE())/VLOOKUP(E22,[1]nr_comutatie_10!A$1:E$1048576,3,FALSE()))-((E24-1)/(2*(E24)))</f>
        <v>9.28974665127156</v>
      </c>
      <c r="F25" s="47"/>
      <c r="G25" s="49" t="s">
        <v>57</v>
      </c>
      <c r="H25" s="51" t="n">
        <f aca="false">((VLOOKUP(H22,[1]nr_comutatie_10!A$1:E$1048576,4,FALSE())-VLOOKUP((H22+H23),[1]nr_comutatie_10!A$1:E$1048576,4,FALSE()))/VLOOKUP(H22,[1]nr_comutatie_10!A$1:E$1048576,3,FALSE()))-((H24-1)/(2*H24))*(1-(VLOOKUP((H22+H23),[1]nr_comutatie_10!A$1:E$1048576,3,FALSE())/VLOOKUP(H22,[1]nr_comutatie_10!A$1:E$1048576,3,FALSE())))</f>
        <v>9.02407891744371</v>
      </c>
      <c r="I25" s="47"/>
      <c r="J25" s="49" t="s">
        <v>57</v>
      </c>
      <c r="K25" s="51" t="n">
        <f aca="false">(VLOOKUP((K22+K23),[1]nr_comutatie_10!A$1:E$1048576,4,FALSE())/VLOOKUP(K22,[1]nr_comutatie_10!A$1:E$1048576,3,FALSE()))-((K24-1)/(2*K24))*(VLOOKUP((K22+K23),[1]nr_comutatie_10!A$1:E$1048576,4,FALSE())/VLOOKUP(K22,[1]nr_comutatie_10!A$1:E$1048576,3,FALSE()))</f>
        <v>0.0710181371772533</v>
      </c>
      <c r="L25" s="44"/>
    </row>
    <row r="26" customFormat="false" ht="13.8" hidden="false" customHeight="false" outlineLevel="0" collapsed="false">
      <c r="C26" s="44"/>
      <c r="D26" s="44"/>
      <c r="E26" s="44"/>
      <c r="F26" s="44"/>
      <c r="G26" s="44"/>
      <c r="H26" s="44"/>
      <c r="I26" s="44"/>
      <c r="J26" s="44"/>
      <c r="K26" s="44"/>
      <c r="L26" s="44"/>
    </row>
    <row r="28" customFormat="false" ht="22.05" hidden="false" customHeight="false" outlineLevel="0" collapsed="false">
      <c r="A28" s="45" t="s">
        <v>69</v>
      </c>
      <c r="B28" s="45"/>
      <c r="C28" s="45"/>
      <c r="D28" s="45"/>
      <c r="E28" s="45"/>
      <c r="F28" s="45"/>
      <c r="G28" s="45"/>
      <c r="H28" s="45"/>
      <c r="I28" s="45"/>
      <c r="J28" s="45"/>
      <c r="K28" s="45"/>
      <c r="L28" s="44"/>
    </row>
    <row r="29" customFormat="false" ht="17.35" hidden="false" customHeight="false" outlineLevel="0" collapsed="false">
      <c r="A29" s="46" t="s">
        <v>62</v>
      </c>
      <c r="B29" s="46"/>
      <c r="C29" s="47"/>
      <c r="D29" s="46" t="s">
        <v>70</v>
      </c>
      <c r="E29" s="46"/>
      <c r="F29" s="47"/>
      <c r="G29" s="46" t="s">
        <v>63</v>
      </c>
      <c r="H29" s="46"/>
      <c r="I29" s="47"/>
      <c r="J29" s="46" t="s">
        <v>64</v>
      </c>
      <c r="K29" s="46"/>
      <c r="L29" s="44"/>
    </row>
    <row r="30" customFormat="false" ht="17.35" hidden="false" customHeight="false" outlineLevel="0" collapsed="false">
      <c r="A30" s="48" t="s">
        <v>1</v>
      </c>
      <c r="B30" s="48" t="n">
        <v>90</v>
      </c>
      <c r="C30" s="47"/>
      <c r="D30" s="48" t="s">
        <v>1</v>
      </c>
      <c r="E30" s="48" t="n">
        <v>77</v>
      </c>
      <c r="F30" s="47"/>
      <c r="G30" s="48" t="s">
        <v>1</v>
      </c>
      <c r="H30" s="48" t="n">
        <v>45</v>
      </c>
      <c r="I30" s="47"/>
      <c r="J30" s="48" t="s">
        <v>1</v>
      </c>
      <c r="K30" s="48" t="n">
        <v>55</v>
      </c>
      <c r="L30" s="44"/>
    </row>
    <row r="31" customFormat="false" ht="17.35" hidden="false" customHeight="false" outlineLevel="0" collapsed="false">
      <c r="A31" s="52"/>
      <c r="B31" s="52"/>
      <c r="C31" s="47"/>
      <c r="D31" s="48" t="s">
        <v>17</v>
      </c>
      <c r="E31" s="48" t="n">
        <v>0</v>
      </c>
      <c r="F31" s="47"/>
      <c r="G31" s="48" t="s">
        <v>9</v>
      </c>
      <c r="H31" s="48" t="n">
        <v>45</v>
      </c>
      <c r="I31" s="47"/>
      <c r="J31" s="48" t="s">
        <v>9</v>
      </c>
      <c r="K31" s="48" t="n">
        <v>25</v>
      </c>
      <c r="L31" s="44"/>
    </row>
    <row r="32" customFormat="false" ht="17.35" hidden="false" customHeight="false" outlineLevel="0" collapsed="false">
      <c r="A32" s="52"/>
      <c r="B32" s="52"/>
      <c r="C32" s="47"/>
      <c r="D32" s="48" t="s">
        <v>9</v>
      </c>
      <c r="E32" s="48" t="n">
        <v>7</v>
      </c>
      <c r="F32" s="47"/>
      <c r="G32" s="52"/>
      <c r="H32" s="52"/>
      <c r="I32" s="47"/>
      <c r="J32" s="52"/>
      <c r="K32" s="52"/>
      <c r="L32" s="44"/>
      <c r="M32" s="0" t="n">
        <f aca="false">1624*10.4009373-(11/24)*(1-0.00646484)</f>
        <v>16890.6668049183</v>
      </c>
    </row>
    <row r="33" customFormat="false" ht="17.35" hidden="false" customHeight="false" outlineLevel="0" collapsed="false">
      <c r="A33" s="49" t="s">
        <v>57</v>
      </c>
      <c r="B33" s="51" t="n">
        <f aca="false">VLOOKUP(B30,[1]nr_comutatie_10!A$1:E$1048576,5,FALSE())/VLOOKUP(B30,[1]nr_comutatie_10!A$1:E$1048576,3,FALSE())</f>
        <v>0.793103448275862</v>
      </c>
      <c r="C33" s="47"/>
      <c r="D33" s="49" t="s">
        <v>57</v>
      </c>
      <c r="E33" s="51" t="n">
        <f aca="false">(VLOOKUP((E30+E31),[1]nr_comutatie_10!A$1:E$1048576,5,FALSE())-VLOOKUP((E30+E32),[1]nr_comutatie_10!A$1:E$1048576,5,FALSE()))/VLOOKUP(E30,[1]nr_comutatie_10!A$1:E$1048576,3,FALSE())</f>
        <v>0.438991445294912</v>
      </c>
      <c r="F33" s="47"/>
      <c r="G33" s="49" t="s">
        <v>57</v>
      </c>
      <c r="H33" s="51" t="n">
        <f aca="false">(VLOOKUP(H30,[1]nr_comutatie_10!A$1:E$1048576,5,FALSE())-VLOOKUP((H30+H31),[1]nr_comutatie_10!A$1:E$1048576,5,FALSE()))/VLOOKUP(H30,[1]nr_comutatie_10!A$1:E$1048576,3,FALSE())</f>
        <v>0.118962229492136</v>
      </c>
      <c r="I33" s="47"/>
      <c r="J33" s="49" t="s">
        <v>57</v>
      </c>
      <c r="K33" s="51" t="n">
        <f aca="false">VLOOKUP((K30+K31),[1]nr_comutatie_10!A$1:E$1048576,5,FALSE())/VLOOKUP(K30,[1]nr_comutatie_10!A$1:E$1048576,3,FALSE())</f>
        <v>0.0192705922479109</v>
      </c>
      <c r="L33" s="44"/>
      <c r="M33" s="0" t="n">
        <f aca="false">M32/12.87023</f>
        <v>1312.38266953414</v>
      </c>
    </row>
    <row r="34" customFormat="false" ht="13.8" hidden="false" customHeight="false" outlineLevel="0" collapsed="false">
      <c r="A34" s="44"/>
      <c r="B34" s="44"/>
      <c r="C34" s="44"/>
      <c r="D34" s="44"/>
      <c r="E34" s="44"/>
      <c r="F34" s="44"/>
      <c r="G34" s="44"/>
      <c r="H34" s="44"/>
      <c r="I34" s="44"/>
      <c r="J34" s="44"/>
      <c r="K34" s="44"/>
      <c r="L34" s="44"/>
    </row>
    <row r="35" customFormat="false" ht="15" hidden="false" customHeight="false" outlineLevel="0" collapsed="false">
      <c r="A35" s="54" t="s">
        <v>71</v>
      </c>
      <c r="B35" s="54"/>
      <c r="C35" s="52"/>
      <c r="D35" s="54" t="s">
        <v>72</v>
      </c>
      <c r="E35" s="54"/>
      <c r="F35" s="52"/>
      <c r="G35" s="54" t="s">
        <v>73</v>
      </c>
      <c r="H35" s="54"/>
      <c r="I35" s="52"/>
      <c r="J35" s="54" t="s">
        <v>74</v>
      </c>
      <c r="K35" s="54"/>
    </row>
  </sheetData>
  <mergeCells count="27">
    <mergeCell ref="A1:B1"/>
    <mergeCell ref="D1:K1"/>
    <mergeCell ref="A2:B2"/>
    <mergeCell ref="D2:E2"/>
    <mergeCell ref="G2:H2"/>
    <mergeCell ref="J2:K2"/>
    <mergeCell ref="D7:K7"/>
    <mergeCell ref="D8:E8"/>
    <mergeCell ref="G8:H8"/>
    <mergeCell ref="J8:K8"/>
    <mergeCell ref="D13:K13"/>
    <mergeCell ref="D14:E14"/>
    <mergeCell ref="G14:H14"/>
    <mergeCell ref="J14:K14"/>
    <mergeCell ref="D20:K20"/>
    <mergeCell ref="D21:E21"/>
    <mergeCell ref="G21:H21"/>
    <mergeCell ref="J21:K21"/>
    <mergeCell ref="A28:K28"/>
    <mergeCell ref="A29:B29"/>
    <mergeCell ref="D29:E29"/>
    <mergeCell ref="G29:H29"/>
    <mergeCell ref="J29:K29"/>
    <mergeCell ref="A35:B35"/>
    <mergeCell ref="D35:E35"/>
    <mergeCell ref="G35:H35"/>
    <mergeCell ref="J35:K3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102</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2022-06-07T13:15:29Z</dcterms:created>
  <dc:creator/>
  <dc:description/>
  <dc:language>en-US</dc:language>
  <cp:lastModifiedBy/>
  <dcterms:modified xsi:type="dcterms:W3CDTF">2022-06-18T17:54:12Z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eets-banding">
    <vt:lpwstr/>
  </property>
  <property fmtid="{D5CDD505-2E9C-101B-9397-08002B2CF9AE}" pid="3" name="sheets-original-selection">
    <vt:lpwstr/>
  </property>
</Properties>
</file>